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N:\Regulatory-mwwd-vwsusprod1\DPU Docketed Cases\DPU 2018\18-120 NSTAR &amp; WMECO 2018-2019 Annual Reconciliation\15 Work Papers\A.1-Revised Filing 12.26.18\"/>
    </mc:Choice>
  </mc:AlternateContent>
  <xr:revisionPtr revIDLastSave="0" documentId="10_ncr:100000_{3EF47F28-1057-485B-BEBC-1102F56DAB5A}" xr6:coauthVersionLast="31" xr6:coauthVersionMax="31" xr10:uidLastSave="{00000000-0000-0000-0000-000000000000}"/>
  <bookViews>
    <workbookView xWindow="0" yWindow="0" windowWidth="28800" windowHeight="11780" tabRatio="947" xr2:uid="{6B62FDF2-9B01-49E6-B9C4-0E0EC69968A8}"/>
  </bookViews>
  <sheets>
    <sheet name="Exh 7_Recon Rates p1-2" sheetId="1" r:id="rId1"/>
    <sheet name="Exh 7_ Recon Rates_Alloc p3-4" sheetId="2" r:id="rId2"/>
    <sheet name="Exh 7_ Recon Rates_Alloc p5" sheetId="3" r:id="rId3"/>
    <sheet name="Exh 9_Proposed Rev p1" sheetId="4" r:id="rId4"/>
    <sheet name="Exh 9_Proposed Track p2" sheetId="5" r:id="rId5"/>
    <sheet name="R1 EMA" sheetId="6" r:id="rId6"/>
    <sheet name="R2 EMA" sheetId="7" r:id="rId7"/>
    <sheet name="R3 EMA" sheetId="8" r:id="rId8"/>
    <sheet name="R4 EMA" sheetId="9" r:id="rId9"/>
    <sheet name="R1 WMA" sheetId="10" r:id="rId10"/>
    <sheet name="R2 WMA" sheetId="11" r:id="rId11"/>
    <sheet name="R3 WMA" sheetId="12" r:id="rId12"/>
    <sheet name="R4 WMA" sheetId="13" r:id="rId13"/>
    <sheet name="G1NDMD BOST" sheetId="14" r:id="rId14"/>
    <sheet name="G1DMD BOST" sheetId="15" r:id="rId15"/>
    <sheet name="T1 BOST" sheetId="16" r:id="rId16"/>
    <sheet name="G2 BOST" sheetId="17" r:id="rId17"/>
    <sheet name="G3 BOST" sheetId="18" r:id="rId18"/>
    <sheet name="T2 BOST" sheetId="19" r:id="rId19"/>
    <sheet name="WR BOST" sheetId="20" r:id="rId20"/>
    <sheet name="G0 CAMB" sheetId="21" r:id="rId21"/>
    <sheet name="G1 CAMB" sheetId="22" r:id="rId22"/>
    <sheet name="G2 CAMB" sheetId="23" r:id="rId23"/>
    <sheet name="G3 CAMB" sheetId="24" r:id="rId24"/>
    <sheet name="G4 CAMB" sheetId="25" r:id="rId25"/>
    <sheet name="G5 CAMB" sheetId="26" r:id="rId26"/>
    <sheet name="G6 CAMB" sheetId="27" r:id="rId27"/>
    <sheet name="SB1 CAMB" sheetId="28" r:id="rId28"/>
    <sheet name="CON CAMB" sheetId="29" r:id="rId29"/>
    <sheet name="G1 SOUTH" sheetId="30" r:id="rId30"/>
    <sheet name="G1S SOUTH" sheetId="31" r:id="rId31"/>
    <sheet name="G2 SOUTH" sheetId="32" r:id="rId32"/>
    <sheet name="G3 SOUTH" sheetId="33" r:id="rId33"/>
    <sheet name="G4 SOUTH" sheetId="34" r:id="rId34"/>
    <sheet name="G5 SOUTH" sheetId="35" r:id="rId35"/>
    <sheet name="G6 SOUTH" sheetId="36" r:id="rId36"/>
    <sheet name="G7 SOUTH" sheetId="37" r:id="rId37"/>
    <sheet name="G7S SOUTH" sheetId="38" r:id="rId38"/>
    <sheet name="23 WMA" sheetId="39" r:id="rId39"/>
    <sheet name="24 WMA" sheetId="40" r:id="rId40"/>
    <sheet name="G0 WMA" sheetId="41" r:id="rId41"/>
    <sheet name="T0 WMA" sheetId="42" r:id="rId42"/>
    <sheet name="G2 WMA" sheetId="43" r:id="rId43"/>
    <sheet name="T4 WMA" sheetId="44" r:id="rId44"/>
    <sheet name="T2 WMA" sheetId="45" r:id="rId45"/>
    <sheet name="T5 WMA" sheetId="46" r:id="rId46"/>
    <sheet name="S1_S2 EMA" sheetId="48" r:id="rId47"/>
    <sheet name="S1_S2 WMA" sheetId="49" r:id="rId48"/>
    <sheet name="Exh 10_Bill_summary EMA" sheetId="50" r:id="rId49"/>
    <sheet name="Exh 10_Bill_summary WMA" sheetId="51" r:id="rId50"/>
    <sheet name="Bill_EMA R1" sheetId="52" r:id="rId51"/>
    <sheet name="Bill_EMA R2" sheetId="53" r:id="rId52"/>
    <sheet name="Bill_EMA R3" sheetId="54" r:id="rId53"/>
    <sheet name="Bill_EMA R4" sheetId="55" r:id="rId54"/>
    <sheet name="Bill_WMA R1" sheetId="56" r:id="rId55"/>
    <sheet name="Bill_WMA R2" sheetId="57" r:id="rId56"/>
    <sheet name="Bill_WMA R3" sheetId="58" r:id="rId57"/>
    <sheet name="Bill_WMA R4" sheetId="59" r:id="rId58"/>
    <sheet name="Bill_Bos G1 nonDem" sheetId="60" r:id="rId59"/>
    <sheet name="Bill_Bos G1 Dmd p1" sheetId="61" r:id="rId60"/>
    <sheet name="Bill_Bos G1 Dmd p2" sheetId="62" r:id="rId61"/>
    <sheet name="Bill_Bos G1 Dmd p3" sheetId="63" r:id="rId62"/>
    <sheet name="Bill_Bos G2 p1" sheetId="64" r:id="rId63"/>
    <sheet name="Bill_Bos G2 p2" sheetId="65" r:id="rId64"/>
    <sheet name="Bill_Bos G2 p3" sheetId="66" r:id="rId65"/>
    <sheet name="Bill_Bos G3 p1" sheetId="67" r:id="rId66"/>
    <sheet name="Bill_Bos G3 p2" sheetId="68" r:id="rId67"/>
    <sheet name="Bill_Bos G3 p3" sheetId="69" r:id="rId68"/>
    <sheet name="Bill_Bos G3 p4" sheetId="70" r:id="rId69"/>
    <sheet name="Bill_Bos G3 p5" sheetId="71" r:id="rId70"/>
    <sheet name="Bill_Bos G3 p6" sheetId="72" r:id="rId71"/>
    <sheet name="Bill_Bos T1" sheetId="73" r:id="rId72"/>
    <sheet name="Bill_Bos T2 p1" sheetId="74" r:id="rId73"/>
    <sheet name="Bill_Bos T2 p2" sheetId="75" r:id="rId74"/>
    <sheet name="Bill_Bos T2 p3" sheetId="76" r:id="rId75"/>
    <sheet name="Bill_Bos T2 p4" sheetId="77" r:id="rId76"/>
    <sheet name="Bill_Bos T2 p5" sheetId="78" r:id="rId77"/>
    <sheet name="Bill_Bos T2 p6" sheetId="79" r:id="rId78"/>
    <sheet name="Bill_Cam G0" sheetId="80" r:id="rId79"/>
    <sheet name="Bill_Cam G1" sheetId="81" r:id="rId80"/>
    <sheet name="Bill_Cam G2" sheetId="82" r:id="rId81"/>
    <sheet name="Bill_Cam G3" sheetId="83" r:id="rId82"/>
    <sheet name="Bill_Cam G4" sheetId="84" r:id="rId83"/>
    <sheet name="Bill_Cam G5" sheetId="85" r:id="rId84"/>
    <sheet name="Bill_Cam G6" sheetId="86" r:id="rId85"/>
    <sheet name="Bill_South G1" sheetId="87" r:id="rId86"/>
    <sheet name="Bill_South G1S" sheetId="88" r:id="rId87"/>
    <sheet name="Bill_South G2" sheetId="89" r:id="rId88"/>
    <sheet name="Bill_South G3" sheetId="90" r:id="rId89"/>
    <sheet name="Bill_South G4" sheetId="91" r:id="rId90"/>
    <sheet name="Bill_South G5" sheetId="92" r:id="rId91"/>
    <sheet name="Bill_South G6" sheetId="93" r:id="rId92"/>
    <sheet name="Bill_South G7" sheetId="94" r:id="rId93"/>
    <sheet name="Bill_South G7S" sheetId="95" r:id="rId94"/>
    <sheet name="Bill_WMA 23" sheetId="96" r:id="rId95"/>
    <sheet name="Bill_WMA 24" sheetId="97" r:id="rId96"/>
    <sheet name="Bill_WMA G0" sheetId="98" r:id="rId97"/>
    <sheet name="Bill_WMA T0" sheetId="99" r:id="rId98"/>
    <sheet name="Bill_WMA G2" sheetId="100" r:id="rId99"/>
    <sheet name="Bill_WMA T4" sheetId="101" r:id="rId100"/>
    <sheet name="Bill_WMA T2" sheetId="102" r:id="rId101"/>
    <sheet name="Bill_WMA T5" sheetId="103" r:id="rId102"/>
  </sheets>
  <definedNames>
    <definedName name="_xlnm.Print_Area" localSheetId="59">'Bill_Bos G1 Dmd p1'!$A$1:$N$78</definedName>
    <definedName name="_xlnm.Print_Area" localSheetId="60">'Bill_Bos G1 Dmd p2'!$A$1:$N$78</definedName>
    <definedName name="_xlnm.Print_Area" localSheetId="61">'Bill_Bos G1 Dmd p3'!$A$1:$N$78</definedName>
    <definedName name="_xlnm.Print_Area" localSheetId="58">'Bill_Bos G1 nonDem'!$A$1:$M$65</definedName>
    <definedName name="_xlnm.Print_Area" localSheetId="62">'Bill_Bos G2 p1'!$A$1:$N$75</definedName>
    <definedName name="_xlnm.Print_Area" localSheetId="63">'Bill_Bos G2 p2'!$A$1:$N$75</definedName>
    <definedName name="_xlnm.Print_Area" localSheetId="64">'Bill_Bos G2 p3'!$A$1:$N$75</definedName>
    <definedName name="_xlnm.Print_Area" localSheetId="65">'Bill_Bos G3 p1'!$A$1:$N$64</definedName>
    <definedName name="_xlnm.Print_Area" localSheetId="66">'Bill_Bos G3 p2'!$A$1:$N$64</definedName>
    <definedName name="_xlnm.Print_Area" localSheetId="67">'Bill_Bos G3 p3'!$A$1:$N$64</definedName>
    <definedName name="_xlnm.Print_Area" localSheetId="68">'Bill_Bos G3 p4'!$A$1:$N$64</definedName>
    <definedName name="_xlnm.Print_Area" localSheetId="69">'Bill_Bos G3 p5'!$A$1:$N$64</definedName>
    <definedName name="_xlnm.Print_Area" localSheetId="70">'Bill_Bos G3 p6'!$A$1:$N$64</definedName>
    <definedName name="_xlnm.Print_Area" localSheetId="71">'Bill_Bos T1'!$A$1:$M$66</definedName>
    <definedName name="_xlnm.Print_Area" localSheetId="72">'Bill_Bos T2 p1'!$A$1:$N$66</definedName>
    <definedName name="_xlnm.Print_Area" localSheetId="73">'Bill_Bos T2 p2'!$A$1:$N$66</definedName>
    <definedName name="_xlnm.Print_Area" localSheetId="74">'Bill_Bos T2 p3'!$A$1:$N$66</definedName>
    <definedName name="_xlnm.Print_Area" localSheetId="75">'Bill_Bos T2 p4'!$A$1:$N$66</definedName>
    <definedName name="_xlnm.Print_Area" localSheetId="76">'Bill_Bos T2 p5'!$A$1:$N$66</definedName>
    <definedName name="_xlnm.Print_Area" localSheetId="77">'Bill_Bos T2 p6'!$A$1:$N$66</definedName>
    <definedName name="_xlnm.Print_Area" localSheetId="78">'Bill_Cam G0'!$A$1:$M$50</definedName>
    <definedName name="_xlnm.Print_Area" localSheetId="79">'Bill_Cam G1'!$A$1:$N$74</definedName>
    <definedName name="_xlnm.Print_Area" localSheetId="80">'Bill_Cam G2'!$A$1:$N$72</definedName>
    <definedName name="_xlnm.Print_Area" localSheetId="81">'Bill_Cam G3'!$A$1:$N$69</definedName>
    <definedName name="_xlnm.Print_Area" localSheetId="82">'Bill_Cam G4'!$A$1:$N$64</definedName>
    <definedName name="_xlnm.Print_Area" localSheetId="83">'Bill_Cam G5'!$A$1:$M$52</definedName>
    <definedName name="_xlnm.Print_Area" localSheetId="84">'Bill_Cam G6'!$A$1:$M$55</definedName>
    <definedName name="_xlnm.Print_Area" localSheetId="50">'Bill_EMA R1'!$A$1:$M$52</definedName>
    <definedName name="_xlnm.Print_Area" localSheetId="51">'Bill_EMA R2'!$A$1:$M$53</definedName>
    <definedName name="_xlnm.Print_Area" localSheetId="52">'Bill_EMA R3'!$A$1:$M$52</definedName>
    <definedName name="_xlnm.Print_Area" localSheetId="53">'Bill_EMA R4'!$A$1:$M$53</definedName>
    <definedName name="_xlnm.Print_Area" localSheetId="85">'Bill_South G1'!$A$1:$N$69</definedName>
    <definedName name="_xlnm.Print_Area" localSheetId="86">'Bill_South G1S'!$A$1:$N$63</definedName>
    <definedName name="_xlnm.Print_Area" localSheetId="87">'Bill_South G2'!$A$1:$N$71</definedName>
    <definedName name="_xlnm.Print_Area" localSheetId="88">'Bill_South G3'!$A$1:$N$71</definedName>
    <definedName name="_xlnm.Print_Area" localSheetId="89">'Bill_South G4'!$A$1:$N$65</definedName>
    <definedName name="_xlnm.Print_Area" localSheetId="90">'Bill_South G5'!$A$1:$M$49</definedName>
    <definedName name="_xlnm.Print_Area" localSheetId="91">'Bill_South G6'!$A$1:$M$45</definedName>
    <definedName name="_xlnm.Print_Area" localSheetId="92">'Bill_South G7'!$A$1:$N$68</definedName>
    <definedName name="_xlnm.Print_Area" localSheetId="93">'Bill_South G7S'!$A$1:$N$68</definedName>
    <definedName name="_xlnm.Print_Area" localSheetId="94">'Bill_WMA 23'!$A$1:$M$46</definedName>
    <definedName name="_xlnm.Print_Area" localSheetId="95">'Bill_WMA 24'!$A$1:$N$67</definedName>
    <definedName name="_xlnm.Print_Area" localSheetId="96">'Bill_WMA G0'!$A$1:$N$64</definedName>
    <definedName name="_xlnm.Print_Area" localSheetId="98">'Bill_WMA G2'!$A$1:$N$68</definedName>
    <definedName name="_xlnm.Print_Area" localSheetId="54">'Bill_WMA R1'!$A$1:$M$52</definedName>
    <definedName name="_xlnm.Print_Area" localSheetId="55">'Bill_WMA R2'!$A$1:$M$53</definedName>
    <definedName name="_xlnm.Print_Area" localSheetId="56">'Bill_WMA R3'!$A$1:$M$52</definedName>
    <definedName name="_xlnm.Print_Area" localSheetId="57">'Bill_WMA R4'!$A$1:$M$53</definedName>
    <definedName name="_xlnm.Print_Area" localSheetId="97">'Bill_WMA T0'!$A$1:$N$68</definedName>
    <definedName name="_xlnm.Print_Area" localSheetId="100">'Bill_WMA T2'!$A$1:$N$76</definedName>
    <definedName name="_xlnm.Print_Area" localSheetId="99">'Bill_WMA T4'!$A$1:$N$72</definedName>
    <definedName name="_xlnm.Print_Area" localSheetId="101">'Bill_WMA T5'!$A$1:$N$68</definedName>
    <definedName name="_xlnm.Print_Area" localSheetId="1">'Exh 7_ Recon Rates_Alloc p3-4'!$A$1:$AV$48</definedName>
    <definedName name="_xlnm.Print_Area" localSheetId="2">'Exh 7_ Recon Rates_Alloc p5'!$A$1:$R$56</definedName>
    <definedName name="_xlnm.Print_Area" localSheetId="0">'Exh 7_Recon Rates p1-2'!$A$1:$CD$40</definedName>
    <definedName name="_xlnm.Print_Area" localSheetId="3">'Exh 9_Proposed Rev p1'!$A$1:$AG$94</definedName>
    <definedName name="_xlnm.Print_Area" localSheetId="4">'Exh 9_Proposed Track p2'!$A$1:$AW$93</definedName>
    <definedName name="_xlnm.Print_Area" localSheetId="16">'G2 BOST'!$A$1:$N$104</definedName>
    <definedName name="_xlnm.Print_Titles" localSheetId="48">'Exh 10_Bill_summary EMA'!$1:$10</definedName>
    <definedName name="_xlnm.Print_Titles" localSheetId="1">'Exh 7_ Recon Rates_Alloc p3-4'!$A:$G</definedName>
    <definedName name="_xlnm.Print_Titles" localSheetId="0">'Exh 7_Recon Rates p1-2'!$A:$D</definedName>
  </definedNames>
  <calcPr calcId="179017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3" i="17" l="1"/>
  <c r="I74" i="103"/>
  <c r="G74" i="103"/>
  <c r="J74" i="103"/>
  <c r="C54" i="80"/>
  <c r="C50" i="96"/>
  <c r="C72" i="97"/>
  <c r="C69" i="98"/>
  <c r="C74" i="99"/>
  <c r="C79" i="101"/>
  <c r="C82" i="102"/>
  <c r="C74" i="103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Z31" i="2"/>
  <c r="AA31" i="2"/>
  <c r="H31" i="2"/>
  <c r="I31" i="2"/>
  <c r="AC31" i="2"/>
  <c r="AD31" i="2"/>
  <c r="K31" i="2"/>
  <c r="L31" i="2"/>
  <c r="F34" i="2"/>
  <c r="O34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Q31" i="2"/>
  <c r="R31" i="2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K37" i="3"/>
  <c r="D37" i="3"/>
  <c r="L37" i="3"/>
  <c r="O37" i="3"/>
  <c r="P37" i="3"/>
  <c r="R37" i="3"/>
  <c r="T31" i="2"/>
  <c r="U31" i="2"/>
  <c r="AI31" i="2"/>
  <c r="AJ31" i="2"/>
  <c r="AL31" i="2"/>
  <c r="AM31" i="2"/>
  <c r="AO31" i="2"/>
  <c r="AP31" i="2"/>
  <c r="AR31" i="2"/>
  <c r="AS31" i="2"/>
  <c r="AU31" i="2"/>
  <c r="AV31" i="2"/>
  <c r="X34" i="2"/>
  <c r="X31" i="2"/>
  <c r="I60" i="103"/>
  <c r="I61" i="103"/>
  <c r="I73" i="103"/>
  <c r="G73" i="103"/>
  <c r="J73" i="103"/>
  <c r="C78" i="101"/>
  <c r="C81" i="102"/>
  <c r="C73" i="103"/>
  <c r="I72" i="103"/>
  <c r="G72" i="103"/>
  <c r="J72" i="103"/>
  <c r="C77" i="101"/>
  <c r="C80" i="102"/>
  <c r="C72" i="103"/>
  <c r="I71" i="103"/>
  <c r="G71" i="103"/>
  <c r="J71" i="103"/>
  <c r="C71" i="103"/>
  <c r="C65" i="103"/>
  <c r="C11" i="102"/>
  <c r="C11" i="103"/>
  <c r="C12" i="102"/>
  <c r="C12" i="103"/>
  <c r="C22" i="103"/>
  <c r="C23" i="103"/>
  <c r="C24" i="103"/>
  <c r="C25" i="103"/>
  <c r="C29" i="103"/>
  <c r="C30" i="103"/>
  <c r="C31" i="103"/>
  <c r="C32" i="103"/>
  <c r="C39" i="103"/>
  <c r="C40" i="103"/>
  <c r="C41" i="103"/>
  <c r="C42" i="103"/>
  <c r="C31" i="80"/>
  <c r="C27" i="96"/>
  <c r="C48" i="97"/>
  <c r="C45" i="98"/>
  <c r="C46" i="99"/>
  <c r="C50" i="101"/>
  <c r="C54" i="102"/>
  <c r="C43" i="103"/>
  <c r="C32" i="80"/>
  <c r="C28" i="96"/>
  <c r="C49" i="97"/>
  <c r="C46" i="98"/>
  <c r="C47" i="99"/>
  <c r="C51" i="101"/>
  <c r="C55" i="102"/>
  <c r="C44" i="103"/>
  <c r="C33" i="80"/>
  <c r="C29" i="96"/>
  <c r="C50" i="97"/>
  <c r="C47" i="98"/>
  <c r="C48" i="99"/>
  <c r="C52" i="101"/>
  <c r="C56" i="102"/>
  <c r="C45" i="103"/>
  <c r="C34" i="80"/>
  <c r="C30" i="96"/>
  <c r="C51" i="97"/>
  <c r="C48" i="98"/>
  <c r="C49" i="99"/>
  <c r="C53" i="101"/>
  <c r="C57" i="102"/>
  <c r="C46" i="103"/>
  <c r="C35" i="80"/>
  <c r="C31" i="96"/>
  <c r="C52" i="97"/>
  <c r="C49" i="98"/>
  <c r="C50" i="99"/>
  <c r="C54" i="101"/>
  <c r="C58" i="102"/>
  <c r="C47" i="103"/>
  <c r="C36" i="80"/>
  <c r="C32" i="96"/>
  <c r="C53" i="97"/>
  <c r="C50" i="98"/>
  <c r="C51" i="99"/>
  <c r="C55" i="101"/>
  <c r="C59" i="102"/>
  <c r="C48" i="103"/>
  <c r="C37" i="80"/>
  <c r="C33" i="96"/>
  <c r="C54" i="97"/>
  <c r="C51" i="98"/>
  <c r="C52" i="99"/>
  <c r="C56" i="101"/>
  <c r="C60" i="102"/>
  <c r="C49" i="103"/>
  <c r="C38" i="80"/>
  <c r="C34" i="96"/>
  <c r="C55" i="97"/>
  <c r="C52" i="98"/>
  <c r="C53" i="99"/>
  <c r="C57" i="101"/>
  <c r="C61" i="102"/>
  <c r="C50" i="103"/>
  <c r="C39" i="80"/>
  <c r="C35" i="96"/>
  <c r="C56" i="97"/>
  <c r="C53" i="98"/>
  <c r="C54" i="99"/>
  <c r="C58" i="101"/>
  <c r="C62" i="102"/>
  <c r="C51" i="103"/>
  <c r="C40" i="80"/>
  <c r="C36" i="96"/>
  <c r="C57" i="97"/>
  <c r="C54" i="98"/>
  <c r="C55" i="99"/>
  <c r="C59" i="101"/>
  <c r="C63" i="102"/>
  <c r="C52" i="103"/>
  <c r="C41" i="80"/>
  <c r="C37" i="96"/>
  <c r="C58" i="97"/>
  <c r="C55" i="98"/>
  <c r="C56" i="99"/>
  <c r="C60" i="101"/>
  <c r="C64" i="102"/>
  <c r="C53" i="103"/>
  <c r="C42" i="80"/>
  <c r="C38" i="96"/>
  <c r="C59" i="97"/>
  <c r="C56" i="98"/>
  <c r="C57" i="99"/>
  <c r="C61" i="101"/>
  <c r="C65" i="102"/>
  <c r="C54" i="103"/>
  <c r="C43" i="80"/>
  <c r="C39" i="96"/>
  <c r="C60" i="97"/>
  <c r="C57" i="98"/>
  <c r="C58" i="99"/>
  <c r="C62" i="101"/>
  <c r="C66" i="102"/>
  <c r="C55" i="103"/>
  <c r="C44" i="80"/>
  <c r="C40" i="96"/>
  <c r="C61" i="97"/>
  <c r="C58" i="98"/>
  <c r="C59" i="99"/>
  <c r="C63" i="101"/>
  <c r="C67" i="102"/>
  <c r="C56" i="103"/>
  <c r="C45" i="80"/>
  <c r="C41" i="96"/>
  <c r="C62" i="97"/>
  <c r="C59" i="98"/>
  <c r="C60" i="99"/>
  <c r="C64" i="101"/>
  <c r="C68" i="102"/>
  <c r="C57" i="103"/>
  <c r="C46" i="80"/>
  <c r="C42" i="96"/>
  <c r="C63" i="97"/>
  <c r="C60" i="98"/>
  <c r="C61" i="99"/>
  <c r="C65" i="101"/>
  <c r="C69" i="102"/>
  <c r="C58" i="103"/>
  <c r="C47" i="80"/>
  <c r="C43" i="96"/>
  <c r="C64" i="97"/>
  <c r="C61" i="98"/>
  <c r="C62" i="99"/>
  <c r="C66" i="101"/>
  <c r="C70" i="102"/>
  <c r="C59" i="103"/>
  <c r="C48" i="80"/>
  <c r="C44" i="96"/>
  <c r="C65" i="97"/>
  <c r="C62" i="98"/>
  <c r="C63" i="99"/>
  <c r="C67" i="101"/>
  <c r="C71" i="102"/>
  <c r="C60" i="103"/>
  <c r="C49" i="80"/>
  <c r="C45" i="96"/>
  <c r="C66" i="97"/>
  <c r="C63" i="98"/>
  <c r="C64" i="99"/>
  <c r="C68" i="101"/>
  <c r="C72" i="102"/>
  <c r="C61" i="103"/>
  <c r="C50" i="80"/>
  <c r="C46" i="96"/>
  <c r="C67" i="97"/>
  <c r="C64" i="98"/>
  <c r="C65" i="99"/>
  <c r="C69" i="101"/>
  <c r="C73" i="102"/>
  <c r="C62" i="103"/>
  <c r="C64" i="103"/>
  <c r="A65" i="103"/>
  <c r="A64" i="103"/>
  <c r="A63" i="103"/>
  <c r="J62" i="103"/>
  <c r="A62" i="103"/>
  <c r="J61" i="103"/>
  <c r="A61" i="103"/>
  <c r="J60" i="103"/>
  <c r="A60" i="103"/>
  <c r="J59" i="103"/>
  <c r="A59" i="103"/>
  <c r="J58" i="103"/>
  <c r="A58" i="103"/>
  <c r="J57" i="103"/>
  <c r="A57" i="103"/>
  <c r="J56" i="103"/>
  <c r="A56" i="103"/>
  <c r="J55" i="103"/>
  <c r="A55" i="103"/>
  <c r="J54" i="103"/>
  <c r="A54" i="103"/>
  <c r="J53" i="103"/>
  <c r="A53" i="103"/>
  <c r="J52" i="103"/>
  <c r="A52" i="103"/>
  <c r="J51" i="103"/>
  <c r="A51" i="103"/>
  <c r="J50" i="103"/>
  <c r="A50" i="103"/>
  <c r="J49" i="103"/>
  <c r="A49" i="103"/>
  <c r="J48" i="103"/>
  <c r="A48" i="103"/>
  <c r="J47" i="103"/>
  <c r="A47" i="103"/>
  <c r="J46" i="103"/>
  <c r="A46" i="103"/>
  <c r="J45" i="103"/>
  <c r="A45" i="103"/>
  <c r="J44" i="103"/>
  <c r="A44" i="103"/>
  <c r="J43" i="103"/>
  <c r="A43" i="103"/>
  <c r="J42" i="103"/>
  <c r="A42" i="103"/>
  <c r="J41" i="103"/>
  <c r="A41" i="103"/>
  <c r="J40" i="103"/>
  <c r="A40" i="103"/>
  <c r="J39" i="103"/>
  <c r="A39" i="103"/>
  <c r="I38" i="103"/>
  <c r="J38" i="103"/>
  <c r="A38" i="103"/>
  <c r="I28" i="80"/>
  <c r="I24" i="96"/>
  <c r="J37" i="103"/>
  <c r="H28" i="80"/>
  <c r="H24" i="96"/>
  <c r="I37" i="103"/>
  <c r="F28" i="80"/>
  <c r="F24" i="96"/>
  <c r="G37" i="103"/>
  <c r="A37" i="103"/>
  <c r="H27" i="80"/>
  <c r="H23" i="96"/>
  <c r="I36" i="103"/>
  <c r="F27" i="80"/>
  <c r="F23" i="96"/>
  <c r="G36" i="103"/>
  <c r="A36" i="103"/>
  <c r="A35" i="103"/>
  <c r="A34" i="103"/>
  <c r="D33" i="103"/>
  <c r="I33" i="103"/>
  <c r="J33" i="103"/>
  <c r="K33" i="103"/>
  <c r="E33" i="103"/>
  <c r="F33" i="103"/>
  <c r="G33" i="103"/>
  <c r="M33" i="103"/>
  <c r="N33" i="103"/>
  <c r="A33" i="103"/>
  <c r="D32" i="103"/>
  <c r="I32" i="103"/>
  <c r="J32" i="103"/>
  <c r="K32" i="103"/>
  <c r="E32" i="103"/>
  <c r="F32" i="103"/>
  <c r="G32" i="103"/>
  <c r="M32" i="103"/>
  <c r="N32" i="103"/>
  <c r="A32" i="103"/>
  <c r="D31" i="103"/>
  <c r="I31" i="103"/>
  <c r="J31" i="103"/>
  <c r="K31" i="103"/>
  <c r="E31" i="103"/>
  <c r="F31" i="103"/>
  <c r="G31" i="103"/>
  <c r="M31" i="103"/>
  <c r="N31" i="103"/>
  <c r="A31" i="103"/>
  <c r="D30" i="103"/>
  <c r="I30" i="103"/>
  <c r="J30" i="103"/>
  <c r="K30" i="103"/>
  <c r="E30" i="103"/>
  <c r="F30" i="103"/>
  <c r="G30" i="103"/>
  <c r="M30" i="103"/>
  <c r="N30" i="103"/>
  <c r="A30" i="103"/>
  <c r="D29" i="103"/>
  <c r="I29" i="103"/>
  <c r="J29" i="103"/>
  <c r="K29" i="103"/>
  <c r="E29" i="103"/>
  <c r="F29" i="103"/>
  <c r="G29" i="103"/>
  <c r="M29" i="103"/>
  <c r="N29" i="103"/>
  <c r="A29" i="103"/>
  <c r="A28" i="103"/>
  <c r="A27" i="103"/>
  <c r="D26" i="103"/>
  <c r="I26" i="103"/>
  <c r="J26" i="103"/>
  <c r="K26" i="103"/>
  <c r="E26" i="103"/>
  <c r="F26" i="103"/>
  <c r="G26" i="103"/>
  <c r="M26" i="103"/>
  <c r="N26" i="103"/>
  <c r="A26" i="103"/>
  <c r="D25" i="103"/>
  <c r="I25" i="103"/>
  <c r="J25" i="103"/>
  <c r="K25" i="103"/>
  <c r="E25" i="103"/>
  <c r="F25" i="103"/>
  <c r="G25" i="103"/>
  <c r="M25" i="103"/>
  <c r="N25" i="103"/>
  <c r="A25" i="103"/>
  <c r="D24" i="103"/>
  <c r="I24" i="103"/>
  <c r="J24" i="103"/>
  <c r="K24" i="103"/>
  <c r="E24" i="103"/>
  <c r="F24" i="103"/>
  <c r="G24" i="103"/>
  <c r="M24" i="103"/>
  <c r="N24" i="103"/>
  <c r="A24" i="103"/>
  <c r="D23" i="103"/>
  <c r="I23" i="103"/>
  <c r="J23" i="103"/>
  <c r="K23" i="103"/>
  <c r="E23" i="103"/>
  <c r="F23" i="103"/>
  <c r="G23" i="103"/>
  <c r="M23" i="103"/>
  <c r="N23" i="103"/>
  <c r="A23" i="103"/>
  <c r="D22" i="103"/>
  <c r="I22" i="103"/>
  <c r="J22" i="103"/>
  <c r="K22" i="103"/>
  <c r="E22" i="103"/>
  <c r="F22" i="103"/>
  <c r="G22" i="103"/>
  <c r="M22" i="103"/>
  <c r="N22" i="103"/>
  <c r="A22" i="103"/>
  <c r="A21" i="103"/>
  <c r="A20" i="103"/>
  <c r="D19" i="103"/>
  <c r="I19" i="103"/>
  <c r="J19" i="103"/>
  <c r="K19" i="103"/>
  <c r="E19" i="103"/>
  <c r="F19" i="103"/>
  <c r="G19" i="103"/>
  <c r="M19" i="103"/>
  <c r="N19" i="103"/>
  <c r="A19" i="103"/>
  <c r="D18" i="103"/>
  <c r="I18" i="103"/>
  <c r="J18" i="103"/>
  <c r="K18" i="103"/>
  <c r="E18" i="103"/>
  <c r="F18" i="103"/>
  <c r="G18" i="103"/>
  <c r="M18" i="103"/>
  <c r="N18" i="103"/>
  <c r="A18" i="103"/>
  <c r="D17" i="103"/>
  <c r="I17" i="103"/>
  <c r="J17" i="103"/>
  <c r="K17" i="103"/>
  <c r="E17" i="103"/>
  <c r="F17" i="103"/>
  <c r="G17" i="103"/>
  <c r="M17" i="103"/>
  <c r="N17" i="103"/>
  <c r="A17" i="103"/>
  <c r="D16" i="103"/>
  <c r="I16" i="103"/>
  <c r="J16" i="103"/>
  <c r="K16" i="103"/>
  <c r="E16" i="103"/>
  <c r="F16" i="103"/>
  <c r="G16" i="103"/>
  <c r="M16" i="103"/>
  <c r="N16" i="103"/>
  <c r="A16" i="103"/>
  <c r="D15" i="103"/>
  <c r="I15" i="103"/>
  <c r="J15" i="103"/>
  <c r="K15" i="103"/>
  <c r="E15" i="103"/>
  <c r="F15" i="103"/>
  <c r="G15" i="103"/>
  <c r="M15" i="103"/>
  <c r="N15" i="103"/>
  <c r="A15" i="103"/>
  <c r="A14" i="103"/>
  <c r="A13" i="103"/>
  <c r="N12" i="103"/>
  <c r="M12" i="103"/>
  <c r="J12" i="96"/>
  <c r="K12" i="103"/>
  <c r="I12" i="96"/>
  <c r="J12" i="103"/>
  <c r="H12" i="96"/>
  <c r="I12" i="103"/>
  <c r="G12" i="103"/>
  <c r="F12" i="103"/>
  <c r="E12" i="103"/>
  <c r="D12" i="102"/>
  <c r="D12" i="103"/>
  <c r="A12" i="103"/>
  <c r="M11" i="103"/>
  <c r="I11" i="103"/>
  <c r="E11" i="103"/>
  <c r="D11" i="102"/>
  <c r="D11" i="103"/>
  <c r="A11" i="103"/>
  <c r="A6" i="103"/>
  <c r="A5" i="103"/>
  <c r="A4" i="103"/>
  <c r="I82" i="102"/>
  <c r="G82" i="102"/>
  <c r="J82" i="102"/>
  <c r="Z30" i="2"/>
  <c r="AA30" i="2"/>
  <c r="H30" i="2"/>
  <c r="I30" i="2"/>
  <c r="AC30" i="2"/>
  <c r="AD30" i="2"/>
  <c r="K30" i="2"/>
  <c r="L30" i="2"/>
  <c r="Q30" i="2"/>
  <c r="R30" i="2"/>
  <c r="K36" i="3"/>
  <c r="D36" i="3"/>
  <c r="L36" i="3"/>
  <c r="O36" i="3"/>
  <c r="P36" i="3"/>
  <c r="R36" i="3"/>
  <c r="T30" i="2"/>
  <c r="U30" i="2"/>
  <c r="AI30" i="2"/>
  <c r="AJ30" i="2"/>
  <c r="AL30" i="2"/>
  <c r="AM30" i="2"/>
  <c r="AO30" i="2"/>
  <c r="AP30" i="2"/>
  <c r="AR30" i="2"/>
  <c r="AS30" i="2"/>
  <c r="AU30" i="2"/>
  <c r="AV30" i="2"/>
  <c r="X30" i="2"/>
  <c r="I71" i="102"/>
  <c r="I72" i="102"/>
  <c r="I81" i="102"/>
  <c r="G81" i="102"/>
  <c r="J81" i="102"/>
  <c r="I80" i="102"/>
  <c r="G80" i="102"/>
  <c r="J80" i="102"/>
  <c r="I79" i="102"/>
  <c r="G79" i="102"/>
  <c r="J79" i="102"/>
  <c r="C25" i="102"/>
  <c r="C26" i="102"/>
  <c r="C27" i="102"/>
  <c r="C28" i="102"/>
  <c r="C29" i="102"/>
  <c r="C30" i="102"/>
  <c r="C31" i="102"/>
  <c r="C35" i="102"/>
  <c r="C36" i="102"/>
  <c r="C37" i="102"/>
  <c r="C38" i="102"/>
  <c r="C39" i="102"/>
  <c r="C40" i="102"/>
  <c r="C41" i="102"/>
  <c r="A76" i="102"/>
  <c r="A75" i="102"/>
  <c r="A74" i="102"/>
  <c r="J73" i="102"/>
  <c r="A73" i="102"/>
  <c r="J72" i="102"/>
  <c r="A72" i="102"/>
  <c r="J71" i="102"/>
  <c r="A71" i="102"/>
  <c r="J70" i="102"/>
  <c r="A70" i="102"/>
  <c r="J69" i="102"/>
  <c r="A69" i="102"/>
  <c r="J68" i="102"/>
  <c r="A68" i="102"/>
  <c r="J67" i="102"/>
  <c r="A67" i="102"/>
  <c r="J66" i="102"/>
  <c r="A66" i="102"/>
  <c r="J65" i="102"/>
  <c r="A65" i="102"/>
  <c r="J64" i="102"/>
  <c r="A64" i="102"/>
  <c r="J63" i="102"/>
  <c r="A63" i="102"/>
  <c r="J62" i="102"/>
  <c r="A62" i="102"/>
  <c r="J61" i="102"/>
  <c r="A61" i="102"/>
  <c r="J60" i="102"/>
  <c r="A60" i="102"/>
  <c r="J59" i="102"/>
  <c r="A59" i="102"/>
  <c r="J58" i="102"/>
  <c r="A58" i="102"/>
  <c r="J57" i="102"/>
  <c r="A57" i="102"/>
  <c r="J56" i="102"/>
  <c r="A56" i="102"/>
  <c r="J55" i="102"/>
  <c r="A55" i="102"/>
  <c r="J54" i="102"/>
  <c r="A54" i="102"/>
  <c r="J53" i="102"/>
  <c r="A53" i="102"/>
  <c r="J52" i="102"/>
  <c r="A52" i="102"/>
  <c r="J51" i="102"/>
  <c r="A51" i="102"/>
  <c r="J50" i="102"/>
  <c r="A50" i="102"/>
  <c r="I49" i="102"/>
  <c r="J49" i="102"/>
  <c r="A49" i="102"/>
  <c r="I48" i="102"/>
  <c r="J48" i="102"/>
  <c r="A48" i="102"/>
  <c r="I47" i="102"/>
  <c r="J47" i="102"/>
  <c r="A47" i="102"/>
  <c r="J46" i="102"/>
  <c r="I46" i="102"/>
  <c r="G46" i="102"/>
  <c r="A46" i="102"/>
  <c r="I45" i="102"/>
  <c r="G45" i="102"/>
  <c r="A45" i="102"/>
  <c r="A44" i="102"/>
  <c r="A43" i="102"/>
  <c r="D42" i="102"/>
  <c r="I42" i="102"/>
  <c r="J42" i="102"/>
  <c r="K42" i="102"/>
  <c r="E42" i="102"/>
  <c r="F42" i="102"/>
  <c r="G42" i="102"/>
  <c r="M42" i="102"/>
  <c r="N42" i="102"/>
  <c r="A42" i="102"/>
  <c r="D41" i="102"/>
  <c r="I41" i="102"/>
  <c r="J41" i="102"/>
  <c r="K41" i="102"/>
  <c r="E41" i="102"/>
  <c r="F41" i="102"/>
  <c r="G41" i="102"/>
  <c r="M41" i="102"/>
  <c r="N41" i="102"/>
  <c r="A41" i="102"/>
  <c r="D40" i="102"/>
  <c r="I40" i="102"/>
  <c r="J40" i="102"/>
  <c r="K40" i="102"/>
  <c r="E40" i="102"/>
  <c r="F40" i="102"/>
  <c r="G40" i="102"/>
  <c r="M40" i="102"/>
  <c r="N40" i="102"/>
  <c r="A40" i="102"/>
  <c r="D39" i="102"/>
  <c r="I39" i="102"/>
  <c r="J39" i="102"/>
  <c r="K39" i="102"/>
  <c r="E39" i="102"/>
  <c r="F39" i="102"/>
  <c r="G39" i="102"/>
  <c r="M39" i="102"/>
  <c r="N39" i="102"/>
  <c r="A39" i="102"/>
  <c r="D38" i="102"/>
  <c r="I38" i="102"/>
  <c r="J38" i="102"/>
  <c r="K38" i="102"/>
  <c r="E38" i="102"/>
  <c r="F38" i="102"/>
  <c r="G38" i="102"/>
  <c r="M38" i="102"/>
  <c r="N38" i="102"/>
  <c r="A38" i="102"/>
  <c r="D37" i="102"/>
  <c r="I37" i="102"/>
  <c r="J37" i="102"/>
  <c r="K37" i="102"/>
  <c r="E37" i="102"/>
  <c r="F37" i="102"/>
  <c r="G37" i="102"/>
  <c r="M37" i="102"/>
  <c r="N37" i="102"/>
  <c r="A37" i="102"/>
  <c r="D36" i="102"/>
  <c r="I36" i="102"/>
  <c r="J36" i="102"/>
  <c r="K36" i="102"/>
  <c r="E36" i="102"/>
  <c r="F36" i="102"/>
  <c r="G36" i="102"/>
  <c r="M36" i="102"/>
  <c r="N36" i="102"/>
  <c r="A36" i="102"/>
  <c r="D35" i="102"/>
  <c r="I35" i="102"/>
  <c r="J35" i="102"/>
  <c r="K35" i="102"/>
  <c r="E35" i="102"/>
  <c r="F35" i="102"/>
  <c r="G35" i="102"/>
  <c r="M35" i="102"/>
  <c r="N35" i="102"/>
  <c r="A35" i="102"/>
  <c r="A34" i="102"/>
  <c r="A33" i="102"/>
  <c r="D32" i="102"/>
  <c r="I32" i="102"/>
  <c r="J32" i="102"/>
  <c r="K32" i="102"/>
  <c r="E32" i="102"/>
  <c r="F32" i="102"/>
  <c r="G32" i="102"/>
  <c r="M32" i="102"/>
  <c r="N32" i="102"/>
  <c r="A32" i="102"/>
  <c r="D31" i="102"/>
  <c r="I31" i="102"/>
  <c r="J31" i="102"/>
  <c r="K31" i="102"/>
  <c r="E31" i="102"/>
  <c r="F31" i="102"/>
  <c r="G31" i="102"/>
  <c r="M31" i="102"/>
  <c r="N31" i="102"/>
  <c r="A31" i="102"/>
  <c r="D30" i="102"/>
  <c r="I30" i="102"/>
  <c r="J30" i="102"/>
  <c r="K30" i="102"/>
  <c r="E30" i="102"/>
  <c r="F30" i="102"/>
  <c r="G30" i="102"/>
  <c r="M30" i="102"/>
  <c r="N30" i="102"/>
  <c r="A30" i="102"/>
  <c r="D29" i="102"/>
  <c r="I29" i="102"/>
  <c r="J29" i="102"/>
  <c r="K29" i="102"/>
  <c r="E29" i="102"/>
  <c r="F29" i="102"/>
  <c r="G29" i="102"/>
  <c r="M29" i="102"/>
  <c r="N29" i="102"/>
  <c r="A29" i="102"/>
  <c r="D28" i="102"/>
  <c r="I28" i="102"/>
  <c r="J28" i="102"/>
  <c r="K28" i="102"/>
  <c r="E28" i="102"/>
  <c r="F28" i="102"/>
  <c r="G28" i="102"/>
  <c r="M28" i="102"/>
  <c r="N28" i="102"/>
  <c r="A28" i="102"/>
  <c r="D27" i="102"/>
  <c r="I27" i="102"/>
  <c r="J27" i="102"/>
  <c r="K27" i="102"/>
  <c r="E27" i="102"/>
  <c r="F27" i="102"/>
  <c r="G27" i="102"/>
  <c r="M27" i="102"/>
  <c r="N27" i="102"/>
  <c r="A27" i="102"/>
  <c r="D26" i="102"/>
  <c r="I26" i="102"/>
  <c r="J26" i="102"/>
  <c r="K26" i="102"/>
  <c r="E26" i="102"/>
  <c r="F26" i="102"/>
  <c r="G26" i="102"/>
  <c r="M26" i="102"/>
  <c r="N26" i="102"/>
  <c r="A26" i="102"/>
  <c r="D25" i="102"/>
  <c r="I25" i="102"/>
  <c r="J25" i="102"/>
  <c r="K25" i="102"/>
  <c r="E25" i="102"/>
  <c r="F25" i="102"/>
  <c r="G25" i="102"/>
  <c r="M25" i="102"/>
  <c r="N25" i="102"/>
  <c r="A25" i="102"/>
  <c r="A24" i="102"/>
  <c r="A23" i="102"/>
  <c r="D22" i="102"/>
  <c r="I22" i="102"/>
  <c r="J22" i="102"/>
  <c r="K22" i="102"/>
  <c r="E22" i="102"/>
  <c r="F22" i="102"/>
  <c r="G22" i="102"/>
  <c r="M22" i="102"/>
  <c r="N22" i="102"/>
  <c r="A22" i="102"/>
  <c r="D21" i="102"/>
  <c r="I21" i="102"/>
  <c r="J21" i="102"/>
  <c r="K21" i="102"/>
  <c r="E21" i="102"/>
  <c r="F21" i="102"/>
  <c r="G21" i="102"/>
  <c r="M21" i="102"/>
  <c r="N21" i="102"/>
  <c r="A21" i="102"/>
  <c r="D20" i="102"/>
  <c r="I20" i="102"/>
  <c r="J20" i="102"/>
  <c r="K20" i="102"/>
  <c r="E20" i="102"/>
  <c r="F20" i="102"/>
  <c r="G20" i="102"/>
  <c r="M20" i="102"/>
  <c r="N20" i="102"/>
  <c r="A20" i="102"/>
  <c r="D19" i="102"/>
  <c r="I19" i="102"/>
  <c r="J19" i="102"/>
  <c r="K19" i="102"/>
  <c r="E19" i="102"/>
  <c r="F19" i="102"/>
  <c r="G19" i="102"/>
  <c r="M19" i="102"/>
  <c r="N19" i="102"/>
  <c r="A19" i="102"/>
  <c r="D18" i="102"/>
  <c r="I18" i="102"/>
  <c r="J18" i="102"/>
  <c r="K18" i="102"/>
  <c r="E18" i="102"/>
  <c r="F18" i="102"/>
  <c r="G18" i="102"/>
  <c r="M18" i="102"/>
  <c r="N18" i="102"/>
  <c r="A18" i="102"/>
  <c r="D17" i="102"/>
  <c r="I17" i="102"/>
  <c r="J17" i="102"/>
  <c r="K17" i="102"/>
  <c r="E17" i="102"/>
  <c r="F17" i="102"/>
  <c r="G17" i="102"/>
  <c r="M17" i="102"/>
  <c r="N17" i="102"/>
  <c r="A17" i="102"/>
  <c r="D16" i="102"/>
  <c r="I16" i="102"/>
  <c r="J16" i="102"/>
  <c r="K16" i="102"/>
  <c r="E16" i="102"/>
  <c r="F16" i="102"/>
  <c r="G16" i="102"/>
  <c r="M16" i="102"/>
  <c r="N16" i="102"/>
  <c r="A16" i="102"/>
  <c r="D15" i="102"/>
  <c r="I15" i="102"/>
  <c r="J15" i="102"/>
  <c r="K15" i="102"/>
  <c r="E15" i="102"/>
  <c r="F15" i="102"/>
  <c r="G15" i="102"/>
  <c r="M15" i="102"/>
  <c r="N15" i="102"/>
  <c r="A15" i="102"/>
  <c r="A14" i="102"/>
  <c r="A13" i="102"/>
  <c r="N12" i="102"/>
  <c r="M12" i="102"/>
  <c r="K12" i="102"/>
  <c r="J12" i="102"/>
  <c r="I12" i="102"/>
  <c r="G12" i="102"/>
  <c r="F12" i="102"/>
  <c r="E12" i="102"/>
  <c r="A12" i="102"/>
  <c r="M11" i="102"/>
  <c r="I11" i="102"/>
  <c r="E11" i="102"/>
  <c r="A11" i="102"/>
  <c r="A6" i="102"/>
  <c r="A5" i="102"/>
  <c r="A4" i="102"/>
  <c r="I79" i="101"/>
  <c r="G79" i="101"/>
  <c r="J79" i="101"/>
  <c r="Z29" i="2"/>
  <c r="AA29" i="2"/>
  <c r="H29" i="2"/>
  <c r="I29" i="2"/>
  <c r="AC29" i="2"/>
  <c r="AD29" i="2"/>
  <c r="K29" i="2"/>
  <c r="L29" i="2"/>
  <c r="Q29" i="2"/>
  <c r="R29" i="2"/>
  <c r="K35" i="3"/>
  <c r="D35" i="3"/>
  <c r="L35" i="3"/>
  <c r="O35" i="3"/>
  <c r="P35" i="3"/>
  <c r="R35" i="3"/>
  <c r="T29" i="2"/>
  <c r="U29" i="2"/>
  <c r="AI29" i="2"/>
  <c r="AJ29" i="2"/>
  <c r="AL29" i="2"/>
  <c r="AM29" i="2"/>
  <c r="AO29" i="2"/>
  <c r="AP29" i="2"/>
  <c r="AR29" i="2"/>
  <c r="AS29" i="2"/>
  <c r="AU29" i="2"/>
  <c r="AV29" i="2"/>
  <c r="X29" i="2"/>
  <c r="I67" i="101"/>
  <c r="I68" i="101"/>
  <c r="I78" i="101"/>
  <c r="G78" i="101"/>
  <c r="J78" i="101"/>
  <c r="I77" i="101"/>
  <c r="G77" i="101"/>
  <c r="J77" i="101"/>
  <c r="I76" i="101"/>
  <c r="G76" i="101"/>
  <c r="J76" i="101"/>
  <c r="C76" i="101"/>
  <c r="I75" i="101"/>
  <c r="G75" i="101"/>
  <c r="J75" i="101"/>
  <c r="C75" i="101"/>
  <c r="C11" i="101"/>
  <c r="C12" i="101"/>
  <c r="C14" i="101"/>
  <c r="C15" i="101"/>
  <c r="C16" i="101"/>
  <c r="C17" i="101"/>
  <c r="C18" i="101"/>
  <c r="C19" i="101"/>
  <c r="C20" i="101"/>
  <c r="C23" i="101"/>
  <c r="C24" i="100"/>
  <c r="C24" i="101"/>
  <c r="C25" i="100"/>
  <c r="C25" i="101"/>
  <c r="C26" i="100"/>
  <c r="C26" i="101"/>
  <c r="C27" i="100"/>
  <c r="C27" i="101"/>
  <c r="C28" i="100"/>
  <c r="C28" i="101"/>
  <c r="C29" i="100"/>
  <c r="C29" i="101"/>
  <c r="C32" i="101"/>
  <c r="C33" i="100"/>
  <c r="C33" i="101"/>
  <c r="C34" i="100"/>
  <c r="C34" i="101"/>
  <c r="C35" i="100"/>
  <c r="C35" i="101"/>
  <c r="C36" i="100"/>
  <c r="C36" i="101"/>
  <c r="C37" i="100"/>
  <c r="C37" i="101"/>
  <c r="C38" i="100"/>
  <c r="C38" i="101"/>
  <c r="C44" i="101"/>
  <c r="C45" i="101"/>
  <c r="C46" i="101"/>
  <c r="C47" i="101"/>
  <c r="C48" i="101"/>
  <c r="C49" i="101"/>
  <c r="A72" i="101"/>
  <c r="A71" i="101"/>
  <c r="A70" i="101"/>
  <c r="J69" i="101"/>
  <c r="A69" i="101"/>
  <c r="J68" i="101"/>
  <c r="A68" i="101"/>
  <c r="J67" i="101"/>
  <c r="A67" i="101"/>
  <c r="J66" i="101"/>
  <c r="A66" i="101"/>
  <c r="J65" i="101"/>
  <c r="A65" i="101"/>
  <c r="J64" i="101"/>
  <c r="A64" i="101"/>
  <c r="J63" i="101"/>
  <c r="A63" i="101"/>
  <c r="J62" i="101"/>
  <c r="A62" i="101"/>
  <c r="J61" i="101"/>
  <c r="A61" i="101"/>
  <c r="J60" i="101"/>
  <c r="A60" i="101"/>
  <c r="J59" i="101"/>
  <c r="A59" i="101"/>
  <c r="J58" i="101"/>
  <c r="A58" i="101"/>
  <c r="J57" i="101"/>
  <c r="A57" i="101"/>
  <c r="J56" i="101"/>
  <c r="A56" i="101"/>
  <c r="J55" i="101"/>
  <c r="A55" i="101"/>
  <c r="J54" i="101"/>
  <c r="A54" i="101"/>
  <c r="J53" i="101"/>
  <c r="A53" i="101"/>
  <c r="J52" i="101"/>
  <c r="A52" i="101"/>
  <c r="J51" i="101"/>
  <c r="A51" i="101"/>
  <c r="J50" i="101"/>
  <c r="A50" i="101"/>
  <c r="J49" i="101"/>
  <c r="A49" i="101"/>
  <c r="J48" i="101"/>
  <c r="A48" i="101"/>
  <c r="J47" i="101"/>
  <c r="A47" i="101"/>
  <c r="J46" i="101"/>
  <c r="A46" i="101"/>
  <c r="J45" i="101"/>
  <c r="A45" i="101"/>
  <c r="I44" i="101"/>
  <c r="J44" i="101"/>
  <c r="A44" i="101"/>
  <c r="J43" i="101"/>
  <c r="I43" i="101"/>
  <c r="G43" i="101"/>
  <c r="A43" i="101"/>
  <c r="I42" i="101"/>
  <c r="G42" i="101"/>
  <c r="A42" i="101"/>
  <c r="A41" i="101"/>
  <c r="A40" i="101"/>
  <c r="D39" i="101"/>
  <c r="I39" i="101"/>
  <c r="J39" i="101"/>
  <c r="K39" i="101"/>
  <c r="AF39" i="101"/>
  <c r="E39" i="101"/>
  <c r="F39" i="101"/>
  <c r="G39" i="101"/>
  <c r="M39" i="101"/>
  <c r="N39" i="101"/>
  <c r="A39" i="101"/>
  <c r="D38" i="101"/>
  <c r="I38" i="101"/>
  <c r="J38" i="101"/>
  <c r="K38" i="101"/>
  <c r="AF38" i="101"/>
  <c r="E38" i="101"/>
  <c r="F38" i="101"/>
  <c r="G38" i="101"/>
  <c r="M38" i="101"/>
  <c r="N38" i="101"/>
  <c r="A38" i="101"/>
  <c r="D37" i="101"/>
  <c r="I37" i="101"/>
  <c r="J37" i="101"/>
  <c r="K37" i="101"/>
  <c r="AF37" i="101"/>
  <c r="E37" i="101"/>
  <c r="F37" i="101"/>
  <c r="G37" i="101"/>
  <c r="M37" i="101"/>
  <c r="N37" i="101"/>
  <c r="A37" i="101"/>
  <c r="D36" i="101"/>
  <c r="I36" i="101"/>
  <c r="J36" i="101"/>
  <c r="K36" i="101"/>
  <c r="AF36" i="101"/>
  <c r="E36" i="101"/>
  <c r="F36" i="101"/>
  <c r="G36" i="101"/>
  <c r="M36" i="101"/>
  <c r="N36" i="101"/>
  <c r="A36" i="101"/>
  <c r="D35" i="101"/>
  <c r="I35" i="101"/>
  <c r="J35" i="101"/>
  <c r="K35" i="101"/>
  <c r="AF35" i="101"/>
  <c r="E35" i="101"/>
  <c r="F35" i="101"/>
  <c r="G35" i="101"/>
  <c r="M35" i="101"/>
  <c r="N35" i="101"/>
  <c r="A35" i="101"/>
  <c r="D34" i="101"/>
  <c r="I34" i="101"/>
  <c r="J34" i="101"/>
  <c r="K34" i="101"/>
  <c r="AF34" i="101"/>
  <c r="E34" i="101"/>
  <c r="F34" i="101"/>
  <c r="G34" i="101"/>
  <c r="M34" i="101"/>
  <c r="N34" i="101"/>
  <c r="A34" i="101"/>
  <c r="D33" i="101"/>
  <c r="I33" i="101"/>
  <c r="J33" i="101"/>
  <c r="K33" i="101"/>
  <c r="AF33" i="101"/>
  <c r="E33" i="101"/>
  <c r="F33" i="101"/>
  <c r="G33" i="101"/>
  <c r="M33" i="101"/>
  <c r="N33" i="101"/>
  <c r="A33" i="101"/>
  <c r="A32" i="101"/>
  <c r="A31" i="101"/>
  <c r="D30" i="101"/>
  <c r="I30" i="101"/>
  <c r="J30" i="101"/>
  <c r="K30" i="101"/>
  <c r="AF30" i="101"/>
  <c r="E30" i="101"/>
  <c r="F30" i="101"/>
  <c r="G30" i="101"/>
  <c r="M30" i="101"/>
  <c r="N30" i="101"/>
  <c r="A30" i="101"/>
  <c r="D29" i="101"/>
  <c r="I29" i="101"/>
  <c r="J29" i="101"/>
  <c r="K29" i="101"/>
  <c r="AF29" i="101"/>
  <c r="E29" i="101"/>
  <c r="F29" i="101"/>
  <c r="G29" i="101"/>
  <c r="M29" i="101"/>
  <c r="N29" i="101"/>
  <c r="A29" i="101"/>
  <c r="D28" i="101"/>
  <c r="I28" i="101"/>
  <c r="J28" i="101"/>
  <c r="K28" i="101"/>
  <c r="AF28" i="101"/>
  <c r="E28" i="101"/>
  <c r="F28" i="101"/>
  <c r="G28" i="101"/>
  <c r="M28" i="101"/>
  <c r="N28" i="101"/>
  <c r="A28" i="101"/>
  <c r="D27" i="101"/>
  <c r="I27" i="101"/>
  <c r="J27" i="101"/>
  <c r="K27" i="101"/>
  <c r="AF27" i="101"/>
  <c r="E27" i="101"/>
  <c r="F27" i="101"/>
  <c r="G27" i="101"/>
  <c r="M27" i="101"/>
  <c r="N27" i="101"/>
  <c r="A27" i="101"/>
  <c r="D26" i="101"/>
  <c r="I26" i="101"/>
  <c r="J26" i="101"/>
  <c r="K26" i="101"/>
  <c r="AF26" i="101"/>
  <c r="E26" i="101"/>
  <c r="F26" i="101"/>
  <c r="G26" i="101"/>
  <c r="M26" i="101"/>
  <c r="N26" i="101"/>
  <c r="A26" i="101"/>
  <c r="D25" i="101"/>
  <c r="I25" i="101"/>
  <c r="J25" i="101"/>
  <c r="K25" i="101"/>
  <c r="AF25" i="101"/>
  <c r="E25" i="101"/>
  <c r="F25" i="101"/>
  <c r="G25" i="101"/>
  <c r="M25" i="101"/>
  <c r="N25" i="101"/>
  <c r="A25" i="101"/>
  <c r="D24" i="101"/>
  <c r="I24" i="101"/>
  <c r="J24" i="101"/>
  <c r="K24" i="101"/>
  <c r="AF24" i="101"/>
  <c r="E24" i="101"/>
  <c r="F24" i="101"/>
  <c r="G24" i="101"/>
  <c r="M24" i="101"/>
  <c r="N24" i="101"/>
  <c r="A24" i="101"/>
  <c r="A23" i="101"/>
  <c r="A22" i="101"/>
  <c r="D21" i="101"/>
  <c r="I21" i="101"/>
  <c r="J21" i="101"/>
  <c r="K21" i="101"/>
  <c r="AF21" i="101"/>
  <c r="E21" i="101"/>
  <c r="F21" i="101"/>
  <c r="G21" i="101"/>
  <c r="M21" i="101"/>
  <c r="N21" i="101"/>
  <c r="A21" i="101"/>
  <c r="D20" i="101"/>
  <c r="I20" i="101"/>
  <c r="J20" i="101"/>
  <c r="K20" i="101"/>
  <c r="AF20" i="101"/>
  <c r="E20" i="101"/>
  <c r="F20" i="101"/>
  <c r="G20" i="101"/>
  <c r="M20" i="101"/>
  <c r="N20" i="101"/>
  <c r="A20" i="101"/>
  <c r="D19" i="101"/>
  <c r="I19" i="101"/>
  <c r="J19" i="101"/>
  <c r="K19" i="101"/>
  <c r="AF19" i="101"/>
  <c r="E19" i="101"/>
  <c r="F19" i="101"/>
  <c r="G19" i="101"/>
  <c r="M19" i="101"/>
  <c r="N19" i="101"/>
  <c r="A19" i="101"/>
  <c r="D18" i="101"/>
  <c r="I18" i="101"/>
  <c r="J18" i="101"/>
  <c r="K18" i="101"/>
  <c r="AF18" i="101"/>
  <c r="E18" i="101"/>
  <c r="F18" i="101"/>
  <c r="G18" i="101"/>
  <c r="M18" i="101"/>
  <c r="N18" i="101"/>
  <c r="A18" i="101"/>
  <c r="D17" i="101"/>
  <c r="I17" i="101"/>
  <c r="J17" i="101"/>
  <c r="K17" i="101"/>
  <c r="AF17" i="101"/>
  <c r="E17" i="101"/>
  <c r="F17" i="101"/>
  <c r="G17" i="101"/>
  <c r="M17" i="101"/>
  <c r="N17" i="101"/>
  <c r="A17" i="101"/>
  <c r="D16" i="101"/>
  <c r="I16" i="101"/>
  <c r="J16" i="101"/>
  <c r="K16" i="101"/>
  <c r="AF16" i="101"/>
  <c r="E16" i="101"/>
  <c r="F16" i="101"/>
  <c r="G16" i="101"/>
  <c r="M16" i="101"/>
  <c r="N16" i="101"/>
  <c r="A16" i="101"/>
  <c r="D15" i="101"/>
  <c r="I15" i="101"/>
  <c r="J15" i="101"/>
  <c r="K15" i="101"/>
  <c r="AF15" i="101"/>
  <c r="E15" i="101"/>
  <c r="F15" i="101"/>
  <c r="G15" i="101"/>
  <c r="M15" i="101"/>
  <c r="N15" i="101"/>
  <c r="A15" i="101"/>
  <c r="A14" i="101"/>
  <c r="A13" i="101"/>
  <c r="N12" i="101"/>
  <c r="M12" i="101"/>
  <c r="K12" i="101"/>
  <c r="J12" i="101"/>
  <c r="I12" i="101"/>
  <c r="G12" i="101"/>
  <c r="F12" i="101"/>
  <c r="E12" i="101"/>
  <c r="D12" i="101"/>
  <c r="A12" i="101"/>
  <c r="M11" i="101"/>
  <c r="I11" i="101"/>
  <c r="E11" i="101"/>
  <c r="D11" i="101"/>
  <c r="A11" i="101"/>
  <c r="A6" i="101"/>
  <c r="A5" i="101"/>
  <c r="A4" i="101"/>
  <c r="I74" i="100"/>
  <c r="G74" i="100"/>
  <c r="J74" i="100"/>
  <c r="C74" i="100"/>
  <c r="I66" i="100"/>
  <c r="I67" i="100"/>
  <c r="I73" i="100"/>
  <c r="G73" i="100"/>
  <c r="J73" i="100"/>
  <c r="C53" i="80"/>
  <c r="C49" i="96"/>
  <c r="C73" i="100"/>
  <c r="I72" i="100"/>
  <c r="G72" i="100"/>
  <c r="J72" i="100"/>
  <c r="I71" i="100"/>
  <c r="G71" i="100"/>
  <c r="J71" i="100"/>
  <c r="J68" i="100"/>
  <c r="C68" i="100"/>
  <c r="C11" i="100"/>
  <c r="C12" i="100"/>
  <c r="C30" i="80"/>
  <c r="C26" i="96"/>
  <c r="C47" i="97"/>
  <c r="C44" i="98"/>
  <c r="C48" i="100"/>
  <c r="C49" i="100"/>
  <c r="C50" i="100"/>
  <c r="C51" i="100"/>
  <c r="C52" i="100"/>
  <c r="C53" i="100"/>
  <c r="C54" i="100"/>
  <c r="C55" i="100"/>
  <c r="C56" i="100"/>
  <c r="C57" i="100"/>
  <c r="C58" i="100"/>
  <c r="C59" i="100"/>
  <c r="C60" i="100"/>
  <c r="C61" i="100"/>
  <c r="C62" i="100"/>
  <c r="C63" i="100"/>
  <c r="C64" i="100"/>
  <c r="C65" i="100"/>
  <c r="C66" i="100"/>
  <c r="C67" i="100"/>
  <c r="A68" i="100"/>
  <c r="J67" i="100"/>
  <c r="A67" i="100"/>
  <c r="J66" i="100"/>
  <c r="A66" i="100"/>
  <c r="J65" i="100"/>
  <c r="A65" i="100"/>
  <c r="J64" i="100"/>
  <c r="A64" i="100"/>
  <c r="J63" i="100"/>
  <c r="A63" i="100"/>
  <c r="J62" i="100"/>
  <c r="A62" i="100"/>
  <c r="J61" i="100"/>
  <c r="A61" i="100"/>
  <c r="J60" i="100"/>
  <c r="A60" i="100"/>
  <c r="J59" i="100"/>
  <c r="A59" i="100"/>
  <c r="J58" i="100"/>
  <c r="A58" i="100"/>
  <c r="J57" i="100"/>
  <c r="A57" i="100"/>
  <c r="J56" i="100"/>
  <c r="A56" i="100"/>
  <c r="J55" i="100"/>
  <c r="A55" i="100"/>
  <c r="J54" i="100"/>
  <c r="A54" i="100"/>
  <c r="J53" i="100"/>
  <c r="A53" i="100"/>
  <c r="J52" i="100"/>
  <c r="A52" i="100"/>
  <c r="J51" i="100"/>
  <c r="A51" i="100"/>
  <c r="J50" i="100"/>
  <c r="A50" i="100"/>
  <c r="J49" i="100"/>
  <c r="A49" i="100"/>
  <c r="J48" i="100"/>
  <c r="A48" i="100"/>
  <c r="J47" i="100"/>
  <c r="A47" i="100"/>
  <c r="J46" i="100"/>
  <c r="A46" i="100"/>
  <c r="J45" i="100"/>
  <c r="A45" i="100"/>
  <c r="I44" i="100"/>
  <c r="J44" i="100"/>
  <c r="A44" i="100"/>
  <c r="J43" i="100"/>
  <c r="I43" i="100"/>
  <c r="G43" i="100"/>
  <c r="A43" i="100"/>
  <c r="I42" i="100"/>
  <c r="G42" i="100"/>
  <c r="A42" i="100"/>
  <c r="A41" i="100"/>
  <c r="A40" i="100"/>
  <c r="D39" i="100"/>
  <c r="I39" i="100"/>
  <c r="J39" i="100"/>
  <c r="K39" i="100"/>
  <c r="E39" i="100"/>
  <c r="F39" i="100"/>
  <c r="G39" i="100"/>
  <c r="M39" i="100"/>
  <c r="N39" i="100"/>
  <c r="A39" i="100"/>
  <c r="D38" i="100"/>
  <c r="I38" i="100"/>
  <c r="J38" i="100"/>
  <c r="K38" i="100"/>
  <c r="E38" i="100"/>
  <c r="F38" i="100"/>
  <c r="G38" i="100"/>
  <c r="M38" i="100"/>
  <c r="N38" i="100"/>
  <c r="A38" i="100"/>
  <c r="D37" i="100"/>
  <c r="I37" i="100"/>
  <c r="J37" i="100"/>
  <c r="K37" i="100"/>
  <c r="E37" i="100"/>
  <c r="F37" i="100"/>
  <c r="G37" i="100"/>
  <c r="M37" i="100"/>
  <c r="N37" i="100"/>
  <c r="A37" i="100"/>
  <c r="D36" i="100"/>
  <c r="I36" i="100"/>
  <c r="J36" i="100"/>
  <c r="K36" i="100"/>
  <c r="E36" i="100"/>
  <c r="F36" i="100"/>
  <c r="G36" i="100"/>
  <c r="M36" i="100"/>
  <c r="N36" i="100"/>
  <c r="A36" i="100"/>
  <c r="D35" i="100"/>
  <c r="I35" i="100"/>
  <c r="J35" i="100"/>
  <c r="K35" i="100"/>
  <c r="E35" i="100"/>
  <c r="F35" i="100"/>
  <c r="G35" i="100"/>
  <c r="M35" i="100"/>
  <c r="N35" i="100"/>
  <c r="A35" i="100"/>
  <c r="D34" i="100"/>
  <c r="I34" i="100"/>
  <c r="J34" i="100"/>
  <c r="K34" i="100"/>
  <c r="E34" i="100"/>
  <c r="F34" i="100"/>
  <c r="G34" i="100"/>
  <c r="M34" i="100"/>
  <c r="N34" i="100"/>
  <c r="A34" i="100"/>
  <c r="D33" i="100"/>
  <c r="I33" i="100"/>
  <c r="J33" i="100"/>
  <c r="K33" i="100"/>
  <c r="E33" i="100"/>
  <c r="F33" i="100"/>
  <c r="G33" i="100"/>
  <c r="M33" i="100"/>
  <c r="N33" i="100"/>
  <c r="A33" i="100"/>
  <c r="A32" i="100"/>
  <c r="A31" i="100"/>
  <c r="D30" i="100"/>
  <c r="I30" i="100"/>
  <c r="J30" i="100"/>
  <c r="K30" i="100"/>
  <c r="E30" i="100"/>
  <c r="F30" i="100"/>
  <c r="G30" i="100"/>
  <c r="M30" i="100"/>
  <c r="N30" i="100"/>
  <c r="A30" i="100"/>
  <c r="D29" i="100"/>
  <c r="I29" i="100"/>
  <c r="J29" i="100"/>
  <c r="K29" i="100"/>
  <c r="E29" i="100"/>
  <c r="F29" i="100"/>
  <c r="G29" i="100"/>
  <c r="M29" i="100"/>
  <c r="N29" i="100"/>
  <c r="A29" i="100"/>
  <c r="D28" i="100"/>
  <c r="I28" i="100"/>
  <c r="J28" i="100"/>
  <c r="K28" i="100"/>
  <c r="E28" i="100"/>
  <c r="F28" i="100"/>
  <c r="G28" i="100"/>
  <c r="M28" i="100"/>
  <c r="N28" i="100"/>
  <c r="A28" i="100"/>
  <c r="D27" i="100"/>
  <c r="I27" i="100"/>
  <c r="J27" i="100"/>
  <c r="K27" i="100"/>
  <c r="E27" i="100"/>
  <c r="F27" i="100"/>
  <c r="G27" i="100"/>
  <c r="M27" i="100"/>
  <c r="N27" i="100"/>
  <c r="A27" i="100"/>
  <c r="D26" i="100"/>
  <c r="I26" i="100"/>
  <c r="J26" i="100"/>
  <c r="K26" i="100"/>
  <c r="E26" i="100"/>
  <c r="F26" i="100"/>
  <c r="G26" i="100"/>
  <c r="M26" i="100"/>
  <c r="N26" i="100"/>
  <c r="A26" i="100"/>
  <c r="D25" i="100"/>
  <c r="I25" i="100"/>
  <c r="J25" i="100"/>
  <c r="K25" i="100"/>
  <c r="E25" i="100"/>
  <c r="F25" i="100"/>
  <c r="G25" i="100"/>
  <c r="M25" i="100"/>
  <c r="N25" i="100"/>
  <c r="A25" i="100"/>
  <c r="D24" i="100"/>
  <c r="I24" i="100"/>
  <c r="J24" i="100"/>
  <c r="K24" i="100"/>
  <c r="E24" i="100"/>
  <c r="F24" i="100"/>
  <c r="G24" i="100"/>
  <c r="M24" i="100"/>
  <c r="N24" i="100"/>
  <c r="A24" i="100"/>
  <c r="A23" i="100"/>
  <c r="A22" i="100"/>
  <c r="D21" i="100"/>
  <c r="I21" i="100"/>
  <c r="J21" i="100"/>
  <c r="K21" i="100"/>
  <c r="E21" i="100"/>
  <c r="F21" i="100"/>
  <c r="G21" i="100"/>
  <c r="M21" i="100"/>
  <c r="N21" i="100"/>
  <c r="A21" i="100"/>
  <c r="D20" i="100"/>
  <c r="I20" i="100"/>
  <c r="J20" i="100"/>
  <c r="K20" i="100"/>
  <c r="E20" i="100"/>
  <c r="F20" i="100"/>
  <c r="G20" i="100"/>
  <c r="M20" i="100"/>
  <c r="N20" i="100"/>
  <c r="A20" i="100"/>
  <c r="D19" i="100"/>
  <c r="I19" i="100"/>
  <c r="J19" i="100"/>
  <c r="K19" i="100"/>
  <c r="E19" i="100"/>
  <c r="F19" i="100"/>
  <c r="G19" i="100"/>
  <c r="M19" i="100"/>
  <c r="N19" i="100"/>
  <c r="A19" i="100"/>
  <c r="D18" i="100"/>
  <c r="I18" i="100"/>
  <c r="J18" i="100"/>
  <c r="K18" i="100"/>
  <c r="E18" i="100"/>
  <c r="F18" i="100"/>
  <c r="G18" i="100"/>
  <c r="M18" i="100"/>
  <c r="N18" i="100"/>
  <c r="A18" i="100"/>
  <c r="D17" i="100"/>
  <c r="I17" i="100"/>
  <c r="J17" i="100"/>
  <c r="K17" i="100"/>
  <c r="E17" i="100"/>
  <c r="F17" i="100"/>
  <c r="G17" i="100"/>
  <c r="M17" i="100"/>
  <c r="N17" i="100"/>
  <c r="A17" i="100"/>
  <c r="D16" i="100"/>
  <c r="I16" i="100"/>
  <c r="J16" i="100"/>
  <c r="K16" i="100"/>
  <c r="E16" i="100"/>
  <c r="F16" i="100"/>
  <c r="G16" i="100"/>
  <c r="M16" i="100"/>
  <c r="N16" i="100"/>
  <c r="A16" i="100"/>
  <c r="D15" i="100"/>
  <c r="I15" i="100"/>
  <c r="J15" i="100"/>
  <c r="K15" i="100"/>
  <c r="E15" i="100"/>
  <c r="F15" i="100"/>
  <c r="G15" i="100"/>
  <c r="M15" i="100"/>
  <c r="N15" i="100"/>
  <c r="A15" i="100"/>
  <c r="A14" i="100"/>
  <c r="A13" i="100"/>
  <c r="N12" i="100"/>
  <c r="M12" i="100"/>
  <c r="K12" i="100"/>
  <c r="J12" i="100"/>
  <c r="I12" i="100"/>
  <c r="G12" i="100"/>
  <c r="F12" i="100"/>
  <c r="E12" i="100"/>
  <c r="D12" i="100"/>
  <c r="A12" i="100"/>
  <c r="M11" i="100"/>
  <c r="I11" i="100"/>
  <c r="E11" i="100"/>
  <c r="D11" i="100"/>
  <c r="A11" i="100"/>
  <c r="A6" i="100"/>
  <c r="A5" i="100"/>
  <c r="A4" i="100"/>
  <c r="I74" i="99"/>
  <c r="G74" i="99"/>
  <c r="J74" i="99"/>
  <c r="Z28" i="2"/>
  <c r="AA28" i="2"/>
  <c r="H28" i="2"/>
  <c r="I28" i="2"/>
  <c r="AC28" i="2"/>
  <c r="AD28" i="2"/>
  <c r="K28" i="2"/>
  <c r="L28" i="2"/>
  <c r="Q28" i="2"/>
  <c r="R28" i="2"/>
  <c r="K34" i="3"/>
  <c r="D34" i="3"/>
  <c r="L34" i="3"/>
  <c r="O34" i="3"/>
  <c r="P34" i="3"/>
  <c r="R34" i="3"/>
  <c r="T28" i="2"/>
  <c r="U28" i="2"/>
  <c r="AI28" i="2"/>
  <c r="AJ28" i="2"/>
  <c r="AL28" i="2"/>
  <c r="AM28" i="2"/>
  <c r="AO28" i="2"/>
  <c r="AP28" i="2"/>
  <c r="AR28" i="2"/>
  <c r="AS28" i="2"/>
  <c r="AU28" i="2"/>
  <c r="AV28" i="2"/>
  <c r="X28" i="2"/>
  <c r="I63" i="99"/>
  <c r="I64" i="99"/>
  <c r="I73" i="99"/>
  <c r="G73" i="99"/>
  <c r="J73" i="99"/>
  <c r="I72" i="99"/>
  <c r="G72" i="99"/>
  <c r="J72" i="99"/>
  <c r="I71" i="99"/>
  <c r="G71" i="99"/>
  <c r="J71" i="99"/>
  <c r="C67" i="98"/>
  <c r="C71" i="99"/>
  <c r="A69" i="99"/>
  <c r="C11" i="99"/>
  <c r="C12" i="99"/>
  <c r="C14" i="99"/>
  <c r="C15" i="99"/>
  <c r="C16" i="99"/>
  <c r="C17" i="99"/>
  <c r="C18" i="99"/>
  <c r="C19" i="99"/>
  <c r="C22" i="99"/>
  <c r="C23" i="98"/>
  <c r="C23" i="99"/>
  <c r="C24" i="98"/>
  <c r="C24" i="99"/>
  <c r="C25" i="98"/>
  <c r="C25" i="99"/>
  <c r="C26" i="98"/>
  <c r="C26" i="99"/>
  <c r="C27" i="98"/>
  <c r="C27" i="99"/>
  <c r="C30" i="99"/>
  <c r="C31" i="98"/>
  <c r="C31" i="99"/>
  <c r="C32" i="98"/>
  <c r="C32" i="99"/>
  <c r="C33" i="98"/>
  <c r="C33" i="99"/>
  <c r="C34" i="98"/>
  <c r="C34" i="99"/>
  <c r="C35" i="98"/>
  <c r="C35" i="99"/>
  <c r="C41" i="99"/>
  <c r="C42" i="98"/>
  <c r="C42" i="99"/>
  <c r="C43" i="98"/>
  <c r="C43" i="99"/>
  <c r="A68" i="99"/>
  <c r="A67" i="99"/>
  <c r="A66" i="99"/>
  <c r="J65" i="99"/>
  <c r="A65" i="99"/>
  <c r="J64" i="99"/>
  <c r="A64" i="99"/>
  <c r="J63" i="99"/>
  <c r="A63" i="99"/>
  <c r="J62" i="99"/>
  <c r="A62" i="99"/>
  <c r="J61" i="99"/>
  <c r="A61" i="99"/>
  <c r="J60" i="99"/>
  <c r="A60" i="99"/>
  <c r="J59" i="99"/>
  <c r="A59" i="99"/>
  <c r="J58" i="99"/>
  <c r="A58" i="99"/>
  <c r="J57" i="99"/>
  <c r="A57" i="99"/>
  <c r="J56" i="99"/>
  <c r="A56" i="99"/>
  <c r="J55" i="99"/>
  <c r="A55" i="99"/>
  <c r="J54" i="99"/>
  <c r="A54" i="99"/>
  <c r="J53" i="99"/>
  <c r="A53" i="99"/>
  <c r="J52" i="99"/>
  <c r="A52" i="99"/>
  <c r="J51" i="99"/>
  <c r="A51" i="99"/>
  <c r="J50" i="99"/>
  <c r="A50" i="99"/>
  <c r="J49" i="99"/>
  <c r="A49" i="99"/>
  <c r="J48" i="99"/>
  <c r="A48" i="99"/>
  <c r="J47" i="99"/>
  <c r="A47" i="99"/>
  <c r="J46" i="99"/>
  <c r="A46" i="99"/>
  <c r="J45" i="99"/>
  <c r="A45" i="99"/>
  <c r="J44" i="99"/>
  <c r="A44" i="99"/>
  <c r="J43" i="99"/>
  <c r="A43" i="99"/>
  <c r="J42" i="99"/>
  <c r="A42" i="99"/>
  <c r="I41" i="99"/>
  <c r="J41" i="99"/>
  <c r="A41" i="99"/>
  <c r="J40" i="99"/>
  <c r="I40" i="99"/>
  <c r="G40" i="99"/>
  <c r="A40" i="99"/>
  <c r="I39" i="99"/>
  <c r="G39" i="99"/>
  <c r="A39" i="99"/>
  <c r="A38" i="99"/>
  <c r="A37" i="99"/>
  <c r="D36" i="99"/>
  <c r="I36" i="99"/>
  <c r="J36" i="99"/>
  <c r="K36" i="99"/>
  <c r="E36" i="99"/>
  <c r="F36" i="99"/>
  <c r="G36" i="99"/>
  <c r="M36" i="99"/>
  <c r="N36" i="99"/>
  <c r="D35" i="99"/>
  <c r="I35" i="99"/>
  <c r="J35" i="99"/>
  <c r="K35" i="99"/>
  <c r="E35" i="99"/>
  <c r="F35" i="99"/>
  <c r="G35" i="99"/>
  <c r="M35" i="99"/>
  <c r="N35" i="99"/>
  <c r="A35" i="99"/>
  <c r="D34" i="99"/>
  <c r="I34" i="99"/>
  <c r="J34" i="99"/>
  <c r="K34" i="99"/>
  <c r="E34" i="99"/>
  <c r="F34" i="99"/>
  <c r="G34" i="99"/>
  <c r="M34" i="99"/>
  <c r="N34" i="99"/>
  <c r="A34" i="99"/>
  <c r="D33" i="99"/>
  <c r="I33" i="99"/>
  <c r="J33" i="99"/>
  <c r="K33" i="99"/>
  <c r="E33" i="99"/>
  <c r="F33" i="99"/>
  <c r="G33" i="99"/>
  <c r="M33" i="99"/>
  <c r="N33" i="99"/>
  <c r="A33" i="99"/>
  <c r="D32" i="99"/>
  <c r="I32" i="99"/>
  <c r="J32" i="99"/>
  <c r="K32" i="99"/>
  <c r="E32" i="99"/>
  <c r="F32" i="99"/>
  <c r="G32" i="99"/>
  <c r="M32" i="99"/>
  <c r="N32" i="99"/>
  <c r="A32" i="99"/>
  <c r="D31" i="99"/>
  <c r="I31" i="99"/>
  <c r="J31" i="99"/>
  <c r="K31" i="99"/>
  <c r="E31" i="99"/>
  <c r="F31" i="99"/>
  <c r="G31" i="99"/>
  <c r="M31" i="99"/>
  <c r="N31" i="99"/>
  <c r="A31" i="99"/>
  <c r="A30" i="99"/>
  <c r="A29" i="99"/>
  <c r="D28" i="99"/>
  <c r="I28" i="99"/>
  <c r="J28" i="99"/>
  <c r="K28" i="99"/>
  <c r="E28" i="99"/>
  <c r="F28" i="99"/>
  <c r="G28" i="99"/>
  <c r="M28" i="99"/>
  <c r="N28" i="99"/>
  <c r="D27" i="99"/>
  <c r="I27" i="99"/>
  <c r="J27" i="99"/>
  <c r="K27" i="99"/>
  <c r="E27" i="99"/>
  <c r="F27" i="99"/>
  <c r="G27" i="99"/>
  <c r="M27" i="99"/>
  <c r="N27" i="99"/>
  <c r="A27" i="99"/>
  <c r="D26" i="99"/>
  <c r="I26" i="99"/>
  <c r="J26" i="99"/>
  <c r="K26" i="99"/>
  <c r="E26" i="99"/>
  <c r="F26" i="99"/>
  <c r="G26" i="99"/>
  <c r="M26" i="99"/>
  <c r="N26" i="99"/>
  <c r="A26" i="99"/>
  <c r="D25" i="99"/>
  <c r="I25" i="99"/>
  <c r="J25" i="99"/>
  <c r="K25" i="99"/>
  <c r="E25" i="99"/>
  <c r="F25" i="99"/>
  <c r="G25" i="99"/>
  <c r="M25" i="99"/>
  <c r="N25" i="99"/>
  <c r="A25" i="99"/>
  <c r="D24" i="99"/>
  <c r="I24" i="99"/>
  <c r="J24" i="99"/>
  <c r="K24" i="99"/>
  <c r="E24" i="99"/>
  <c r="F24" i="99"/>
  <c r="G24" i="99"/>
  <c r="M24" i="99"/>
  <c r="N24" i="99"/>
  <c r="A24" i="99"/>
  <c r="D23" i="99"/>
  <c r="I23" i="99"/>
  <c r="J23" i="99"/>
  <c r="K23" i="99"/>
  <c r="E23" i="99"/>
  <c r="F23" i="99"/>
  <c r="G23" i="99"/>
  <c r="M23" i="99"/>
  <c r="N23" i="99"/>
  <c r="A23" i="99"/>
  <c r="A22" i="99"/>
  <c r="A21" i="99"/>
  <c r="D20" i="99"/>
  <c r="I20" i="99"/>
  <c r="J20" i="99"/>
  <c r="K20" i="99"/>
  <c r="E20" i="99"/>
  <c r="F20" i="99"/>
  <c r="G20" i="99"/>
  <c r="M20" i="99"/>
  <c r="N20" i="99"/>
  <c r="D19" i="99"/>
  <c r="I19" i="99"/>
  <c r="J19" i="99"/>
  <c r="K19" i="99"/>
  <c r="E19" i="99"/>
  <c r="F19" i="99"/>
  <c r="G19" i="99"/>
  <c r="M19" i="99"/>
  <c r="N19" i="99"/>
  <c r="A19" i="99"/>
  <c r="D18" i="99"/>
  <c r="I18" i="99"/>
  <c r="J18" i="99"/>
  <c r="K18" i="99"/>
  <c r="E18" i="99"/>
  <c r="F18" i="99"/>
  <c r="G18" i="99"/>
  <c r="M18" i="99"/>
  <c r="N18" i="99"/>
  <c r="A18" i="99"/>
  <c r="D17" i="99"/>
  <c r="I17" i="99"/>
  <c r="J17" i="99"/>
  <c r="K17" i="99"/>
  <c r="E17" i="99"/>
  <c r="F17" i="99"/>
  <c r="G17" i="99"/>
  <c r="M17" i="99"/>
  <c r="N17" i="99"/>
  <c r="A17" i="99"/>
  <c r="D16" i="99"/>
  <c r="I16" i="99"/>
  <c r="J16" i="99"/>
  <c r="K16" i="99"/>
  <c r="E16" i="99"/>
  <c r="F16" i="99"/>
  <c r="G16" i="99"/>
  <c r="M16" i="99"/>
  <c r="N16" i="99"/>
  <c r="A16" i="99"/>
  <c r="D15" i="99"/>
  <c r="I15" i="99"/>
  <c r="J15" i="99"/>
  <c r="K15" i="99"/>
  <c r="E15" i="99"/>
  <c r="F15" i="99"/>
  <c r="G15" i="99"/>
  <c r="M15" i="99"/>
  <c r="N15" i="99"/>
  <c r="A15" i="99"/>
  <c r="A14" i="99"/>
  <c r="A13" i="99"/>
  <c r="N12" i="99"/>
  <c r="M12" i="99"/>
  <c r="K12" i="99"/>
  <c r="J12" i="99"/>
  <c r="I12" i="99"/>
  <c r="G12" i="99"/>
  <c r="F12" i="99"/>
  <c r="E12" i="99"/>
  <c r="D12" i="99"/>
  <c r="A12" i="99"/>
  <c r="M11" i="99"/>
  <c r="I11" i="99"/>
  <c r="E11" i="99"/>
  <c r="D11" i="99"/>
  <c r="A11" i="99"/>
  <c r="A6" i="99"/>
  <c r="A5" i="99"/>
  <c r="A4" i="99"/>
  <c r="I69" i="98"/>
  <c r="G69" i="98"/>
  <c r="J69" i="98"/>
  <c r="I62" i="98"/>
  <c r="I63" i="98"/>
  <c r="I68" i="98"/>
  <c r="G68" i="98"/>
  <c r="J68" i="98"/>
  <c r="C71" i="97"/>
  <c r="C68" i="98"/>
  <c r="I67" i="98"/>
  <c r="G67" i="98"/>
  <c r="J67" i="98"/>
  <c r="J64" i="98"/>
  <c r="A64" i="98"/>
  <c r="J63" i="98"/>
  <c r="A63" i="98"/>
  <c r="J62" i="98"/>
  <c r="A62" i="98"/>
  <c r="J61" i="98"/>
  <c r="A61" i="98"/>
  <c r="J60" i="98"/>
  <c r="A60" i="98"/>
  <c r="J59" i="98"/>
  <c r="A59" i="98"/>
  <c r="J58" i="98"/>
  <c r="A58" i="98"/>
  <c r="J57" i="98"/>
  <c r="A57" i="98"/>
  <c r="J56" i="98"/>
  <c r="A56" i="98"/>
  <c r="J55" i="98"/>
  <c r="A55" i="98"/>
  <c r="J54" i="98"/>
  <c r="A54" i="98"/>
  <c r="J53" i="98"/>
  <c r="A53" i="98"/>
  <c r="J52" i="98"/>
  <c r="A52" i="98"/>
  <c r="J51" i="98"/>
  <c r="A51" i="98"/>
  <c r="J50" i="98"/>
  <c r="A50" i="98"/>
  <c r="J49" i="98"/>
  <c r="A49" i="98"/>
  <c r="J48" i="98"/>
  <c r="A48" i="98"/>
  <c r="J47" i="98"/>
  <c r="A47" i="98"/>
  <c r="J46" i="98"/>
  <c r="A46" i="98"/>
  <c r="J45" i="98"/>
  <c r="A45" i="98"/>
  <c r="J44" i="98"/>
  <c r="A44" i="98"/>
  <c r="J43" i="98"/>
  <c r="A43" i="98"/>
  <c r="J42" i="98"/>
  <c r="A42" i="98"/>
  <c r="I41" i="98"/>
  <c r="J41" i="98"/>
  <c r="A41" i="98"/>
  <c r="J40" i="98"/>
  <c r="I40" i="98"/>
  <c r="G40" i="98"/>
  <c r="A40" i="98"/>
  <c r="I39" i="98"/>
  <c r="G39" i="98"/>
  <c r="A39" i="98"/>
  <c r="A38" i="98"/>
  <c r="A37" i="98"/>
  <c r="D36" i="98"/>
  <c r="I36" i="98"/>
  <c r="J36" i="98"/>
  <c r="K36" i="98"/>
  <c r="E36" i="98"/>
  <c r="F36" i="98"/>
  <c r="G36" i="98"/>
  <c r="M36" i="98"/>
  <c r="N36" i="98"/>
  <c r="A36" i="98"/>
  <c r="D35" i="98"/>
  <c r="I35" i="98"/>
  <c r="J35" i="98"/>
  <c r="K35" i="98"/>
  <c r="E35" i="98"/>
  <c r="F35" i="98"/>
  <c r="G35" i="98"/>
  <c r="M35" i="98"/>
  <c r="N35" i="98"/>
  <c r="A35" i="98"/>
  <c r="D34" i="98"/>
  <c r="I34" i="98"/>
  <c r="J34" i="98"/>
  <c r="K34" i="98"/>
  <c r="E34" i="98"/>
  <c r="F34" i="98"/>
  <c r="G34" i="98"/>
  <c r="M34" i="98"/>
  <c r="N34" i="98"/>
  <c r="A34" i="98"/>
  <c r="D33" i="98"/>
  <c r="I33" i="98"/>
  <c r="J33" i="98"/>
  <c r="K33" i="98"/>
  <c r="E33" i="98"/>
  <c r="F33" i="98"/>
  <c r="G33" i="98"/>
  <c r="M33" i="98"/>
  <c r="N33" i="98"/>
  <c r="A33" i="98"/>
  <c r="D32" i="98"/>
  <c r="I32" i="98"/>
  <c r="J32" i="98"/>
  <c r="K32" i="98"/>
  <c r="E32" i="98"/>
  <c r="F32" i="98"/>
  <c r="G32" i="98"/>
  <c r="M32" i="98"/>
  <c r="N32" i="98"/>
  <c r="A32" i="98"/>
  <c r="D31" i="98"/>
  <c r="I31" i="98"/>
  <c r="J31" i="98"/>
  <c r="K31" i="98"/>
  <c r="E31" i="98"/>
  <c r="F31" i="98"/>
  <c r="G31" i="98"/>
  <c r="M31" i="98"/>
  <c r="N31" i="98"/>
  <c r="A31" i="98"/>
  <c r="A30" i="98"/>
  <c r="A29" i="98"/>
  <c r="D28" i="98"/>
  <c r="I28" i="98"/>
  <c r="J28" i="98"/>
  <c r="K28" i="98"/>
  <c r="E28" i="98"/>
  <c r="F28" i="98"/>
  <c r="G28" i="98"/>
  <c r="M28" i="98"/>
  <c r="N28" i="98"/>
  <c r="A28" i="98"/>
  <c r="D27" i="98"/>
  <c r="I27" i="98"/>
  <c r="J27" i="98"/>
  <c r="K27" i="98"/>
  <c r="E27" i="98"/>
  <c r="F27" i="98"/>
  <c r="G27" i="98"/>
  <c r="M27" i="98"/>
  <c r="N27" i="98"/>
  <c r="A27" i="98"/>
  <c r="D26" i="98"/>
  <c r="I26" i="98"/>
  <c r="J26" i="98"/>
  <c r="K26" i="98"/>
  <c r="E26" i="98"/>
  <c r="F26" i="98"/>
  <c r="G26" i="98"/>
  <c r="M26" i="98"/>
  <c r="N26" i="98"/>
  <c r="A26" i="98"/>
  <c r="D25" i="98"/>
  <c r="I25" i="98"/>
  <c r="J25" i="98"/>
  <c r="K25" i="98"/>
  <c r="E25" i="98"/>
  <c r="F25" i="98"/>
  <c r="G25" i="98"/>
  <c r="M25" i="98"/>
  <c r="N25" i="98"/>
  <c r="A25" i="98"/>
  <c r="D24" i="98"/>
  <c r="I24" i="98"/>
  <c r="J24" i="98"/>
  <c r="K24" i="98"/>
  <c r="E24" i="98"/>
  <c r="F24" i="98"/>
  <c r="G24" i="98"/>
  <c r="M24" i="98"/>
  <c r="N24" i="98"/>
  <c r="A24" i="98"/>
  <c r="D23" i="98"/>
  <c r="I23" i="98"/>
  <c r="J23" i="98"/>
  <c r="K23" i="98"/>
  <c r="E23" i="98"/>
  <c r="F23" i="98"/>
  <c r="G23" i="98"/>
  <c r="M23" i="98"/>
  <c r="N23" i="98"/>
  <c r="A23" i="98"/>
  <c r="A22" i="98"/>
  <c r="A21" i="98"/>
  <c r="D20" i="98"/>
  <c r="I20" i="98"/>
  <c r="J20" i="98"/>
  <c r="K20" i="98"/>
  <c r="E20" i="98"/>
  <c r="F20" i="98"/>
  <c r="G20" i="98"/>
  <c r="M20" i="98"/>
  <c r="N20" i="98"/>
  <c r="A20" i="98"/>
  <c r="D19" i="98"/>
  <c r="I19" i="98"/>
  <c r="J19" i="98"/>
  <c r="K19" i="98"/>
  <c r="E19" i="98"/>
  <c r="F19" i="98"/>
  <c r="G19" i="98"/>
  <c r="M19" i="98"/>
  <c r="N19" i="98"/>
  <c r="A19" i="98"/>
  <c r="D18" i="98"/>
  <c r="I18" i="98"/>
  <c r="J18" i="98"/>
  <c r="K18" i="98"/>
  <c r="E18" i="98"/>
  <c r="F18" i="98"/>
  <c r="G18" i="98"/>
  <c r="M18" i="98"/>
  <c r="N18" i="98"/>
  <c r="A18" i="98"/>
  <c r="D17" i="98"/>
  <c r="I17" i="98"/>
  <c r="J17" i="98"/>
  <c r="K17" i="98"/>
  <c r="E17" i="98"/>
  <c r="F17" i="98"/>
  <c r="G17" i="98"/>
  <c r="M17" i="98"/>
  <c r="N17" i="98"/>
  <c r="A17" i="98"/>
  <c r="D16" i="98"/>
  <c r="I16" i="98"/>
  <c r="J16" i="98"/>
  <c r="K16" i="98"/>
  <c r="E16" i="98"/>
  <c r="F16" i="98"/>
  <c r="G16" i="98"/>
  <c r="M16" i="98"/>
  <c r="N16" i="98"/>
  <c r="A16" i="98"/>
  <c r="D15" i="98"/>
  <c r="I15" i="98"/>
  <c r="J15" i="98"/>
  <c r="K15" i="98"/>
  <c r="E15" i="98"/>
  <c r="F15" i="98"/>
  <c r="G15" i="98"/>
  <c r="M15" i="98"/>
  <c r="N15" i="98"/>
  <c r="A15" i="98"/>
  <c r="A14" i="98"/>
  <c r="A13" i="98"/>
  <c r="N12" i="98"/>
  <c r="M12" i="98"/>
  <c r="K12" i="98"/>
  <c r="J12" i="98"/>
  <c r="I12" i="98"/>
  <c r="G12" i="98"/>
  <c r="F12" i="98"/>
  <c r="E12" i="98"/>
  <c r="A12" i="98"/>
  <c r="M11" i="98"/>
  <c r="I11" i="98"/>
  <c r="E11" i="98"/>
  <c r="A11" i="98"/>
  <c r="A6" i="98"/>
  <c r="A5" i="98"/>
  <c r="A4" i="98"/>
  <c r="I72" i="97"/>
  <c r="G72" i="97"/>
  <c r="J72" i="97"/>
  <c r="I65" i="97"/>
  <c r="I66" i="97"/>
  <c r="I71" i="97"/>
  <c r="G71" i="97"/>
  <c r="J71" i="97"/>
  <c r="I70" i="97"/>
  <c r="G70" i="97"/>
  <c r="J70" i="97"/>
  <c r="J67" i="97"/>
  <c r="C11" i="97"/>
  <c r="C24" i="97"/>
  <c r="C25" i="97"/>
  <c r="C26" i="97"/>
  <c r="C27" i="97"/>
  <c r="C28" i="97"/>
  <c r="C29" i="97"/>
  <c r="C33" i="97"/>
  <c r="C34" i="97"/>
  <c r="C35" i="97"/>
  <c r="C36" i="97"/>
  <c r="C37" i="97"/>
  <c r="C38" i="97"/>
  <c r="A67" i="97"/>
  <c r="J66" i="97"/>
  <c r="A66" i="97"/>
  <c r="J65" i="97"/>
  <c r="A65" i="97"/>
  <c r="J64" i="97"/>
  <c r="A64" i="97"/>
  <c r="J63" i="97"/>
  <c r="A63" i="97"/>
  <c r="J62" i="97"/>
  <c r="A62" i="97"/>
  <c r="J61" i="97"/>
  <c r="A61" i="97"/>
  <c r="J60" i="97"/>
  <c r="A60" i="97"/>
  <c r="J59" i="97"/>
  <c r="A59" i="97"/>
  <c r="J58" i="97"/>
  <c r="A58" i="97"/>
  <c r="J57" i="97"/>
  <c r="A57" i="97"/>
  <c r="J56" i="97"/>
  <c r="A56" i="97"/>
  <c r="J55" i="97"/>
  <c r="A55" i="97"/>
  <c r="J54" i="97"/>
  <c r="A54" i="97"/>
  <c r="J53" i="97"/>
  <c r="A53" i="97"/>
  <c r="J52" i="97"/>
  <c r="A52" i="97"/>
  <c r="J51" i="97"/>
  <c r="A51" i="97"/>
  <c r="J50" i="97"/>
  <c r="A50" i="97"/>
  <c r="J49" i="97"/>
  <c r="A49" i="97"/>
  <c r="J48" i="97"/>
  <c r="A48" i="97"/>
  <c r="J47" i="97"/>
  <c r="A47" i="97"/>
  <c r="J46" i="97"/>
  <c r="A46" i="97"/>
  <c r="J45" i="97"/>
  <c r="A45" i="97"/>
  <c r="I44" i="97"/>
  <c r="J44" i="97"/>
  <c r="A44" i="97"/>
  <c r="J43" i="97"/>
  <c r="I43" i="97"/>
  <c r="G43" i="97"/>
  <c r="A43" i="97"/>
  <c r="I42" i="97"/>
  <c r="G42" i="97"/>
  <c r="A42" i="97"/>
  <c r="A41" i="97"/>
  <c r="D39" i="97"/>
  <c r="I39" i="97"/>
  <c r="J39" i="97"/>
  <c r="K39" i="97"/>
  <c r="E39" i="97"/>
  <c r="F39" i="97"/>
  <c r="G39" i="97"/>
  <c r="M39" i="97"/>
  <c r="N39" i="97"/>
  <c r="A39" i="97"/>
  <c r="D38" i="97"/>
  <c r="I38" i="97"/>
  <c r="J38" i="97"/>
  <c r="K38" i="97"/>
  <c r="E38" i="97"/>
  <c r="F38" i="97"/>
  <c r="G38" i="97"/>
  <c r="M38" i="97"/>
  <c r="N38" i="97"/>
  <c r="A38" i="97"/>
  <c r="D37" i="97"/>
  <c r="I37" i="97"/>
  <c r="J37" i="97"/>
  <c r="K37" i="97"/>
  <c r="E37" i="97"/>
  <c r="F37" i="97"/>
  <c r="G37" i="97"/>
  <c r="M37" i="97"/>
  <c r="N37" i="97"/>
  <c r="A37" i="97"/>
  <c r="D36" i="97"/>
  <c r="I36" i="97"/>
  <c r="J36" i="97"/>
  <c r="K36" i="97"/>
  <c r="E36" i="97"/>
  <c r="F36" i="97"/>
  <c r="G36" i="97"/>
  <c r="M36" i="97"/>
  <c r="N36" i="97"/>
  <c r="A36" i="97"/>
  <c r="D35" i="97"/>
  <c r="I35" i="97"/>
  <c r="J35" i="97"/>
  <c r="K35" i="97"/>
  <c r="E35" i="97"/>
  <c r="F35" i="97"/>
  <c r="G35" i="97"/>
  <c r="M35" i="97"/>
  <c r="N35" i="97"/>
  <c r="A35" i="97"/>
  <c r="D34" i="97"/>
  <c r="I34" i="97"/>
  <c r="J34" i="97"/>
  <c r="K34" i="97"/>
  <c r="E34" i="97"/>
  <c r="F34" i="97"/>
  <c r="G34" i="97"/>
  <c r="M34" i="97"/>
  <c r="N34" i="97"/>
  <c r="A34" i="97"/>
  <c r="D33" i="97"/>
  <c r="I33" i="97"/>
  <c r="J33" i="97"/>
  <c r="K33" i="97"/>
  <c r="E33" i="97"/>
  <c r="F33" i="97"/>
  <c r="G33" i="97"/>
  <c r="M33" i="97"/>
  <c r="N33" i="97"/>
  <c r="A33" i="97"/>
  <c r="A32" i="97"/>
  <c r="A31" i="97"/>
  <c r="D30" i="97"/>
  <c r="I30" i="97"/>
  <c r="J30" i="97"/>
  <c r="K30" i="97"/>
  <c r="E30" i="97"/>
  <c r="F30" i="97"/>
  <c r="G30" i="97"/>
  <c r="M30" i="97"/>
  <c r="N30" i="97"/>
  <c r="A30" i="97"/>
  <c r="D29" i="97"/>
  <c r="I29" i="97"/>
  <c r="J29" i="97"/>
  <c r="K29" i="97"/>
  <c r="E29" i="97"/>
  <c r="F29" i="97"/>
  <c r="G29" i="97"/>
  <c r="M29" i="97"/>
  <c r="N29" i="97"/>
  <c r="A29" i="97"/>
  <c r="D28" i="97"/>
  <c r="I28" i="97"/>
  <c r="J28" i="97"/>
  <c r="K28" i="97"/>
  <c r="E28" i="97"/>
  <c r="F28" i="97"/>
  <c r="G28" i="97"/>
  <c r="M28" i="97"/>
  <c r="N28" i="97"/>
  <c r="A28" i="97"/>
  <c r="D27" i="97"/>
  <c r="I27" i="97"/>
  <c r="J27" i="97"/>
  <c r="K27" i="97"/>
  <c r="E27" i="97"/>
  <c r="F27" i="97"/>
  <c r="G27" i="97"/>
  <c r="M27" i="97"/>
  <c r="N27" i="97"/>
  <c r="A27" i="97"/>
  <c r="D26" i="97"/>
  <c r="I26" i="97"/>
  <c r="J26" i="97"/>
  <c r="K26" i="97"/>
  <c r="E26" i="97"/>
  <c r="F26" i="97"/>
  <c r="G26" i="97"/>
  <c r="M26" i="97"/>
  <c r="N26" i="97"/>
  <c r="A26" i="97"/>
  <c r="D25" i="97"/>
  <c r="I25" i="97"/>
  <c r="J25" i="97"/>
  <c r="K25" i="97"/>
  <c r="E25" i="97"/>
  <c r="F25" i="97"/>
  <c r="G25" i="97"/>
  <c r="M25" i="97"/>
  <c r="N25" i="97"/>
  <c r="A25" i="97"/>
  <c r="D24" i="97"/>
  <c r="I24" i="97"/>
  <c r="J24" i="97"/>
  <c r="K24" i="97"/>
  <c r="E24" i="97"/>
  <c r="F24" i="97"/>
  <c r="G24" i="97"/>
  <c r="M24" i="97"/>
  <c r="N24" i="97"/>
  <c r="A24" i="97"/>
  <c r="A23" i="97"/>
  <c r="A22" i="97"/>
  <c r="D21" i="97"/>
  <c r="I21" i="97"/>
  <c r="J21" i="97"/>
  <c r="K21" i="97"/>
  <c r="E21" i="97"/>
  <c r="F21" i="97"/>
  <c r="G21" i="97"/>
  <c r="M21" i="97"/>
  <c r="N21" i="97"/>
  <c r="A21" i="97"/>
  <c r="D20" i="97"/>
  <c r="I20" i="97"/>
  <c r="J20" i="97"/>
  <c r="K20" i="97"/>
  <c r="E20" i="97"/>
  <c r="F20" i="97"/>
  <c r="G20" i="97"/>
  <c r="M20" i="97"/>
  <c r="N20" i="97"/>
  <c r="A20" i="97"/>
  <c r="D19" i="97"/>
  <c r="I19" i="97"/>
  <c r="J19" i="97"/>
  <c r="K19" i="97"/>
  <c r="E19" i="97"/>
  <c r="F19" i="97"/>
  <c r="G19" i="97"/>
  <c r="M19" i="97"/>
  <c r="N19" i="97"/>
  <c r="A19" i="97"/>
  <c r="D18" i="97"/>
  <c r="I18" i="97"/>
  <c r="J18" i="97"/>
  <c r="K18" i="97"/>
  <c r="E18" i="97"/>
  <c r="F18" i="97"/>
  <c r="G18" i="97"/>
  <c r="M18" i="97"/>
  <c r="N18" i="97"/>
  <c r="A18" i="97"/>
  <c r="D17" i="97"/>
  <c r="I17" i="97"/>
  <c r="J17" i="97"/>
  <c r="K17" i="97"/>
  <c r="E17" i="97"/>
  <c r="F17" i="97"/>
  <c r="G17" i="97"/>
  <c r="M17" i="97"/>
  <c r="N17" i="97"/>
  <c r="A17" i="97"/>
  <c r="D16" i="97"/>
  <c r="I16" i="97"/>
  <c r="J16" i="97"/>
  <c r="K16" i="97"/>
  <c r="E16" i="97"/>
  <c r="F16" i="97"/>
  <c r="G16" i="97"/>
  <c r="M16" i="97"/>
  <c r="N16" i="97"/>
  <c r="A16" i="97"/>
  <c r="D15" i="97"/>
  <c r="I15" i="97"/>
  <c r="J15" i="97"/>
  <c r="K15" i="97"/>
  <c r="E15" i="97"/>
  <c r="F15" i="97"/>
  <c r="G15" i="97"/>
  <c r="M15" i="97"/>
  <c r="N15" i="97"/>
  <c r="A15" i="97"/>
  <c r="A14" i="97"/>
  <c r="A13" i="97"/>
  <c r="N12" i="97"/>
  <c r="M12" i="97"/>
  <c r="K12" i="97"/>
  <c r="J12" i="97"/>
  <c r="I12" i="97"/>
  <c r="G12" i="97"/>
  <c r="F12" i="97"/>
  <c r="E12" i="97"/>
  <c r="D12" i="97"/>
  <c r="A12" i="97"/>
  <c r="M11" i="97"/>
  <c r="I11" i="97"/>
  <c r="E11" i="97"/>
  <c r="A11" i="97"/>
  <c r="A6" i="97"/>
  <c r="A5" i="97"/>
  <c r="A4" i="97"/>
  <c r="H50" i="96"/>
  <c r="F50" i="96"/>
  <c r="I50" i="96"/>
  <c r="H44" i="96"/>
  <c r="H45" i="96"/>
  <c r="H49" i="96"/>
  <c r="F49" i="96"/>
  <c r="I49" i="96"/>
  <c r="I46" i="96"/>
  <c r="C29" i="80"/>
  <c r="C25" i="96"/>
  <c r="A46" i="96"/>
  <c r="I45" i="96"/>
  <c r="A45" i="96"/>
  <c r="I44" i="96"/>
  <c r="A44" i="96"/>
  <c r="I43" i="96"/>
  <c r="A43" i="96"/>
  <c r="I42" i="96"/>
  <c r="A42" i="96"/>
  <c r="I41" i="96"/>
  <c r="A41" i="96"/>
  <c r="I40" i="96"/>
  <c r="A40" i="96"/>
  <c r="I39" i="96"/>
  <c r="A39" i="96"/>
  <c r="I38" i="96"/>
  <c r="A38" i="96"/>
  <c r="I37" i="96"/>
  <c r="A37" i="96"/>
  <c r="I36" i="96"/>
  <c r="A36" i="96"/>
  <c r="I35" i="96"/>
  <c r="A35" i="96"/>
  <c r="I34" i="96"/>
  <c r="A34" i="96"/>
  <c r="I33" i="96"/>
  <c r="A33" i="96"/>
  <c r="I32" i="96"/>
  <c r="A32" i="96"/>
  <c r="I31" i="96"/>
  <c r="A31" i="96"/>
  <c r="I30" i="96"/>
  <c r="A30" i="96"/>
  <c r="I29" i="96"/>
  <c r="A29" i="96"/>
  <c r="I28" i="96"/>
  <c r="A28" i="96"/>
  <c r="I27" i="96"/>
  <c r="A27" i="96"/>
  <c r="I26" i="96"/>
  <c r="A26" i="96"/>
  <c r="H25" i="96"/>
  <c r="I25" i="96"/>
  <c r="A25" i="96"/>
  <c r="A24" i="96"/>
  <c r="A23" i="96"/>
  <c r="A22" i="96"/>
  <c r="H20" i="96"/>
  <c r="I20" i="96"/>
  <c r="J20" i="96"/>
  <c r="D20" i="96"/>
  <c r="E20" i="96"/>
  <c r="F20" i="96"/>
  <c r="L20" i="96"/>
  <c r="M20" i="96"/>
  <c r="A20" i="96"/>
  <c r="H19" i="96"/>
  <c r="I19" i="96"/>
  <c r="J19" i="96"/>
  <c r="D19" i="96"/>
  <c r="E19" i="96"/>
  <c r="F19" i="96"/>
  <c r="L19" i="96"/>
  <c r="M19" i="96"/>
  <c r="A19" i="96"/>
  <c r="H18" i="96"/>
  <c r="I18" i="96"/>
  <c r="J18" i="96"/>
  <c r="D18" i="96"/>
  <c r="E18" i="96"/>
  <c r="F18" i="96"/>
  <c r="L18" i="96"/>
  <c r="M18" i="96"/>
  <c r="A18" i="96"/>
  <c r="H17" i="96"/>
  <c r="I17" i="96"/>
  <c r="J17" i="96"/>
  <c r="D17" i="96"/>
  <c r="E17" i="96"/>
  <c r="F17" i="96"/>
  <c r="L17" i="96"/>
  <c r="M17" i="96"/>
  <c r="A17" i="96"/>
  <c r="H16" i="96"/>
  <c r="I16" i="96"/>
  <c r="J16" i="96"/>
  <c r="D16" i="96"/>
  <c r="E16" i="96"/>
  <c r="F16" i="96"/>
  <c r="L16" i="96"/>
  <c r="M16" i="96"/>
  <c r="A16" i="96"/>
  <c r="H15" i="96"/>
  <c r="I15" i="96"/>
  <c r="J15" i="96"/>
  <c r="D15" i="96"/>
  <c r="E15" i="96"/>
  <c r="F15" i="96"/>
  <c r="L15" i="96"/>
  <c r="M15" i="96"/>
  <c r="A15" i="96"/>
  <c r="H14" i="96"/>
  <c r="I14" i="96"/>
  <c r="J14" i="96"/>
  <c r="D14" i="96"/>
  <c r="E14" i="96"/>
  <c r="F14" i="96"/>
  <c r="L14" i="96"/>
  <c r="M14" i="96"/>
  <c r="A14" i="96"/>
  <c r="H13" i="96"/>
  <c r="I13" i="96"/>
  <c r="J13" i="96"/>
  <c r="D13" i="96"/>
  <c r="E13" i="96"/>
  <c r="F13" i="96"/>
  <c r="L13" i="96"/>
  <c r="M13" i="96"/>
  <c r="A13" i="96"/>
  <c r="A12" i="96"/>
  <c r="A11" i="96"/>
  <c r="I74" i="95"/>
  <c r="G74" i="95"/>
  <c r="J74" i="95"/>
  <c r="C76" i="87"/>
  <c r="C70" i="88"/>
  <c r="C78" i="89"/>
  <c r="C78" i="90"/>
  <c r="C74" i="95"/>
  <c r="Z22" i="2"/>
  <c r="AA22" i="2"/>
  <c r="H22" i="2"/>
  <c r="I22" i="2"/>
  <c r="AC22" i="2"/>
  <c r="AD22" i="2"/>
  <c r="K22" i="2"/>
  <c r="L22" i="2"/>
  <c r="Q22" i="2"/>
  <c r="R22" i="2"/>
  <c r="G28" i="3"/>
  <c r="D28" i="3"/>
  <c r="H28" i="3"/>
  <c r="O28" i="3"/>
  <c r="P28" i="3"/>
  <c r="R28" i="3"/>
  <c r="T22" i="2"/>
  <c r="U22" i="2"/>
  <c r="AI22" i="2"/>
  <c r="AJ22" i="2"/>
  <c r="AL22" i="2"/>
  <c r="AM22" i="2"/>
  <c r="AO22" i="2"/>
  <c r="AP22" i="2"/>
  <c r="AR22" i="2"/>
  <c r="AS22" i="2"/>
  <c r="AU22" i="2"/>
  <c r="AV22" i="2"/>
  <c r="X22" i="2"/>
  <c r="I63" i="95"/>
  <c r="I64" i="95"/>
  <c r="I73" i="95"/>
  <c r="G73" i="95"/>
  <c r="J73" i="95"/>
  <c r="C76" i="90"/>
  <c r="C73" i="95"/>
  <c r="I72" i="95"/>
  <c r="G72" i="95"/>
  <c r="J72" i="95"/>
  <c r="C75" i="90"/>
  <c r="C72" i="95"/>
  <c r="I71" i="95"/>
  <c r="G71" i="95"/>
  <c r="J71" i="95"/>
  <c r="C74" i="90"/>
  <c r="C71" i="95"/>
  <c r="C24" i="95"/>
  <c r="C25" i="95"/>
  <c r="C26" i="95"/>
  <c r="C27" i="95"/>
  <c r="C28" i="95"/>
  <c r="C32" i="95"/>
  <c r="C33" i="95"/>
  <c r="C34" i="95"/>
  <c r="C35" i="95"/>
  <c r="C36" i="95"/>
  <c r="C44" i="90"/>
  <c r="C44" i="91"/>
  <c r="C44" i="95"/>
  <c r="C50" i="87"/>
  <c r="C30" i="92"/>
  <c r="C26" i="93"/>
  <c r="C47" i="95"/>
  <c r="C51" i="87"/>
  <c r="C31" i="92"/>
  <c r="C27" i="93"/>
  <c r="C48" i="95"/>
  <c r="C52" i="87"/>
  <c r="C32" i="92"/>
  <c r="C28" i="93"/>
  <c r="C49" i="95"/>
  <c r="C53" i="87"/>
  <c r="C33" i="92"/>
  <c r="C29" i="93"/>
  <c r="C50" i="95"/>
  <c r="C54" i="87"/>
  <c r="C34" i="92"/>
  <c r="C30" i="93"/>
  <c r="C51" i="95"/>
  <c r="C55" i="87"/>
  <c r="C35" i="92"/>
  <c r="C31" i="93"/>
  <c r="C52" i="95"/>
  <c r="C56" i="87"/>
  <c r="C36" i="92"/>
  <c r="C32" i="93"/>
  <c r="C53" i="95"/>
  <c r="C57" i="87"/>
  <c r="C37" i="92"/>
  <c r="C33" i="93"/>
  <c r="C54" i="95"/>
  <c r="C58" i="87"/>
  <c r="C38" i="92"/>
  <c r="C34" i="93"/>
  <c r="C55" i="95"/>
  <c r="C59" i="87"/>
  <c r="C39" i="92"/>
  <c r="C35" i="93"/>
  <c r="C56" i="95"/>
  <c r="C60" i="87"/>
  <c r="C40" i="92"/>
  <c r="C36" i="93"/>
  <c r="C57" i="95"/>
  <c r="C61" i="87"/>
  <c r="C41" i="92"/>
  <c r="C37" i="93"/>
  <c r="C58" i="95"/>
  <c r="C62" i="87"/>
  <c r="C42" i="92"/>
  <c r="C38" i="93"/>
  <c r="C59" i="95"/>
  <c r="C63" i="87"/>
  <c r="C43" i="92"/>
  <c r="C39" i="93"/>
  <c r="C60" i="95"/>
  <c r="C64" i="87"/>
  <c r="C44" i="92"/>
  <c r="C40" i="93"/>
  <c r="C61" i="95"/>
  <c r="C66" i="87"/>
  <c r="C46" i="92"/>
  <c r="C42" i="93"/>
  <c r="C62" i="95"/>
  <c r="C67" i="87"/>
  <c r="C47" i="92"/>
  <c r="C43" i="93"/>
  <c r="C63" i="95"/>
  <c r="C68" i="87"/>
  <c r="C48" i="92"/>
  <c r="C44" i="93"/>
  <c r="C64" i="95"/>
  <c r="C69" i="87"/>
  <c r="C49" i="92"/>
  <c r="C45" i="93"/>
  <c r="C65" i="95"/>
  <c r="A68" i="95"/>
  <c r="A67" i="95"/>
  <c r="A66" i="95"/>
  <c r="J65" i="95"/>
  <c r="A65" i="95"/>
  <c r="J64" i="95"/>
  <c r="A64" i="95"/>
  <c r="J63" i="95"/>
  <c r="A63" i="95"/>
  <c r="J62" i="95"/>
  <c r="A62" i="95"/>
  <c r="J61" i="95"/>
  <c r="A61" i="95"/>
  <c r="J60" i="95"/>
  <c r="A60" i="95"/>
  <c r="J59" i="95"/>
  <c r="A59" i="95"/>
  <c r="J58" i="95"/>
  <c r="A58" i="95"/>
  <c r="J57" i="95"/>
  <c r="A57" i="95"/>
  <c r="J56" i="95"/>
  <c r="A56" i="95"/>
  <c r="J55" i="95"/>
  <c r="A55" i="95"/>
  <c r="J54" i="95"/>
  <c r="A54" i="95"/>
  <c r="J53" i="95"/>
  <c r="A53" i="95"/>
  <c r="J52" i="95"/>
  <c r="A52" i="95"/>
  <c r="J51" i="95"/>
  <c r="A51" i="95"/>
  <c r="J50" i="95"/>
  <c r="A50" i="95"/>
  <c r="J49" i="95"/>
  <c r="A49" i="95"/>
  <c r="J48" i="95"/>
  <c r="A48" i="95"/>
  <c r="J47" i="95"/>
  <c r="A47" i="95"/>
  <c r="J46" i="95"/>
  <c r="A46" i="95"/>
  <c r="J45" i="95"/>
  <c r="A45" i="95"/>
  <c r="J44" i="95"/>
  <c r="A44" i="95"/>
  <c r="J43" i="95"/>
  <c r="A43" i="95"/>
  <c r="I42" i="95"/>
  <c r="J42" i="95"/>
  <c r="A42" i="95"/>
  <c r="J44" i="87"/>
  <c r="I27" i="92"/>
  <c r="I23" i="93"/>
  <c r="J41" i="95"/>
  <c r="I44" i="87"/>
  <c r="H27" i="92"/>
  <c r="H23" i="93"/>
  <c r="I41" i="95"/>
  <c r="G44" i="87"/>
  <c r="F27" i="92"/>
  <c r="F23" i="93"/>
  <c r="G41" i="95"/>
  <c r="A41" i="95"/>
  <c r="I43" i="87"/>
  <c r="H26" i="92"/>
  <c r="H22" i="93"/>
  <c r="I40" i="95"/>
  <c r="G43" i="87"/>
  <c r="F26" i="92"/>
  <c r="F22" i="93"/>
  <c r="G40" i="95"/>
  <c r="A40" i="95"/>
  <c r="D37" i="95"/>
  <c r="I37" i="95"/>
  <c r="J37" i="95"/>
  <c r="K37" i="95"/>
  <c r="E37" i="95"/>
  <c r="F37" i="95"/>
  <c r="G37" i="95"/>
  <c r="M37" i="95"/>
  <c r="N37" i="95"/>
  <c r="D36" i="95"/>
  <c r="I36" i="95"/>
  <c r="J36" i="95"/>
  <c r="K36" i="95"/>
  <c r="E36" i="95"/>
  <c r="F36" i="95"/>
  <c r="G36" i="95"/>
  <c r="M36" i="95"/>
  <c r="N36" i="95"/>
  <c r="A36" i="95"/>
  <c r="D35" i="95"/>
  <c r="I35" i="95"/>
  <c r="J35" i="95"/>
  <c r="K35" i="95"/>
  <c r="E35" i="95"/>
  <c r="F35" i="95"/>
  <c r="G35" i="95"/>
  <c r="M35" i="95"/>
  <c r="N35" i="95"/>
  <c r="A35" i="95"/>
  <c r="D34" i="95"/>
  <c r="I34" i="95"/>
  <c r="J34" i="95"/>
  <c r="K34" i="95"/>
  <c r="E34" i="95"/>
  <c r="F34" i="95"/>
  <c r="G34" i="95"/>
  <c r="M34" i="95"/>
  <c r="N34" i="95"/>
  <c r="A34" i="95"/>
  <c r="D33" i="95"/>
  <c r="I33" i="95"/>
  <c r="J33" i="95"/>
  <c r="K33" i="95"/>
  <c r="E33" i="95"/>
  <c r="F33" i="95"/>
  <c r="G33" i="95"/>
  <c r="M33" i="95"/>
  <c r="N33" i="95"/>
  <c r="A33" i="95"/>
  <c r="D32" i="95"/>
  <c r="I32" i="95"/>
  <c r="J32" i="95"/>
  <c r="K32" i="95"/>
  <c r="E32" i="95"/>
  <c r="F32" i="95"/>
  <c r="G32" i="95"/>
  <c r="M32" i="95"/>
  <c r="N32" i="95"/>
  <c r="A32" i="95"/>
  <c r="A31" i="95"/>
  <c r="A30" i="95"/>
  <c r="D29" i="95"/>
  <c r="I29" i="95"/>
  <c r="J29" i="95"/>
  <c r="K29" i="95"/>
  <c r="E29" i="95"/>
  <c r="F29" i="95"/>
  <c r="G29" i="95"/>
  <c r="M29" i="95"/>
  <c r="N29" i="95"/>
  <c r="D28" i="95"/>
  <c r="I28" i="95"/>
  <c r="J28" i="95"/>
  <c r="K28" i="95"/>
  <c r="E28" i="95"/>
  <c r="F28" i="95"/>
  <c r="G28" i="95"/>
  <c r="M28" i="95"/>
  <c r="N28" i="95"/>
  <c r="A28" i="95"/>
  <c r="D27" i="95"/>
  <c r="I27" i="95"/>
  <c r="J27" i="95"/>
  <c r="K27" i="95"/>
  <c r="E27" i="95"/>
  <c r="F27" i="95"/>
  <c r="G27" i="95"/>
  <c r="M27" i="95"/>
  <c r="N27" i="95"/>
  <c r="A27" i="95"/>
  <c r="D26" i="95"/>
  <c r="I26" i="95"/>
  <c r="J26" i="95"/>
  <c r="K26" i="95"/>
  <c r="E26" i="95"/>
  <c r="F26" i="95"/>
  <c r="G26" i="95"/>
  <c r="M26" i="95"/>
  <c r="N26" i="95"/>
  <c r="A26" i="95"/>
  <c r="D25" i="95"/>
  <c r="I25" i="95"/>
  <c r="J25" i="95"/>
  <c r="K25" i="95"/>
  <c r="E25" i="95"/>
  <c r="F25" i="95"/>
  <c r="G25" i="95"/>
  <c r="M25" i="95"/>
  <c r="N25" i="95"/>
  <c r="A25" i="95"/>
  <c r="D24" i="95"/>
  <c r="I24" i="95"/>
  <c r="J24" i="95"/>
  <c r="K24" i="95"/>
  <c r="E24" i="95"/>
  <c r="F24" i="95"/>
  <c r="G24" i="95"/>
  <c r="M24" i="95"/>
  <c r="N24" i="95"/>
  <c r="A24" i="95"/>
  <c r="A23" i="95"/>
  <c r="A22" i="95"/>
  <c r="D21" i="95"/>
  <c r="I21" i="95"/>
  <c r="J21" i="95"/>
  <c r="K21" i="95"/>
  <c r="E21" i="95"/>
  <c r="F21" i="95"/>
  <c r="G21" i="95"/>
  <c r="M21" i="95"/>
  <c r="N21" i="95"/>
  <c r="D20" i="95"/>
  <c r="I20" i="95"/>
  <c r="J20" i="95"/>
  <c r="K20" i="95"/>
  <c r="E20" i="95"/>
  <c r="F20" i="95"/>
  <c r="G20" i="95"/>
  <c r="M20" i="95"/>
  <c r="N20" i="95"/>
  <c r="A20" i="95"/>
  <c r="D19" i="95"/>
  <c r="I19" i="95"/>
  <c r="J19" i="95"/>
  <c r="K19" i="95"/>
  <c r="E19" i="95"/>
  <c r="F19" i="95"/>
  <c r="G19" i="95"/>
  <c r="M19" i="95"/>
  <c r="N19" i="95"/>
  <c r="A19" i="95"/>
  <c r="D18" i="95"/>
  <c r="I18" i="95"/>
  <c r="J18" i="95"/>
  <c r="K18" i="95"/>
  <c r="E18" i="95"/>
  <c r="F18" i="95"/>
  <c r="G18" i="95"/>
  <c r="M18" i="95"/>
  <c r="N18" i="95"/>
  <c r="A18" i="95"/>
  <c r="D17" i="95"/>
  <c r="I17" i="95"/>
  <c r="J17" i="95"/>
  <c r="K17" i="95"/>
  <c r="E17" i="95"/>
  <c r="F17" i="95"/>
  <c r="G17" i="95"/>
  <c r="M17" i="95"/>
  <c r="N17" i="95"/>
  <c r="A17" i="95"/>
  <c r="D16" i="95"/>
  <c r="I16" i="95"/>
  <c r="J16" i="95"/>
  <c r="K16" i="95"/>
  <c r="E16" i="95"/>
  <c r="F16" i="95"/>
  <c r="G16" i="95"/>
  <c r="M16" i="95"/>
  <c r="N16" i="95"/>
  <c r="A16" i="95"/>
  <c r="A15" i="95"/>
  <c r="A14" i="95"/>
  <c r="A13" i="95"/>
  <c r="I12" i="87"/>
  <c r="I12" i="95"/>
  <c r="E12" i="87"/>
  <c r="E12" i="95"/>
  <c r="D12" i="95"/>
  <c r="A12" i="95"/>
  <c r="A6" i="60"/>
  <c r="A6" i="80"/>
  <c r="A6" i="95"/>
  <c r="A5" i="60"/>
  <c r="A5" i="80"/>
  <c r="A5" i="95"/>
  <c r="A4" i="60"/>
  <c r="A4" i="61"/>
  <c r="A4" i="62"/>
  <c r="A4" i="63"/>
  <c r="A4" i="64"/>
  <c r="A4" i="65"/>
  <c r="A4" i="66"/>
  <c r="A4" i="67"/>
  <c r="A4" i="68"/>
  <c r="A4" i="69"/>
  <c r="A4" i="70"/>
  <c r="A4" i="72"/>
  <c r="A4" i="73"/>
  <c r="A4" i="74"/>
  <c r="A4" i="75"/>
  <c r="A4" i="76"/>
  <c r="A4" i="77"/>
  <c r="A4" i="78"/>
  <c r="A4" i="79"/>
  <c r="A4" i="80"/>
  <c r="A4" i="81"/>
  <c r="A4" i="82"/>
  <c r="A4" i="83"/>
  <c r="A4" i="84"/>
  <c r="A4" i="85"/>
  <c r="A4" i="86"/>
  <c r="A4" i="87"/>
  <c r="A4" i="88"/>
  <c r="A4" i="89"/>
  <c r="A4" i="90"/>
  <c r="A4" i="91"/>
  <c r="A4" i="92"/>
  <c r="A4" i="93"/>
  <c r="A4" i="94"/>
  <c r="A4" i="95"/>
  <c r="I74" i="94"/>
  <c r="G74" i="94"/>
  <c r="J74" i="94"/>
  <c r="C74" i="94"/>
  <c r="I63" i="94"/>
  <c r="I64" i="94"/>
  <c r="I73" i="94"/>
  <c r="G73" i="94"/>
  <c r="J73" i="94"/>
  <c r="C73" i="94"/>
  <c r="I72" i="94"/>
  <c r="G72" i="94"/>
  <c r="J72" i="94"/>
  <c r="C72" i="94"/>
  <c r="I71" i="94"/>
  <c r="G71" i="94"/>
  <c r="J71" i="94"/>
  <c r="C71" i="94"/>
  <c r="A69" i="94"/>
  <c r="C24" i="94"/>
  <c r="C25" i="94"/>
  <c r="C26" i="94"/>
  <c r="C27" i="94"/>
  <c r="C28" i="94"/>
  <c r="C32" i="94"/>
  <c r="C33" i="94"/>
  <c r="C34" i="94"/>
  <c r="C35" i="94"/>
  <c r="C36" i="94"/>
  <c r="C44" i="94"/>
  <c r="C47" i="94"/>
  <c r="C48" i="94"/>
  <c r="C49" i="94"/>
  <c r="C50" i="94"/>
  <c r="C51" i="94"/>
  <c r="C52" i="94"/>
  <c r="C53" i="94"/>
  <c r="C54" i="94"/>
  <c r="C55" i="94"/>
  <c r="C56" i="94"/>
  <c r="C57" i="94"/>
  <c r="C58" i="94"/>
  <c r="C59" i="94"/>
  <c r="C60" i="94"/>
  <c r="C61" i="94"/>
  <c r="C62" i="94"/>
  <c r="C63" i="94"/>
  <c r="C64" i="94"/>
  <c r="C65" i="94"/>
  <c r="A68" i="94"/>
  <c r="A67" i="94"/>
  <c r="A66" i="94"/>
  <c r="J65" i="94"/>
  <c r="A65" i="94"/>
  <c r="J64" i="94"/>
  <c r="A64" i="94"/>
  <c r="J63" i="94"/>
  <c r="A63" i="94"/>
  <c r="J62" i="94"/>
  <c r="A62" i="94"/>
  <c r="J61" i="94"/>
  <c r="A61" i="94"/>
  <c r="J60" i="94"/>
  <c r="A60" i="94"/>
  <c r="J59" i="94"/>
  <c r="A59" i="94"/>
  <c r="J58" i="94"/>
  <c r="A58" i="94"/>
  <c r="J57" i="94"/>
  <c r="A57" i="94"/>
  <c r="J56" i="94"/>
  <c r="A56" i="94"/>
  <c r="J55" i="94"/>
  <c r="A55" i="94"/>
  <c r="J54" i="94"/>
  <c r="A54" i="94"/>
  <c r="J53" i="94"/>
  <c r="A53" i="94"/>
  <c r="J52" i="94"/>
  <c r="A52" i="94"/>
  <c r="J51" i="94"/>
  <c r="A51" i="94"/>
  <c r="J50" i="94"/>
  <c r="A50" i="94"/>
  <c r="J49" i="94"/>
  <c r="A49" i="94"/>
  <c r="J48" i="94"/>
  <c r="A48" i="94"/>
  <c r="J47" i="94"/>
  <c r="A47" i="94"/>
  <c r="J46" i="94"/>
  <c r="A46" i="94"/>
  <c r="J45" i="94"/>
  <c r="A45" i="94"/>
  <c r="J44" i="94"/>
  <c r="A44" i="94"/>
  <c r="J43" i="94"/>
  <c r="A43" i="94"/>
  <c r="I42" i="94"/>
  <c r="J42" i="94"/>
  <c r="A42" i="94"/>
  <c r="J41" i="94"/>
  <c r="I41" i="94"/>
  <c r="G41" i="94"/>
  <c r="A41" i="94"/>
  <c r="I40" i="94"/>
  <c r="G40" i="94"/>
  <c r="A40" i="94"/>
  <c r="A39" i="94"/>
  <c r="A38" i="94"/>
  <c r="D37" i="94"/>
  <c r="I37" i="94"/>
  <c r="J37" i="94"/>
  <c r="K37" i="94"/>
  <c r="E37" i="94"/>
  <c r="F37" i="94"/>
  <c r="G37" i="94"/>
  <c r="M37" i="94"/>
  <c r="N37" i="94"/>
  <c r="A37" i="94"/>
  <c r="D36" i="94"/>
  <c r="I36" i="94"/>
  <c r="J36" i="94"/>
  <c r="K36" i="94"/>
  <c r="E36" i="94"/>
  <c r="F36" i="94"/>
  <c r="G36" i="94"/>
  <c r="M36" i="94"/>
  <c r="N36" i="94"/>
  <c r="A36" i="94"/>
  <c r="D35" i="94"/>
  <c r="I35" i="94"/>
  <c r="J35" i="94"/>
  <c r="K35" i="94"/>
  <c r="E35" i="94"/>
  <c r="F35" i="94"/>
  <c r="G35" i="94"/>
  <c r="M35" i="94"/>
  <c r="N35" i="94"/>
  <c r="A35" i="94"/>
  <c r="D34" i="94"/>
  <c r="I34" i="94"/>
  <c r="J34" i="94"/>
  <c r="K34" i="94"/>
  <c r="E34" i="94"/>
  <c r="F34" i="94"/>
  <c r="G34" i="94"/>
  <c r="M34" i="94"/>
  <c r="N34" i="94"/>
  <c r="A34" i="94"/>
  <c r="D33" i="94"/>
  <c r="I33" i="94"/>
  <c r="J33" i="94"/>
  <c r="K33" i="94"/>
  <c r="E33" i="94"/>
  <c r="F33" i="94"/>
  <c r="G33" i="94"/>
  <c r="M33" i="94"/>
  <c r="N33" i="94"/>
  <c r="A33" i="94"/>
  <c r="D32" i="94"/>
  <c r="I32" i="94"/>
  <c r="J32" i="94"/>
  <c r="K32" i="94"/>
  <c r="E32" i="94"/>
  <c r="F32" i="94"/>
  <c r="G32" i="94"/>
  <c r="M32" i="94"/>
  <c r="N32" i="94"/>
  <c r="A32" i="94"/>
  <c r="A31" i="94"/>
  <c r="A30" i="94"/>
  <c r="D29" i="94"/>
  <c r="I29" i="94"/>
  <c r="J29" i="94"/>
  <c r="K29" i="94"/>
  <c r="E29" i="94"/>
  <c r="F29" i="94"/>
  <c r="G29" i="94"/>
  <c r="M29" i="94"/>
  <c r="N29" i="94"/>
  <c r="A29" i="94"/>
  <c r="D28" i="94"/>
  <c r="I28" i="94"/>
  <c r="J28" i="94"/>
  <c r="K28" i="94"/>
  <c r="E28" i="94"/>
  <c r="F28" i="94"/>
  <c r="G28" i="94"/>
  <c r="M28" i="94"/>
  <c r="N28" i="94"/>
  <c r="A28" i="94"/>
  <c r="D27" i="94"/>
  <c r="I27" i="94"/>
  <c r="J27" i="94"/>
  <c r="K27" i="94"/>
  <c r="E27" i="94"/>
  <c r="F27" i="94"/>
  <c r="G27" i="94"/>
  <c r="M27" i="94"/>
  <c r="N27" i="94"/>
  <c r="A27" i="94"/>
  <c r="D26" i="94"/>
  <c r="I26" i="94"/>
  <c r="J26" i="94"/>
  <c r="K26" i="94"/>
  <c r="E26" i="94"/>
  <c r="F26" i="94"/>
  <c r="G26" i="94"/>
  <c r="M26" i="94"/>
  <c r="N26" i="94"/>
  <c r="A26" i="94"/>
  <c r="D25" i="94"/>
  <c r="I25" i="94"/>
  <c r="J25" i="94"/>
  <c r="K25" i="94"/>
  <c r="E25" i="94"/>
  <c r="F25" i="94"/>
  <c r="G25" i="94"/>
  <c r="M25" i="94"/>
  <c r="N25" i="94"/>
  <c r="A25" i="94"/>
  <c r="D24" i="94"/>
  <c r="I24" i="94"/>
  <c r="J24" i="94"/>
  <c r="K24" i="94"/>
  <c r="E24" i="94"/>
  <c r="F24" i="94"/>
  <c r="G24" i="94"/>
  <c r="M24" i="94"/>
  <c r="N24" i="94"/>
  <c r="A24" i="94"/>
  <c r="A23" i="94"/>
  <c r="A22" i="94"/>
  <c r="D21" i="94"/>
  <c r="I21" i="94"/>
  <c r="J21" i="94"/>
  <c r="K21" i="94"/>
  <c r="E21" i="94"/>
  <c r="F21" i="94"/>
  <c r="G21" i="94"/>
  <c r="M21" i="94"/>
  <c r="N21" i="94"/>
  <c r="A21" i="94"/>
  <c r="D20" i="94"/>
  <c r="I20" i="94"/>
  <c r="J20" i="94"/>
  <c r="K20" i="94"/>
  <c r="E20" i="94"/>
  <c r="F20" i="94"/>
  <c r="G20" i="94"/>
  <c r="M20" i="94"/>
  <c r="N20" i="94"/>
  <c r="A20" i="94"/>
  <c r="D19" i="94"/>
  <c r="I19" i="94"/>
  <c r="J19" i="94"/>
  <c r="K19" i="94"/>
  <c r="E19" i="94"/>
  <c r="F19" i="94"/>
  <c r="G19" i="94"/>
  <c r="M19" i="94"/>
  <c r="N19" i="94"/>
  <c r="A19" i="94"/>
  <c r="D18" i="94"/>
  <c r="I18" i="94"/>
  <c r="J18" i="94"/>
  <c r="K18" i="94"/>
  <c r="E18" i="94"/>
  <c r="F18" i="94"/>
  <c r="G18" i="94"/>
  <c r="M18" i="94"/>
  <c r="N18" i="94"/>
  <c r="A18" i="94"/>
  <c r="D17" i="94"/>
  <c r="I17" i="94"/>
  <c r="J17" i="94"/>
  <c r="K17" i="94"/>
  <c r="E17" i="94"/>
  <c r="F17" i="94"/>
  <c r="G17" i="94"/>
  <c r="M17" i="94"/>
  <c r="N17" i="94"/>
  <c r="A17" i="94"/>
  <c r="D16" i="94"/>
  <c r="I16" i="94"/>
  <c r="J16" i="94"/>
  <c r="K16" i="94"/>
  <c r="E16" i="94"/>
  <c r="F16" i="94"/>
  <c r="G16" i="94"/>
  <c r="M16" i="94"/>
  <c r="N16" i="94"/>
  <c r="A16" i="94"/>
  <c r="A15" i="94"/>
  <c r="A14" i="94"/>
  <c r="A13" i="94"/>
  <c r="I12" i="94"/>
  <c r="E12" i="94"/>
  <c r="A12" i="94"/>
  <c r="A6" i="94"/>
  <c r="A5" i="94"/>
  <c r="H49" i="93"/>
  <c r="F49" i="93"/>
  <c r="I49" i="93"/>
  <c r="C53" i="92"/>
  <c r="C49" i="93"/>
  <c r="Z27" i="2"/>
  <c r="AA27" i="2"/>
  <c r="H27" i="2"/>
  <c r="I27" i="2"/>
  <c r="AC27" i="2"/>
  <c r="AD27" i="2"/>
  <c r="K27" i="2"/>
  <c r="L27" i="2"/>
  <c r="Q27" i="2"/>
  <c r="R27" i="2"/>
  <c r="G33" i="3"/>
  <c r="D33" i="3"/>
  <c r="H33" i="3"/>
  <c r="O33" i="3"/>
  <c r="P33" i="3"/>
  <c r="R33" i="3"/>
  <c r="T27" i="2"/>
  <c r="U27" i="2"/>
  <c r="AI27" i="2"/>
  <c r="AJ27" i="2"/>
  <c r="AL27" i="2"/>
  <c r="AM27" i="2"/>
  <c r="AO27" i="2"/>
  <c r="AP27" i="2"/>
  <c r="AR27" i="2"/>
  <c r="AS27" i="2"/>
  <c r="AU27" i="2"/>
  <c r="AV27" i="2"/>
  <c r="X27" i="2"/>
  <c r="H43" i="93"/>
  <c r="H44" i="93"/>
  <c r="H48" i="93"/>
  <c r="F48" i="93"/>
  <c r="I48" i="93"/>
  <c r="C52" i="92"/>
  <c r="C48" i="93"/>
  <c r="I45" i="93"/>
  <c r="C65" i="87"/>
  <c r="C45" i="92"/>
  <c r="C41" i="93"/>
  <c r="A45" i="93"/>
  <c r="I44" i="93"/>
  <c r="A44" i="93"/>
  <c r="I43" i="93"/>
  <c r="A43" i="93"/>
  <c r="I42" i="93"/>
  <c r="A42" i="93"/>
  <c r="I41" i="93"/>
  <c r="A41" i="93"/>
  <c r="I40" i="93"/>
  <c r="A40" i="93"/>
  <c r="I39" i="93"/>
  <c r="A39" i="93"/>
  <c r="I38" i="93"/>
  <c r="A38" i="93"/>
  <c r="I37" i="93"/>
  <c r="A37" i="93"/>
  <c r="I36" i="93"/>
  <c r="A36" i="93"/>
  <c r="I35" i="93"/>
  <c r="A35" i="93"/>
  <c r="I34" i="93"/>
  <c r="A34" i="93"/>
  <c r="I33" i="93"/>
  <c r="A33" i="93"/>
  <c r="I32" i="93"/>
  <c r="A32" i="93"/>
  <c r="I31" i="93"/>
  <c r="A31" i="93"/>
  <c r="I30" i="93"/>
  <c r="A30" i="93"/>
  <c r="I29" i="93"/>
  <c r="A29" i="93"/>
  <c r="I28" i="93"/>
  <c r="A28" i="93"/>
  <c r="I27" i="93"/>
  <c r="A27" i="93"/>
  <c r="I26" i="93"/>
  <c r="A26" i="93"/>
  <c r="I25" i="93"/>
  <c r="A25" i="93"/>
  <c r="H24" i="93"/>
  <c r="I24" i="93"/>
  <c r="A24" i="93"/>
  <c r="A23" i="93"/>
  <c r="A22" i="93"/>
  <c r="A21" i="93"/>
  <c r="A20" i="93"/>
  <c r="H19" i="93"/>
  <c r="I19" i="93"/>
  <c r="J19" i="93"/>
  <c r="D19" i="93"/>
  <c r="E19" i="93"/>
  <c r="F19" i="93"/>
  <c r="L19" i="93"/>
  <c r="M19" i="93"/>
  <c r="A19" i="93"/>
  <c r="H18" i="93"/>
  <c r="I18" i="93"/>
  <c r="J18" i="93"/>
  <c r="D18" i="93"/>
  <c r="E18" i="93"/>
  <c r="F18" i="93"/>
  <c r="L18" i="93"/>
  <c r="M18" i="93"/>
  <c r="A18" i="93"/>
  <c r="H17" i="93"/>
  <c r="I17" i="93"/>
  <c r="J17" i="93"/>
  <c r="D17" i="93"/>
  <c r="E17" i="93"/>
  <c r="F17" i="93"/>
  <c r="L17" i="93"/>
  <c r="M17" i="93"/>
  <c r="A17" i="93"/>
  <c r="H16" i="93"/>
  <c r="I16" i="93"/>
  <c r="J16" i="93"/>
  <c r="D16" i="93"/>
  <c r="E16" i="93"/>
  <c r="F16" i="93"/>
  <c r="L16" i="93"/>
  <c r="M16" i="93"/>
  <c r="A16" i="93"/>
  <c r="H15" i="93"/>
  <c r="I15" i="93"/>
  <c r="J15" i="93"/>
  <c r="D15" i="93"/>
  <c r="E15" i="93"/>
  <c r="F15" i="93"/>
  <c r="L15" i="93"/>
  <c r="M15" i="93"/>
  <c r="A15" i="93"/>
  <c r="H14" i="93"/>
  <c r="I14" i="93"/>
  <c r="J14" i="93"/>
  <c r="D14" i="93"/>
  <c r="E14" i="93"/>
  <c r="F14" i="93"/>
  <c r="L14" i="93"/>
  <c r="M14" i="93"/>
  <c r="A14" i="93"/>
  <c r="A13" i="93"/>
  <c r="H12" i="93"/>
  <c r="D12" i="93"/>
  <c r="A12" i="93"/>
  <c r="A6" i="93"/>
  <c r="A5" i="93"/>
  <c r="H53" i="92"/>
  <c r="F53" i="92"/>
  <c r="I53" i="92"/>
  <c r="Z26" i="2"/>
  <c r="AA26" i="2"/>
  <c r="H26" i="2"/>
  <c r="I26" i="2"/>
  <c r="AC26" i="2"/>
  <c r="AD26" i="2"/>
  <c r="K26" i="2"/>
  <c r="L26" i="2"/>
  <c r="Q26" i="2"/>
  <c r="R26" i="2"/>
  <c r="G32" i="3"/>
  <c r="D32" i="3"/>
  <c r="H32" i="3"/>
  <c r="O32" i="3"/>
  <c r="P32" i="3"/>
  <c r="R32" i="3"/>
  <c r="T26" i="2"/>
  <c r="U26" i="2"/>
  <c r="AI26" i="2"/>
  <c r="AJ26" i="2"/>
  <c r="AL26" i="2"/>
  <c r="AM26" i="2"/>
  <c r="AO26" i="2"/>
  <c r="AP26" i="2"/>
  <c r="AR26" i="2"/>
  <c r="AS26" i="2"/>
  <c r="AU26" i="2"/>
  <c r="AV26" i="2"/>
  <c r="X26" i="2"/>
  <c r="H47" i="92"/>
  <c r="H48" i="92"/>
  <c r="H52" i="92"/>
  <c r="F52" i="92"/>
  <c r="I52" i="92"/>
  <c r="I49" i="92"/>
  <c r="A49" i="92"/>
  <c r="I48" i="92"/>
  <c r="A48" i="92"/>
  <c r="I47" i="92"/>
  <c r="A47" i="92"/>
  <c r="I46" i="92"/>
  <c r="A46" i="92"/>
  <c r="I45" i="92"/>
  <c r="A45" i="92"/>
  <c r="I44" i="92"/>
  <c r="A44" i="92"/>
  <c r="I43" i="92"/>
  <c r="A43" i="92"/>
  <c r="I42" i="92"/>
  <c r="A42" i="92"/>
  <c r="I41" i="92"/>
  <c r="A41" i="92"/>
  <c r="I40" i="92"/>
  <c r="A40" i="92"/>
  <c r="I39" i="92"/>
  <c r="A39" i="92"/>
  <c r="I38" i="92"/>
  <c r="A38" i="92"/>
  <c r="I37" i="92"/>
  <c r="A37" i="92"/>
  <c r="I36" i="92"/>
  <c r="A36" i="92"/>
  <c r="I35" i="92"/>
  <c r="A35" i="92"/>
  <c r="I34" i="92"/>
  <c r="A34" i="92"/>
  <c r="I33" i="92"/>
  <c r="A33" i="92"/>
  <c r="I32" i="92"/>
  <c r="A32" i="92"/>
  <c r="I31" i="92"/>
  <c r="A31" i="92"/>
  <c r="I30" i="92"/>
  <c r="A30" i="92"/>
  <c r="I29" i="92"/>
  <c r="A29" i="92"/>
  <c r="H28" i="92"/>
  <c r="I28" i="92"/>
  <c r="A28" i="92"/>
  <c r="A27" i="92"/>
  <c r="A26" i="92"/>
  <c r="A25" i="92"/>
  <c r="A24" i="92"/>
  <c r="H23" i="92"/>
  <c r="I23" i="92"/>
  <c r="J23" i="92"/>
  <c r="D23" i="92"/>
  <c r="E23" i="92"/>
  <c r="F23" i="92"/>
  <c r="L23" i="92"/>
  <c r="M23" i="92"/>
  <c r="A23" i="92"/>
  <c r="H22" i="92"/>
  <c r="I22" i="92"/>
  <c r="J22" i="92"/>
  <c r="D22" i="92"/>
  <c r="E22" i="92"/>
  <c r="F22" i="92"/>
  <c r="L22" i="92"/>
  <c r="M22" i="92"/>
  <c r="A22" i="92"/>
  <c r="H21" i="92"/>
  <c r="I21" i="92"/>
  <c r="J21" i="92"/>
  <c r="D21" i="92"/>
  <c r="E21" i="92"/>
  <c r="F21" i="92"/>
  <c r="L21" i="92"/>
  <c r="M21" i="92"/>
  <c r="A21" i="92"/>
  <c r="H20" i="92"/>
  <c r="I20" i="92"/>
  <c r="J20" i="92"/>
  <c r="D20" i="92"/>
  <c r="E20" i="92"/>
  <c r="F20" i="92"/>
  <c r="L20" i="92"/>
  <c r="M20" i="92"/>
  <c r="A20" i="92"/>
  <c r="H19" i="92"/>
  <c r="I19" i="92"/>
  <c r="J19" i="92"/>
  <c r="D19" i="92"/>
  <c r="E19" i="92"/>
  <c r="F19" i="92"/>
  <c r="L19" i="92"/>
  <c r="M19" i="92"/>
  <c r="A19" i="92"/>
  <c r="H18" i="92"/>
  <c r="I18" i="92"/>
  <c r="J18" i="92"/>
  <c r="D18" i="92"/>
  <c r="E18" i="92"/>
  <c r="F18" i="92"/>
  <c r="L18" i="92"/>
  <c r="M18" i="92"/>
  <c r="A18" i="92"/>
  <c r="H17" i="92"/>
  <c r="I17" i="92"/>
  <c r="J17" i="92"/>
  <c r="D17" i="92"/>
  <c r="E17" i="92"/>
  <c r="F17" i="92"/>
  <c r="L17" i="92"/>
  <c r="M17" i="92"/>
  <c r="A17" i="92"/>
  <c r="H16" i="92"/>
  <c r="I16" i="92"/>
  <c r="J16" i="92"/>
  <c r="D16" i="92"/>
  <c r="E16" i="92"/>
  <c r="F16" i="92"/>
  <c r="L16" i="92"/>
  <c r="M16" i="92"/>
  <c r="A16" i="92"/>
  <c r="H15" i="92"/>
  <c r="I15" i="92"/>
  <c r="J15" i="92"/>
  <c r="D15" i="92"/>
  <c r="E15" i="92"/>
  <c r="F15" i="92"/>
  <c r="L15" i="92"/>
  <c r="M15" i="92"/>
  <c r="A15" i="92"/>
  <c r="H14" i="92"/>
  <c r="I14" i="92"/>
  <c r="J14" i="92"/>
  <c r="D14" i="92"/>
  <c r="E14" i="92"/>
  <c r="F14" i="92"/>
  <c r="L14" i="92"/>
  <c r="M14" i="92"/>
  <c r="A14" i="92"/>
  <c r="A13" i="92"/>
  <c r="H12" i="92"/>
  <c r="D12" i="92"/>
  <c r="A12" i="92"/>
  <c r="A6" i="92"/>
  <c r="A5" i="92"/>
  <c r="I70" i="91"/>
  <c r="G70" i="91"/>
  <c r="J70" i="91"/>
  <c r="C80" i="81"/>
  <c r="C69" i="84"/>
  <c r="C70" i="91"/>
  <c r="Z25" i="2"/>
  <c r="AA25" i="2"/>
  <c r="H25" i="2"/>
  <c r="I25" i="2"/>
  <c r="AC25" i="2"/>
  <c r="AD25" i="2"/>
  <c r="K25" i="2"/>
  <c r="L25" i="2"/>
  <c r="Q25" i="2"/>
  <c r="R25" i="2"/>
  <c r="G31" i="3"/>
  <c r="D31" i="3"/>
  <c r="H31" i="3"/>
  <c r="O31" i="3"/>
  <c r="P31" i="3"/>
  <c r="R31" i="3"/>
  <c r="T25" i="2"/>
  <c r="U25" i="2"/>
  <c r="AI25" i="2"/>
  <c r="AJ25" i="2"/>
  <c r="AL25" i="2"/>
  <c r="AM25" i="2"/>
  <c r="AO25" i="2"/>
  <c r="AP25" i="2"/>
  <c r="AR25" i="2"/>
  <c r="AS25" i="2"/>
  <c r="AU25" i="2"/>
  <c r="AV25" i="2"/>
  <c r="X25" i="2"/>
  <c r="I63" i="91"/>
  <c r="I64" i="91"/>
  <c r="I69" i="91"/>
  <c r="G69" i="91"/>
  <c r="J69" i="91"/>
  <c r="C79" i="81"/>
  <c r="C68" i="84"/>
  <c r="C69" i="91"/>
  <c r="I68" i="91"/>
  <c r="G68" i="91"/>
  <c r="J68" i="91"/>
  <c r="C68" i="91"/>
  <c r="J65" i="91"/>
  <c r="C67" i="90"/>
  <c r="C65" i="91"/>
  <c r="C24" i="91"/>
  <c r="C25" i="91"/>
  <c r="C26" i="91"/>
  <c r="C27" i="91"/>
  <c r="C28" i="91"/>
  <c r="C32" i="91"/>
  <c r="C33" i="91"/>
  <c r="C34" i="91"/>
  <c r="C35" i="91"/>
  <c r="C36" i="91"/>
  <c r="C48" i="89"/>
  <c r="C48" i="90"/>
  <c r="C46" i="91"/>
  <c r="C49" i="89"/>
  <c r="C49" i="90"/>
  <c r="C47" i="91"/>
  <c r="C50" i="89"/>
  <c r="C50" i="90"/>
  <c r="C48" i="91"/>
  <c r="C51" i="89"/>
  <c r="C51" i="90"/>
  <c r="C49" i="91"/>
  <c r="C52" i="89"/>
  <c r="C52" i="90"/>
  <c r="C50" i="91"/>
  <c r="C53" i="89"/>
  <c r="C53" i="90"/>
  <c r="C51" i="91"/>
  <c r="C54" i="89"/>
  <c r="C54" i="90"/>
  <c r="C52" i="91"/>
  <c r="C55" i="89"/>
  <c r="C55" i="90"/>
  <c r="C53" i="91"/>
  <c r="C56" i="89"/>
  <c r="C56" i="90"/>
  <c r="C54" i="91"/>
  <c r="C57" i="89"/>
  <c r="C57" i="90"/>
  <c r="C55" i="91"/>
  <c r="C58" i="89"/>
  <c r="C58" i="90"/>
  <c r="C56" i="91"/>
  <c r="C59" i="89"/>
  <c r="C59" i="90"/>
  <c r="C57" i="91"/>
  <c r="C60" i="89"/>
  <c r="C60" i="90"/>
  <c r="C58" i="91"/>
  <c r="C61" i="89"/>
  <c r="C61" i="90"/>
  <c r="C59" i="91"/>
  <c r="C62" i="89"/>
  <c r="C62" i="90"/>
  <c r="C60" i="91"/>
  <c r="C63" i="90"/>
  <c r="C61" i="91"/>
  <c r="C60" i="88"/>
  <c r="C64" i="89"/>
  <c r="C64" i="90"/>
  <c r="C62" i="91"/>
  <c r="C65" i="90"/>
  <c r="C63" i="91"/>
  <c r="C66" i="90"/>
  <c r="C64" i="91"/>
  <c r="A65" i="91"/>
  <c r="J64" i="91"/>
  <c r="A64" i="91"/>
  <c r="J63" i="91"/>
  <c r="A63" i="91"/>
  <c r="J62" i="91"/>
  <c r="A62" i="91"/>
  <c r="J61" i="91"/>
  <c r="A61" i="91"/>
  <c r="J60" i="91"/>
  <c r="A60" i="91"/>
  <c r="J59" i="91"/>
  <c r="A59" i="91"/>
  <c r="J58" i="91"/>
  <c r="A58" i="91"/>
  <c r="J57" i="91"/>
  <c r="A57" i="91"/>
  <c r="J56" i="91"/>
  <c r="A56" i="91"/>
  <c r="J55" i="91"/>
  <c r="A55" i="91"/>
  <c r="J54" i="91"/>
  <c r="A54" i="91"/>
  <c r="J53" i="91"/>
  <c r="A53" i="91"/>
  <c r="J52" i="91"/>
  <c r="A52" i="91"/>
  <c r="J51" i="91"/>
  <c r="A51" i="91"/>
  <c r="J50" i="91"/>
  <c r="A50" i="91"/>
  <c r="J49" i="91"/>
  <c r="A49" i="91"/>
  <c r="J48" i="91"/>
  <c r="A48" i="91"/>
  <c r="J47" i="91"/>
  <c r="A47" i="91"/>
  <c r="J46" i="91"/>
  <c r="A46" i="91"/>
  <c r="J45" i="91"/>
  <c r="A45" i="91"/>
  <c r="J44" i="91"/>
  <c r="A44" i="91"/>
  <c r="J43" i="91"/>
  <c r="A43" i="91"/>
  <c r="I42" i="91"/>
  <c r="J42" i="91"/>
  <c r="A42" i="91"/>
  <c r="J41" i="89"/>
  <c r="J41" i="90"/>
  <c r="J41" i="91"/>
  <c r="I41" i="89"/>
  <c r="I41" i="90"/>
  <c r="I41" i="91"/>
  <c r="G41" i="89"/>
  <c r="G41" i="90"/>
  <c r="G41" i="91"/>
  <c r="A41" i="91"/>
  <c r="I40" i="89"/>
  <c r="I40" i="90"/>
  <c r="I40" i="91"/>
  <c r="G40" i="89"/>
  <c r="G40" i="90"/>
  <c r="G40" i="91"/>
  <c r="A40" i="91"/>
  <c r="A39" i="91"/>
  <c r="A38" i="91"/>
  <c r="D37" i="91"/>
  <c r="I37" i="91"/>
  <c r="J37" i="91"/>
  <c r="K37" i="91"/>
  <c r="E37" i="91"/>
  <c r="F37" i="91"/>
  <c r="G37" i="91"/>
  <c r="M37" i="91"/>
  <c r="N37" i="91"/>
  <c r="A37" i="91"/>
  <c r="D36" i="91"/>
  <c r="I36" i="91"/>
  <c r="J36" i="91"/>
  <c r="K36" i="91"/>
  <c r="E36" i="91"/>
  <c r="F36" i="91"/>
  <c r="G36" i="91"/>
  <c r="M36" i="91"/>
  <c r="N36" i="91"/>
  <c r="A36" i="91"/>
  <c r="D35" i="91"/>
  <c r="I35" i="91"/>
  <c r="J35" i="91"/>
  <c r="K35" i="91"/>
  <c r="E35" i="91"/>
  <c r="F35" i="91"/>
  <c r="G35" i="91"/>
  <c r="M35" i="91"/>
  <c r="N35" i="91"/>
  <c r="A35" i="91"/>
  <c r="D34" i="91"/>
  <c r="I34" i="91"/>
  <c r="J34" i="91"/>
  <c r="K34" i="91"/>
  <c r="E34" i="91"/>
  <c r="F34" i="91"/>
  <c r="G34" i="91"/>
  <c r="M34" i="91"/>
  <c r="N34" i="91"/>
  <c r="A34" i="91"/>
  <c r="D33" i="91"/>
  <c r="I33" i="91"/>
  <c r="J33" i="91"/>
  <c r="K33" i="91"/>
  <c r="E33" i="91"/>
  <c r="F33" i="91"/>
  <c r="G33" i="91"/>
  <c r="M33" i="91"/>
  <c r="N33" i="91"/>
  <c r="A33" i="91"/>
  <c r="D32" i="91"/>
  <c r="I32" i="91"/>
  <c r="J32" i="91"/>
  <c r="K32" i="91"/>
  <c r="E32" i="91"/>
  <c r="F32" i="91"/>
  <c r="G32" i="91"/>
  <c r="M32" i="91"/>
  <c r="N32" i="91"/>
  <c r="A32" i="91"/>
  <c r="A31" i="91"/>
  <c r="A30" i="91"/>
  <c r="D29" i="91"/>
  <c r="I29" i="91"/>
  <c r="J29" i="91"/>
  <c r="K29" i="91"/>
  <c r="E29" i="91"/>
  <c r="F29" i="91"/>
  <c r="G29" i="91"/>
  <c r="M29" i="91"/>
  <c r="N29" i="91"/>
  <c r="A29" i="91"/>
  <c r="D28" i="91"/>
  <c r="I28" i="91"/>
  <c r="J28" i="91"/>
  <c r="K28" i="91"/>
  <c r="E28" i="91"/>
  <c r="F28" i="91"/>
  <c r="G28" i="91"/>
  <c r="M28" i="91"/>
  <c r="N28" i="91"/>
  <c r="A28" i="91"/>
  <c r="D27" i="91"/>
  <c r="I27" i="91"/>
  <c r="J27" i="91"/>
  <c r="K27" i="91"/>
  <c r="E27" i="91"/>
  <c r="F27" i="91"/>
  <c r="G27" i="91"/>
  <c r="M27" i="91"/>
  <c r="N27" i="91"/>
  <c r="A27" i="91"/>
  <c r="D26" i="91"/>
  <c r="I26" i="91"/>
  <c r="J26" i="91"/>
  <c r="K26" i="91"/>
  <c r="E26" i="91"/>
  <c r="F26" i="91"/>
  <c r="G26" i="91"/>
  <c r="M26" i="91"/>
  <c r="N26" i="91"/>
  <c r="A26" i="91"/>
  <c r="D25" i="91"/>
  <c r="I25" i="91"/>
  <c r="J25" i="91"/>
  <c r="K25" i="91"/>
  <c r="E25" i="91"/>
  <c r="F25" i="91"/>
  <c r="G25" i="91"/>
  <c r="M25" i="91"/>
  <c r="N25" i="91"/>
  <c r="A25" i="91"/>
  <c r="D24" i="91"/>
  <c r="I24" i="91"/>
  <c r="J24" i="91"/>
  <c r="K24" i="91"/>
  <c r="E24" i="91"/>
  <c r="F24" i="91"/>
  <c r="G24" i="91"/>
  <c r="M24" i="91"/>
  <c r="N24" i="91"/>
  <c r="A24" i="91"/>
  <c r="A23" i="91"/>
  <c r="A22" i="91"/>
  <c r="D21" i="91"/>
  <c r="I21" i="91"/>
  <c r="J21" i="91"/>
  <c r="K21" i="91"/>
  <c r="E21" i="91"/>
  <c r="F21" i="91"/>
  <c r="G21" i="91"/>
  <c r="M21" i="91"/>
  <c r="N21" i="91"/>
  <c r="A21" i="91"/>
  <c r="D20" i="91"/>
  <c r="I20" i="91"/>
  <c r="J20" i="91"/>
  <c r="K20" i="91"/>
  <c r="E20" i="91"/>
  <c r="F20" i="91"/>
  <c r="G20" i="91"/>
  <c r="M20" i="91"/>
  <c r="N20" i="91"/>
  <c r="A20" i="91"/>
  <c r="D19" i="91"/>
  <c r="I19" i="91"/>
  <c r="J19" i="91"/>
  <c r="K19" i="91"/>
  <c r="E19" i="91"/>
  <c r="F19" i="91"/>
  <c r="G19" i="91"/>
  <c r="M19" i="91"/>
  <c r="N19" i="91"/>
  <c r="A19" i="91"/>
  <c r="D18" i="91"/>
  <c r="I18" i="91"/>
  <c r="J18" i="91"/>
  <c r="K18" i="91"/>
  <c r="E18" i="91"/>
  <c r="F18" i="91"/>
  <c r="G18" i="91"/>
  <c r="M18" i="91"/>
  <c r="N18" i="91"/>
  <c r="A18" i="91"/>
  <c r="D17" i="91"/>
  <c r="I17" i="91"/>
  <c r="J17" i="91"/>
  <c r="K17" i="91"/>
  <c r="E17" i="91"/>
  <c r="F17" i="91"/>
  <c r="G17" i="91"/>
  <c r="M17" i="91"/>
  <c r="N17" i="91"/>
  <c r="A17" i="91"/>
  <c r="D16" i="91"/>
  <c r="I16" i="91"/>
  <c r="J16" i="91"/>
  <c r="K16" i="91"/>
  <c r="E16" i="91"/>
  <c r="F16" i="91"/>
  <c r="G16" i="91"/>
  <c r="M16" i="91"/>
  <c r="N16" i="91"/>
  <c r="A16" i="91"/>
  <c r="A15" i="91"/>
  <c r="A14" i="91"/>
  <c r="A13" i="91"/>
  <c r="I12" i="91"/>
  <c r="E12" i="91"/>
  <c r="A12" i="91"/>
  <c r="A6" i="91"/>
  <c r="A5" i="91"/>
  <c r="I78" i="90"/>
  <c r="G78" i="90"/>
  <c r="J78" i="90"/>
  <c r="Z24" i="2"/>
  <c r="AA24" i="2"/>
  <c r="H24" i="2"/>
  <c r="I24" i="2"/>
  <c r="AC24" i="2"/>
  <c r="AD24" i="2"/>
  <c r="K24" i="2"/>
  <c r="L24" i="2"/>
  <c r="Q24" i="2"/>
  <c r="R24" i="2"/>
  <c r="G30" i="3"/>
  <c r="D30" i="3"/>
  <c r="H30" i="3"/>
  <c r="O30" i="3"/>
  <c r="P30" i="3"/>
  <c r="R30" i="3"/>
  <c r="T24" i="2"/>
  <c r="U24" i="2"/>
  <c r="AI24" i="2"/>
  <c r="AJ24" i="2"/>
  <c r="AL24" i="2"/>
  <c r="AM24" i="2"/>
  <c r="AO24" i="2"/>
  <c r="AP24" i="2"/>
  <c r="AR24" i="2"/>
  <c r="AS24" i="2"/>
  <c r="AU24" i="2"/>
  <c r="AV24" i="2"/>
  <c r="X24" i="2"/>
  <c r="I65" i="90"/>
  <c r="I66" i="90"/>
  <c r="I77" i="90"/>
  <c r="G77" i="90"/>
  <c r="J77" i="90"/>
  <c r="C77" i="90"/>
  <c r="I76" i="90"/>
  <c r="G76" i="90"/>
  <c r="J76" i="90"/>
  <c r="I75" i="90"/>
  <c r="G75" i="90"/>
  <c r="J75" i="90"/>
  <c r="I74" i="90"/>
  <c r="G74" i="90"/>
  <c r="J74" i="90"/>
  <c r="A72" i="90"/>
  <c r="C24" i="90"/>
  <c r="C25" i="90"/>
  <c r="C26" i="90"/>
  <c r="C27" i="90"/>
  <c r="C28" i="90"/>
  <c r="C32" i="90"/>
  <c r="C33" i="90"/>
  <c r="C34" i="90"/>
  <c r="C35" i="90"/>
  <c r="C36" i="90"/>
  <c r="A71" i="90"/>
  <c r="A70" i="90"/>
  <c r="A69" i="90"/>
  <c r="A68" i="90"/>
  <c r="J67" i="90"/>
  <c r="A67" i="90"/>
  <c r="J66" i="90"/>
  <c r="A66" i="90"/>
  <c r="J65" i="90"/>
  <c r="A65" i="90"/>
  <c r="J64" i="90"/>
  <c r="A64" i="90"/>
  <c r="J63" i="90"/>
  <c r="A63" i="90"/>
  <c r="J62" i="90"/>
  <c r="A62" i="90"/>
  <c r="J61" i="90"/>
  <c r="A61" i="90"/>
  <c r="J60" i="90"/>
  <c r="A60" i="90"/>
  <c r="J59" i="90"/>
  <c r="A59" i="90"/>
  <c r="J58" i="90"/>
  <c r="A58" i="90"/>
  <c r="J57" i="90"/>
  <c r="A57" i="90"/>
  <c r="J56" i="90"/>
  <c r="A56" i="90"/>
  <c r="J55" i="90"/>
  <c r="A55" i="90"/>
  <c r="J54" i="90"/>
  <c r="A54" i="90"/>
  <c r="J53" i="90"/>
  <c r="A53" i="90"/>
  <c r="J52" i="90"/>
  <c r="A52" i="90"/>
  <c r="J51" i="90"/>
  <c r="A51" i="90"/>
  <c r="J50" i="90"/>
  <c r="A50" i="90"/>
  <c r="J49" i="90"/>
  <c r="A49" i="90"/>
  <c r="J48" i="90"/>
  <c r="A48" i="90"/>
  <c r="J47" i="90"/>
  <c r="A47" i="90"/>
  <c r="J46" i="90"/>
  <c r="A46" i="90"/>
  <c r="J45" i="90"/>
  <c r="A45" i="90"/>
  <c r="J44" i="90"/>
  <c r="A44" i="90"/>
  <c r="J43" i="90"/>
  <c r="A43" i="90"/>
  <c r="I42" i="90"/>
  <c r="J42" i="90"/>
  <c r="A42" i="90"/>
  <c r="A41" i="90"/>
  <c r="A40" i="90"/>
  <c r="A39" i="90"/>
  <c r="A38" i="90"/>
  <c r="D37" i="90"/>
  <c r="I37" i="90"/>
  <c r="J37" i="90"/>
  <c r="K37" i="90"/>
  <c r="AF37" i="90"/>
  <c r="E37" i="90"/>
  <c r="F37" i="90"/>
  <c r="G37" i="90"/>
  <c r="M37" i="90"/>
  <c r="N37" i="90"/>
  <c r="A37" i="90"/>
  <c r="D36" i="90"/>
  <c r="I36" i="90"/>
  <c r="J36" i="90"/>
  <c r="K36" i="90"/>
  <c r="AF36" i="90"/>
  <c r="E36" i="90"/>
  <c r="F36" i="90"/>
  <c r="G36" i="90"/>
  <c r="M36" i="90"/>
  <c r="N36" i="90"/>
  <c r="A36" i="90"/>
  <c r="D35" i="90"/>
  <c r="I35" i="90"/>
  <c r="J35" i="90"/>
  <c r="K35" i="90"/>
  <c r="AF35" i="90"/>
  <c r="E35" i="90"/>
  <c r="F35" i="90"/>
  <c r="G35" i="90"/>
  <c r="M35" i="90"/>
  <c r="N35" i="90"/>
  <c r="A35" i="90"/>
  <c r="D34" i="90"/>
  <c r="I34" i="90"/>
  <c r="J34" i="90"/>
  <c r="K34" i="90"/>
  <c r="AF34" i="90"/>
  <c r="E34" i="90"/>
  <c r="F34" i="90"/>
  <c r="G34" i="90"/>
  <c r="M34" i="90"/>
  <c r="N34" i="90"/>
  <c r="A34" i="90"/>
  <c r="D33" i="90"/>
  <c r="I33" i="90"/>
  <c r="J33" i="90"/>
  <c r="K33" i="90"/>
  <c r="AF33" i="90"/>
  <c r="E33" i="90"/>
  <c r="F33" i="90"/>
  <c r="G33" i="90"/>
  <c r="M33" i="90"/>
  <c r="N33" i="90"/>
  <c r="A33" i="90"/>
  <c r="D32" i="90"/>
  <c r="I32" i="90"/>
  <c r="J32" i="90"/>
  <c r="K32" i="90"/>
  <c r="AF32" i="90"/>
  <c r="E32" i="90"/>
  <c r="F32" i="90"/>
  <c r="G32" i="90"/>
  <c r="M32" i="90"/>
  <c r="N32" i="90"/>
  <c r="A32" i="90"/>
  <c r="A31" i="90"/>
  <c r="A30" i="90"/>
  <c r="D29" i="90"/>
  <c r="I29" i="90"/>
  <c r="J29" i="90"/>
  <c r="K29" i="90"/>
  <c r="AF29" i="90"/>
  <c r="E29" i="90"/>
  <c r="F29" i="90"/>
  <c r="G29" i="90"/>
  <c r="M29" i="90"/>
  <c r="N29" i="90"/>
  <c r="A29" i="90"/>
  <c r="D28" i="90"/>
  <c r="I28" i="90"/>
  <c r="J28" i="90"/>
  <c r="K28" i="90"/>
  <c r="AF28" i="90"/>
  <c r="E28" i="90"/>
  <c r="F28" i="90"/>
  <c r="G28" i="90"/>
  <c r="M28" i="90"/>
  <c r="N28" i="90"/>
  <c r="A28" i="90"/>
  <c r="D27" i="90"/>
  <c r="I27" i="90"/>
  <c r="J27" i="90"/>
  <c r="K27" i="90"/>
  <c r="AF27" i="90"/>
  <c r="E27" i="90"/>
  <c r="F27" i="90"/>
  <c r="G27" i="90"/>
  <c r="M27" i="90"/>
  <c r="N27" i="90"/>
  <c r="A27" i="90"/>
  <c r="D26" i="90"/>
  <c r="I26" i="90"/>
  <c r="J26" i="90"/>
  <c r="K26" i="90"/>
  <c r="AF26" i="90"/>
  <c r="E26" i="90"/>
  <c r="F26" i="90"/>
  <c r="G26" i="90"/>
  <c r="M26" i="90"/>
  <c r="N26" i="90"/>
  <c r="A26" i="90"/>
  <c r="D25" i="90"/>
  <c r="I25" i="90"/>
  <c r="J25" i="90"/>
  <c r="K25" i="90"/>
  <c r="AF25" i="90"/>
  <c r="E25" i="90"/>
  <c r="F25" i="90"/>
  <c r="G25" i="90"/>
  <c r="M25" i="90"/>
  <c r="N25" i="90"/>
  <c r="A25" i="90"/>
  <c r="D24" i="90"/>
  <c r="I24" i="90"/>
  <c r="J24" i="90"/>
  <c r="K24" i="90"/>
  <c r="AF24" i="90"/>
  <c r="E24" i="90"/>
  <c r="F24" i="90"/>
  <c r="G24" i="90"/>
  <c r="M24" i="90"/>
  <c r="N24" i="90"/>
  <c r="A24" i="90"/>
  <c r="A23" i="90"/>
  <c r="A22" i="90"/>
  <c r="D21" i="90"/>
  <c r="I21" i="90"/>
  <c r="J21" i="90"/>
  <c r="K21" i="90"/>
  <c r="AF21" i="90"/>
  <c r="E21" i="90"/>
  <c r="F21" i="90"/>
  <c r="G21" i="90"/>
  <c r="M21" i="90"/>
  <c r="N21" i="90"/>
  <c r="A21" i="90"/>
  <c r="D20" i="90"/>
  <c r="I20" i="90"/>
  <c r="J20" i="90"/>
  <c r="K20" i="90"/>
  <c r="AF20" i="90"/>
  <c r="E20" i="90"/>
  <c r="F20" i="90"/>
  <c r="G20" i="90"/>
  <c r="M20" i="90"/>
  <c r="N20" i="90"/>
  <c r="A20" i="90"/>
  <c r="D19" i="90"/>
  <c r="I19" i="90"/>
  <c r="J19" i="90"/>
  <c r="K19" i="90"/>
  <c r="AF19" i="90"/>
  <c r="E19" i="90"/>
  <c r="F19" i="90"/>
  <c r="G19" i="90"/>
  <c r="M19" i="90"/>
  <c r="N19" i="90"/>
  <c r="A19" i="90"/>
  <c r="D18" i="90"/>
  <c r="I18" i="90"/>
  <c r="J18" i="90"/>
  <c r="K18" i="90"/>
  <c r="AF18" i="90"/>
  <c r="E18" i="90"/>
  <c r="F18" i="90"/>
  <c r="G18" i="90"/>
  <c r="M18" i="90"/>
  <c r="N18" i="90"/>
  <c r="A18" i="90"/>
  <c r="D17" i="90"/>
  <c r="I17" i="90"/>
  <c r="J17" i="90"/>
  <c r="K17" i="90"/>
  <c r="AF17" i="90"/>
  <c r="E17" i="90"/>
  <c r="F17" i="90"/>
  <c r="G17" i="90"/>
  <c r="M17" i="90"/>
  <c r="N17" i="90"/>
  <c r="A17" i="90"/>
  <c r="D16" i="90"/>
  <c r="I16" i="90"/>
  <c r="J16" i="90"/>
  <c r="K16" i="90"/>
  <c r="AF16" i="90"/>
  <c r="E16" i="90"/>
  <c r="F16" i="90"/>
  <c r="G16" i="90"/>
  <c r="M16" i="90"/>
  <c r="N16" i="90"/>
  <c r="A16" i="90"/>
  <c r="A15" i="90"/>
  <c r="A14" i="90"/>
  <c r="A13" i="90"/>
  <c r="I12" i="90"/>
  <c r="E12" i="90"/>
  <c r="A12" i="90"/>
  <c r="A6" i="90"/>
  <c r="A5" i="90"/>
  <c r="A89" i="89"/>
  <c r="A88" i="89"/>
  <c r="A87" i="89"/>
  <c r="A86" i="89"/>
  <c r="A85" i="89"/>
  <c r="A84" i="89"/>
  <c r="A83" i="89"/>
  <c r="A82" i="89"/>
  <c r="A81" i="89"/>
  <c r="A80" i="89"/>
  <c r="I78" i="89"/>
  <c r="G78" i="89"/>
  <c r="J78" i="89"/>
  <c r="Z23" i="2"/>
  <c r="AA23" i="2"/>
  <c r="H23" i="2"/>
  <c r="I23" i="2"/>
  <c r="AC23" i="2"/>
  <c r="AD23" i="2"/>
  <c r="K23" i="2"/>
  <c r="L23" i="2"/>
  <c r="Q23" i="2"/>
  <c r="R23" i="2"/>
  <c r="G29" i="3"/>
  <c r="D29" i="3"/>
  <c r="H29" i="3"/>
  <c r="O29" i="3"/>
  <c r="P29" i="3"/>
  <c r="R29" i="3"/>
  <c r="T23" i="2"/>
  <c r="U23" i="2"/>
  <c r="AI23" i="2"/>
  <c r="AJ23" i="2"/>
  <c r="AL23" i="2"/>
  <c r="AM23" i="2"/>
  <c r="AO23" i="2"/>
  <c r="AP23" i="2"/>
  <c r="AR23" i="2"/>
  <c r="AS23" i="2"/>
  <c r="AU23" i="2"/>
  <c r="AV23" i="2"/>
  <c r="X23" i="2"/>
  <c r="I65" i="89"/>
  <c r="I66" i="89"/>
  <c r="I77" i="89"/>
  <c r="G77" i="89"/>
  <c r="J77" i="89"/>
  <c r="I76" i="89"/>
  <c r="G76" i="89"/>
  <c r="J76" i="89"/>
  <c r="I75" i="89"/>
  <c r="G75" i="89"/>
  <c r="J75" i="89"/>
  <c r="I74" i="89"/>
  <c r="G74" i="89"/>
  <c r="J74" i="89"/>
  <c r="A72" i="89"/>
  <c r="C24" i="89"/>
  <c r="C25" i="89"/>
  <c r="C26" i="89"/>
  <c r="C27" i="89"/>
  <c r="C28" i="89"/>
  <c r="C32" i="89"/>
  <c r="C33" i="89"/>
  <c r="C34" i="89"/>
  <c r="C35" i="89"/>
  <c r="C36" i="89"/>
  <c r="A71" i="89"/>
  <c r="A70" i="89"/>
  <c r="A69" i="89"/>
  <c r="A68" i="89"/>
  <c r="J67" i="89"/>
  <c r="A67" i="89"/>
  <c r="J66" i="89"/>
  <c r="A66" i="89"/>
  <c r="J65" i="89"/>
  <c r="A65" i="89"/>
  <c r="J64" i="89"/>
  <c r="A64" i="89"/>
  <c r="J63" i="89"/>
  <c r="A63" i="89"/>
  <c r="J62" i="89"/>
  <c r="A62" i="89"/>
  <c r="J61" i="89"/>
  <c r="A61" i="89"/>
  <c r="J60" i="89"/>
  <c r="A60" i="89"/>
  <c r="J59" i="89"/>
  <c r="A59" i="89"/>
  <c r="J58" i="89"/>
  <c r="A58" i="89"/>
  <c r="J57" i="89"/>
  <c r="A57" i="89"/>
  <c r="J56" i="89"/>
  <c r="A56" i="89"/>
  <c r="J55" i="89"/>
  <c r="A55" i="89"/>
  <c r="J54" i="89"/>
  <c r="A54" i="89"/>
  <c r="J53" i="89"/>
  <c r="A53" i="89"/>
  <c r="J52" i="89"/>
  <c r="A52" i="89"/>
  <c r="J51" i="89"/>
  <c r="A51" i="89"/>
  <c r="J50" i="89"/>
  <c r="A50" i="89"/>
  <c r="J49" i="89"/>
  <c r="A49" i="89"/>
  <c r="J48" i="89"/>
  <c r="A48" i="89"/>
  <c r="J47" i="89"/>
  <c r="A47" i="89"/>
  <c r="J46" i="89"/>
  <c r="A46" i="89"/>
  <c r="J45" i="89"/>
  <c r="A45" i="89"/>
  <c r="J44" i="89"/>
  <c r="A44" i="89"/>
  <c r="J43" i="89"/>
  <c r="A43" i="89"/>
  <c r="I42" i="89"/>
  <c r="J42" i="89"/>
  <c r="A42" i="89"/>
  <c r="A41" i="89"/>
  <c r="A40" i="89"/>
  <c r="A39" i="89"/>
  <c r="A38" i="89"/>
  <c r="D37" i="89"/>
  <c r="I37" i="89"/>
  <c r="J37" i="89"/>
  <c r="K37" i="89"/>
  <c r="AF37" i="89"/>
  <c r="E37" i="89"/>
  <c r="F37" i="89"/>
  <c r="G37" i="89"/>
  <c r="M37" i="89"/>
  <c r="N37" i="89"/>
  <c r="A37" i="89"/>
  <c r="D36" i="89"/>
  <c r="I36" i="89"/>
  <c r="J36" i="89"/>
  <c r="K36" i="89"/>
  <c r="AF36" i="89"/>
  <c r="E36" i="89"/>
  <c r="F36" i="89"/>
  <c r="G36" i="89"/>
  <c r="M36" i="89"/>
  <c r="N36" i="89"/>
  <c r="A36" i="89"/>
  <c r="D35" i="89"/>
  <c r="I35" i="89"/>
  <c r="J35" i="89"/>
  <c r="K35" i="89"/>
  <c r="AF35" i="89"/>
  <c r="E35" i="89"/>
  <c r="F35" i="89"/>
  <c r="G35" i="89"/>
  <c r="M35" i="89"/>
  <c r="N35" i="89"/>
  <c r="A35" i="89"/>
  <c r="D34" i="89"/>
  <c r="I34" i="89"/>
  <c r="J34" i="89"/>
  <c r="K34" i="89"/>
  <c r="AF34" i="89"/>
  <c r="E34" i="89"/>
  <c r="F34" i="89"/>
  <c r="G34" i="89"/>
  <c r="M34" i="89"/>
  <c r="N34" i="89"/>
  <c r="A34" i="89"/>
  <c r="D33" i="89"/>
  <c r="I33" i="89"/>
  <c r="J33" i="89"/>
  <c r="K33" i="89"/>
  <c r="AF33" i="89"/>
  <c r="E33" i="89"/>
  <c r="F33" i="89"/>
  <c r="G33" i="89"/>
  <c r="M33" i="89"/>
  <c r="N33" i="89"/>
  <c r="A33" i="89"/>
  <c r="D32" i="89"/>
  <c r="I32" i="89"/>
  <c r="J32" i="89"/>
  <c r="K32" i="89"/>
  <c r="AF32" i="89"/>
  <c r="E32" i="89"/>
  <c r="F32" i="89"/>
  <c r="G32" i="89"/>
  <c r="M32" i="89"/>
  <c r="N32" i="89"/>
  <c r="A32" i="89"/>
  <c r="A31" i="89"/>
  <c r="A30" i="89"/>
  <c r="D29" i="89"/>
  <c r="I29" i="89"/>
  <c r="J29" i="89"/>
  <c r="K29" i="89"/>
  <c r="AF29" i="89"/>
  <c r="E29" i="89"/>
  <c r="F29" i="89"/>
  <c r="G29" i="89"/>
  <c r="M29" i="89"/>
  <c r="N29" i="89"/>
  <c r="A29" i="89"/>
  <c r="D28" i="89"/>
  <c r="I28" i="89"/>
  <c r="J28" i="89"/>
  <c r="K28" i="89"/>
  <c r="AF28" i="89"/>
  <c r="E28" i="89"/>
  <c r="F28" i="89"/>
  <c r="G28" i="89"/>
  <c r="M28" i="89"/>
  <c r="N28" i="89"/>
  <c r="A28" i="89"/>
  <c r="D27" i="89"/>
  <c r="I27" i="89"/>
  <c r="J27" i="89"/>
  <c r="K27" i="89"/>
  <c r="AF27" i="89"/>
  <c r="E27" i="89"/>
  <c r="F27" i="89"/>
  <c r="G27" i="89"/>
  <c r="M27" i="89"/>
  <c r="N27" i="89"/>
  <c r="A27" i="89"/>
  <c r="D26" i="89"/>
  <c r="I26" i="89"/>
  <c r="J26" i="89"/>
  <c r="K26" i="89"/>
  <c r="AF26" i="89"/>
  <c r="E26" i="89"/>
  <c r="F26" i="89"/>
  <c r="G26" i="89"/>
  <c r="M26" i="89"/>
  <c r="N26" i="89"/>
  <c r="A26" i="89"/>
  <c r="D25" i="89"/>
  <c r="I25" i="89"/>
  <c r="J25" i="89"/>
  <c r="K25" i="89"/>
  <c r="AF25" i="89"/>
  <c r="E25" i="89"/>
  <c r="F25" i="89"/>
  <c r="G25" i="89"/>
  <c r="M25" i="89"/>
  <c r="N25" i="89"/>
  <c r="A25" i="89"/>
  <c r="D24" i="89"/>
  <c r="I24" i="89"/>
  <c r="J24" i="89"/>
  <c r="K24" i="89"/>
  <c r="AF24" i="89"/>
  <c r="E24" i="89"/>
  <c r="F24" i="89"/>
  <c r="G24" i="89"/>
  <c r="M24" i="89"/>
  <c r="N24" i="89"/>
  <c r="A24" i="89"/>
  <c r="A23" i="89"/>
  <c r="A22" i="89"/>
  <c r="D21" i="89"/>
  <c r="I21" i="89"/>
  <c r="J21" i="89"/>
  <c r="K21" i="89"/>
  <c r="AF21" i="89"/>
  <c r="E21" i="89"/>
  <c r="F21" i="89"/>
  <c r="G21" i="89"/>
  <c r="M21" i="89"/>
  <c r="N21" i="89"/>
  <c r="A21" i="89"/>
  <c r="D20" i="89"/>
  <c r="I20" i="89"/>
  <c r="J20" i="89"/>
  <c r="K20" i="89"/>
  <c r="AF20" i="89"/>
  <c r="E20" i="89"/>
  <c r="F20" i="89"/>
  <c r="G20" i="89"/>
  <c r="M20" i="89"/>
  <c r="N20" i="89"/>
  <c r="A20" i="89"/>
  <c r="D19" i="89"/>
  <c r="I19" i="89"/>
  <c r="J19" i="89"/>
  <c r="K19" i="89"/>
  <c r="AF19" i="89"/>
  <c r="E19" i="89"/>
  <c r="F19" i="89"/>
  <c r="G19" i="89"/>
  <c r="M19" i="89"/>
  <c r="N19" i="89"/>
  <c r="A19" i="89"/>
  <c r="D18" i="89"/>
  <c r="I18" i="89"/>
  <c r="J18" i="89"/>
  <c r="K18" i="89"/>
  <c r="AF18" i="89"/>
  <c r="E18" i="89"/>
  <c r="F18" i="89"/>
  <c r="G18" i="89"/>
  <c r="M18" i="89"/>
  <c r="N18" i="89"/>
  <c r="A18" i="89"/>
  <c r="D17" i="89"/>
  <c r="I17" i="89"/>
  <c r="J17" i="89"/>
  <c r="K17" i="89"/>
  <c r="AF17" i="89"/>
  <c r="E17" i="89"/>
  <c r="F17" i="89"/>
  <c r="G17" i="89"/>
  <c r="M17" i="89"/>
  <c r="N17" i="89"/>
  <c r="A17" i="89"/>
  <c r="D16" i="89"/>
  <c r="I16" i="89"/>
  <c r="J16" i="89"/>
  <c r="K16" i="89"/>
  <c r="AF16" i="89"/>
  <c r="E16" i="89"/>
  <c r="F16" i="89"/>
  <c r="G16" i="89"/>
  <c r="M16" i="89"/>
  <c r="N16" i="89"/>
  <c r="A16" i="89"/>
  <c r="A15" i="89"/>
  <c r="A14" i="89"/>
  <c r="A13" i="89"/>
  <c r="I12" i="89"/>
  <c r="E12" i="89"/>
  <c r="A12" i="89"/>
  <c r="A6" i="89"/>
  <c r="A5" i="89"/>
  <c r="I70" i="88"/>
  <c r="G70" i="88"/>
  <c r="J70" i="88"/>
  <c r="I61" i="88"/>
  <c r="I62" i="88"/>
  <c r="I69" i="88"/>
  <c r="G69" i="88"/>
  <c r="J69" i="88"/>
  <c r="I68" i="88"/>
  <c r="G68" i="88"/>
  <c r="J68" i="88"/>
  <c r="I67" i="88"/>
  <c r="G67" i="88"/>
  <c r="J67" i="88"/>
  <c r="I40" i="88"/>
  <c r="I66" i="88"/>
  <c r="G66" i="88"/>
  <c r="J66" i="88"/>
  <c r="A65" i="88"/>
  <c r="A64" i="88"/>
  <c r="J63" i="88"/>
  <c r="C63" i="88"/>
  <c r="C23" i="88"/>
  <c r="C24" i="88"/>
  <c r="C25" i="88"/>
  <c r="C26" i="88"/>
  <c r="C30" i="88"/>
  <c r="C31" i="88"/>
  <c r="C32" i="88"/>
  <c r="C33" i="88"/>
  <c r="C40" i="88"/>
  <c r="C41" i="88"/>
  <c r="C44" i="88"/>
  <c r="C45" i="88"/>
  <c r="C46" i="88"/>
  <c r="C47" i="88"/>
  <c r="C48" i="88"/>
  <c r="C49" i="88"/>
  <c r="C50" i="88"/>
  <c r="C51" i="88"/>
  <c r="C52" i="88"/>
  <c r="C53" i="88"/>
  <c r="C54" i="88"/>
  <c r="C55" i="88"/>
  <c r="C56" i="88"/>
  <c r="C57" i="88"/>
  <c r="C58" i="88"/>
  <c r="C59" i="88"/>
  <c r="C61" i="88"/>
  <c r="C62" i="88"/>
  <c r="A63" i="88"/>
  <c r="J62" i="88"/>
  <c r="A62" i="88"/>
  <c r="J61" i="88"/>
  <c r="A61" i="88"/>
  <c r="J60" i="88"/>
  <c r="A60" i="88"/>
  <c r="J59" i="88"/>
  <c r="A59" i="88"/>
  <c r="J58" i="88"/>
  <c r="A58" i="88"/>
  <c r="J57" i="88"/>
  <c r="A57" i="88"/>
  <c r="J56" i="88"/>
  <c r="A56" i="88"/>
  <c r="J55" i="88"/>
  <c r="A55" i="88"/>
  <c r="J54" i="88"/>
  <c r="A54" i="88"/>
  <c r="J53" i="88"/>
  <c r="A53" i="88"/>
  <c r="J52" i="88"/>
  <c r="A52" i="88"/>
  <c r="J51" i="88"/>
  <c r="A51" i="88"/>
  <c r="J50" i="88"/>
  <c r="A50" i="88"/>
  <c r="J49" i="88"/>
  <c r="A49" i="88"/>
  <c r="J48" i="88"/>
  <c r="A48" i="88"/>
  <c r="J47" i="88"/>
  <c r="A47" i="88"/>
  <c r="J46" i="88"/>
  <c r="A46" i="88"/>
  <c r="J45" i="88"/>
  <c r="A45" i="88"/>
  <c r="J44" i="88"/>
  <c r="A44" i="88"/>
  <c r="J43" i="88"/>
  <c r="A43" i="88"/>
  <c r="J42" i="88"/>
  <c r="A42" i="88"/>
  <c r="J41" i="88"/>
  <c r="A41" i="88"/>
  <c r="J40" i="88"/>
  <c r="A40" i="88"/>
  <c r="I39" i="88"/>
  <c r="J39" i="88"/>
  <c r="A39" i="88"/>
  <c r="J38" i="88"/>
  <c r="I38" i="88"/>
  <c r="G38" i="88"/>
  <c r="A38" i="88"/>
  <c r="I37" i="88"/>
  <c r="G37" i="88"/>
  <c r="A37" i="88"/>
  <c r="A36" i="88"/>
  <c r="A35" i="88"/>
  <c r="D34" i="88"/>
  <c r="I34" i="88"/>
  <c r="J34" i="88"/>
  <c r="K34" i="88"/>
  <c r="E34" i="88"/>
  <c r="F34" i="88"/>
  <c r="G34" i="88"/>
  <c r="M34" i="88"/>
  <c r="N34" i="88"/>
  <c r="A34" i="88"/>
  <c r="D33" i="88"/>
  <c r="I33" i="88"/>
  <c r="J33" i="88"/>
  <c r="K33" i="88"/>
  <c r="E33" i="88"/>
  <c r="F33" i="88"/>
  <c r="G33" i="88"/>
  <c r="M33" i="88"/>
  <c r="N33" i="88"/>
  <c r="A33" i="88"/>
  <c r="D32" i="88"/>
  <c r="I32" i="88"/>
  <c r="J32" i="88"/>
  <c r="K32" i="88"/>
  <c r="E32" i="88"/>
  <c r="F32" i="88"/>
  <c r="G32" i="88"/>
  <c r="M32" i="88"/>
  <c r="N32" i="88"/>
  <c r="A32" i="88"/>
  <c r="D31" i="88"/>
  <c r="I31" i="88"/>
  <c r="J31" i="88"/>
  <c r="K31" i="88"/>
  <c r="E31" i="88"/>
  <c r="F31" i="88"/>
  <c r="G31" i="88"/>
  <c r="M31" i="88"/>
  <c r="N31" i="88"/>
  <c r="A31" i="88"/>
  <c r="D30" i="88"/>
  <c r="I30" i="88"/>
  <c r="J30" i="88"/>
  <c r="K30" i="88"/>
  <c r="E30" i="88"/>
  <c r="F30" i="88"/>
  <c r="G30" i="88"/>
  <c r="M30" i="88"/>
  <c r="N30" i="88"/>
  <c r="A30" i="88"/>
  <c r="A29" i="88"/>
  <c r="A28" i="88"/>
  <c r="D27" i="88"/>
  <c r="I27" i="88"/>
  <c r="J27" i="88"/>
  <c r="K27" i="88"/>
  <c r="E27" i="88"/>
  <c r="F27" i="88"/>
  <c r="G27" i="88"/>
  <c r="M27" i="88"/>
  <c r="N27" i="88"/>
  <c r="A27" i="88"/>
  <c r="D26" i="88"/>
  <c r="I26" i="88"/>
  <c r="J26" i="88"/>
  <c r="K26" i="88"/>
  <c r="E26" i="88"/>
  <c r="F26" i="88"/>
  <c r="G26" i="88"/>
  <c r="M26" i="88"/>
  <c r="N26" i="88"/>
  <c r="A26" i="88"/>
  <c r="D25" i="88"/>
  <c r="I25" i="88"/>
  <c r="J25" i="88"/>
  <c r="K25" i="88"/>
  <c r="E25" i="88"/>
  <c r="F25" i="88"/>
  <c r="G25" i="88"/>
  <c r="M25" i="88"/>
  <c r="N25" i="88"/>
  <c r="A25" i="88"/>
  <c r="D24" i="88"/>
  <c r="I24" i="88"/>
  <c r="J24" i="88"/>
  <c r="K24" i="88"/>
  <c r="E24" i="88"/>
  <c r="F24" i="88"/>
  <c r="G24" i="88"/>
  <c r="M24" i="88"/>
  <c r="N24" i="88"/>
  <c r="A24" i="88"/>
  <c r="D23" i="88"/>
  <c r="I23" i="88"/>
  <c r="J23" i="88"/>
  <c r="K23" i="88"/>
  <c r="E23" i="88"/>
  <c r="F23" i="88"/>
  <c r="G23" i="88"/>
  <c r="M23" i="88"/>
  <c r="N23" i="88"/>
  <c r="A23" i="88"/>
  <c r="A22" i="88"/>
  <c r="A21" i="88"/>
  <c r="D20" i="88"/>
  <c r="I20" i="88"/>
  <c r="J20" i="88"/>
  <c r="K20" i="88"/>
  <c r="E20" i="88"/>
  <c r="F20" i="88"/>
  <c r="G20" i="88"/>
  <c r="M20" i="88"/>
  <c r="N20" i="88"/>
  <c r="A20" i="88"/>
  <c r="D19" i="88"/>
  <c r="I19" i="88"/>
  <c r="J19" i="88"/>
  <c r="K19" i="88"/>
  <c r="E19" i="88"/>
  <c r="F19" i="88"/>
  <c r="G19" i="88"/>
  <c r="M19" i="88"/>
  <c r="N19" i="88"/>
  <c r="A19" i="88"/>
  <c r="D18" i="88"/>
  <c r="I18" i="88"/>
  <c r="J18" i="88"/>
  <c r="K18" i="88"/>
  <c r="E18" i="88"/>
  <c r="F18" i="88"/>
  <c r="G18" i="88"/>
  <c r="M18" i="88"/>
  <c r="N18" i="88"/>
  <c r="A18" i="88"/>
  <c r="D17" i="88"/>
  <c r="I17" i="88"/>
  <c r="J17" i="88"/>
  <c r="K17" i="88"/>
  <c r="E17" i="88"/>
  <c r="F17" i="88"/>
  <c r="G17" i="88"/>
  <c r="M17" i="88"/>
  <c r="N17" i="88"/>
  <c r="A17" i="88"/>
  <c r="D16" i="88"/>
  <c r="I16" i="88"/>
  <c r="J16" i="88"/>
  <c r="K16" i="88"/>
  <c r="E16" i="88"/>
  <c r="F16" i="88"/>
  <c r="G16" i="88"/>
  <c r="M16" i="88"/>
  <c r="N16" i="88"/>
  <c r="A16" i="88"/>
  <c r="A15" i="88"/>
  <c r="A14" i="88"/>
  <c r="A13" i="88"/>
  <c r="I12" i="88"/>
  <c r="E12" i="88"/>
  <c r="D12" i="88"/>
  <c r="A12" i="88"/>
  <c r="A11" i="88"/>
  <c r="A6" i="88"/>
  <c r="A5" i="88"/>
  <c r="I76" i="87"/>
  <c r="G76" i="87"/>
  <c r="J76" i="87"/>
  <c r="I67" i="87"/>
  <c r="I68" i="87"/>
  <c r="I75" i="87"/>
  <c r="G75" i="87"/>
  <c r="J75" i="87"/>
  <c r="I74" i="87"/>
  <c r="G74" i="87"/>
  <c r="J74" i="87"/>
  <c r="I73" i="87"/>
  <c r="G73" i="87"/>
  <c r="J73" i="87"/>
  <c r="I46" i="87"/>
  <c r="I72" i="87"/>
  <c r="G72" i="87"/>
  <c r="J72" i="87"/>
  <c r="J69" i="87"/>
  <c r="C25" i="87"/>
  <c r="C26" i="87"/>
  <c r="C27" i="87"/>
  <c r="C28" i="87"/>
  <c r="C29" i="87"/>
  <c r="C30" i="87"/>
  <c r="C34" i="87"/>
  <c r="C35" i="87"/>
  <c r="C36" i="87"/>
  <c r="C37" i="87"/>
  <c r="C38" i="87"/>
  <c r="C39" i="87"/>
  <c r="A69" i="87"/>
  <c r="J68" i="87"/>
  <c r="A68" i="87"/>
  <c r="J67" i="87"/>
  <c r="A67" i="87"/>
  <c r="J66" i="87"/>
  <c r="A66" i="87"/>
  <c r="J65" i="87"/>
  <c r="A65" i="87"/>
  <c r="J64" i="87"/>
  <c r="A64" i="87"/>
  <c r="J63" i="87"/>
  <c r="A63" i="87"/>
  <c r="J62" i="87"/>
  <c r="A62" i="87"/>
  <c r="J61" i="87"/>
  <c r="A61" i="87"/>
  <c r="J60" i="87"/>
  <c r="A60" i="87"/>
  <c r="J59" i="87"/>
  <c r="A59" i="87"/>
  <c r="J58" i="87"/>
  <c r="A58" i="87"/>
  <c r="J57" i="87"/>
  <c r="A57" i="87"/>
  <c r="J56" i="87"/>
  <c r="A56" i="87"/>
  <c r="J55" i="87"/>
  <c r="A55" i="87"/>
  <c r="J54" i="87"/>
  <c r="A54" i="87"/>
  <c r="J53" i="87"/>
  <c r="A53" i="87"/>
  <c r="J52" i="87"/>
  <c r="A52" i="87"/>
  <c r="J51" i="87"/>
  <c r="A51" i="87"/>
  <c r="J50" i="87"/>
  <c r="A50" i="87"/>
  <c r="J49" i="87"/>
  <c r="A49" i="87"/>
  <c r="J48" i="87"/>
  <c r="A48" i="87"/>
  <c r="J47" i="87"/>
  <c r="A47" i="87"/>
  <c r="J46" i="87"/>
  <c r="A46" i="87"/>
  <c r="I45" i="87"/>
  <c r="J45" i="87"/>
  <c r="A45" i="87"/>
  <c r="A44" i="87"/>
  <c r="A43" i="87"/>
  <c r="A42" i="87"/>
  <c r="A41" i="87"/>
  <c r="D40" i="87"/>
  <c r="I40" i="87"/>
  <c r="J40" i="87"/>
  <c r="K40" i="87"/>
  <c r="E40" i="87"/>
  <c r="F40" i="87"/>
  <c r="G40" i="87"/>
  <c r="M40" i="87"/>
  <c r="N40" i="87"/>
  <c r="A40" i="87"/>
  <c r="D39" i="87"/>
  <c r="I39" i="87"/>
  <c r="J39" i="87"/>
  <c r="K39" i="87"/>
  <c r="E39" i="87"/>
  <c r="F39" i="87"/>
  <c r="G39" i="87"/>
  <c r="M39" i="87"/>
  <c r="N39" i="87"/>
  <c r="A39" i="87"/>
  <c r="D38" i="87"/>
  <c r="I38" i="87"/>
  <c r="J38" i="87"/>
  <c r="K38" i="87"/>
  <c r="E38" i="87"/>
  <c r="F38" i="87"/>
  <c r="G38" i="87"/>
  <c r="M38" i="87"/>
  <c r="N38" i="87"/>
  <c r="A38" i="87"/>
  <c r="D37" i="87"/>
  <c r="I37" i="87"/>
  <c r="J37" i="87"/>
  <c r="K37" i="87"/>
  <c r="E37" i="87"/>
  <c r="F37" i="87"/>
  <c r="G37" i="87"/>
  <c r="M37" i="87"/>
  <c r="N37" i="87"/>
  <c r="A37" i="87"/>
  <c r="D36" i="87"/>
  <c r="I36" i="87"/>
  <c r="J36" i="87"/>
  <c r="K36" i="87"/>
  <c r="E36" i="87"/>
  <c r="F36" i="87"/>
  <c r="G36" i="87"/>
  <c r="M36" i="87"/>
  <c r="N36" i="87"/>
  <c r="A36" i="87"/>
  <c r="D35" i="87"/>
  <c r="I35" i="87"/>
  <c r="J35" i="87"/>
  <c r="K35" i="87"/>
  <c r="E35" i="87"/>
  <c r="F35" i="87"/>
  <c r="G35" i="87"/>
  <c r="M35" i="87"/>
  <c r="N35" i="87"/>
  <c r="A35" i="87"/>
  <c r="D34" i="87"/>
  <c r="I34" i="87"/>
  <c r="J34" i="87"/>
  <c r="K34" i="87"/>
  <c r="E34" i="87"/>
  <c r="F34" i="87"/>
  <c r="G34" i="87"/>
  <c r="M34" i="87"/>
  <c r="N34" i="87"/>
  <c r="A34" i="87"/>
  <c r="A33" i="87"/>
  <c r="A32" i="87"/>
  <c r="D31" i="87"/>
  <c r="I31" i="87"/>
  <c r="J31" i="87"/>
  <c r="K31" i="87"/>
  <c r="E31" i="87"/>
  <c r="F31" i="87"/>
  <c r="G31" i="87"/>
  <c r="M31" i="87"/>
  <c r="N31" i="87"/>
  <c r="A31" i="87"/>
  <c r="D30" i="87"/>
  <c r="I30" i="87"/>
  <c r="J30" i="87"/>
  <c r="K30" i="87"/>
  <c r="E30" i="87"/>
  <c r="F30" i="87"/>
  <c r="G30" i="87"/>
  <c r="M30" i="87"/>
  <c r="N30" i="87"/>
  <c r="A30" i="87"/>
  <c r="D29" i="87"/>
  <c r="I29" i="87"/>
  <c r="J29" i="87"/>
  <c r="K29" i="87"/>
  <c r="E29" i="87"/>
  <c r="F29" i="87"/>
  <c r="G29" i="87"/>
  <c r="M29" i="87"/>
  <c r="N29" i="87"/>
  <c r="A29" i="87"/>
  <c r="D28" i="87"/>
  <c r="I28" i="87"/>
  <c r="J28" i="87"/>
  <c r="K28" i="87"/>
  <c r="E28" i="87"/>
  <c r="F28" i="87"/>
  <c r="G28" i="87"/>
  <c r="M28" i="87"/>
  <c r="N28" i="87"/>
  <c r="A28" i="87"/>
  <c r="D27" i="87"/>
  <c r="I27" i="87"/>
  <c r="J27" i="87"/>
  <c r="K27" i="87"/>
  <c r="E27" i="87"/>
  <c r="F27" i="87"/>
  <c r="G27" i="87"/>
  <c r="M27" i="87"/>
  <c r="N27" i="87"/>
  <c r="A27" i="87"/>
  <c r="D26" i="87"/>
  <c r="I26" i="87"/>
  <c r="J26" i="87"/>
  <c r="K26" i="87"/>
  <c r="E26" i="87"/>
  <c r="F26" i="87"/>
  <c r="G26" i="87"/>
  <c r="M26" i="87"/>
  <c r="N26" i="87"/>
  <c r="A26" i="87"/>
  <c r="D25" i="87"/>
  <c r="I25" i="87"/>
  <c r="J25" i="87"/>
  <c r="K25" i="87"/>
  <c r="E25" i="87"/>
  <c r="F25" i="87"/>
  <c r="G25" i="87"/>
  <c r="M25" i="87"/>
  <c r="N25" i="87"/>
  <c r="A25" i="87"/>
  <c r="A24" i="87"/>
  <c r="A23" i="87"/>
  <c r="D22" i="87"/>
  <c r="I22" i="87"/>
  <c r="J22" i="87"/>
  <c r="K22" i="87"/>
  <c r="E22" i="87"/>
  <c r="F22" i="87"/>
  <c r="G22" i="87"/>
  <c r="M22" i="87"/>
  <c r="N22" i="87"/>
  <c r="A22" i="87"/>
  <c r="D21" i="87"/>
  <c r="I21" i="87"/>
  <c r="J21" i="87"/>
  <c r="K21" i="87"/>
  <c r="E21" i="87"/>
  <c r="F21" i="87"/>
  <c r="G21" i="87"/>
  <c r="M21" i="87"/>
  <c r="N21" i="87"/>
  <c r="A21" i="87"/>
  <c r="D20" i="87"/>
  <c r="I20" i="87"/>
  <c r="J20" i="87"/>
  <c r="K20" i="87"/>
  <c r="E20" i="87"/>
  <c r="F20" i="87"/>
  <c r="G20" i="87"/>
  <c r="M20" i="87"/>
  <c r="N20" i="87"/>
  <c r="A20" i="87"/>
  <c r="D19" i="87"/>
  <c r="I19" i="87"/>
  <c r="J19" i="87"/>
  <c r="K19" i="87"/>
  <c r="E19" i="87"/>
  <c r="F19" i="87"/>
  <c r="G19" i="87"/>
  <c r="M19" i="87"/>
  <c r="N19" i="87"/>
  <c r="A19" i="87"/>
  <c r="D18" i="87"/>
  <c r="I18" i="87"/>
  <c r="J18" i="87"/>
  <c r="K18" i="87"/>
  <c r="E18" i="87"/>
  <c r="F18" i="87"/>
  <c r="G18" i="87"/>
  <c r="M18" i="87"/>
  <c r="N18" i="87"/>
  <c r="A18" i="87"/>
  <c r="D17" i="87"/>
  <c r="I17" i="87"/>
  <c r="J17" i="87"/>
  <c r="K17" i="87"/>
  <c r="E17" i="87"/>
  <c r="F17" i="87"/>
  <c r="G17" i="87"/>
  <c r="M17" i="87"/>
  <c r="N17" i="87"/>
  <c r="A17" i="87"/>
  <c r="D16" i="87"/>
  <c r="I16" i="87"/>
  <c r="J16" i="87"/>
  <c r="K16" i="87"/>
  <c r="E16" i="87"/>
  <c r="F16" i="87"/>
  <c r="G16" i="87"/>
  <c r="M16" i="87"/>
  <c r="N16" i="87"/>
  <c r="A16" i="87"/>
  <c r="A15" i="87"/>
  <c r="A13" i="87"/>
  <c r="A12" i="87"/>
  <c r="A6" i="87"/>
  <c r="A5" i="87"/>
  <c r="H60" i="86"/>
  <c r="F60" i="86"/>
  <c r="I60" i="86"/>
  <c r="C57" i="85"/>
  <c r="C60" i="86"/>
  <c r="Z17" i="2"/>
  <c r="AA17" i="2"/>
  <c r="H17" i="2"/>
  <c r="I17" i="2"/>
  <c r="AC17" i="2"/>
  <c r="AD17" i="2"/>
  <c r="K17" i="2"/>
  <c r="L17" i="2"/>
  <c r="Q17" i="2"/>
  <c r="R17" i="2"/>
  <c r="G23" i="3"/>
  <c r="D23" i="3"/>
  <c r="H23" i="3"/>
  <c r="O23" i="3"/>
  <c r="P23" i="3"/>
  <c r="R23" i="3"/>
  <c r="T17" i="2"/>
  <c r="U17" i="2"/>
  <c r="AI17" i="2"/>
  <c r="AJ17" i="2"/>
  <c r="AL17" i="2"/>
  <c r="AM17" i="2"/>
  <c r="AO17" i="2"/>
  <c r="AP17" i="2"/>
  <c r="AR17" i="2"/>
  <c r="AS17" i="2"/>
  <c r="AU17" i="2"/>
  <c r="AV17" i="2"/>
  <c r="X17" i="2"/>
  <c r="H50" i="86"/>
  <c r="H51" i="86"/>
  <c r="H59" i="86"/>
  <c r="F59" i="86"/>
  <c r="I59" i="86"/>
  <c r="H58" i="86"/>
  <c r="F58" i="86"/>
  <c r="I58" i="86"/>
  <c r="C14" i="86"/>
  <c r="C15" i="86"/>
  <c r="C16" i="86"/>
  <c r="C17" i="86"/>
  <c r="C18" i="86"/>
  <c r="C19" i="86"/>
  <c r="C20" i="86"/>
  <c r="C21" i="86"/>
  <c r="C22" i="86"/>
  <c r="C23" i="86"/>
  <c r="C24" i="86"/>
  <c r="C56" i="81"/>
  <c r="C46" i="84"/>
  <c r="C32" i="85"/>
  <c r="C32" i="86"/>
  <c r="C57" i="81"/>
  <c r="C47" i="84"/>
  <c r="C33" i="85"/>
  <c r="C33" i="86"/>
  <c r="C58" i="81"/>
  <c r="C48" i="84"/>
  <c r="C34" i="85"/>
  <c r="C34" i="86"/>
  <c r="C59" i="81"/>
  <c r="C49" i="84"/>
  <c r="C35" i="85"/>
  <c r="C35" i="86"/>
  <c r="C60" i="81"/>
  <c r="C50" i="84"/>
  <c r="C36" i="85"/>
  <c r="C36" i="86"/>
  <c r="C61" i="81"/>
  <c r="C51" i="84"/>
  <c r="C37" i="85"/>
  <c r="C37" i="86"/>
  <c r="C62" i="81"/>
  <c r="C52" i="84"/>
  <c r="C38" i="85"/>
  <c r="C38" i="86"/>
  <c r="C63" i="81"/>
  <c r="C53" i="84"/>
  <c r="C39" i="85"/>
  <c r="C39" i="86"/>
  <c r="C64" i="81"/>
  <c r="C54" i="84"/>
  <c r="C40" i="85"/>
  <c r="C40" i="86"/>
  <c r="C65" i="81"/>
  <c r="C55" i="84"/>
  <c r="C41" i="85"/>
  <c r="C41" i="86"/>
  <c r="C66" i="81"/>
  <c r="C56" i="84"/>
  <c r="C42" i="85"/>
  <c r="C42" i="86"/>
  <c r="C67" i="81"/>
  <c r="C57" i="84"/>
  <c r="C43" i="85"/>
  <c r="C43" i="86"/>
  <c r="C68" i="81"/>
  <c r="C58" i="84"/>
  <c r="C44" i="85"/>
  <c r="C44" i="86"/>
  <c r="C69" i="81"/>
  <c r="C59" i="84"/>
  <c r="C45" i="85"/>
  <c r="C45" i="86"/>
  <c r="C70" i="81"/>
  <c r="C60" i="84"/>
  <c r="C46" i="85"/>
  <c r="C46" i="86"/>
  <c r="C71" i="81"/>
  <c r="C61" i="84"/>
  <c r="C49" i="85"/>
  <c r="C49" i="86"/>
  <c r="C72" i="81"/>
  <c r="C62" i="84"/>
  <c r="C50" i="85"/>
  <c r="C50" i="86"/>
  <c r="C73" i="81"/>
  <c r="C63" i="84"/>
  <c r="C51" i="85"/>
  <c r="C51" i="86"/>
  <c r="C74" i="81"/>
  <c r="C64" i="84"/>
  <c r="C52" i="85"/>
  <c r="C52" i="86"/>
  <c r="A55" i="86"/>
  <c r="A54" i="86"/>
  <c r="A53" i="86"/>
  <c r="I52" i="86"/>
  <c r="A52" i="86"/>
  <c r="I51" i="86"/>
  <c r="A51" i="86"/>
  <c r="I50" i="86"/>
  <c r="A50" i="86"/>
  <c r="I49" i="86"/>
  <c r="A49" i="86"/>
  <c r="I48" i="86"/>
  <c r="A48" i="86"/>
  <c r="I47" i="86"/>
  <c r="A47" i="86"/>
  <c r="I46" i="86"/>
  <c r="A46" i="86"/>
  <c r="I45" i="86"/>
  <c r="A45" i="86"/>
  <c r="I44" i="86"/>
  <c r="A44" i="86"/>
  <c r="I43" i="86"/>
  <c r="A43" i="86"/>
  <c r="I42" i="86"/>
  <c r="A42" i="86"/>
  <c r="I41" i="86"/>
  <c r="A41" i="86"/>
  <c r="I40" i="86"/>
  <c r="A40" i="86"/>
  <c r="I39" i="86"/>
  <c r="A39" i="86"/>
  <c r="I38" i="86"/>
  <c r="A38" i="86"/>
  <c r="I37" i="86"/>
  <c r="A37" i="86"/>
  <c r="I36" i="86"/>
  <c r="A36" i="86"/>
  <c r="I35" i="86"/>
  <c r="A35" i="86"/>
  <c r="I34" i="86"/>
  <c r="A34" i="86"/>
  <c r="I33" i="86"/>
  <c r="A33" i="86"/>
  <c r="I32" i="86"/>
  <c r="A32" i="86"/>
  <c r="I31" i="86"/>
  <c r="A31" i="86"/>
  <c r="I30" i="86"/>
  <c r="A30" i="86"/>
  <c r="I29" i="86"/>
  <c r="A29" i="86"/>
  <c r="J50" i="81"/>
  <c r="J47" i="82"/>
  <c r="J44" i="83"/>
  <c r="J41" i="84"/>
  <c r="I28" i="86"/>
  <c r="I50" i="81"/>
  <c r="I47" i="82"/>
  <c r="I44" i="83"/>
  <c r="I41" i="84"/>
  <c r="H28" i="86"/>
  <c r="G50" i="81"/>
  <c r="G47" i="82"/>
  <c r="G44" i="83"/>
  <c r="G41" i="84"/>
  <c r="F28" i="86"/>
  <c r="A28" i="86"/>
  <c r="I49" i="81"/>
  <c r="I46" i="82"/>
  <c r="I43" i="83"/>
  <c r="I40" i="84"/>
  <c r="H27" i="86"/>
  <c r="G49" i="81"/>
  <c r="G46" i="82"/>
  <c r="G43" i="83"/>
  <c r="G40" i="84"/>
  <c r="F27" i="86"/>
  <c r="A27" i="86"/>
  <c r="A26" i="86"/>
  <c r="A25" i="86"/>
  <c r="H24" i="86"/>
  <c r="I24" i="86"/>
  <c r="J24" i="86"/>
  <c r="D24" i="86"/>
  <c r="E24" i="86"/>
  <c r="F24" i="86"/>
  <c r="L24" i="86"/>
  <c r="M24" i="86"/>
  <c r="A24" i="86"/>
  <c r="H23" i="86"/>
  <c r="I23" i="86"/>
  <c r="J23" i="86"/>
  <c r="D23" i="86"/>
  <c r="E23" i="86"/>
  <c r="F23" i="86"/>
  <c r="L23" i="86"/>
  <c r="M23" i="86"/>
  <c r="A23" i="86"/>
  <c r="H22" i="86"/>
  <c r="I22" i="86"/>
  <c r="J22" i="86"/>
  <c r="D22" i="86"/>
  <c r="E22" i="86"/>
  <c r="F22" i="86"/>
  <c r="L22" i="86"/>
  <c r="M22" i="86"/>
  <c r="A22" i="86"/>
  <c r="H21" i="86"/>
  <c r="I21" i="86"/>
  <c r="J21" i="86"/>
  <c r="D21" i="86"/>
  <c r="E21" i="86"/>
  <c r="F21" i="86"/>
  <c r="L21" i="86"/>
  <c r="M21" i="86"/>
  <c r="A21" i="86"/>
  <c r="H20" i="86"/>
  <c r="I20" i="86"/>
  <c r="J20" i="86"/>
  <c r="D20" i="86"/>
  <c r="E20" i="86"/>
  <c r="F20" i="86"/>
  <c r="L20" i="86"/>
  <c r="M20" i="86"/>
  <c r="A20" i="86"/>
  <c r="H19" i="86"/>
  <c r="I19" i="86"/>
  <c r="J19" i="86"/>
  <c r="D19" i="86"/>
  <c r="E19" i="86"/>
  <c r="F19" i="86"/>
  <c r="L19" i="86"/>
  <c r="M19" i="86"/>
  <c r="A19" i="86"/>
  <c r="H18" i="86"/>
  <c r="I18" i="86"/>
  <c r="J18" i="86"/>
  <c r="D18" i="86"/>
  <c r="E18" i="86"/>
  <c r="F18" i="86"/>
  <c r="L18" i="86"/>
  <c r="M18" i="86"/>
  <c r="A18" i="86"/>
  <c r="H17" i="86"/>
  <c r="I17" i="86"/>
  <c r="J17" i="86"/>
  <c r="D17" i="86"/>
  <c r="E17" i="86"/>
  <c r="F17" i="86"/>
  <c r="L17" i="86"/>
  <c r="M17" i="86"/>
  <c r="A17" i="86"/>
  <c r="H16" i="86"/>
  <c r="I16" i="86"/>
  <c r="J16" i="86"/>
  <c r="D16" i="86"/>
  <c r="E16" i="86"/>
  <c r="F16" i="86"/>
  <c r="L16" i="86"/>
  <c r="M16" i="86"/>
  <c r="A16" i="86"/>
  <c r="H15" i="86"/>
  <c r="I15" i="86"/>
  <c r="J15" i="86"/>
  <c r="D15" i="86"/>
  <c r="E15" i="86"/>
  <c r="F15" i="86"/>
  <c r="L15" i="86"/>
  <c r="M15" i="86"/>
  <c r="A15" i="86"/>
  <c r="H14" i="86"/>
  <c r="I14" i="86"/>
  <c r="J14" i="86"/>
  <c r="D14" i="86"/>
  <c r="E14" i="86"/>
  <c r="F14" i="86"/>
  <c r="L14" i="86"/>
  <c r="M14" i="86"/>
  <c r="A14" i="86"/>
  <c r="A13" i="86"/>
  <c r="H12" i="86"/>
  <c r="D12" i="86"/>
  <c r="A12" i="86"/>
  <c r="A8" i="86"/>
  <c r="A6" i="86"/>
  <c r="A5" i="86"/>
  <c r="H57" i="85"/>
  <c r="F57" i="85"/>
  <c r="I57" i="85"/>
  <c r="Z21" i="2"/>
  <c r="AA21" i="2"/>
  <c r="H21" i="2"/>
  <c r="I21" i="2"/>
  <c r="AC21" i="2"/>
  <c r="AD21" i="2"/>
  <c r="K21" i="2"/>
  <c r="L21" i="2"/>
  <c r="Q21" i="2"/>
  <c r="R21" i="2"/>
  <c r="G27" i="3"/>
  <c r="D27" i="3"/>
  <c r="H27" i="3"/>
  <c r="O27" i="3"/>
  <c r="P27" i="3"/>
  <c r="R27" i="3"/>
  <c r="T21" i="2"/>
  <c r="U21" i="2"/>
  <c r="AI21" i="2"/>
  <c r="AJ21" i="2"/>
  <c r="AL21" i="2"/>
  <c r="AM21" i="2"/>
  <c r="AO21" i="2"/>
  <c r="AP21" i="2"/>
  <c r="AR21" i="2"/>
  <c r="AS21" i="2"/>
  <c r="AU21" i="2"/>
  <c r="AV21" i="2"/>
  <c r="X21" i="2"/>
  <c r="H50" i="85"/>
  <c r="H51" i="85"/>
  <c r="H56" i="85"/>
  <c r="F56" i="85"/>
  <c r="I56" i="85"/>
  <c r="H55" i="85"/>
  <c r="F55" i="85"/>
  <c r="I55" i="85"/>
  <c r="I52" i="85"/>
  <c r="A52" i="85"/>
  <c r="I51" i="85"/>
  <c r="A51" i="85"/>
  <c r="I50" i="85"/>
  <c r="A50" i="85"/>
  <c r="I49" i="85"/>
  <c r="A49" i="85"/>
  <c r="I48" i="85"/>
  <c r="A48" i="85"/>
  <c r="I47" i="85"/>
  <c r="A47" i="85"/>
  <c r="I46" i="85"/>
  <c r="A46" i="85"/>
  <c r="I45" i="85"/>
  <c r="A45" i="85"/>
  <c r="I44" i="85"/>
  <c r="A44" i="85"/>
  <c r="I43" i="85"/>
  <c r="A43" i="85"/>
  <c r="I42" i="85"/>
  <c r="A42" i="85"/>
  <c r="I41" i="85"/>
  <c r="A41" i="85"/>
  <c r="I40" i="85"/>
  <c r="A40" i="85"/>
  <c r="I39" i="85"/>
  <c r="A39" i="85"/>
  <c r="I38" i="85"/>
  <c r="A38" i="85"/>
  <c r="I37" i="85"/>
  <c r="A37" i="85"/>
  <c r="I36" i="85"/>
  <c r="A36" i="85"/>
  <c r="I35" i="85"/>
  <c r="A35" i="85"/>
  <c r="I34" i="85"/>
  <c r="A34" i="85"/>
  <c r="I33" i="85"/>
  <c r="A33" i="85"/>
  <c r="I32" i="85"/>
  <c r="A32" i="85"/>
  <c r="I31" i="85"/>
  <c r="A31" i="85"/>
  <c r="I30" i="85"/>
  <c r="A30" i="85"/>
  <c r="H29" i="85"/>
  <c r="I29" i="85"/>
  <c r="A29" i="85"/>
  <c r="I28" i="85"/>
  <c r="H28" i="85"/>
  <c r="F28" i="85"/>
  <c r="A28" i="85"/>
  <c r="H27" i="85"/>
  <c r="F27" i="85"/>
  <c r="A27" i="85"/>
  <c r="A26" i="85"/>
  <c r="A25" i="85"/>
  <c r="H24" i="85"/>
  <c r="I24" i="85"/>
  <c r="J24" i="85"/>
  <c r="D24" i="85"/>
  <c r="E24" i="85"/>
  <c r="F24" i="85"/>
  <c r="L24" i="85"/>
  <c r="M24" i="85"/>
  <c r="A24" i="85"/>
  <c r="H23" i="85"/>
  <c r="I23" i="85"/>
  <c r="J23" i="85"/>
  <c r="D23" i="85"/>
  <c r="E23" i="85"/>
  <c r="F23" i="85"/>
  <c r="L23" i="85"/>
  <c r="M23" i="85"/>
  <c r="A23" i="85"/>
  <c r="H22" i="85"/>
  <c r="I22" i="85"/>
  <c r="J22" i="85"/>
  <c r="D22" i="85"/>
  <c r="E22" i="85"/>
  <c r="F22" i="85"/>
  <c r="L22" i="85"/>
  <c r="M22" i="85"/>
  <c r="A22" i="85"/>
  <c r="H21" i="85"/>
  <c r="I21" i="85"/>
  <c r="J21" i="85"/>
  <c r="D21" i="85"/>
  <c r="E21" i="85"/>
  <c r="F21" i="85"/>
  <c r="L21" i="85"/>
  <c r="M21" i="85"/>
  <c r="A21" i="85"/>
  <c r="H20" i="85"/>
  <c r="I20" i="85"/>
  <c r="J20" i="85"/>
  <c r="D20" i="85"/>
  <c r="E20" i="85"/>
  <c r="F20" i="85"/>
  <c r="L20" i="85"/>
  <c r="M20" i="85"/>
  <c r="A20" i="85"/>
  <c r="H19" i="85"/>
  <c r="I19" i="85"/>
  <c r="J19" i="85"/>
  <c r="D19" i="85"/>
  <c r="E19" i="85"/>
  <c r="F19" i="85"/>
  <c r="L19" i="85"/>
  <c r="M19" i="85"/>
  <c r="A19" i="85"/>
  <c r="H18" i="85"/>
  <c r="I18" i="85"/>
  <c r="J18" i="85"/>
  <c r="D18" i="85"/>
  <c r="E18" i="85"/>
  <c r="F18" i="85"/>
  <c r="L18" i="85"/>
  <c r="M18" i="85"/>
  <c r="A18" i="85"/>
  <c r="H17" i="85"/>
  <c r="I17" i="85"/>
  <c r="J17" i="85"/>
  <c r="D17" i="85"/>
  <c r="E17" i="85"/>
  <c r="F17" i="85"/>
  <c r="L17" i="85"/>
  <c r="M17" i="85"/>
  <c r="A17" i="85"/>
  <c r="H16" i="85"/>
  <c r="I16" i="85"/>
  <c r="J16" i="85"/>
  <c r="D16" i="85"/>
  <c r="E16" i="85"/>
  <c r="F16" i="85"/>
  <c r="L16" i="85"/>
  <c r="M16" i="85"/>
  <c r="A16" i="85"/>
  <c r="H15" i="85"/>
  <c r="I15" i="85"/>
  <c r="J15" i="85"/>
  <c r="D15" i="85"/>
  <c r="E15" i="85"/>
  <c r="F15" i="85"/>
  <c r="L15" i="85"/>
  <c r="M15" i="85"/>
  <c r="A15" i="85"/>
  <c r="H14" i="85"/>
  <c r="I14" i="85"/>
  <c r="J14" i="85"/>
  <c r="D14" i="85"/>
  <c r="E14" i="85"/>
  <c r="F14" i="85"/>
  <c r="L14" i="85"/>
  <c r="M14" i="85"/>
  <c r="A14" i="85"/>
  <c r="A13" i="85"/>
  <c r="H12" i="85"/>
  <c r="D12" i="85"/>
  <c r="A12" i="85"/>
  <c r="A8" i="85"/>
  <c r="A6" i="85"/>
  <c r="A5" i="85"/>
  <c r="I69" i="84"/>
  <c r="G69" i="84"/>
  <c r="J69" i="84"/>
  <c r="Z20" i="2"/>
  <c r="AA20" i="2"/>
  <c r="H20" i="2"/>
  <c r="I20" i="2"/>
  <c r="AC20" i="2"/>
  <c r="AD20" i="2"/>
  <c r="K20" i="2"/>
  <c r="L20" i="2"/>
  <c r="Q20" i="2"/>
  <c r="R20" i="2"/>
  <c r="G26" i="3"/>
  <c r="D26" i="3"/>
  <c r="H26" i="3"/>
  <c r="O26" i="3"/>
  <c r="P26" i="3"/>
  <c r="R26" i="3"/>
  <c r="T20" i="2"/>
  <c r="U20" i="2"/>
  <c r="AI20" i="2"/>
  <c r="AJ20" i="2"/>
  <c r="AL20" i="2"/>
  <c r="AM20" i="2"/>
  <c r="AO20" i="2"/>
  <c r="AP20" i="2"/>
  <c r="AR20" i="2"/>
  <c r="AS20" i="2"/>
  <c r="AU20" i="2"/>
  <c r="AV20" i="2"/>
  <c r="X20" i="2"/>
  <c r="I62" i="84"/>
  <c r="I63" i="84"/>
  <c r="I68" i="84"/>
  <c r="G68" i="84"/>
  <c r="J68" i="84"/>
  <c r="I67" i="84"/>
  <c r="G67" i="84"/>
  <c r="J67" i="84"/>
  <c r="A66" i="84"/>
  <c r="A65" i="84"/>
  <c r="J64" i="84"/>
  <c r="C24" i="84"/>
  <c r="C25" i="84"/>
  <c r="C26" i="84"/>
  <c r="C27" i="84"/>
  <c r="C28" i="84"/>
  <c r="C32" i="84"/>
  <c r="C33" i="84"/>
  <c r="C34" i="84"/>
  <c r="C35" i="84"/>
  <c r="C36" i="84"/>
  <c r="C54" i="81"/>
  <c r="C44" i="84"/>
  <c r="A64" i="84"/>
  <c r="J63" i="84"/>
  <c r="A63" i="84"/>
  <c r="J62" i="84"/>
  <c r="A62" i="84"/>
  <c r="J61" i="84"/>
  <c r="A61" i="84"/>
  <c r="J60" i="84"/>
  <c r="A60" i="84"/>
  <c r="J59" i="84"/>
  <c r="A59" i="84"/>
  <c r="J58" i="84"/>
  <c r="A58" i="84"/>
  <c r="J57" i="84"/>
  <c r="A57" i="84"/>
  <c r="J56" i="84"/>
  <c r="A56" i="84"/>
  <c r="J55" i="84"/>
  <c r="A55" i="84"/>
  <c r="J54" i="84"/>
  <c r="A54" i="84"/>
  <c r="J53" i="84"/>
  <c r="A53" i="84"/>
  <c r="J52" i="84"/>
  <c r="A52" i="84"/>
  <c r="J51" i="84"/>
  <c r="A51" i="84"/>
  <c r="J50" i="84"/>
  <c r="A50" i="84"/>
  <c r="J49" i="84"/>
  <c r="A49" i="84"/>
  <c r="J48" i="84"/>
  <c r="A48" i="84"/>
  <c r="J47" i="84"/>
  <c r="A47" i="84"/>
  <c r="J46" i="84"/>
  <c r="A46" i="84"/>
  <c r="J45" i="84"/>
  <c r="A45" i="84"/>
  <c r="J44" i="84"/>
  <c r="A44" i="84"/>
  <c r="J43" i="84"/>
  <c r="A43" i="84"/>
  <c r="I42" i="84"/>
  <c r="J42" i="84"/>
  <c r="A42" i="84"/>
  <c r="A41" i="84"/>
  <c r="A40" i="84"/>
  <c r="A39" i="84"/>
  <c r="A38" i="84"/>
  <c r="D37" i="84"/>
  <c r="I37" i="84"/>
  <c r="J37" i="84"/>
  <c r="K37" i="84"/>
  <c r="E37" i="84"/>
  <c r="F37" i="84"/>
  <c r="G37" i="84"/>
  <c r="M37" i="84"/>
  <c r="N37" i="84"/>
  <c r="A37" i="84"/>
  <c r="D36" i="84"/>
  <c r="I36" i="84"/>
  <c r="J36" i="84"/>
  <c r="K36" i="84"/>
  <c r="E36" i="84"/>
  <c r="F36" i="84"/>
  <c r="G36" i="84"/>
  <c r="M36" i="84"/>
  <c r="N36" i="84"/>
  <c r="A36" i="84"/>
  <c r="D35" i="84"/>
  <c r="I35" i="84"/>
  <c r="J35" i="84"/>
  <c r="K35" i="84"/>
  <c r="E35" i="84"/>
  <c r="F35" i="84"/>
  <c r="G35" i="84"/>
  <c r="M35" i="84"/>
  <c r="N35" i="84"/>
  <c r="A35" i="84"/>
  <c r="D34" i="84"/>
  <c r="I34" i="84"/>
  <c r="J34" i="84"/>
  <c r="K34" i="84"/>
  <c r="E34" i="84"/>
  <c r="F34" i="84"/>
  <c r="G34" i="84"/>
  <c r="M34" i="84"/>
  <c r="N34" i="84"/>
  <c r="A34" i="84"/>
  <c r="D33" i="84"/>
  <c r="I33" i="84"/>
  <c r="J33" i="84"/>
  <c r="K33" i="84"/>
  <c r="E33" i="84"/>
  <c r="F33" i="84"/>
  <c r="G33" i="84"/>
  <c r="M33" i="84"/>
  <c r="N33" i="84"/>
  <c r="A33" i="84"/>
  <c r="D32" i="84"/>
  <c r="I32" i="84"/>
  <c r="J32" i="84"/>
  <c r="K32" i="84"/>
  <c r="E32" i="84"/>
  <c r="F32" i="84"/>
  <c r="G32" i="84"/>
  <c r="M32" i="84"/>
  <c r="N32" i="84"/>
  <c r="A32" i="84"/>
  <c r="A31" i="84"/>
  <c r="A30" i="84"/>
  <c r="D29" i="84"/>
  <c r="I29" i="84"/>
  <c r="J29" i="84"/>
  <c r="K29" i="84"/>
  <c r="E29" i="84"/>
  <c r="F29" i="84"/>
  <c r="G29" i="84"/>
  <c r="M29" i="84"/>
  <c r="N29" i="84"/>
  <c r="A29" i="84"/>
  <c r="D28" i="84"/>
  <c r="I28" i="84"/>
  <c r="J28" i="84"/>
  <c r="K28" i="84"/>
  <c r="E28" i="84"/>
  <c r="F28" i="84"/>
  <c r="G28" i="84"/>
  <c r="M28" i="84"/>
  <c r="N28" i="84"/>
  <c r="A28" i="84"/>
  <c r="D27" i="84"/>
  <c r="I27" i="84"/>
  <c r="J27" i="84"/>
  <c r="K27" i="84"/>
  <c r="E27" i="84"/>
  <c r="F27" i="84"/>
  <c r="G27" i="84"/>
  <c r="M27" i="84"/>
  <c r="N27" i="84"/>
  <c r="A27" i="84"/>
  <c r="D26" i="84"/>
  <c r="I26" i="84"/>
  <c r="J26" i="84"/>
  <c r="K26" i="84"/>
  <c r="E26" i="84"/>
  <c r="F26" i="84"/>
  <c r="G26" i="84"/>
  <c r="M26" i="84"/>
  <c r="N26" i="84"/>
  <c r="A26" i="84"/>
  <c r="D25" i="84"/>
  <c r="I25" i="84"/>
  <c r="J25" i="84"/>
  <c r="K25" i="84"/>
  <c r="E25" i="84"/>
  <c r="F25" i="84"/>
  <c r="G25" i="84"/>
  <c r="M25" i="84"/>
  <c r="N25" i="84"/>
  <c r="A25" i="84"/>
  <c r="D24" i="84"/>
  <c r="I24" i="84"/>
  <c r="J24" i="84"/>
  <c r="K24" i="84"/>
  <c r="E24" i="84"/>
  <c r="F24" i="84"/>
  <c r="G24" i="84"/>
  <c r="M24" i="84"/>
  <c r="N24" i="84"/>
  <c r="A24" i="84"/>
  <c r="A23" i="84"/>
  <c r="A22" i="84"/>
  <c r="D21" i="84"/>
  <c r="I21" i="84"/>
  <c r="J21" i="84"/>
  <c r="K21" i="84"/>
  <c r="E21" i="84"/>
  <c r="F21" i="84"/>
  <c r="G21" i="84"/>
  <c r="M21" i="84"/>
  <c r="N21" i="84"/>
  <c r="A21" i="84"/>
  <c r="D20" i="84"/>
  <c r="I20" i="84"/>
  <c r="J20" i="84"/>
  <c r="K20" i="84"/>
  <c r="E20" i="84"/>
  <c r="F20" i="84"/>
  <c r="G20" i="84"/>
  <c r="M20" i="84"/>
  <c r="N20" i="84"/>
  <c r="A20" i="84"/>
  <c r="D19" i="84"/>
  <c r="I19" i="84"/>
  <c r="J19" i="84"/>
  <c r="K19" i="84"/>
  <c r="E19" i="84"/>
  <c r="F19" i="84"/>
  <c r="G19" i="84"/>
  <c r="M19" i="84"/>
  <c r="N19" i="84"/>
  <c r="A19" i="84"/>
  <c r="D18" i="84"/>
  <c r="I18" i="84"/>
  <c r="J18" i="84"/>
  <c r="K18" i="84"/>
  <c r="E18" i="84"/>
  <c r="F18" i="84"/>
  <c r="G18" i="84"/>
  <c r="M18" i="84"/>
  <c r="N18" i="84"/>
  <c r="A18" i="84"/>
  <c r="D17" i="84"/>
  <c r="I17" i="84"/>
  <c r="J17" i="84"/>
  <c r="K17" i="84"/>
  <c r="E17" i="84"/>
  <c r="F17" i="84"/>
  <c r="G17" i="84"/>
  <c r="M17" i="84"/>
  <c r="N17" i="84"/>
  <c r="A17" i="84"/>
  <c r="D16" i="84"/>
  <c r="I16" i="84"/>
  <c r="J16" i="84"/>
  <c r="K16" i="84"/>
  <c r="E16" i="84"/>
  <c r="F16" i="84"/>
  <c r="G16" i="84"/>
  <c r="M16" i="84"/>
  <c r="N16" i="84"/>
  <c r="A16" i="84"/>
  <c r="A15" i="84"/>
  <c r="A14" i="84"/>
  <c r="A13" i="84"/>
  <c r="I12" i="84"/>
  <c r="E12" i="84"/>
  <c r="A12" i="84"/>
  <c r="A8" i="84"/>
  <c r="A6" i="84"/>
  <c r="A5" i="84"/>
  <c r="I75" i="83"/>
  <c r="G75" i="83"/>
  <c r="J75" i="83"/>
  <c r="C78" i="82"/>
  <c r="C75" i="83"/>
  <c r="Z19" i="2"/>
  <c r="AA19" i="2"/>
  <c r="H19" i="2"/>
  <c r="I19" i="2"/>
  <c r="AC19" i="2"/>
  <c r="AD19" i="2"/>
  <c r="K19" i="2"/>
  <c r="L19" i="2"/>
  <c r="Q19" i="2"/>
  <c r="R19" i="2"/>
  <c r="G25" i="3"/>
  <c r="D25" i="3"/>
  <c r="H25" i="3"/>
  <c r="O25" i="3"/>
  <c r="P25" i="3"/>
  <c r="R25" i="3"/>
  <c r="T19" i="2"/>
  <c r="U19" i="2"/>
  <c r="AI19" i="2"/>
  <c r="AJ19" i="2"/>
  <c r="AL19" i="2"/>
  <c r="AM19" i="2"/>
  <c r="AO19" i="2"/>
  <c r="AP19" i="2"/>
  <c r="AR19" i="2"/>
  <c r="AS19" i="2"/>
  <c r="AU19" i="2"/>
  <c r="AV19" i="2"/>
  <c r="X19" i="2"/>
  <c r="I67" i="83"/>
  <c r="I68" i="83"/>
  <c r="I74" i="83"/>
  <c r="G74" i="83"/>
  <c r="J74" i="83"/>
  <c r="C77" i="82"/>
  <c r="C74" i="83"/>
  <c r="I73" i="83"/>
  <c r="G73" i="83"/>
  <c r="J73" i="83"/>
  <c r="C73" i="83"/>
  <c r="I72" i="83"/>
  <c r="G72" i="83"/>
  <c r="J72" i="83"/>
  <c r="C72" i="83"/>
  <c r="J69" i="83"/>
  <c r="C72" i="82"/>
  <c r="C69" i="83"/>
  <c r="C25" i="83"/>
  <c r="C26" i="83"/>
  <c r="C27" i="83"/>
  <c r="C28" i="83"/>
  <c r="C29" i="83"/>
  <c r="C30" i="83"/>
  <c r="C34" i="83"/>
  <c r="C35" i="83"/>
  <c r="C36" i="83"/>
  <c r="C37" i="83"/>
  <c r="C38" i="83"/>
  <c r="C39" i="83"/>
  <c r="C45" i="83"/>
  <c r="C46" i="83"/>
  <c r="C47" i="83"/>
  <c r="C48" i="83"/>
  <c r="C49" i="83"/>
  <c r="C50" i="83"/>
  <c r="C54" i="82"/>
  <c r="C51" i="83"/>
  <c r="C55" i="82"/>
  <c r="C52" i="83"/>
  <c r="C56" i="82"/>
  <c r="C53" i="83"/>
  <c r="C57" i="82"/>
  <c r="C54" i="83"/>
  <c r="C58" i="82"/>
  <c r="C55" i="83"/>
  <c r="C59" i="82"/>
  <c r="C56" i="83"/>
  <c r="C60" i="82"/>
  <c r="C57" i="83"/>
  <c r="C61" i="82"/>
  <c r="C58" i="83"/>
  <c r="C62" i="82"/>
  <c r="C59" i="83"/>
  <c r="C63" i="82"/>
  <c r="C60" i="83"/>
  <c r="C64" i="82"/>
  <c r="C61" i="83"/>
  <c r="C65" i="82"/>
  <c r="C62" i="83"/>
  <c r="C66" i="82"/>
  <c r="C63" i="83"/>
  <c r="C67" i="82"/>
  <c r="C64" i="83"/>
  <c r="C68" i="82"/>
  <c r="C65" i="83"/>
  <c r="C69" i="82"/>
  <c r="C66" i="83"/>
  <c r="C70" i="82"/>
  <c r="C67" i="83"/>
  <c r="C71" i="82"/>
  <c r="C68" i="83"/>
  <c r="A69" i="83"/>
  <c r="J68" i="83"/>
  <c r="A68" i="83"/>
  <c r="J67" i="83"/>
  <c r="A67" i="83"/>
  <c r="J66" i="83"/>
  <c r="A66" i="83"/>
  <c r="J65" i="83"/>
  <c r="A65" i="83"/>
  <c r="J64" i="83"/>
  <c r="A64" i="83"/>
  <c r="J63" i="83"/>
  <c r="A63" i="83"/>
  <c r="J62" i="83"/>
  <c r="A62" i="83"/>
  <c r="J61" i="83"/>
  <c r="A61" i="83"/>
  <c r="J60" i="83"/>
  <c r="A60" i="83"/>
  <c r="J59" i="83"/>
  <c r="A59" i="83"/>
  <c r="J58" i="83"/>
  <c r="A58" i="83"/>
  <c r="J57" i="83"/>
  <c r="A57" i="83"/>
  <c r="J56" i="83"/>
  <c r="A56" i="83"/>
  <c r="J55" i="83"/>
  <c r="A55" i="83"/>
  <c r="J54" i="83"/>
  <c r="A54" i="83"/>
  <c r="J53" i="83"/>
  <c r="A53" i="83"/>
  <c r="J52" i="83"/>
  <c r="A52" i="83"/>
  <c r="J51" i="83"/>
  <c r="A51" i="83"/>
  <c r="J50" i="83"/>
  <c r="A50" i="83"/>
  <c r="J49" i="83"/>
  <c r="A49" i="83"/>
  <c r="J48" i="83"/>
  <c r="A48" i="83"/>
  <c r="J47" i="83"/>
  <c r="A47" i="83"/>
  <c r="J46" i="83"/>
  <c r="A46" i="83"/>
  <c r="I45" i="83"/>
  <c r="J45" i="83"/>
  <c r="A45" i="83"/>
  <c r="A44" i="83"/>
  <c r="A43" i="83"/>
  <c r="A42" i="83"/>
  <c r="A41" i="83"/>
  <c r="D40" i="83"/>
  <c r="I40" i="83"/>
  <c r="J40" i="83"/>
  <c r="K40" i="83"/>
  <c r="E40" i="83"/>
  <c r="F40" i="83"/>
  <c r="G40" i="83"/>
  <c r="M40" i="83"/>
  <c r="N40" i="83"/>
  <c r="A40" i="83"/>
  <c r="D39" i="83"/>
  <c r="I39" i="83"/>
  <c r="J39" i="83"/>
  <c r="K39" i="83"/>
  <c r="E39" i="83"/>
  <c r="F39" i="83"/>
  <c r="G39" i="83"/>
  <c r="M39" i="83"/>
  <c r="N39" i="83"/>
  <c r="A39" i="83"/>
  <c r="D38" i="83"/>
  <c r="I38" i="83"/>
  <c r="J38" i="83"/>
  <c r="K38" i="83"/>
  <c r="E38" i="83"/>
  <c r="F38" i="83"/>
  <c r="G38" i="83"/>
  <c r="M38" i="83"/>
  <c r="N38" i="83"/>
  <c r="A38" i="83"/>
  <c r="D37" i="83"/>
  <c r="I37" i="83"/>
  <c r="J37" i="83"/>
  <c r="K37" i="83"/>
  <c r="E37" i="83"/>
  <c r="F37" i="83"/>
  <c r="G37" i="83"/>
  <c r="M37" i="83"/>
  <c r="N37" i="83"/>
  <c r="A37" i="83"/>
  <c r="D36" i="83"/>
  <c r="I36" i="83"/>
  <c r="J36" i="83"/>
  <c r="K36" i="83"/>
  <c r="E36" i="83"/>
  <c r="F36" i="83"/>
  <c r="G36" i="83"/>
  <c r="M36" i="83"/>
  <c r="N36" i="83"/>
  <c r="A36" i="83"/>
  <c r="D35" i="83"/>
  <c r="I35" i="83"/>
  <c r="J35" i="83"/>
  <c r="K35" i="83"/>
  <c r="E35" i="83"/>
  <c r="F35" i="83"/>
  <c r="G35" i="83"/>
  <c r="M35" i="83"/>
  <c r="N35" i="83"/>
  <c r="A35" i="83"/>
  <c r="D34" i="83"/>
  <c r="I34" i="83"/>
  <c r="J34" i="83"/>
  <c r="K34" i="83"/>
  <c r="E34" i="83"/>
  <c r="F34" i="83"/>
  <c r="G34" i="83"/>
  <c r="M34" i="83"/>
  <c r="N34" i="83"/>
  <c r="A34" i="83"/>
  <c r="A33" i="83"/>
  <c r="A32" i="83"/>
  <c r="D31" i="83"/>
  <c r="I31" i="83"/>
  <c r="J31" i="83"/>
  <c r="K31" i="83"/>
  <c r="E31" i="83"/>
  <c r="F31" i="83"/>
  <c r="G31" i="83"/>
  <c r="M31" i="83"/>
  <c r="N31" i="83"/>
  <c r="A31" i="83"/>
  <c r="D30" i="83"/>
  <c r="I30" i="83"/>
  <c r="J30" i="83"/>
  <c r="K30" i="83"/>
  <c r="E30" i="83"/>
  <c r="F30" i="83"/>
  <c r="G30" i="83"/>
  <c r="M30" i="83"/>
  <c r="N30" i="83"/>
  <c r="A30" i="83"/>
  <c r="D29" i="83"/>
  <c r="I29" i="83"/>
  <c r="J29" i="83"/>
  <c r="K29" i="83"/>
  <c r="E29" i="83"/>
  <c r="F29" i="83"/>
  <c r="G29" i="83"/>
  <c r="M29" i="83"/>
  <c r="N29" i="83"/>
  <c r="A29" i="83"/>
  <c r="D28" i="83"/>
  <c r="I28" i="83"/>
  <c r="J28" i="83"/>
  <c r="K28" i="83"/>
  <c r="E28" i="83"/>
  <c r="F28" i="83"/>
  <c r="G28" i="83"/>
  <c r="M28" i="83"/>
  <c r="N28" i="83"/>
  <c r="A28" i="83"/>
  <c r="D27" i="83"/>
  <c r="I27" i="83"/>
  <c r="J27" i="83"/>
  <c r="K27" i="83"/>
  <c r="E27" i="83"/>
  <c r="F27" i="83"/>
  <c r="G27" i="83"/>
  <c r="M27" i="83"/>
  <c r="N27" i="83"/>
  <c r="A27" i="83"/>
  <c r="D26" i="83"/>
  <c r="I26" i="83"/>
  <c r="J26" i="83"/>
  <c r="K26" i="83"/>
  <c r="E26" i="83"/>
  <c r="F26" i="83"/>
  <c r="G26" i="83"/>
  <c r="M26" i="83"/>
  <c r="N26" i="83"/>
  <c r="A26" i="83"/>
  <c r="D25" i="83"/>
  <c r="I25" i="83"/>
  <c r="J25" i="83"/>
  <c r="K25" i="83"/>
  <c r="E25" i="83"/>
  <c r="F25" i="83"/>
  <c r="G25" i="83"/>
  <c r="M25" i="83"/>
  <c r="N25" i="83"/>
  <c r="A25" i="83"/>
  <c r="A24" i="83"/>
  <c r="A23" i="83"/>
  <c r="D22" i="83"/>
  <c r="I22" i="83"/>
  <c r="J22" i="83"/>
  <c r="K22" i="83"/>
  <c r="E22" i="83"/>
  <c r="F22" i="83"/>
  <c r="G22" i="83"/>
  <c r="M22" i="83"/>
  <c r="N22" i="83"/>
  <c r="A22" i="83"/>
  <c r="D21" i="83"/>
  <c r="I21" i="83"/>
  <c r="J21" i="83"/>
  <c r="K21" i="83"/>
  <c r="E21" i="83"/>
  <c r="F21" i="83"/>
  <c r="G21" i="83"/>
  <c r="M21" i="83"/>
  <c r="N21" i="83"/>
  <c r="A21" i="83"/>
  <c r="D20" i="83"/>
  <c r="I20" i="83"/>
  <c r="J20" i="83"/>
  <c r="K20" i="83"/>
  <c r="E20" i="83"/>
  <c r="F20" i="83"/>
  <c r="G20" i="83"/>
  <c r="M20" i="83"/>
  <c r="N20" i="83"/>
  <c r="A20" i="83"/>
  <c r="D19" i="83"/>
  <c r="I19" i="83"/>
  <c r="J19" i="83"/>
  <c r="K19" i="83"/>
  <c r="E19" i="83"/>
  <c r="F19" i="83"/>
  <c r="G19" i="83"/>
  <c r="M19" i="83"/>
  <c r="N19" i="83"/>
  <c r="A19" i="83"/>
  <c r="D18" i="83"/>
  <c r="I18" i="83"/>
  <c r="J18" i="83"/>
  <c r="K18" i="83"/>
  <c r="E18" i="83"/>
  <c r="F18" i="83"/>
  <c r="G18" i="83"/>
  <c r="M18" i="83"/>
  <c r="N18" i="83"/>
  <c r="A18" i="83"/>
  <c r="D17" i="83"/>
  <c r="I17" i="83"/>
  <c r="J17" i="83"/>
  <c r="K17" i="83"/>
  <c r="E17" i="83"/>
  <c r="F17" i="83"/>
  <c r="G17" i="83"/>
  <c r="M17" i="83"/>
  <c r="N17" i="83"/>
  <c r="A17" i="83"/>
  <c r="D16" i="83"/>
  <c r="I16" i="83"/>
  <c r="J16" i="83"/>
  <c r="K16" i="83"/>
  <c r="E16" i="83"/>
  <c r="F16" i="83"/>
  <c r="G16" i="83"/>
  <c r="M16" i="83"/>
  <c r="N16" i="83"/>
  <c r="A16" i="83"/>
  <c r="A15" i="83"/>
  <c r="A14" i="83"/>
  <c r="A13" i="83"/>
  <c r="I12" i="83"/>
  <c r="E12" i="83"/>
  <c r="A12" i="83"/>
  <c r="A8" i="83"/>
  <c r="A6" i="83"/>
  <c r="A5" i="83"/>
  <c r="I78" i="82"/>
  <c r="G78" i="82"/>
  <c r="J78" i="82"/>
  <c r="Z18" i="2"/>
  <c r="AA18" i="2"/>
  <c r="H18" i="2"/>
  <c r="I18" i="2"/>
  <c r="AC18" i="2"/>
  <c r="AD18" i="2"/>
  <c r="K18" i="2"/>
  <c r="L18" i="2"/>
  <c r="Q18" i="2"/>
  <c r="R18" i="2"/>
  <c r="G24" i="3"/>
  <c r="D24" i="3"/>
  <c r="H24" i="3"/>
  <c r="O24" i="3"/>
  <c r="P24" i="3"/>
  <c r="R24" i="3"/>
  <c r="T18" i="2"/>
  <c r="U18" i="2"/>
  <c r="AI18" i="2"/>
  <c r="AJ18" i="2"/>
  <c r="AL18" i="2"/>
  <c r="AM18" i="2"/>
  <c r="AO18" i="2"/>
  <c r="AP18" i="2"/>
  <c r="AR18" i="2"/>
  <c r="AS18" i="2"/>
  <c r="AU18" i="2"/>
  <c r="AV18" i="2"/>
  <c r="X18" i="2"/>
  <c r="I70" i="82"/>
  <c r="I71" i="82"/>
  <c r="I77" i="82"/>
  <c r="G77" i="82"/>
  <c r="J77" i="82"/>
  <c r="I76" i="82"/>
  <c r="G76" i="82"/>
  <c r="J76" i="82"/>
  <c r="I75" i="82"/>
  <c r="G75" i="82"/>
  <c r="J75" i="82"/>
  <c r="A73" i="82"/>
  <c r="J72" i="82"/>
  <c r="C26" i="82"/>
  <c r="C27" i="82"/>
  <c r="C28" i="82"/>
  <c r="C29" i="82"/>
  <c r="C30" i="82"/>
  <c r="C31" i="82"/>
  <c r="C32" i="82"/>
  <c r="C36" i="82"/>
  <c r="C37" i="82"/>
  <c r="C38" i="82"/>
  <c r="C39" i="82"/>
  <c r="C40" i="82"/>
  <c r="C41" i="82"/>
  <c r="C42" i="82"/>
  <c r="A72" i="82"/>
  <c r="J71" i="82"/>
  <c r="A71" i="82"/>
  <c r="J70" i="82"/>
  <c r="A70" i="82"/>
  <c r="J69" i="82"/>
  <c r="A69" i="82"/>
  <c r="J68" i="82"/>
  <c r="A68" i="82"/>
  <c r="J67" i="82"/>
  <c r="A67" i="82"/>
  <c r="J66" i="82"/>
  <c r="A66" i="82"/>
  <c r="J65" i="82"/>
  <c r="A65" i="82"/>
  <c r="J64" i="82"/>
  <c r="A64" i="82"/>
  <c r="J63" i="82"/>
  <c r="A63" i="82"/>
  <c r="J62" i="82"/>
  <c r="A62" i="82"/>
  <c r="J61" i="82"/>
  <c r="A61" i="82"/>
  <c r="J60" i="82"/>
  <c r="A60" i="82"/>
  <c r="J59" i="82"/>
  <c r="A59" i="82"/>
  <c r="J58" i="82"/>
  <c r="A58" i="82"/>
  <c r="J57" i="82"/>
  <c r="A57" i="82"/>
  <c r="J56" i="82"/>
  <c r="A56" i="82"/>
  <c r="J55" i="82"/>
  <c r="A55" i="82"/>
  <c r="J54" i="82"/>
  <c r="A54" i="82"/>
  <c r="J53" i="82"/>
  <c r="A53" i="82"/>
  <c r="J52" i="82"/>
  <c r="A52" i="82"/>
  <c r="J51" i="82"/>
  <c r="A51" i="82"/>
  <c r="J50" i="82"/>
  <c r="A50" i="82"/>
  <c r="J49" i="82"/>
  <c r="A49" i="82"/>
  <c r="I48" i="82"/>
  <c r="J48" i="82"/>
  <c r="A48" i="82"/>
  <c r="A47" i="82"/>
  <c r="A46" i="82"/>
  <c r="A45" i="82"/>
  <c r="A44" i="82"/>
  <c r="D43" i="82"/>
  <c r="I43" i="82"/>
  <c r="J43" i="82"/>
  <c r="K43" i="82"/>
  <c r="E43" i="82"/>
  <c r="F43" i="82"/>
  <c r="G43" i="82"/>
  <c r="M43" i="82"/>
  <c r="N43" i="82"/>
  <c r="A43" i="82"/>
  <c r="D42" i="82"/>
  <c r="I42" i="82"/>
  <c r="J42" i="82"/>
  <c r="K42" i="82"/>
  <c r="E42" i="82"/>
  <c r="F42" i="82"/>
  <c r="G42" i="82"/>
  <c r="M42" i="82"/>
  <c r="N42" i="82"/>
  <c r="A42" i="82"/>
  <c r="D41" i="82"/>
  <c r="I41" i="82"/>
  <c r="J41" i="82"/>
  <c r="K41" i="82"/>
  <c r="E41" i="82"/>
  <c r="F41" i="82"/>
  <c r="G41" i="82"/>
  <c r="M41" i="82"/>
  <c r="N41" i="82"/>
  <c r="A41" i="82"/>
  <c r="D40" i="82"/>
  <c r="I40" i="82"/>
  <c r="J40" i="82"/>
  <c r="K40" i="82"/>
  <c r="E40" i="82"/>
  <c r="F40" i="82"/>
  <c r="G40" i="82"/>
  <c r="M40" i="82"/>
  <c r="N40" i="82"/>
  <c r="A40" i="82"/>
  <c r="D39" i="82"/>
  <c r="I39" i="82"/>
  <c r="J39" i="82"/>
  <c r="K39" i="82"/>
  <c r="E39" i="82"/>
  <c r="F39" i="82"/>
  <c r="G39" i="82"/>
  <c r="M39" i="82"/>
  <c r="N39" i="82"/>
  <c r="A39" i="82"/>
  <c r="D38" i="82"/>
  <c r="I38" i="82"/>
  <c r="J38" i="82"/>
  <c r="K38" i="82"/>
  <c r="E38" i="82"/>
  <c r="F38" i="82"/>
  <c r="G38" i="82"/>
  <c r="M38" i="82"/>
  <c r="N38" i="82"/>
  <c r="A38" i="82"/>
  <c r="D37" i="82"/>
  <c r="I37" i="82"/>
  <c r="J37" i="82"/>
  <c r="K37" i="82"/>
  <c r="E37" i="82"/>
  <c r="F37" i="82"/>
  <c r="G37" i="82"/>
  <c r="M37" i="82"/>
  <c r="N37" i="82"/>
  <c r="A37" i="82"/>
  <c r="D36" i="82"/>
  <c r="I36" i="82"/>
  <c r="J36" i="82"/>
  <c r="K36" i="82"/>
  <c r="E36" i="82"/>
  <c r="F36" i="82"/>
  <c r="G36" i="82"/>
  <c r="M36" i="82"/>
  <c r="N36" i="82"/>
  <c r="A36" i="82"/>
  <c r="A35" i="82"/>
  <c r="A34" i="82"/>
  <c r="D33" i="82"/>
  <c r="I33" i="82"/>
  <c r="J33" i="82"/>
  <c r="K33" i="82"/>
  <c r="E33" i="82"/>
  <c r="F33" i="82"/>
  <c r="G33" i="82"/>
  <c r="M33" i="82"/>
  <c r="N33" i="82"/>
  <c r="A33" i="82"/>
  <c r="D32" i="82"/>
  <c r="I32" i="82"/>
  <c r="J32" i="82"/>
  <c r="K32" i="82"/>
  <c r="E32" i="82"/>
  <c r="F32" i="82"/>
  <c r="G32" i="82"/>
  <c r="M32" i="82"/>
  <c r="N32" i="82"/>
  <c r="A32" i="82"/>
  <c r="D31" i="82"/>
  <c r="I31" i="82"/>
  <c r="J31" i="82"/>
  <c r="K31" i="82"/>
  <c r="E31" i="82"/>
  <c r="F31" i="82"/>
  <c r="G31" i="82"/>
  <c r="M31" i="82"/>
  <c r="N31" i="82"/>
  <c r="A31" i="82"/>
  <c r="D30" i="82"/>
  <c r="I30" i="82"/>
  <c r="J30" i="82"/>
  <c r="K30" i="82"/>
  <c r="E30" i="82"/>
  <c r="F30" i="82"/>
  <c r="G30" i="82"/>
  <c r="M30" i="82"/>
  <c r="N30" i="82"/>
  <c r="A30" i="82"/>
  <c r="D29" i="82"/>
  <c r="I29" i="82"/>
  <c r="J29" i="82"/>
  <c r="K29" i="82"/>
  <c r="E29" i="82"/>
  <c r="F29" i="82"/>
  <c r="G29" i="82"/>
  <c r="M29" i="82"/>
  <c r="N29" i="82"/>
  <c r="A29" i="82"/>
  <c r="D28" i="82"/>
  <c r="I28" i="82"/>
  <c r="J28" i="82"/>
  <c r="K28" i="82"/>
  <c r="E28" i="82"/>
  <c r="F28" i="82"/>
  <c r="G28" i="82"/>
  <c r="M28" i="82"/>
  <c r="N28" i="82"/>
  <c r="A28" i="82"/>
  <c r="D27" i="82"/>
  <c r="I27" i="82"/>
  <c r="J27" i="82"/>
  <c r="K27" i="82"/>
  <c r="E27" i="82"/>
  <c r="F27" i="82"/>
  <c r="G27" i="82"/>
  <c r="M27" i="82"/>
  <c r="N27" i="82"/>
  <c r="A27" i="82"/>
  <c r="D26" i="82"/>
  <c r="I26" i="82"/>
  <c r="J26" i="82"/>
  <c r="K26" i="82"/>
  <c r="E26" i="82"/>
  <c r="F26" i="82"/>
  <c r="G26" i="82"/>
  <c r="M26" i="82"/>
  <c r="N26" i="82"/>
  <c r="A26" i="82"/>
  <c r="A25" i="82"/>
  <c r="A24" i="82"/>
  <c r="D23" i="82"/>
  <c r="I23" i="82"/>
  <c r="J23" i="82"/>
  <c r="K23" i="82"/>
  <c r="E23" i="82"/>
  <c r="F23" i="82"/>
  <c r="G23" i="82"/>
  <c r="M23" i="82"/>
  <c r="N23" i="82"/>
  <c r="A23" i="82"/>
  <c r="D22" i="82"/>
  <c r="I22" i="82"/>
  <c r="J22" i="82"/>
  <c r="K22" i="82"/>
  <c r="E22" i="82"/>
  <c r="F22" i="82"/>
  <c r="G22" i="82"/>
  <c r="M22" i="82"/>
  <c r="N22" i="82"/>
  <c r="A22" i="82"/>
  <c r="D21" i="82"/>
  <c r="I21" i="82"/>
  <c r="J21" i="82"/>
  <c r="K21" i="82"/>
  <c r="E21" i="82"/>
  <c r="F21" i="82"/>
  <c r="G21" i="82"/>
  <c r="M21" i="82"/>
  <c r="N21" i="82"/>
  <c r="A21" i="82"/>
  <c r="D20" i="82"/>
  <c r="I20" i="82"/>
  <c r="J20" i="82"/>
  <c r="K20" i="82"/>
  <c r="E20" i="82"/>
  <c r="F20" i="82"/>
  <c r="G20" i="82"/>
  <c r="M20" i="82"/>
  <c r="N20" i="82"/>
  <c r="A20" i="82"/>
  <c r="D19" i="82"/>
  <c r="I19" i="82"/>
  <c r="J19" i="82"/>
  <c r="K19" i="82"/>
  <c r="E19" i="82"/>
  <c r="F19" i="82"/>
  <c r="G19" i="82"/>
  <c r="M19" i="82"/>
  <c r="N19" i="82"/>
  <c r="A19" i="82"/>
  <c r="D18" i="82"/>
  <c r="I18" i="82"/>
  <c r="J18" i="82"/>
  <c r="K18" i="82"/>
  <c r="E18" i="82"/>
  <c r="F18" i="82"/>
  <c r="G18" i="82"/>
  <c r="M18" i="82"/>
  <c r="N18" i="82"/>
  <c r="A18" i="82"/>
  <c r="D17" i="82"/>
  <c r="I17" i="82"/>
  <c r="J17" i="82"/>
  <c r="K17" i="82"/>
  <c r="E17" i="82"/>
  <c r="F17" i="82"/>
  <c r="G17" i="82"/>
  <c r="M17" i="82"/>
  <c r="N17" i="82"/>
  <c r="A17" i="82"/>
  <c r="D16" i="82"/>
  <c r="I16" i="82"/>
  <c r="J16" i="82"/>
  <c r="K16" i="82"/>
  <c r="E16" i="82"/>
  <c r="F16" i="82"/>
  <c r="G16" i="82"/>
  <c r="M16" i="82"/>
  <c r="N16" i="82"/>
  <c r="A16" i="82"/>
  <c r="A15" i="82"/>
  <c r="A14" i="82"/>
  <c r="A13" i="82"/>
  <c r="I12" i="82"/>
  <c r="E12" i="82"/>
  <c r="A12" i="82"/>
  <c r="A8" i="82"/>
  <c r="A6" i="82"/>
  <c r="A5" i="82"/>
  <c r="I80" i="81"/>
  <c r="G80" i="81"/>
  <c r="J80" i="81"/>
  <c r="I72" i="81"/>
  <c r="I73" i="81"/>
  <c r="I79" i="81"/>
  <c r="G79" i="81"/>
  <c r="J79" i="81"/>
  <c r="I78" i="81"/>
  <c r="G78" i="81"/>
  <c r="J78" i="81"/>
  <c r="I77" i="81"/>
  <c r="G77" i="81"/>
  <c r="J77" i="81"/>
  <c r="A75" i="81"/>
  <c r="J74" i="81"/>
  <c r="C27" i="81"/>
  <c r="C28" i="81"/>
  <c r="C29" i="81"/>
  <c r="C30" i="81"/>
  <c r="C31" i="81"/>
  <c r="C32" i="81"/>
  <c r="C33" i="81"/>
  <c r="C34" i="81"/>
  <c r="C38" i="81"/>
  <c r="C39" i="81"/>
  <c r="C40" i="81"/>
  <c r="C41" i="81"/>
  <c r="C42" i="81"/>
  <c r="C43" i="81"/>
  <c r="C44" i="81"/>
  <c r="C45" i="81"/>
  <c r="A74" i="81"/>
  <c r="J73" i="81"/>
  <c r="A73" i="81"/>
  <c r="J72" i="81"/>
  <c r="A72" i="81"/>
  <c r="J71" i="81"/>
  <c r="A71" i="81"/>
  <c r="J70" i="81"/>
  <c r="A70" i="81"/>
  <c r="J69" i="81"/>
  <c r="A69" i="81"/>
  <c r="J68" i="81"/>
  <c r="A68" i="81"/>
  <c r="J67" i="81"/>
  <c r="A67" i="81"/>
  <c r="J66" i="81"/>
  <c r="A66" i="81"/>
  <c r="J65" i="81"/>
  <c r="A65" i="81"/>
  <c r="J64" i="81"/>
  <c r="A64" i="81"/>
  <c r="J63" i="81"/>
  <c r="A63" i="81"/>
  <c r="J62" i="81"/>
  <c r="A62" i="81"/>
  <c r="J61" i="81"/>
  <c r="A61" i="81"/>
  <c r="J60" i="81"/>
  <c r="A60" i="81"/>
  <c r="J59" i="81"/>
  <c r="A59" i="81"/>
  <c r="J58" i="81"/>
  <c r="A58" i="81"/>
  <c r="J57" i="81"/>
  <c r="A57" i="81"/>
  <c r="J56" i="81"/>
  <c r="A56" i="81"/>
  <c r="J55" i="81"/>
  <c r="A55" i="81"/>
  <c r="J54" i="81"/>
  <c r="A54" i="81"/>
  <c r="J53" i="81"/>
  <c r="A53" i="81"/>
  <c r="J52" i="81"/>
  <c r="A52" i="81"/>
  <c r="I51" i="81"/>
  <c r="J51" i="81"/>
  <c r="A51" i="81"/>
  <c r="A50" i="81"/>
  <c r="A49" i="81"/>
  <c r="A48" i="81"/>
  <c r="A47" i="81"/>
  <c r="D46" i="81"/>
  <c r="I46" i="81"/>
  <c r="J46" i="81"/>
  <c r="K46" i="81"/>
  <c r="E46" i="81"/>
  <c r="F46" i="81"/>
  <c r="G46" i="81"/>
  <c r="M46" i="81"/>
  <c r="N46" i="81"/>
  <c r="A46" i="81"/>
  <c r="D45" i="81"/>
  <c r="I45" i="81"/>
  <c r="J45" i="81"/>
  <c r="K45" i="81"/>
  <c r="E45" i="81"/>
  <c r="F45" i="81"/>
  <c r="G45" i="81"/>
  <c r="M45" i="81"/>
  <c r="N45" i="81"/>
  <c r="A45" i="81"/>
  <c r="D44" i="81"/>
  <c r="I44" i="81"/>
  <c r="J44" i="81"/>
  <c r="K44" i="81"/>
  <c r="E44" i="81"/>
  <c r="F44" i="81"/>
  <c r="G44" i="81"/>
  <c r="M44" i="81"/>
  <c r="N44" i="81"/>
  <c r="A44" i="81"/>
  <c r="D43" i="81"/>
  <c r="I43" i="81"/>
  <c r="J43" i="81"/>
  <c r="K43" i="81"/>
  <c r="E43" i="81"/>
  <c r="F43" i="81"/>
  <c r="G43" i="81"/>
  <c r="M43" i="81"/>
  <c r="N43" i="81"/>
  <c r="A43" i="81"/>
  <c r="D42" i="81"/>
  <c r="I42" i="81"/>
  <c r="J42" i="81"/>
  <c r="K42" i="81"/>
  <c r="E42" i="81"/>
  <c r="F42" i="81"/>
  <c r="G42" i="81"/>
  <c r="M42" i="81"/>
  <c r="N42" i="81"/>
  <c r="A42" i="81"/>
  <c r="D41" i="81"/>
  <c r="I41" i="81"/>
  <c r="J41" i="81"/>
  <c r="K41" i="81"/>
  <c r="E41" i="81"/>
  <c r="F41" i="81"/>
  <c r="G41" i="81"/>
  <c r="M41" i="81"/>
  <c r="N41" i="81"/>
  <c r="A41" i="81"/>
  <c r="D40" i="81"/>
  <c r="I40" i="81"/>
  <c r="J40" i="81"/>
  <c r="K40" i="81"/>
  <c r="E40" i="81"/>
  <c r="F40" i="81"/>
  <c r="G40" i="81"/>
  <c r="M40" i="81"/>
  <c r="N40" i="81"/>
  <c r="A40" i="81"/>
  <c r="D39" i="81"/>
  <c r="I39" i="81"/>
  <c r="J39" i="81"/>
  <c r="K39" i="81"/>
  <c r="E39" i="81"/>
  <c r="F39" i="81"/>
  <c r="G39" i="81"/>
  <c r="M39" i="81"/>
  <c r="N39" i="81"/>
  <c r="A39" i="81"/>
  <c r="D38" i="81"/>
  <c r="I38" i="81"/>
  <c r="J38" i="81"/>
  <c r="K38" i="81"/>
  <c r="E38" i="81"/>
  <c r="F38" i="81"/>
  <c r="G38" i="81"/>
  <c r="M38" i="81"/>
  <c r="N38" i="81"/>
  <c r="A38" i="81"/>
  <c r="A37" i="81"/>
  <c r="A36" i="81"/>
  <c r="D35" i="81"/>
  <c r="I35" i="81"/>
  <c r="J35" i="81"/>
  <c r="K35" i="81"/>
  <c r="E35" i="81"/>
  <c r="F35" i="81"/>
  <c r="G35" i="81"/>
  <c r="M35" i="81"/>
  <c r="N35" i="81"/>
  <c r="A35" i="81"/>
  <c r="D34" i="81"/>
  <c r="I34" i="81"/>
  <c r="J34" i="81"/>
  <c r="K34" i="81"/>
  <c r="E34" i="81"/>
  <c r="F34" i="81"/>
  <c r="G34" i="81"/>
  <c r="M34" i="81"/>
  <c r="N34" i="81"/>
  <c r="A34" i="81"/>
  <c r="D33" i="81"/>
  <c r="I33" i="81"/>
  <c r="J33" i="81"/>
  <c r="K33" i="81"/>
  <c r="E33" i="81"/>
  <c r="F33" i="81"/>
  <c r="G33" i="81"/>
  <c r="M33" i="81"/>
  <c r="N33" i="81"/>
  <c r="A33" i="81"/>
  <c r="D32" i="81"/>
  <c r="I32" i="81"/>
  <c r="J32" i="81"/>
  <c r="K32" i="81"/>
  <c r="E32" i="81"/>
  <c r="F32" i="81"/>
  <c r="G32" i="81"/>
  <c r="M32" i="81"/>
  <c r="N32" i="81"/>
  <c r="A32" i="81"/>
  <c r="D31" i="81"/>
  <c r="I31" i="81"/>
  <c r="J31" i="81"/>
  <c r="K31" i="81"/>
  <c r="E31" i="81"/>
  <c r="F31" i="81"/>
  <c r="G31" i="81"/>
  <c r="M31" i="81"/>
  <c r="N31" i="81"/>
  <c r="A31" i="81"/>
  <c r="D30" i="81"/>
  <c r="I30" i="81"/>
  <c r="J30" i="81"/>
  <c r="K30" i="81"/>
  <c r="E30" i="81"/>
  <c r="F30" i="81"/>
  <c r="G30" i="81"/>
  <c r="M30" i="81"/>
  <c r="N30" i="81"/>
  <c r="A30" i="81"/>
  <c r="D29" i="81"/>
  <c r="I29" i="81"/>
  <c r="J29" i="81"/>
  <c r="K29" i="81"/>
  <c r="E29" i="81"/>
  <c r="F29" i="81"/>
  <c r="G29" i="81"/>
  <c r="M29" i="81"/>
  <c r="N29" i="81"/>
  <c r="A29" i="81"/>
  <c r="D28" i="81"/>
  <c r="I28" i="81"/>
  <c r="J28" i="81"/>
  <c r="K28" i="81"/>
  <c r="E28" i="81"/>
  <c r="F28" i="81"/>
  <c r="G28" i="81"/>
  <c r="M28" i="81"/>
  <c r="N28" i="81"/>
  <c r="A28" i="81"/>
  <c r="D27" i="81"/>
  <c r="I27" i="81"/>
  <c r="J27" i="81"/>
  <c r="K27" i="81"/>
  <c r="E27" i="81"/>
  <c r="F27" i="81"/>
  <c r="G27" i="81"/>
  <c r="M27" i="81"/>
  <c r="N27" i="81"/>
  <c r="A27" i="81"/>
  <c r="A26" i="81"/>
  <c r="A25" i="81"/>
  <c r="D24" i="81"/>
  <c r="I24" i="81"/>
  <c r="J24" i="81"/>
  <c r="K24" i="81"/>
  <c r="E24" i="81"/>
  <c r="F24" i="81"/>
  <c r="G24" i="81"/>
  <c r="M24" i="81"/>
  <c r="N24" i="81"/>
  <c r="A24" i="81"/>
  <c r="D23" i="81"/>
  <c r="I23" i="81"/>
  <c r="J23" i="81"/>
  <c r="K23" i="81"/>
  <c r="E23" i="81"/>
  <c r="F23" i="81"/>
  <c r="G23" i="81"/>
  <c r="M23" i="81"/>
  <c r="N23" i="81"/>
  <c r="A23" i="81"/>
  <c r="D22" i="81"/>
  <c r="I22" i="81"/>
  <c r="J22" i="81"/>
  <c r="K22" i="81"/>
  <c r="E22" i="81"/>
  <c r="F22" i="81"/>
  <c r="G22" i="81"/>
  <c r="M22" i="81"/>
  <c r="N22" i="81"/>
  <c r="A22" i="81"/>
  <c r="D21" i="81"/>
  <c r="I21" i="81"/>
  <c r="J21" i="81"/>
  <c r="K21" i="81"/>
  <c r="E21" i="81"/>
  <c r="F21" i="81"/>
  <c r="G21" i="81"/>
  <c r="M21" i="81"/>
  <c r="N21" i="81"/>
  <c r="A21" i="81"/>
  <c r="D20" i="81"/>
  <c r="I20" i="81"/>
  <c r="J20" i="81"/>
  <c r="K20" i="81"/>
  <c r="E20" i="81"/>
  <c r="F20" i="81"/>
  <c r="G20" i="81"/>
  <c r="M20" i="81"/>
  <c r="N20" i="81"/>
  <c r="A20" i="81"/>
  <c r="D19" i="81"/>
  <c r="I19" i="81"/>
  <c r="J19" i="81"/>
  <c r="K19" i="81"/>
  <c r="E19" i="81"/>
  <c r="F19" i="81"/>
  <c r="G19" i="81"/>
  <c r="M19" i="81"/>
  <c r="N19" i="81"/>
  <c r="A19" i="81"/>
  <c r="D18" i="81"/>
  <c r="I18" i="81"/>
  <c r="J18" i="81"/>
  <c r="K18" i="81"/>
  <c r="E18" i="81"/>
  <c r="F18" i="81"/>
  <c r="G18" i="81"/>
  <c r="M18" i="81"/>
  <c r="N18" i="81"/>
  <c r="A18" i="81"/>
  <c r="D17" i="81"/>
  <c r="I17" i="81"/>
  <c r="J17" i="81"/>
  <c r="K17" i="81"/>
  <c r="E17" i="81"/>
  <c r="F17" i="81"/>
  <c r="G17" i="81"/>
  <c r="M17" i="81"/>
  <c r="N17" i="81"/>
  <c r="A17" i="81"/>
  <c r="D16" i="81"/>
  <c r="I16" i="81"/>
  <c r="J16" i="81"/>
  <c r="K16" i="81"/>
  <c r="E16" i="81"/>
  <c r="F16" i="81"/>
  <c r="G16" i="81"/>
  <c r="M16" i="81"/>
  <c r="N16" i="81"/>
  <c r="A16" i="81"/>
  <c r="A15" i="81"/>
  <c r="A14" i="81"/>
  <c r="A13" i="81"/>
  <c r="I12" i="81"/>
  <c r="E12" i="81"/>
  <c r="A12" i="81"/>
  <c r="A8" i="81"/>
  <c r="A6" i="81"/>
  <c r="A5" i="81"/>
  <c r="H54" i="80"/>
  <c r="F54" i="80"/>
  <c r="I54" i="80"/>
  <c r="H48" i="80"/>
  <c r="H49" i="80"/>
  <c r="H53" i="80"/>
  <c r="F53" i="80"/>
  <c r="I53" i="80"/>
  <c r="I50" i="80"/>
  <c r="A50" i="80"/>
  <c r="I49" i="80"/>
  <c r="A49" i="80"/>
  <c r="I48" i="80"/>
  <c r="A48" i="80"/>
  <c r="I47" i="80"/>
  <c r="A47" i="80"/>
  <c r="I46" i="80"/>
  <c r="A46" i="80"/>
  <c r="I45" i="80"/>
  <c r="A45" i="80"/>
  <c r="I44" i="80"/>
  <c r="A44" i="80"/>
  <c r="I43" i="80"/>
  <c r="A43" i="80"/>
  <c r="I42" i="80"/>
  <c r="A42" i="80"/>
  <c r="I41" i="80"/>
  <c r="A41" i="80"/>
  <c r="I40" i="80"/>
  <c r="A40" i="80"/>
  <c r="I39" i="80"/>
  <c r="A39" i="80"/>
  <c r="I38" i="80"/>
  <c r="A38" i="80"/>
  <c r="I37" i="80"/>
  <c r="A37" i="80"/>
  <c r="I36" i="80"/>
  <c r="A36" i="80"/>
  <c r="I35" i="80"/>
  <c r="A35" i="80"/>
  <c r="I34" i="80"/>
  <c r="A34" i="80"/>
  <c r="I33" i="80"/>
  <c r="A33" i="80"/>
  <c r="I32" i="80"/>
  <c r="A32" i="80"/>
  <c r="I31" i="80"/>
  <c r="A31" i="80"/>
  <c r="I30" i="80"/>
  <c r="A30" i="80"/>
  <c r="H29" i="80"/>
  <c r="I29" i="80"/>
  <c r="A29" i="80"/>
  <c r="A28" i="80"/>
  <c r="A27" i="80"/>
  <c r="A26" i="80"/>
  <c r="A25" i="80"/>
  <c r="H24" i="80"/>
  <c r="I24" i="80"/>
  <c r="J24" i="80"/>
  <c r="D24" i="80"/>
  <c r="E24" i="80"/>
  <c r="F24" i="80"/>
  <c r="L24" i="80"/>
  <c r="M24" i="80"/>
  <c r="A24" i="80"/>
  <c r="H23" i="80"/>
  <c r="I23" i="80"/>
  <c r="J23" i="80"/>
  <c r="D23" i="80"/>
  <c r="E23" i="80"/>
  <c r="F23" i="80"/>
  <c r="L23" i="80"/>
  <c r="M23" i="80"/>
  <c r="A23" i="80"/>
  <c r="H22" i="80"/>
  <c r="I22" i="80"/>
  <c r="J22" i="80"/>
  <c r="D22" i="80"/>
  <c r="E22" i="80"/>
  <c r="F22" i="80"/>
  <c r="L22" i="80"/>
  <c r="M22" i="80"/>
  <c r="A22" i="80"/>
  <c r="H21" i="80"/>
  <c r="I21" i="80"/>
  <c r="J21" i="80"/>
  <c r="D21" i="80"/>
  <c r="E21" i="80"/>
  <c r="F21" i="80"/>
  <c r="L21" i="80"/>
  <c r="M21" i="80"/>
  <c r="A21" i="80"/>
  <c r="H20" i="80"/>
  <c r="I20" i="80"/>
  <c r="J20" i="80"/>
  <c r="D20" i="80"/>
  <c r="E20" i="80"/>
  <c r="F20" i="80"/>
  <c r="L20" i="80"/>
  <c r="M20" i="80"/>
  <c r="A20" i="80"/>
  <c r="H19" i="80"/>
  <c r="I19" i="80"/>
  <c r="J19" i="80"/>
  <c r="D19" i="80"/>
  <c r="E19" i="80"/>
  <c r="F19" i="80"/>
  <c r="L19" i="80"/>
  <c r="M19" i="80"/>
  <c r="A19" i="80"/>
  <c r="H18" i="80"/>
  <c r="I18" i="80"/>
  <c r="J18" i="80"/>
  <c r="D18" i="80"/>
  <c r="E18" i="80"/>
  <c r="F18" i="80"/>
  <c r="L18" i="80"/>
  <c r="M18" i="80"/>
  <c r="A18" i="80"/>
  <c r="H17" i="80"/>
  <c r="I17" i="80"/>
  <c r="J17" i="80"/>
  <c r="D17" i="80"/>
  <c r="E17" i="80"/>
  <c r="F17" i="80"/>
  <c r="L17" i="80"/>
  <c r="M17" i="80"/>
  <c r="A17" i="80"/>
  <c r="H16" i="80"/>
  <c r="I16" i="80"/>
  <c r="J16" i="80"/>
  <c r="D16" i="80"/>
  <c r="E16" i="80"/>
  <c r="F16" i="80"/>
  <c r="L16" i="80"/>
  <c r="M16" i="80"/>
  <c r="A16" i="80"/>
  <c r="H15" i="80"/>
  <c r="I15" i="80"/>
  <c r="J15" i="80"/>
  <c r="D15" i="80"/>
  <c r="E15" i="80"/>
  <c r="F15" i="80"/>
  <c r="L15" i="80"/>
  <c r="M15" i="80"/>
  <c r="A15" i="80"/>
  <c r="H14" i="80"/>
  <c r="I14" i="80"/>
  <c r="J14" i="80"/>
  <c r="D14" i="80"/>
  <c r="E14" i="80"/>
  <c r="F14" i="80"/>
  <c r="L14" i="80"/>
  <c r="M14" i="80"/>
  <c r="A14" i="80"/>
  <c r="A13" i="80"/>
  <c r="A12" i="80"/>
  <c r="I72" i="79"/>
  <c r="G72" i="79"/>
  <c r="J72" i="79"/>
  <c r="C70" i="67"/>
  <c r="C72" i="79"/>
  <c r="Z15" i="2"/>
  <c r="AA15" i="2"/>
  <c r="H15" i="2"/>
  <c r="I15" i="2"/>
  <c r="AC15" i="2"/>
  <c r="AD15" i="2"/>
  <c r="K15" i="2"/>
  <c r="L15" i="2"/>
  <c r="Q15" i="2"/>
  <c r="R15" i="2"/>
  <c r="G21" i="3"/>
  <c r="D21" i="3"/>
  <c r="H21" i="3"/>
  <c r="O21" i="3"/>
  <c r="P21" i="3"/>
  <c r="R21" i="3"/>
  <c r="T15" i="2"/>
  <c r="U15" i="2"/>
  <c r="AI15" i="2"/>
  <c r="AJ15" i="2"/>
  <c r="AL15" i="2"/>
  <c r="AM15" i="2"/>
  <c r="AO15" i="2"/>
  <c r="AP15" i="2"/>
  <c r="AR15" i="2"/>
  <c r="AS15" i="2"/>
  <c r="AU15" i="2"/>
  <c r="AV15" i="2"/>
  <c r="X15" i="2"/>
  <c r="I64" i="79"/>
  <c r="I65" i="79"/>
  <c r="I71" i="79"/>
  <c r="G71" i="79"/>
  <c r="J71" i="79"/>
  <c r="C69" i="67"/>
  <c r="C71" i="79"/>
  <c r="I70" i="79"/>
  <c r="G70" i="79"/>
  <c r="J70" i="79"/>
  <c r="C70" i="79"/>
  <c r="I69" i="79"/>
  <c r="G69" i="79"/>
  <c r="J69" i="79"/>
  <c r="C69" i="79"/>
  <c r="J66" i="79"/>
  <c r="C65" i="60"/>
  <c r="C64" i="67"/>
  <c r="C66" i="74"/>
  <c r="C66" i="79"/>
  <c r="C12" i="60"/>
  <c r="C13" i="79"/>
  <c r="C15" i="79"/>
  <c r="C16" i="79"/>
  <c r="C17" i="79"/>
  <c r="C18" i="79"/>
  <c r="C19" i="79"/>
  <c r="C20" i="79"/>
  <c r="C21" i="79"/>
  <c r="C22" i="79"/>
  <c r="C25" i="79"/>
  <c r="C27" i="74"/>
  <c r="C27" i="79"/>
  <c r="C28" i="74"/>
  <c r="C28" i="79"/>
  <c r="C29" i="74"/>
  <c r="C29" i="79"/>
  <c r="C30" i="74"/>
  <c r="C30" i="79"/>
  <c r="C31" i="74"/>
  <c r="C31" i="79"/>
  <c r="C32" i="74"/>
  <c r="C32" i="79"/>
  <c r="C33" i="74"/>
  <c r="C33" i="79"/>
  <c r="C34" i="74"/>
  <c r="C34" i="79"/>
  <c r="C46" i="74"/>
  <c r="C46" i="79"/>
  <c r="C46" i="60"/>
  <c r="C46" i="67"/>
  <c r="C48" i="74"/>
  <c r="C48" i="79"/>
  <c r="C47" i="60"/>
  <c r="C47" i="67"/>
  <c r="C49" i="74"/>
  <c r="C49" i="79"/>
  <c r="C48" i="60"/>
  <c r="C48" i="67"/>
  <c r="C50" i="74"/>
  <c r="C50" i="79"/>
  <c r="C49" i="60"/>
  <c r="C49" i="67"/>
  <c r="C51" i="74"/>
  <c r="C51" i="79"/>
  <c r="C50" i="60"/>
  <c r="C50" i="67"/>
  <c r="C52" i="74"/>
  <c r="C52" i="79"/>
  <c r="C51" i="60"/>
  <c r="C51" i="67"/>
  <c r="C53" i="74"/>
  <c r="C53" i="79"/>
  <c r="C52" i="60"/>
  <c r="C52" i="67"/>
  <c r="C54" i="74"/>
  <c r="C54" i="79"/>
  <c r="C53" i="60"/>
  <c r="C53" i="67"/>
  <c r="C55" i="74"/>
  <c r="C55" i="79"/>
  <c r="C54" i="60"/>
  <c r="C54" i="67"/>
  <c r="C56" i="74"/>
  <c r="C56" i="79"/>
  <c r="C55" i="60"/>
  <c r="C55" i="67"/>
  <c r="C57" i="74"/>
  <c r="C57" i="79"/>
  <c r="C56" i="60"/>
  <c r="C56" i="67"/>
  <c r="C58" i="74"/>
  <c r="C58" i="79"/>
  <c r="C57" i="60"/>
  <c r="C57" i="67"/>
  <c r="C59" i="74"/>
  <c r="C59" i="79"/>
  <c r="C58" i="60"/>
  <c r="C58" i="67"/>
  <c r="C60" i="74"/>
  <c r="C60" i="79"/>
  <c r="C59" i="60"/>
  <c r="C59" i="67"/>
  <c r="C61" i="74"/>
  <c r="C61" i="79"/>
  <c r="C60" i="60"/>
  <c r="C60" i="67"/>
  <c r="C62" i="74"/>
  <c r="C62" i="79"/>
  <c r="C62" i="60"/>
  <c r="C61" i="67"/>
  <c r="C63" i="74"/>
  <c r="C63" i="79"/>
  <c r="C63" i="60"/>
  <c r="C62" i="67"/>
  <c r="C64" i="74"/>
  <c r="C64" i="79"/>
  <c r="C64" i="60"/>
  <c r="C63" i="67"/>
  <c r="C65" i="74"/>
  <c r="C65" i="79"/>
  <c r="A66" i="79"/>
  <c r="J65" i="79"/>
  <c r="A65" i="79"/>
  <c r="J64" i="79"/>
  <c r="A64" i="79"/>
  <c r="J63" i="79"/>
  <c r="A63" i="79"/>
  <c r="J62" i="79"/>
  <c r="A62" i="79"/>
  <c r="J61" i="79"/>
  <c r="A61" i="79"/>
  <c r="J60" i="79"/>
  <c r="A60" i="79"/>
  <c r="J59" i="79"/>
  <c r="A59" i="79"/>
  <c r="J58" i="79"/>
  <c r="A58" i="79"/>
  <c r="J57" i="79"/>
  <c r="A57" i="79"/>
  <c r="J56" i="79"/>
  <c r="A56" i="79"/>
  <c r="J55" i="79"/>
  <c r="A55" i="79"/>
  <c r="J54" i="79"/>
  <c r="A54" i="79"/>
  <c r="J53" i="79"/>
  <c r="A53" i="79"/>
  <c r="J52" i="79"/>
  <c r="A52" i="79"/>
  <c r="J51" i="79"/>
  <c r="A51" i="79"/>
  <c r="J50" i="79"/>
  <c r="A50" i="79"/>
  <c r="J49" i="79"/>
  <c r="A49" i="79"/>
  <c r="J48" i="79"/>
  <c r="A48" i="79"/>
  <c r="J47" i="79"/>
  <c r="A47" i="79"/>
  <c r="J46" i="79"/>
  <c r="A46" i="79"/>
  <c r="J45" i="79"/>
  <c r="A45" i="79"/>
  <c r="J44" i="79"/>
  <c r="A44" i="79"/>
  <c r="I43" i="79"/>
  <c r="J43" i="79"/>
  <c r="A43" i="79"/>
  <c r="I42" i="79"/>
  <c r="J42" i="79"/>
  <c r="A42" i="79"/>
  <c r="I41" i="79"/>
  <c r="J41" i="79"/>
  <c r="A41" i="79"/>
  <c r="I40" i="79"/>
  <c r="J40" i="79"/>
  <c r="A40" i="79"/>
  <c r="I42" i="60"/>
  <c r="J43" i="61"/>
  <c r="J43" i="64"/>
  <c r="J40" i="67"/>
  <c r="J39" i="74"/>
  <c r="J39" i="79"/>
  <c r="H42" i="60"/>
  <c r="I43" i="61"/>
  <c r="I43" i="64"/>
  <c r="I40" i="67"/>
  <c r="I39" i="74"/>
  <c r="I39" i="79"/>
  <c r="F42" i="60"/>
  <c r="G43" i="61"/>
  <c r="G43" i="64"/>
  <c r="G40" i="67"/>
  <c r="G39" i="74"/>
  <c r="G39" i="79"/>
  <c r="A39" i="79"/>
  <c r="H41" i="60"/>
  <c r="I42" i="61"/>
  <c r="I42" i="64"/>
  <c r="I39" i="67"/>
  <c r="I38" i="74"/>
  <c r="I38" i="79"/>
  <c r="F41" i="60"/>
  <c r="G42" i="61"/>
  <c r="G42" i="64"/>
  <c r="G39" i="67"/>
  <c r="G38" i="74"/>
  <c r="G38" i="79"/>
  <c r="A38" i="79"/>
  <c r="A37" i="79"/>
  <c r="A36" i="79"/>
  <c r="D35" i="79"/>
  <c r="I35" i="79"/>
  <c r="J35" i="79"/>
  <c r="K35" i="79"/>
  <c r="E35" i="79"/>
  <c r="F35" i="79"/>
  <c r="G35" i="79"/>
  <c r="M35" i="79"/>
  <c r="N35" i="79"/>
  <c r="A35" i="79"/>
  <c r="D34" i="79"/>
  <c r="I34" i="79"/>
  <c r="J34" i="79"/>
  <c r="K34" i="79"/>
  <c r="E34" i="79"/>
  <c r="F34" i="79"/>
  <c r="G34" i="79"/>
  <c r="M34" i="79"/>
  <c r="N34" i="79"/>
  <c r="A34" i="79"/>
  <c r="D33" i="79"/>
  <c r="I33" i="79"/>
  <c r="J33" i="79"/>
  <c r="K33" i="79"/>
  <c r="E33" i="79"/>
  <c r="F33" i="79"/>
  <c r="G33" i="79"/>
  <c r="M33" i="79"/>
  <c r="N33" i="79"/>
  <c r="A33" i="79"/>
  <c r="D32" i="79"/>
  <c r="I32" i="79"/>
  <c r="J32" i="79"/>
  <c r="K32" i="79"/>
  <c r="E32" i="79"/>
  <c r="F32" i="79"/>
  <c r="G32" i="79"/>
  <c r="M32" i="79"/>
  <c r="N32" i="79"/>
  <c r="A32" i="79"/>
  <c r="D31" i="79"/>
  <c r="I31" i="79"/>
  <c r="J31" i="79"/>
  <c r="K31" i="79"/>
  <c r="E31" i="79"/>
  <c r="F31" i="79"/>
  <c r="G31" i="79"/>
  <c r="M31" i="79"/>
  <c r="N31" i="79"/>
  <c r="A31" i="79"/>
  <c r="D30" i="79"/>
  <c r="I30" i="79"/>
  <c r="J30" i="79"/>
  <c r="K30" i="79"/>
  <c r="E30" i="79"/>
  <c r="F30" i="79"/>
  <c r="G30" i="79"/>
  <c r="M30" i="79"/>
  <c r="N30" i="79"/>
  <c r="A30" i="79"/>
  <c r="D29" i="79"/>
  <c r="I29" i="79"/>
  <c r="J29" i="79"/>
  <c r="K29" i="79"/>
  <c r="E29" i="79"/>
  <c r="F29" i="79"/>
  <c r="G29" i="79"/>
  <c r="M29" i="79"/>
  <c r="N29" i="79"/>
  <c r="A29" i="79"/>
  <c r="D28" i="79"/>
  <c r="I28" i="79"/>
  <c r="J28" i="79"/>
  <c r="K28" i="79"/>
  <c r="E28" i="79"/>
  <c r="F28" i="79"/>
  <c r="G28" i="79"/>
  <c r="M28" i="79"/>
  <c r="N28" i="79"/>
  <c r="A28" i="79"/>
  <c r="D27" i="79"/>
  <c r="I27" i="79"/>
  <c r="J27" i="79"/>
  <c r="K27" i="79"/>
  <c r="E27" i="79"/>
  <c r="F27" i="79"/>
  <c r="G27" i="79"/>
  <c r="M27" i="79"/>
  <c r="N27" i="79"/>
  <c r="A27" i="79"/>
  <c r="A26" i="79"/>
  <c r="I25" i="79"/>
  <c r="E25" i="79"/>
  <c r="D13" i="79"/>
  <c r="D25" i="79"/>
  <c r="A25" i="79"/>
  <c r="A24" i="79"/>
  <c r="D23" i="79"/>
  <c r="I23" i="79"/>
  <c r="J23" i="79"/>
  <c r="K23" i="79"/>
  <c r="E23" i="79"/>
  <c r="F23" i="79"/>
  <c r="G23" i="79"/>
  <c r="M23" i="79"/>
  <c r="N23" i="79"/>
  <c r="A23" i="79"/>
  <c r="D22" i="79"/>
  <c r="I22" i="79"/>
  <c r="J22" i="79"/>
  <c r="K22" i="79"/>
  <c r="E22" i="79"/>
  <c r="F22" i="79"/>
  <c r="G22" i="79"/>
  <c r="M22" i="79"/>
  <c r="N22" i="79"/>
  <c r="A22" i="79"/>
  <c r="D21" i="79"/>
  <c r="I21" i="79"/>
  <c r="J21" i="79"/>
  <c r="K21" i="79"/>
  <c r="E21" i="79"/>
  <c r="F21" i="79"/>
  <c r="G21" i="79"/>
  <c r="M21" i="79"/>
  <c r="N21" i="79"/>
  <c r="A21" i="79"/>
  <c r="D20" i="79"/>
  <c r="I20" i="79"/>
  <c r="J20" i="79"/>
  <c r="K20" i="79"/>
  <c r="E20" i="79"/>
  <c r="F20" i="79"/>
  <c r="G20" i="79"/>
  <c r="M20" i="79"/>
  <c r="N20" i="79"/>
  <c r="A20" i="79"/>
  <c r="D19" i="79"/>
  <c r="I19" i="79"/>
  <c r="J19" i="79"/>
  <c r="K19" i="79"/>
  <c r="E19" i="79"/>
  <c r="F19" i="79"/>
  <c r="G19" i="79"/>
  <c r="M19" i="79"/>
  <c r="N19" i="79"/>
  <c r="A19" i="79"/>
  <c r="D18" i="79"/>
  <c r="I18" i="79"/>
  <c r="J18" i="79"/>
  <c r="K18" i="79"/>
  <c r="E18" i="79"/>
  <c r="F18" i="79"/>
  <c r="G18" i="79"/>
  <c r="M18" i="79"/>
  <c r="N18" i="79"/>
  <c r="A18" i="79"/>
  <c r="D17" i="79"/>
  <c r="I17" i="79"/>
  <c r="J17" i="79"/>
  <c r="K17" i="79"/>
  <c r="E17" i="79"/>
  <c r="F17" i="79"/>
  <c r="G17" i="79"/>
  <c r="M17" i="79"/>
  <c r="N17" i="79"/>
  <c r="A17" i="79"/>
  <c r="D16" i="79"/>
  <c r="I16" i="79"/>
  <c r="J16" i="79"/>
  <c r="K16" i="79"/>
  <c r="E16" i="79"/>
  <c r="F16" i="79"/>
  <c r="G16" i="79"/>
  <c r="M16" i="79"/>
  <c r="N16" i="79"/>
  <c r="A16" i="79"/>
  <c r="D15" i="79"/>
  <c r="I15" i="79"/>
  <c r="J15" i="79"/>
  <c r="K15" i="79"/>
  <c r="E15" i="79"/>
  <c r="F15" i="79"/>
  <c r="G15" i="79"/>
  <c r="M15" i="79"/>
  <c r="N15" i="79"/>
  <c r="A15" i="79"/>
  <c r="A14" i="79"/>
  <c r="I13" i="79"/>
  <c r="E13" i="79"/>
  <c r="A13" i="79"/>
  <c r="A12" i="79"/>
  <c r="A9" i="79"/>
  <c r="A8" i="79"/>
  <c r="A6" i="79"/>
  <c r="A5" i="79"/>
  <c r="I72" i="78"/>
  <c r="G72" i="78"/>
  <c r="J72" i="78"/>
  <c r="C72" i="78"/>
  <c r="I64" i="78"/>
  <c r="I65" i="78"/>
  <c r="I71" i="78"/>
  <c r="G71" i="78"/>
  <c r="J71" i="78"/>
  <c r="C71" i="78"/>
  <c r="I70" i="78"/>
  <c r="G70" i="78"/>
  <c r="J70" i="78"/>
  <c r="C70" i="78"/>
  <c r="I69" i="78"/>
  <c r="G69" i="78"/>
  <c r="J69" i="78"/>
  <c r="C69" i="78"/>
  <c r="J66" i="78"/>
  <c r="C66" i="78"/>
  <c r="C13" i="78"/>
  <c r="C15" i="78"/>
  <c r="C16" i="78"/>
  <c r="C17" i="78"/>
  <c r="C18" i="78"/>
  <c r="C19" i="78"/>
  <c r="C20" i="78"/>
  <c r="C21" i="78"/>
  <c r="C22" i="78"/>
  <c r="C25" i="78"/>
  <c r="C27" i="78"/>
  <c r="C28" i="78"/>
  <c r="C29" i="78"/>
  <c r="C30" i="78"/>
  <c r="C31" i="78"/>
  <c r="C32" i="78"/>
  <c r="C33" i="78"/>
  <c r="C34" i="78"/>
  <c r="C46" i="78"/>
  <c r="C48" i="78"/>
  <c r="C49" i="78"/>
  <c r="C50" i="78"/>
  <c r="C51" i="78"/>
  <c r="C52" i="78"/>
  <c r="C53" i="78"/>
  <c r="C54" i="78"/>
  <c r="C55" i="78"/>
  <c r="C56" i="78"/>
  <c r="C57" i="78"/>
  <c r="C58" i="78"/>
  <c r="C59" i="78"/>
  <c r="C60" i="78"/>
  <c r="C61" i="78"/>
  <c r="C62" i="78"/>
  <c r="C63" i="78"/>
  <c r="C64" i="78"/>
  <c r="C65" i="78"/>
  <c r="A66" i="78"/>
  <c r="J65" i="78"/>
  <c r="A65" i="78"/>
  <c r="J64" i="78"/>
  <c r="A64" i="78"/>
  <c r="J63" i="78"/>
  <c r="A63" i="78"/>
  <c r="J62" i="78"/>
  <c r="A62" i="78"/>
  <c r="J61" i="78"/>
  <c r="A61" i="78"/>
  <c r="J60" i="78"/>
  <c r="A60" i="78"/>
  <c r="J59" i="78"/>
  <c r="A59" i="78"/>
  <c r="J58" i="78"/>
  <c r="A58" i="78"/>
  <c r="J57" i="78"/>
  <c r="A57" i="78"/>
  <c r="J56" i="78"/>
  <c r="A56" i="78"/>
  <c r="J55" i="78"/>
  <c r="A55" i="78"/>
  <c r="J54" i="78"/>
  <c r="A54" i="78"/>
  <c r="J53" i="78"/>
  <c r="A53" i="78"/>
  <c r="J52" i="78"/>
  <c r="A52" i="78"/>
  <c r="J51" i="78"/>
  <c r="A51" i="78"/>
  <c r="J50" i="78"/>
  <c r="A50" i="78"/>
  <c r="J49" i="78"/>
  <c r="A49" i="78"/>
  <c r="J48" i="78"/>
  <c r="A48" i="78"/>
  <c r="J47" i="78"/>
  <c r="A47" i="78"/>
  <c r="J46" i="78"/>
  <c r="A46" i="78"/>
  <c r="J45" i="78"/>
  <c r="A45" i="78"/>
  <c r="J44" i="78"/>
  <c r="A44" i="78"/>
  <c r="I43" i="78"/>
  <c r="J43" i="78"/>
  <c r="A43" i="78"/>
  <c r="I42" i="78"/>
  <c r="J42" i="78"/>
  <c r="A42" i="78"/>
  <c r="I41" i="78"/>
  <c r="J41" i="78"/>
  <c r="A41" i="78"/>
  <c r="I40" i="78"/>
  <c r="J40" i="78"/>
  <c r="A40" i="78"/>
  <c r="J39" i="78"/>
  <c r="I39" i="78"/>
  <c r="G39" i="78"/>
  <c r="A39" i="78"/>
  <c r="I38" i="78"/>
  <c r="G38" i="78"/>
  <c r="A38" i="78"/>
  <c r="A37" i="78"/>
  <c r="A36" i="78"/>
  <c r="D35" i="78"/>
  <c r="I35" i="78"/>
  <c r="J35" i="78"/>
  <c r="K35" i="78"/>
  <c r="E35" i="78"/>
  <c r="F35" i="78"/>
  <c r="G35" i="78"/>
  <c r="M35" i="78"/>
  <c r="N35" i="78"/>
  <c r="A35" i="78"/>
  <c r="D34" i="78"/>
  <c r="I34" i="78"/>
  <c r="J34" i="78"/>
  <c r="K34" i="78"/>
  <c r="E34" i="78"/>
  <c r="F34" i="78"/>
  <c r="G34" i="78"/>
  <c r="M34" i="78"/>
  <c r="N34" i="78"/>
  <c r="A34" i="78"/>
  <c r="D33" i="78"/>
  <c r="I33" i="78"/>
  <c r="J33" i="78"/>
  <c r="K33" i="78"/>
  <c r="E33" i="78"/>
  <c r="F33" i="78"/>
  <c r="G33" i="78"/>
  <c r="M33" i="78"/>
  <c r="N33" i="78"/>
  <c r="A33" i="78"/>
  <c r="D32" i="78"/>
  <c r="I32" i="78"/>
  <c r="J32" i="78"/>
  <c r="K32" i="78"/>
  <c r="E32" i="78"/>
  <c r="F32" i="78"/>
  <c r="G32" i="78"/>
  <c r="M32" i="78"/>
  <c r="N32" i="78"/>
  <c r="A32" i="78"/>
  <c r="D31" i="78"/>
  <c r="I31" i="78"/>
  <c r="J31" i="78"/>
  <c r="K31" i="78"/>
  <c r="E31" i="78"/>
  <c r="F31" i="78"/>
  <c r="G31" i="78"/>
  <c r="M31" i="78"/>
  <c r="N31" i="78"/>
  <c r="A31" i="78"/>
  <c r="D30" i="78"/>
  <c r="I30" i="78"/>
  <c r="J30" i="78"/>
  <c r="K30" i="78"/>
  <c r="E30" i="78"/>
  <c r="F30" i="78"/>
  <c r="G30" i="78"/>
  <c r="M30" i="78"/>
  <c r="N30" i="78"/>
  <c r="A30" i="78"/>
  <c r="D29" i="78"/>
  <c r="I29" i="78"/>
  <c r="J29" i="78"/>
  <c r="K29" i="78"/>
  <c r="E29" i="78"/>
  <c r="F29" i="78"/>
  <c r="G29" i="78"/>
  <c r="M29" i="78"/>
  <c r="N29" i="78"/>
  <c r="A29" i="78"/>
  <c r="D28" i="78"/>
  <c r="I28" i="78"/>
  <c r="J28" i="78"/>
  <c r="K28" i="78"/>
  <c r="E28" i="78"/>
  <c r="F28" i="78"/>
  <c r="G28" i="78"/>
  <c r="M28" i="78"/>
  <c r="N28" i="78"/>
  <c r="A28" i="78"/>
  <c r="D27" i="78"/>
  <c r="I27" i="78"/>
  <c r="J27" i="78"/>
  <c r="K27" i="78"/>
  <c r="E27" i="78"/>
  <c r="F27" i="78"/>
  <c r="G27" i="78"/>
  <c r="M27" i="78"/>
  <c r="N27" i="78"/>
  <c r="A27" i="78"/>
  <c r="A26" i="78"/>
  <c r="I25" i="78"/>
  <c r="E25" i="78"/>
  <c r="D13" i="78"/>
  <c r="D25" i="78"/>
  <c r="A25" i="78"/>
  <c r="A24" i="78"/>
  <c r="D23" i="78"/>
  <c r="I23" i="78"/>
  <c r="J23" i="78"/>
  <c r="K23" i="78"/>
  <c r="E23" i="78"/>
  <c r="F23" i="78"/>
  <c r="G23" i="78"/>
  <c r="M23" i="78"/>
  <c r="N23" i="78"/>
  <c r="A23" i="78"/>
  <c r="D22" i="78"/>
  <c r="I22" i="78"/>
  <c r="J22" i="78"/>
  <c r="K22" i="78"/>
  <c r="E22" i="78"/>
  <c r="F22" i="78"/>
  <c r="G22" i="78"/>
  <c r="M22" i="78"/>
  <c r="N22" i="78"/>
  <c r="A22" i="78"/>
  <c r="D21" i="78"/>
  <c r="I21" i="78"/>
  <c r="J21" i="78"/>
  <c r="K21" i="78"/>
  <c r="E21" i="78"/>
  <c r="F21" i="78"/>
  <c r="G21" i="78"/>
  <c r="M21" i="78"/>
  <c r="N21" i="78"/>
  <c r="A21" i="78"/>
  <c r="D20" i="78"/>
  <c r="I20" i="78"/>
  <c r="J20" i="78"/>
  <c r="K20" i="78"/>
  <c r="E20" i="78"/>
  <c r="F20" i="78"/>
  <c r="G20" i="78"/>
  <c r="M20" i="78"/>
  <c r="N20" i="78"/>
  <c r="A20" i="78"/>
  <c r="D19" i="78"/>
  <c r="I19" i="78"/>
  <c r="J19" i="78"/>
  <c r="K19" i="78"/>
  <c r="E19" i="78"/>
  <c r="F19" i="78"/>
  <c r="G19" i="78"/>
  <c r="M19" i="78"/>
  <c r="N19" i="78"/>
  <c r="A19" i="78"/>
  <c r="D18" i="78"/>
  <c r="I18" i="78"/>
  <c r="J18" i="78"/>
  <c r="K18" i="78"/>
  <c r="E18" i="78"/>
  <c r="F18" i="78"/>
  <c r="G18" i="78"/>
  <c r="M18" i="78"/>
  <c r="N18" i="78"/>
  <c r="A18" i="78"/>
  <c r="D17" i="78"/>
  <c r="I17" i="78"/>
  <c r="J17" i="78"/>
  <c r="K17" i="78"/>
  <c r="E17" i="78"/>
  <c r="F17" i="78"/>
  <c r="G17" i="78"/>
  <c r="M17" i="78"/>
  <c r="N17" i="78"/>
  <c r="A17" i="78"/>
  <c r="D16" i="78"/>
  <c r="I16" i="78"/>
  <c r="J16" i="78"/>
  <c r="K16" i="78"/>
  <c r="E16" i="78"/>
  <c r="F16" i="78"/>
  <c r="G16" i="78"/>
  <c r="M16" i="78"/>
  <c r="N16" i="78"/>
  <c r="A16" i="78"/>
  <c r="D15" i="78"/>
  <c r="I15" i="78"/>
  <c r="J15" i="78"/>
  <c r="K15" i="78"/>
  <c r="E15" i="78"/>
  <c r="F15" i="78"/>
  <c r="G15" i="78"/>
  <c r="M15" i="78"/>
  <c r="N15" i="78"/>
  <c r="A15" i="78"/>
  <c r="A14" i="78"/>
  <c r="I13" i="78"/>
  <c r="E13" i="78"/>
  <c r="A13" i="78"/>
  <c r="A12" i="78"/>
  <c r="A9" i="78"/>
  <c r="A8" i="78"/>
  <c r="A6" i="78"/>
  <c r="A5" i="78"/>
  <c r="I72" i="77"/>
  <c r="G72" i="77"/>
  <c r="J72" i="77"/>
  <c r="C72" i="77"/>
  <c r="I64" i="77"/>
  <c r="I65" i="77"/>
  <c r="I71" i="77"/>
  <c r="G71" i="77"/>
  <c r="J71" i="77"/>
  <c r="C71" i="77"/>
  <c r="I70" i="77"/>
  <c r="G70" i="77"/>
  <c r="J70" i="77"/>
  <c r="C70" i="77"/>
  <c r="I69" i="77"/>
  <c r="G69" i="77"/>
  <c r="J69" i="77"/>
  <c r="C69" i="77"/>
  <c r="J66" i="77"/>
  <c r="C66" i="77"/>
  <c r="C13" i="77"/>
  <c r="C15" i="77"/>
  <c r="C16" i="77"/>
  <c r="C17" i="77"/>
  <c r="C18" i="77"/>
  <c r="C19" i="77"/>
  <c r="C20" i="77"/>
  <c r="C21" i="77"/>
  <c r="C22" i="77"/>
  <c r="C25" i="77"/>
  <c r="C27" i="77"/>
  <c r="C28" i="77"/>
  <c r="C29" i="77"/>
  <c r="C30" i="77"/>
  <c r="C31" i="77"/>
  <c r="C32" i="77"/>
  <c r="C33" i="77"/>
  <c r="C34" i="77"/>
  <c r="C46" i="77"/>
  <c r="C48" i="77"/>
  <c r="C49" i="77"/>
  <c r="C50" i="77"/>
  <c r="C51" i="77"/>
  <c r="C52" i="77"/>
  <c r="C53" i="77"/>
  <c r="C54" i="77"/>
  <c r="C55" i="77"/>
  <c r="C56" i="77"/>
  <c r="C57" i="77"/>
  <c r="C58" i="77"/>
  <c r="C59" i="77"/>
  <c r="C60" i="77"/>
  <c r="C61" i="77"/>
  <c r="C62" i="77"/>
  <c r="C63" i="77"/>
  <c r="C64" i="77"/>
  <c r="C65" i="77"/>
  <c r="A66" i="77"/>
  <c r="J65" i="77"/>
  <c r="A65" i="77"/>
  <c r="J64" i="77"/>
  <c r="A64" i="77"/>
  <c r="J63" i="77"/>
  <c r="A63" i="77"/>
  <c r="J62" i="77"/>
  <c r="A62" i="77"/>
  <c r="J61" i="77"/>
  <c r="A61" i="77"/>
  <c r="J60" i="77"/>
  <c r="A60" i="77"/>
  <c r="J59" i="77"/>
  <c r="A59" i="77"/>
  <c r="J58" i="77"/>
  <c r="A58" i="77"/>
  <c r="J57" i="77"/>
  <c r="A57" i="77"/>
  <c r="J56" i="77"/>
  <c r="A56" i="77"/>
  <c r="J55" i="77"/>
  <c r="A55" i="77"/>
  <c r="J54" i="77"/>
  <c r="A54" i="77"/>
  <c r="J53" i="77"/>
  <c r="A53" i="77"/>
  <c r="J52" i="77"/>
  <c r="A52" i="77"/>
  <c r="J51" i="77"/>
  <c r="A51" i="77"/>
  <c r="J50" i="77"/>
  <c r="A50" i="77"/>
  <c r="J49" i="77"/>
  <c r="A49" i="77"/>
  <c r="J48" i="77"/>
  <c r="A48" i="77"/>
  <c r="J47" i="77"/>
  <c r="A47" i="77"/>
  <c r="J46" i="77"/>
  <c r="A46" i="77"/>
  <c r="J45" i="77"/>
  <c r="A45" i="77"/>
  <c r="J44" i="77"/>
  <c r="A44" i="77"/>
  <c r="I43" i="77"/>
  <c r="J43" i="77"/>
  <c r="A43" i="77"/>
  <c r="I42" i="77"/>
  <c r="J42" i="77"/>
  <c r="A42" i="77"/>
  <c r="I41" i="77"/>
  <c r="J41" i="77"/>
  <c r="A41" i="77"/>
  <c r="I40" i="77"/>
  <c r="J40" i="77"/>
  <c r="A40" i="77"/>
  <c r="J39" i="77"/>
  <c r="I39" i="77"/>
  <c r="G39" i="77"/>
  <c r="A39" i="77"/>
  <c r="I38" i="77"/>
  <c r="G38" i="77"/>
  <c r="A38" i="77"/>
  <c r="A37" i="77"/>
  <c r="A36" i="77"/>
  <c r="D35" i="77"/>
  <c r="I35" i="77"/>
  <c r="J35" i="77"/>
  <c r="K35" i="77"/>
  <c r="E35" i="77"/>
  <c r="F35" i="77"/>
  <c r="G35" i="77"/>
  <c r="M35" i="77"/>
  <c r="N35" i="77"/>
  <c r="A35" i="77"/>
  <c r="D34" i="77"/>
  <c r="I34" i="77"/>
  <c r="J34" i="77"/>
  <c r="K34" i="77"/>
  <c r="E34" i="77"/>
  <c r="F34" i="77"/>
  <c r="G34" i="77"/>
  <c r="M34" i="77"/>
  <c r="N34" i="77"/>
  <c r="A34" i="77"/>
  <c r="D33" i="77"/>
  <c r="I33" i="77"/>
  <c r="J33" i="77"/>
  <c r="K33" i="77"/>
  <c r="E33" i="77"/>
  <c r="F33" i="77"/>
  <c r="G33" i="77"/>
  <c r="M33" i="77"/>
  <c r="N33" i="77"/>
  <c r="A33" i="77"/>
  <c r="D32" i="77"/>
  <c r="I32" i="77"/>
  <c r="J32" i="77"/>
  <c r="K32" i="77"/>
  <c r="E32" i="77"/>
  <c r="F32" i="77"/>
  <c r="G32" i="77"/>
  <c r="M32" i="77"/>
  <c r="N32" i="77"/>
  <c r="A32" i="77"/>
  <c r="D31" i="77"/>
  <c r="I31" i="77"/>
  <c r="J31" i="77"/>
  <c r="K31" i="77"/>
  <c r="E31" i="77"/>
  <c r="F31" i="77"/>
  <c r="G31" i="77"/>
  <c r="M31" i="77"/>
  <c r="N31" i="77"/>
  <c r="A31" i="77"/>
  <c r="D30" i="77"/>
  <c r="I30" i="77"/>
  <c r="J30" i="77"/>
  <c r="K30" i="77"/>
  <c r="E30" i="77"/>
  <c r="F30" i="77"/>
  <c r="G30" i="77"/>
  <c r="M30" i="77"/>
  <c r="N30" i="77"/>
  <c r="A30" i="77"/>
  <c r="D29" i="77"/>
  <c r="I29" i="77"/>
  <c r="J29" i="77"/>
  <c r="K29" i="77"/>
  <c r="E29" i="77"/>
  <c r="F29" i="77"/>
  <c r="G29" i="77"/>
  <c r="M29" i="77"/>
  <c r="N29" i="77"/>
  <c r="A29" i="77"/>
  <c r="D28" i="77"/>
  <c r="I28" i="77"/>
  <c r="J28" i="77"/>
  <c r="K28" i="77"/>
  <c r="E28" i="77"/>
  <c r="F28" i="77"/>
  <c r="G28" i="77"/>
  <c r="M28" i="77"/>
  <c r="N28" i="77"/>
  <c r="A28" i="77"/>
  <c r="D27" i="77"/>
  <c r="I27" i="77"/>
  <c r="J27" i="77"/>
  <c r="K27" i="77"/>
  <c r="E27" i="77"/>
  <c r="F27" i="77"/>
  <c r="G27" i="77"/>
  <c r="M27" i="77"/>
  <c r="N27" i="77"/>
  <c r="A27" i="77"/>
  <c r="A26" i="77"/>
  <c r="I25" i="77"/>
  <c r="E25" i="77"/>
  <c r="D13" i="77"/>
  <c r="D25" i="77"/>
  <c r="A25" i="77"/>
  <c r="A24" i="77"/>
  <c r="D23" i="77"/>
  <c r="I23" i="77"/>
  <c r="J23" i="77"/>
  <c r="K23" i="77"/>
  <c r="E23" i="77"/>
  <c r="F23" i="77"/>
  <c r="G23" i="77"/>
  <c r="M23" i="77"/>
  <c r="N23" i="77"/>
  <c r="A23" i="77"/>
  <c r="D22" i="77"/>
  <c r="I22" i="77"/>
  <c r="J22" i="77"/>
  <c r="K22" i="77"/>
  <c r="E22" i="77"/>
  <c r="F22" i="77"/>
  <c r="G22" i="77"/>
  <c r="M22" i="77"/>
  <c r="N22" i="77"/>
  <c r="A22" i="77"/>
  <c r="D21" i="77"/>
  <c r="I21" i="77"/>
  <c r="J21" i="77"/>
  <c r="K21" i="77"/>
  <c r="E21" i="77"/>
  <c r="F21" i="77"/>
  <c r="G21" i="77"/>
  <c r="M21" i="77"/>
  <c r="N21" i="77"/>
  <c r="A21" i="77"/>
  <c r="D20" i="77"/>
  <c r="I20" i="77"/>
  <c r="J20" i="77"/>
  <c r="K20" i="77"/>
  <c r="E20" i="77"/>
  <c r="F20" i="77"/>
  <c r="G20" i="77"/>
  <c r="M20" i="77"/>
  <c r="N20" i="77"/>
  <c r="A20" i="77"/>
  <c r="D19" i="77"/>
  <c r="I19" i="77"/>
  <c r="J19" i="77"/>
  <c r="K19" i="77"/>
  <c r="E19" i="77"/>
  <c r="F19" i="77"/>
  <c r="G19" i="77"/>
  <c r="M19" i="77"/>
  <c r="N19" i="77"/>
  <c r="A19" i="77"/>
  <c r="D18" i="77"/>
  <c r="I18" i="77"/>
  <c r="J18" i="77"/>
  <c r="K18" i="77"/>
  <c r="E18" i="77"/>
  <c r="F18" i="77"/>
  <c r="G18" i="77"/>
  <c r="M18" i="77"/>
  <c r="N18" i="77"/>
  <c r="A18" i="77"/>
  <c r="D17" i="77"/>
  <c r="I17" i="77"/>
  <c r="J17" i="77"/>
  <c r="K17" i="77"/>
  <c r="E17" i="77"/>
  <c r="F17" i="77"/>
  <c r="G17" i="77"/>
  <c r="M17" i="77"/>
  <c r="N17" i="77"/>
  <c r="A17" i="77"/>
  <c r="D16" i="77"/>
  <c r="I16" i="77"/>
  <c r="J16" i="77"/>
  <c r="K16" i="77"/>
  <c r="E16" i="77"/>
  <c r="F16" i="77"/>
  <c r="G16" i="77"/>
  <c r="M16" i="77"/>
  <c r="N16" i="77"/>
  <c r="A16" i="77"/>
  <c r="D15" i="77"/>
  <c r="I15" i="77"/>
  <c r="J15" i="77"/>
  <c r="K15" i="77"/>
  <c r="E15" i="77"/>
  <c r="F15" i="77"/>
  <c r="G15" i="77"/>
  <c r="M15" i="77"/>
  <c r="N15" i="77"/>
  <c r="A15" i="77"/>
  <c r="A14" i="77"/>
  <c r="I13" i="77"/>
  <c r="E13" i="77"/>
  <c r="A13" i="77"/>
  <c r="A12" i="77"/>
  <c r="A8" i="77"/>
  <c r="A6" i="77"/>
  <c r="A5" i="77"/>
  <c r="I72" i="76"/>
  <c r="G72" i="76"/>
  <c r="J72" i="76"/>
  <c r="C72" i="76"/>
  <c r="I64" i="76"/>
  <c r="I65" i="76"/>
  <c r="I71" i="76"/>
  <c r="G71" i="76"/>
  <c r="J71" i="76"/>
  <c r="C71" i="76"/>
  <c r="I70" i="76"/>
  <c r="G70" i="76"/>
  <c r="J70" i="76"/>
  <c r="C70" i="76"/>
  <c r="I69" i="76"/>
  <c r="G69" i="76"/>
  <c r="J69" i="76"/>
  <c r="C69" i="76"/>
  <c r="J66" i="76"/>
  <c r="C66" i="76"/>
  <c r="C13" i="76"/>
  <c r="C15" i="76"/>
  <c r="C16" i="76"/>
  <c r="C17" i="76"/>
  <c r="C18" i="76"/>
  <c r="C19" i="76"/>
  <c r="C20" i="76"/>
  <c r="C21" i="76"/>
  <c r="C22" i="76"/>
  <c r="C25" i="76"/>
  <c r="C27" i="76"/>
  <c r="C28" i="76"/>
  <c r="C29" i="76"/>
  <c r="C30" i="76"/>
  <c r="C31" i="76"/>
  <c r="C32" i="76"/>
  <c r="C33" i="76"/>
  <c r="C34" i="76"/>
  <c r="C46" i="76"/>
  <c r="C48" i="76"/>
  <c r="C49" i="76"/>
  <c r="C50" i="76"/>
  <c r="C51" i="76"/>
  <c r="C52" i="76"/>
  <c r="C53" i="76"/>
  <c r="C54" i="76"/>
  <c r="C55" i="76"/>
  <c r="C56" i="76"/>
  <c r="C57" i="76"/>
  <c r="C58" i="76"/>
  <c r="C59" i="76"/>
  <c r="C60" i="76"/>
  <c r="C61" i="76"/>
  <c r="C62" i="76"/>
  <c r="C63" i="76"/>
  <c r="C64" i="76"/>
  <c r="C65" i="76"/>
  <c r="A66" i="76"/>
  <c r="J65" i="76"/>
  <c r="A65" i="76"/>
  <c r="J64" i="76"/>
  <c r="A64" i="76"/>
  <c r="J63" i="76"/>
  <c r="A63" i="76"/>
  <c r="J62" i="76"/>
  <c r="A62" i="76"/>
  <c r="J61" i="76"/>
  <c r="A61" i="76"/>
  <c r="J60" i="76"/>
  <c r="A60" i="76"/>
  <c r="J59" i="76"/>
  <c r="A59" i="76"/>
  <c r="J58" i="76"/>
  <c r="A58" i="76"/>
  <c r="J57" i="76"/>
  <c r="A57" i="76"/>
  <c r="J56" i="76"/>
  <c r="A56" i="76"/>
  <c r="J55" i="76"/>
  <c r="A55" i="76"/>
  <c r="J54" i="76"/>
  <c r="A54" i="76"/>
  <c r="J53" i="76"/>
  <c r="A53" i="76"/>
  <c r="J52" i="76"/>
  <c r="A52" i="76"/>
  <c r="J51" i="76"/>
  <c r="A51" i="76"/>
  <c r="J50" i="76"/>
  <c r="A50" i="76"/>
  <c r="J49" i="76"/>
  <c r="A49" i="76"/>
  <c r="J48" i="76"/>
  <c r="A48" i="76"/>
  <c r="J47" i="76"/>
  <c r="A47" i="76"/>
  <c r="J46" i="76"/>
  <c r="A46" i="76"/>
  <c r="J45" i="76"/>
  <c r="A45" i="76"/>
  <c r="J44" i="76"/>
  <c r="A44" i="76"/>
  <c r="I43" i="76"/>
  <c r="J43" i="76"/>
  <c r="A43" i="76"/>
  <c r="I42" i="76"/>
  <c r="J42" i="76"/>
  <c r="A42" i="76"/>
  <c r="I41" i="76"/>
  <c r="J41" i="76"/>
  <c r="A41" i="76"/>
  <c r="I40" i="76"/>
  <c r="J40" i="76"/>
  <c r="A40" i="76"/>
  <c r="J39" i="76"/>
  <c r="I39" i="76"/>
  <c r="G39" i="76"/>
  <c r="A39" i="76"/>
  <c r="I38" i="76"/>
  <c r="G38" i="76"/>
  <c r="A38" i="76"/>
  <c r="A37" i="76"/>
  <c r="A36" i="76"/>
  <c r="D35" i="76"/>
  <c r="I35" i="76"/>
  <c r="J35" i="76"/>
  <c r="K35" i="76"/>
  <c r="E35" i="76"/>
  <c r="F35" i="76"/>
  <c r="G35" i="76"/>
  <c r="M35" i="76"/>
  <c r="N35" i="76"/>
  <c r="A35" i="76"/>
  <c r="D34" i="76"/>
  <c r="I34" i="76"/>
  <c r="J34" i="76"/>
  <c r="K34" i="76"/>
  <c r="E34" i="76"/>
  <c r="F34" i="76"/>
  <c r="G34" i="76"/>
  <c r="M34" i="76"/>
  <c r="N34" i="76"/>
  <c r="A34" i="76"/>
  <c r="D33" i="76"/>
  <c r="I33" i="76"/>
  <c r="J33" i="76"/>
  <c r="K33" i="76"/>
  <c r="E33" i="76"/>
  <c r="F33" i="76"/>
  <c r="G33" i="76"/>
  <c r="M33" i="76"/>
  <c r="N33" i="76"/>
  <c r="A33" i="76"/>
  <c r="D32" i="76"/>
  <c r="I32" i="76"/>
  <c r="J32" i="76"/>
  <c r="K32" i="76"/>
  <c r="E32" i="76"/>
  <c r="F32" i="76"/>
  <c r="G32" i="76"/>
  <c r="M32" i="76"/>
  <c r="N32" i="76"/>
  <c r="A32" i="76"/>
  <c r="D31" i="76"/>
  <c r="I31" i="76"/>
  <c r="J31" i="76"/>
  <c r="K31" i="76"/>
  <c r="E31" i="76"/>
  <c r="F31" i="76"/>
  <c r="G31" i="76"/>
  <c r="M31" i="76"/>
  <c r="N31" i="76"/>
  <c r="A31" i="76"/>
  <c r="D30" i="76"/>
  <c r="I30" i="76"/>
  <c r="J30" i="76"/>
  <c r="K30" i="76"/>
  <c r="E30" i="76"/>
  <c r="F30" i="76"/>
  <c r="G30" i="76"/>
  <c r="M30" i="76"/>
  <c r="N30" i="76"/>
  <c r="A30" i="76"/>
  <c r="D29" i="76"/>
  <c r="I29" i="76"/>
  <c r="J29" i="76"/>
  <c r="K29" i="76"/>
  <c r="E29" i="76"/>
  <c r="F29" i="76"/>
  <c r="G29" i="76"/>
  <c r="M29" i="76"/>
  <c r="N29" i="76"/>
  <c r="A29" i="76"/>
  <c r="D28" i="76"/>
  <c r="I28" i="76"/>
  <c r="J28" i="76"/>
  <c r="K28" i="76"/>
  <c r="E28" i="76"/>
  <c r="F28" i="76"/>
  <c r="G28" i="76"/>
  <c r="M28" i="76"/>
  <c r="N28" i="76"/>
  <c r="A28" i="76"/>
  <c r="D27" i="76"/>
  <c r="I27" i="76"/>
  <c r="J27" i="76"/>
  <c r="K27" i="76"/>
  <c r="E27" i="76"/>
  <c r="F27" i="76"/>
  <c r="G27" i="76"/>
  <c r="M27" i="76"/>
  <c r="N27" i="76"/>
  <c r="A27" i="76"/>
  <c r="A26" i="76"/>
  <c r="I25" i="76"/>
  <c r="E25" i="76"/>
  <c r="D13" i="76"/>
  <c r="D25" i="76"/>
  <c r="A25" i="76"/>
  <c r="A24" i="76"/>
  <c r="D23" i="76"/>
  <c r="I23" i="76"/>
  <c r="J23" i="76"/>
  <c r="K23" i="76"/>
  <c r="E23" i="76"/>
  <c r="F23" i="76"/>
  <c r="G23" i="76"/>
  <c r="M23" i="76"/>
  <c r="N23" i="76"/>
  <c r="A23" i="76"/>
  <c r="D22" i="76"/>
  <c r="I22" i="76"/>
  <c r="J22" i="76"/>
  <c r="K22" i="76"/>
  <c r="E22" i="76"/>
  <c r="F22" i="76"/>
  <c r="G22" i="76"/>
  <c r="M22" i="76"/>
  <c r="N22" i="76"/>
  <c r="A22" i="76"/>
  <c r="D21" i="76"/>
  <c r="I21" i="76"/>
  <c r="J21" i="76"/>
  <c r="K21" i="76"/>
  <c r="E21" i="76"/>
  <c r="F21" i="76"/>
  <c r="G21" i="76"/>
  <c r="M21" i="76"/>
  <c r="N21" i="76"/>
  <c r="A21" i="76"/>
  <c r="D20" i="76"/>
  <c r="I20" i="76"/>
  <c r="J20" i="76"/>
  <c r="K20" i="76"/>
  <c r="E20" i="76"/>
  <c r="F20" i="76"/>
  <c r="G20" i="76"/>
  <c r="M20" i="76"/>
  <c r="N20" i="76"/>
  <c r="A20" i="76"/>
  <c r="D19" i="76"/>
  <c r="I19" i="76"/>
  <c r="J19" i="76"/>
  <c r="K19" i="76"/>
  <c r="E19" i="76"/>
  <c r="F19" i="76"/>
  <c r="G19" i="76"/>
  <c r="M19" i="76"/>
  <c r="N19" i="76"/>
  <c r="A19" i="76"/>
  <c r="D18" i="76"/>
  <c r="I18" i="76"/>
  <c r="J18" i="76"/>
  <c r="K18" i="76"/>
  <c r="E18" i="76"/>
  <c r="F18" i="76"/>
  <c r="G18" i="76"/>
  <c r="M18" i="76"/>
  <c r="N18" i="76"/>
  <c r="A18" i="76"/>
  <c r="D17" i="76"/>
  <c r="I17" i="76"/>
  <c r="J17" i="76"/>
  <c r="K17" i="76"/>
  <c r="E17" i="76"/>
  <c r="F17" i="76"/>
  <c r="G17" i="76"/>
  <c r="M17" i="76"/>
  <c r="N17" i="76"/>
  <c r="A17" i="76"/>
  <c r="D16" i="76"/>
  <c r="I16" i="76"/>
  <c r="J16" i="76"/>
  <c r="K16" i="76"/>
  <c r="E16" i="76"/>
  <c r="F16" i="76"/>
  <c r="G16" i="76"/>
  <c r="M16" i="76"/>
  <c r="N16" i="76"/>
  <c r="A16" i="76"/>
  <c r="D15" i="76"/>
  <c r="I15" i="76"/>
  <c r="J15" i="76"/>
  <c r="K15" i="76"/>
  <c r="E15" i="76"/>
  <c r="F15" i="76"/>
  <c r="G15" i="76"/>
  <c r="M15" i="76"/>
  <c r="N15" i="76"/>
  <c r="A15" i="76"/>
  <c r="A14" i="76"/>
  <c r="I13" i="76"/>
  <c r="E13" i="76"/>
  <c r="A13" i="76"/>
  <c r="A12" i="76"/>
  <c r="A9" i="76"/>
  <c r="A8" i="76"/>
  <c r="A6" i="76"/>
  <c r="A5" i="76"/>
  <c r="I72" i="75"/>
  <c r="G72" i="75"/>
  <c r="J72" i="75"/>
  <c r="C72" i="75"/>
  <c r="I64" i="75"/>
  <c r="I65" i="75"/>
  <c r="I71" i="75"/>
  <c r="G71" i="75"/>
  <c r="J71" i="75"/>
  <c r="C71" i="75"/>
  <c r="I70" i="75"/>
  <c r="G70" i="75"/>
  <c r="J70" i="75"/>
  <c r="C70" i="75"/>
  <c r="I69" i="75"/>
  <c r="G69" i="75"/>
  <c r="J69" i="75"/>
  <c r="C69" i="75"/>
  <c r="J66" i="75"/>
  <c r="C66" i="75"/>
  <c r="C13" i="75"/>
  <c r="C15" i="75"/>
  <c r="C16" i="75"/>
  <c r="C17" i="75"/>
  <c r="C18" i="75"/>
  <c r="C19" i="75"/>
  <c r="C20" i="75"/>
  <c r="C21" i="75"/>
  <c r="C22" i="75"/>
  <c r="C25" i="75"/>
  <c r="C27" i="75"/>
  <c r="C28" i="75"/>
  <c r="C29" i="75"/>
  <c r="C30" i="75"/>
  <c r="C31" i="75"/>
  <c r="C32" i="75"/>
  <c r="C33" i="75"/>
  <c r="C34" i="75"/>
  <c r="C46" i="75"/>
  <c r="C48" i="75"/>
  <c r="C49" i="75"/>
  <c r="C50" i="75"/>
  <c r="C51" i="75"/>
  <c r="C52" i="75"/>
  <c r="C53" i="75"/>
  <c r="C54" i="75"/>
  <c r="C55" i="75"/>
  <c r="C56" i="75"/>
  <c r="C57" i="75"/>
  <c r="C58" i="75"/>
  <c r="C59" i="75"/>
  <c r="C60" i="75"/>
  <c r="C61" i="75"/>
  <c r="C62" i="75"/>
  <c r="C63" i="75"/>
  <c r="C64" i="75"/>
  <c r="C65" i="75"/>
  <c r="A66" i="75"/>
  <c r="J65" i="75"/>
  <c r="A65" i="75"/>
  <c r="J64" i="75"/>
  <c r="A64" i="75"/>
  <c r="J63" i="75"/>
  <c r="A63" i="75"/>
  <c r="J62" i="75"/>
  <c r="A62" i="75"/>
  <c r="J61" i="75"/>
  <c r="A61" i="75"/>
  <c r="J60" i="75"/>
  <c r="A60" i="75"/>
  <c r="J59" i="75"/>
  <c r="A59" i="75"/>
  <c r="J58" i="75"/>
  <c r="A58" i="75"/>
  <c r="J57" i="75"/>
  <c r="A57" i="75"/>
  <c r="J56" i="75"/>
  <c r="A56" i="75"/>
  <c r="J55" i="75"/>
  <c r="A55" i="75"/>
  <c r="J54" i="75"/>
  <c r="A54" i="75"/>
  <c r="J53" i="75"/>
  <c r="A53" i="75"/>
  <c r="J52" i="75"/>
  <c r="A52" i="75"/>
  <c r="J51" i="75"/>
  <c r="A51" i="75"/>
  <c r="J50" i="75"/>
  <c r="A50" i="75"/>
  <c r="J49" i="75"/>
  <c r="A49" i="75"/>
  <c r="J48" i="75"/>
  <c r="A48" i="75"/>
  <c r="J47" i="75"/>
  <c r="A47" i="75"/>
  <c r="J46" i="75"/>
  <c r="A46" i="75"/>
  <c r="J45" i="75"/>
  <c r="A45" i="75"/>
  <c r="J44" i="75"/>
  <c r="A44" i="75"/>
  <c r="I43" i="75"/>
  <c r="J43" i="75"/>
  <c r="A43" i="75"/>
  <c r="I42" i="75"/>
  <c r="J42" i="75"/>
  <c r="A42" i="75"/>
  <c r="I41" i="75"/>
  <c r="J41" i="75"/>
  <c r="A41" i="75"/>
  <c r="I40" i="75"/>
  <c r="J40" i="75"/>
  <c r="A40" i="75"/>
  <c r="J39" i="75"/>
  <c r="I39" i="75"/>
  <c r="G39" i="75"/>
  <c r="A39" i="75"/>
  <c r="I38" i="75"/>
  <c r="G38" i="75"/>
  <c r="A38" i="75"/>
  <c r="A37" i="75"/>
  <c r="A36" i="75"/>
  <c r="D35" i="75"/>
  <c r="I35" i="75"/>
  <c r="J35" i="75"/>
  <c r="K35" i="75"/>
  <c r="E35" i="75"/>
  <c r="F35" i="75"/>
  <c r="G35" i="75"/>
  <c r="M35" i="75"/>
  <c r="N35" i="75"/>
  <c r="A35" i="75"/>
  <c r="D34" i="75"/>
  <c r="I34" i="75"/>
  <c r="J34" i="75"/>
  <c r="K34" i="75"/>
  <c r="E34" i="75"/>
  <c r="F34" i="75"/>
  <c r="G34" i="75"/>
  <c r="M34" i="75"/>
  <c r="N34" i="75"/>
  <c r="A34" i="75"/>
  <c r="D33" i="75"/>
  <c r="I33" i="75"/>
  <c r="J33" i="75"/>
  <c r="K33" i="75"/>
  <c r="E33" i="75"/>
  <c r="F33" i="75"/>
  <c r="G33" i="75"/>
  <c r="M33" i="75"/>
  <c r="N33" i="75"/>
  <c r="A33" i="75"/>
  <c r="D32" i="75"/>
  <c r="I32" i="75"/>
  <c r="J32" i="75"/>
  <c r="K32" i="75"/>
  <c r="E32" i="75"/>
  <c r="F32" i="75"/>
  <c r="G32" i="75"/>
  <c r="M32" i="75"/>
  <c r="N32" i="75"/>
  <c r="A32" i="75"/>
  <c r="D31" i="75"/>
  <c r="I31" i="75"/>
  <c r="J31" i="75"/>
  <c r="K31" i="75"/>
  <c r="E31" i="75"/>
  <c r="F31" i="75"/>
  <c r="G31" i="75"/>
  <c r="M31" i="75"/>
  <c r="N31" i="75"/>
  <c r="A31" i="75"/>
  <c r="D30" i="75"/>
  <c r="I30" i="75"/>
  <c r="J30" i="75"/>
  <c r="K30" i="75"/>
  <c r="E30" i="75"/>
  <c r="F30" i="75"/>
  <c r="G30" i="75"/>
  <c r="M30" i="75"/>
  <c r="N30" i="75"/>
  <c r="A30" i="75"/>
  <c r="D29" i="75"/>
  <c r="I29" i="75"/>
  <c r="J29" i="75"/>
  <c r="K29" i="75"/>
  <c r="E29" i="75"/>
  <c r="F29" i="75"/>
  <c r="G29" i="75"/>
  <c r="M29" i="75"/>
  <c r="N29" i="75"/>
  <c r="A29" i="75"/>
  <c r="D28" i="75"/>
  <c r="I28" i="75"/>
  <c r="J28" i="75"/>
  <c r="K28" i="75"/>
  <c r="E28" i="75"/>
  <c r="F28" i="75"/>
  <c r="G28" i="75"/>
  <c r="M28" i="75"/>
  <c r="N28" i="75"/>
  <c r="A28" i="75"/>
  <c r="D27" i="75"/>
  <c r="I27" i="75"/>
  <c r="J27" i="75"/>
  <c r="K27" i="75"/>
  <c r="E27" i="75"/>
  <c r="F27" i="75"/>
  <c r="G27" i="75"/>
  <c r="M27" i="75"/>
  <c r="N27" i="75"/>
  <c r="A27" i="75"/>
  <c r="A26" i="75"/>
  <c r="I25" i="75"/>
  <c r="E25" i="75"/>
  <c r="D13" i="75"/>
  <c r="D25" i="75"/>
  <c r="A25" i="75"/>
  <c r="A24" i="75"/>
  <c r="D23" i="75"/>
  <c r="I23" i="75"/>
  <c r="J23" i="75"/>
  <c r="K23" i="75"/>
  <c r="E23" i="75"/>
  <c r="F23" i="75"/>
  <c r="G23" i="75"/>
  <c r="M23" i="75"/>
  <c r="N23" i="75"/>
  <c r="A23" i="75"/>
  <c r="D22" i="75"/>
  <c r="I22" i="75"/>
  <c r="J22" i="75"/>
  <c r="K22" i="75"/>
  <c r="E22" i="75"/>
  <c r="F22" i="75"/>
  <c r="G22" i="75"/>
  <c r="M22" i="75"/>
  <c r="N22" i="75"/>
  <c r="A22" i="75"/>
  <c r="D21" i="75"/>
  <c r="I21" i="75"/>
  <c r="J21" i="75"/>
  <c r="K21" i="75"/>
  <c r="E21" i="75"/>
  <c r="F21" i="75"/>
  <c r="G21" i="75"/>
  <c r="M21" i="75"/>
  <c r="N21" i="75"/>
  <c r="A21" i="75"/>
  <c r="D20" i="75"/>
  <c r="I20" i="75"/>
  <c r="J20" i="75"/>
  <c r="K20" i="75"/>
  <c r="E20" i="75"/>
  <c r="F20" i="75"/>
  <c r="G20" i="75"/>
  <c r="M20" i="75"/>
  <c r="N20" i="75"/>
  <c r="A20" i="75"/>
  <c r="D19" i="75"/>
  <c r="I19" i="75"/>
  <c r="J19" i="75"/>
  <c r="K19" i="75"/>
  <c r="E19" i="75"/>
  <c r="F19" i="75"/>
  <c r="G19" i="75"/>
  <c r="M19" i="75"/>
  <c r="N19" i="75"/>
  <c r="A19" i="75"/>
  <c r="D18" i="75"/>
  <c r="I18" i="75"/>
  <c r="J18" i="75"/>
  <c r="K18" i="75"/>
  <c r="E18" i="75"/>
  <c r="F18" i="75"/>
  <c r="G18" i="75"/>
  <c r="M18" i="75"/>
  <c r="N18" i="75"/>
  <c r="A18" i="75"/>
  <c r="D17" i="75"/>
  <c r="I17" i="75"/>
  <c r="J17" i="75"/>
  <c r="K17" i="75"/>
  <c r="E17" i="75"/>
  <c r="F17" i="75"/>
  <c r="G17" i="75"/>
  <c r="M17" i="75"/>
  <c r="N17" i="75"/>
  <c r="A17" i="75"/>
  <c r="D16" i="75"/>
  <c r="I16" i="75"/>
  <c r="J16" i="75"/>
  <c r="K16" i="75"/>
  <c r="E16" i="75"/>
  <c r="F16" i="75"/>
  <c r="G16" i="75"/>
  <c r="M16" i="75"/>
  <c r="N16" i="75"/>
  <c r="A16" i="75"/>
  <c r="D15" i="75"/>
  <c r="I15" i="75"/>
  <c r="J15" i="75"/>
  <c r="K15" i="75"/>
  <c r="E15" i="75"/>
  <c r="F15" i="75"/>
  <c r="G15" i="75"/>
  <c r="M15" i="75"/>
  <c r="N15" i="75"/>
  <c r="A15" i="75"/>
  <c r="A14" i="75"/>
  <c r="I13" i="75"/>
  <c r="E13" i="75"/>
  <c r="A13" i="75"/>
  <c r="A12" i="75"/>
  <c r="A9" i="75"/>
  <c r="A8" i="75"/>
  <c r="A6" i="75"/>
  <c r="A5" i="75"/>
  <c r="I72" i="74"/>
  <c r="G72" i="74"/>
  <c r="J72" i="74"/>
  <c r="C72" i="74"/>
  <c r="I64" i="74"/>
  <c r="I65" i="74"/>
  <c r="I71" i="74"/>
  <c r="G71" i="74"/>
  <c r="J71" i="74"/>
  <c r="C71" i="74"/>
  <c r="I70" i="74"/>
  <c r="G70" i="74"/>
  <c r="J70" i="74"/>
  <c r="C70" i="74"/>
  <c r="I69" i="74"/>
  <c r="G69" i="74"/>
  <c r="J69" i="74"/>
  <c r="C69" i="74"/>
  <c r="J66" i="74"/>
  <c r="C13" i="74"/>
  <c r="C25" i="74"/>
  <c r="A66" i="74"/>
  <c r="J65" i="74"/>
  <c r="A65" i="74"/>
  <c r="J64" i="74"/>
  <c r="A64" i="74"/>
  <c r="J63" i="74"/>
  <c r="A63" i="74"/>
  <c r="J62" i="74"/>
  <c r="A62" i="74"/>
  <c r="J61" i="74"/>
  <c r="A61" i="74"/>
  <c r="J60" i="74"/>
  <c r="A60" i="74"/>
  <c r="J59" i="74"/>
  <c r="A59" i="74"/>
  <c r="J58" i="74"/>
  <c r="A58" i="74"/>
  <c r="J57" i="74"/>
  <c r="A57" i="74"/>
  <c r="J56" i="74"/>
  <c r="A56" i="74"/>
  <c r="J55" i="74"/>
  <c r="A55" i="74"/>
  <c r="J54" i="74"/>
  <c r="A54" i="74"/>
  <c r="J53" i="74"/>
  <c r="A53" i="74"/>
  <c r="J52" i="74"/>
  <c r="A52" i="74"/>
  <c r="J51" i="74"/>
  <c r="A51" i="74"/>
  <c r="J50" i="74"/>
  <c r="A50" i="74"/>
  <c r="J49" i="74"/>
  <c r="A49" i="74"/>
  <c r="J48" i="74"/>
  <c r="A48" i="74"/>
  <c r="J47" i="74"/>
  <c r="A47" i="74"/>
  <c r="J46" i="74"/>
  <c r="A46" i="74"/>
  <c r="J45" i="74"/>
  <c r="A45" i="74"/>
  <c r="J44" i="74"/>
  <c r="A44" i="74"/>
  <c r="I43" i="74"/>
  <c r="J43" i="74"/>
  <c r="A43" i="74"/>
  <c r="I42" i="74"/>
  <c r="J42" i="74"/>
  <c r="A42" i="74"/>
  <c r="I41" i="74"/>
  <c r="J41" i="74"/>
  <c r="A41" i="74"/>
  <c r="I40" i="74"/>
  <c r="J40" i="74"/>
  <c r="A40" i="74"/>
  <c r="A39" i="74"/>
  <c r="A38" i="74"/>
  <c r="A37" i="74"/>
  <c r="A36" i="74"/>
  <c r="D35" i="74"/>
  <c r="I35" i="74"/>
  <c r="J35" i="74"/>
  <c r="K35" i="74"/>
  <c r="E35" i="74"/>
  <c r="F35" i="74"/>
  <c r="G35" i="74"/>
  <c r="M35" i="74"/>
  <c r="N35" i="74"/>
  <c r="A35" i="74"/>
  <c r="D34" i="74"/>
  <c r="I34" i="74"/>
  <c r="J34" i="74"/>
  <c r="K34" i="74"/>
  <c r="E34" i="74"/>
  <c r="F34" i="74"/>
  <c r="G34" i="74"/>
  <c r="M34" i="74"/>
  <c r="N34" i="74"/>
  <c r="A34" i="74"/>
  <c r="D33" i="74"/>
  <c r="I33" i="74"/>
  <c r="J33" i="74"/>
  <c r="K33" i="74"/>
  <c r="E33" i="74"/>
  <c r="F33" i="74"/>
  <c r="G33" i="74"/>
  <c r="M33" i="74"/>
  <c r="N33" i="74"/>
  <c r="A33" i="74"/>
  <c r="D32" i="74"/>
  <c r="I32" i="74"/>
  <c r="J32" i="74"/>
  <c r="K32" i="74"/>
  <c r="E32" i="74"/>
  <c r="F32" i="74"/>
  <c r="G32" i="74"/>
  <c r="M32" i="74"/>
  <c r="N32" i="74"/>
  <c r="A32" i="74"/>
  <c r="D31" i="74"/>
  <c r="I31" i="74"/>
  <c r="J31" i="74"/>
  <c r="K31" i="74"/>
  <c r="E31" i="74"/>
  <c r="F31" i="74"/>
  <c r="G31" i="74"/>
  <c r="M31" i="74"/>
  <c r="N31" i="74"/>
  <c r="A31" i="74"/>
  <c r="D30" i="74"/>
  <c r="I30" i="74"/>
  <c r="J30" i="74"/>
  <c r="K30" i="74"/>
  <c r="E30" i="74"/>
  <c r="F30" i="74"/>
  <c r="G30" i="74"/>
  <c r="M30" i="74"/>
  <c r="N30" i="74"/>
  <c r="A30" i="74"/>
  <c r="D29" i="74"/>
  <c r="I29" i="74"/>
  <c r="J29" i="74"/>
  <c r="K29" i="74"/>
  <c r="E29" i="74"/>
  <c r="F29" i="74"/>
  <c r="G29" i="74"/>
  <c r="M29" i="74"/>
  <c r="N29" i="74"/>
  <c r="A29" i="74"/>
  <c r="D28" i="74"/>
  <c r="I28" i="74"/>
  <c r="J28" i="74"/>
  <c r="K28" i="74"/>
  <c r="E28" i="74"/>
  <c r="F28" i="74"/>
  <c r="G28" i="74"/>
  <c r="M28" i="74"/>
  <c r="N28" i="74"/>
  <c r="A28" i="74"/>
  <c r="D27" i="74"/>
  <c r="I27" i="74"/>
  <c r="J27" i="74"/>
  <c r="K27" i="74"/>
  <c r="E27" i="74"/>
  <c r="F27" i="74"/>
  <c r="G27" i="74"/>
  <c r="M27" i="74"/>
  <c r="N27" i="74"/>
  <c r="A27" i="74"/>
  <c r="A26" i="74"/>
  <c r="I25" i="74"/>
  <c r="E25" i="74"/>
  <c r="D13" i="74"/>
  <c r="D25" i="74"/>
  <c r="A25" i="74"/>
  <c r="A24" i="74"/>
  <c r="D23" i="74"/>
  <c r="I23" i="74"/>
  <c r="J23" i="74"/>
  <c r="K23" i="74"/>
  <c r="E23" i="74"/>
  <c r="F23" i="74"/>
  <c r="G23" i="74"/>
  <c r="M23" i="74"/>
  <c r="N23" i="74"/>
  <c r="A23" i="74"/>
  <c r="D22" i="74"/>
  <c r="I22" i="74"/>
  <c r="J22" i="74"/>
  <c r="K22" i="74"/>
  <c r="E22" i="74"/>
  <c r="F22" i="74"/>
  <c r="G22" i="74"/>
  <c r="M22" i="74"/>
  <c r="N22" i="74"/>
  <c r="A22" i="74"/>
  <c r="D21" i="74"/>
  <c r="I21" i="74"/>
  <c r="J21" i="74"/>
  <c r="K21" i="74"/>
  <c r="E21" i="74"/>
  <c r="F21" i="74"/>
  <c r="G21" i="74"/>
  <c r="M21" i="74"/>
  <c r="N21" i="74"/>
  <c r="A21" i="74"/>
  <c r="D20" i="74"/>
  <c r="I20" i="74"/>
  <c r="J20" i="74"/>
  <c r="K20" i="74"/>
  <c r="E20" i="74"/>
  <c r="F20" i="74"/>
  <c r="G20" i="74"/>
  <c r="M20" i="74"/>
  <c r="N20" i="74"/>
  <c r="A20" i="74"/>
  <c r="D19" i="74"/>
  <c r="I19" i="74"/>
  <c r="J19" i="74"/>
  <c r="K19" i="74"/>
  <c r="E19" i="74"/>
  <c r="F19" i="74"/>
  <c r="G19" i="74"/>
  <c r="M19" i="74"/>
  <c r="N19" i="74"/>
  <c r="A19" i="74"/>
  <c r="D18" i="74"/>
  <c r="I18" i="74"/>
  <c r="J18" i="74"/>
  <c r="K18" i="74"/>
  <c r="E18" i="74"/>
  <c r="F18" i="74"/>
  <c r="G18" i="74"/>
  <c r="M18" i="74"/>
  <c r="N18" i="74"/>
  <c r="A18" i="74"/>
  <c r="D17" i="74"/>
  <c r="I17" i="74"/>
  <c r="J17" i="74"/>
  <c r="K17" i="74"/>
  <c r="E17" i="74"/>
  <c r="F17" i="74"/>
  <c r="G17" i="74"/>
  <c r="M17" i="74"/>
  <c r="N17" i="74"/>
  <c r="A17" i="74"/>
  <c r="D16" i="74"/>
  <c r="I16" i="74"/>
  <c r="J16" i="74"/>
  <c r="K16" i="74"/>
  <c r="E16" i="74"/>
  <c r="F16" i="74"/>
  <c r="G16" i="74"/>
  <c r="M16" i="74"/>
  <c r="N16" i="74"/>
  <c r="A16" i="74"/>
  <c r="D15" i="74"/>
  <c r="I15" i="74"/>
  <c r="J15" i="74"/>
  <c r="K15" i="74"/>
  <c r="E15" i="74"/>
  <c r="F15" i="74"/>
  <c r="G15" i="74"/>
  <c r="M15" i="74"/>
  <c r="N15" i="74"/>
  <c r="A15" i="74"/>
  <c r="A14" i="74"/>
  <c r="I13" i="74"/>
  <c r="E13" i="74"/>
  <c r="A13" i="74"/>
  <c r="A12" i="74"/>
  <c r="A8" i="74"/>
  <c r="A6" i="74"/>
  <c r="A5" i="74"/>
  <c r="I77" i="73"/>
  <c r="H77" i="73"/>
  <c r="J77" i="73"/>
  <c r="C77" i="73"/>
  <c r="Z14" i="2"/>
  <c r="AA14" i="2"/>
  <c r="H14" i="2"/>
  <c r="I14" i="2"/>
  <c r="AC14" i="2"/>
  <c r="AD14" i="2"/>
  <c r="K14" i="2"/>
  <c r="L14" i="2"/>
  <c r="Q14" i="2"/>
  <c r="R14" i="2"/>
  <c r="G20" i="3"/>
  <c r="D20" i="3"/>
  <c r="H20" i="3"/>
  <c r="O20" i="3"/>
  <c r="P20" i="3"/>
  <c r="R20" i="3"/>
  <c r="T14" i="2"/>
  <c r="U14" i="2"/>
  <c r="AI14" i="2"/>
  <c r="AJ14" i="2"/>
  <c r="AL14" i="2"/>
  <c r="AM14" i="2"/>
  <c r="AO14" i="2"/>
  <c r="AP14" i="2"/>
  <c r="AR14" i="2"/>
  <c r="AS14" i="2"/>
  <c r="AU14" i="2"/>
  <c r="AV14" i="2"/>
  <c r="X14" i="2"/>
  <c r="I60" i="73"/>
  <c r="I61" i="73"/>
  <c r="I75" i="73"/>
  <c r="H75" i="73"/>
  <c r="J75" i="73"/>
  <c r="C75" i="73"/>
  <c r="I74" i="73"/>
  <c r="H74" i="73"/>
  <c r="J74" i="73"/>
  <c r="C74" i="73"/>
  <c r="I71" i="73"/>
  <c r="H71" i="73"/>
  <c r="J71" i="73"/>
  <c r="I70" i="73"/>
  <c r="H70" i="73"/>
  <c r="J70" i="73"/>
  <c r="C12" i="73"/>
  <c r="C22" i="73"/>
  <c r="C24" i="73"/>
  <c r="C25" i="73"/>
  <c r="C26" i="73"/>
  <c r="C27" i="73"/>
  <c r="C28" i="73"/>
  <c r="C29" i="73"/>
  <c r="C40" i="73"/>
  <c r="C41" i="73"/>
  <c r="C42" i="73"/>
  <c r="C43" i="73"/>
  <c r="C44" i="73"/>
  <c r="C45" i="73"/>
  <c r="C46" i="73"/>
  <c r="C47" i="73"/>
  <c r="C48" i="73"/>
  <c r="C49" i="73"/>
  <c r="C50" i="73"/>
  <c r="C51" i="73"/>
  <c r="C52" i="73"/>
  <c r="C53" i="73"/>
  <c r="C54" i="73"/>
  <c r="C59" i="73"/>
  <c r="C60" i="73"/>
  <c r="C61" i="73"/>
  <c r="C62" i="73"/>
  <c r="A66" i="73"/>
  <c r="A65" i="73"/>
  <c r="A64" i="73"/>
  <c r="A63" i="73"/>
  <c r="J62" i="73"/>
  <c r="A62" i="73"/>
  <c r="J61" i="73"/>
  <c r="A61" i="73"/>
  <c r="J60" i="73"/>
  <c r="A60" i="73"/>
  <c r="J59" i="73"/>
  <c r="A59" i="73"/>
  <c r="J58" i="73"/>
  <c r="A58" i="73"/>
  <c r="J57" i="73"/>
  <c r="A57" i="73"/>
  <c r="J56" i="73"/>
  <c r="A56" i="73"/>
  <c r="J55" i="73"/>
  <c r="A55" i="73"/>
  <c r="J54" i="73"/>
  <c r="A54" i="73"/>
  <c r="J53" i="73"/>
  <c r="A53" i="73"/>
  <c r="J52" i="73"/>
  <c r="A52" i="73"/>
  <c r="J51" i="73"/>
  <c r="A51" i="73"/>
  <c r="J50" i="73"/>
  <c r="A50" i="73"/>
  <c r="J49" i="73"/>
  <c r="A49" i="73"/>
  <c r="J48" i="73"/>
  <c r="A48" i="73"/>
  <c r="J47" i="73"/>
  <c r="A47" i="73"/>
  <c r="J46" i="73"/>
  <c r="A46" i="73"/>
  <c r="J45" i="73"/>
  <c r="A45" i="73"/>
  <c r="J44" i="73"/>
  <c r="A44" i="73"/>
  <c r="J43" i="73"/>
  <c r="A43" i="73"/>
  <c r="J42" i="73"/>
  <c r="A42" i="73"/>
  <c r="J41" i="73"/>
  <c r="A41" i="73"/>
  <c r="J40" i="73"/>
  <c r="A40" i="73"/>
  <c r="J39" i="73"/>
  <c r="A39" i="73"/>
  <c r="J38" i="73"/>
  <c r="A38" i="73"/>
  <c r="J37" i="73"/>
  <c r="A37" i="73"/>
  <c r="J36" i="73"/>
  <c r="A36" i="73"/>
  <c r="I35" i="73"/>
  <c r="J35" i="73"/>
  <c r="A35" i="73"/>
  <c r="J34" i="73"/>
  <c r="I34" i="73"/>
  <c r="H34" i="73"/>
  <c r="A34" i="73"/>
  <c r="I33" i="73"/>
  <c r="H33" i="73"/>
  <c r="A33" i="73"/>
  <c r="A32" i="73"/>
  <c r="A31" i="73"/>
  <c r="H30" i="73"/>
  <c r="I30" i="73"/>
  <c r="J30" i="73"/>
  <c r="D30" i="73"/>
  <c r="E30" i="73"/>
  <c r="F30" i="73"/>
  <c r="L30" i="73"/>
  <c r="M30" i="73"/>
  <c r="A30" i="73"/>
  <c r="H29" i="73"/>
  <c r="I29" i="73"/>
  <c r="J29" i="73"/>
  <c r="D29" i="73"/>
  <c r="E29" i="73"/>
  <c r="F29" i="73"/>
  <c r="L29" i="73"/>
  <c r="M29" i="73"/>
  <c r="A29" i="73"/>
  <c r="H28" i="73"/>
  <c r="I28" i="73"/>
  <c r="J28" i="73"/>
  <c r="D28" i="73"/>
  <c r="E28" i="73"/>
  <c r="F28" i="73"/>
  <c r="L28" i="73"/>
  <c r="M28" i="73"/>
  <c r="A28" i="73"/>
  <c r="H27" i="73"/>
  <c r="I27" i="73"/>
  <c r="J27" i="73"/>
  <c r="D27" i="73"/>
  <c r="E27" i="73"/>
  <c r="F27" i="73"/>
  <c r="L27" i="73"/>
  <c r="M27" i="73"/>
  <c r="A27" i="73"/>
  <c r="H26" i="73"/>
  <c r="I26" i="73"/>
  <c r="J26" i="73"/>
  <c r="D26" i="73"/>
  <c r="E26" i="73"/>
  <c r="F26" i="73"/>
  <c r="L26" i="73"/>
  <c r="M26" i="73"/>
  <c r="A26" i="73"/>
  <c r="H25" i="73"/>
  <c r="I25" i="73"/>
  <c r="J25" i="73"/>
  <c r="D25" i="73"/>
  <c r="E25" i="73"/>
  <c r="F25" i="73"/>
  <c r="L25" i="73"/>
  <c r="M25" i="73"/>
  <c r="A25" i="73"/>
  <c r="H24" i="73"/>
  <c r="I24" i="73"/>
  <c r="J24" i="73"/>
  <c r="D24" i="73"/>
  <c r="E24" i="73"/>
  <c r="F24" i="73"/>
  <c r="L24" i="73"/>
  <c r="M24" i="73"/>
  <c r="A24" i="73"/>
  <c r="A23" i="73"/>
  <c r="H22" i="73"/>
  <c r="D22" i="73"/>
  <c r="A22" i="73"/>
  <c r="A21" i="73"/>
  <c r="H20" i="73"/>
  <c r="I20" i="73"/>
  <c r="J20" i="73"/>
  <c r="D20" i="73"/>
  <c r="E20" i="73"/>
  <c r="F20" i="73"/>
  <c r="L20" i="73"/>
  <c r="M20" i="73"/>
  <c r="A20" i="73"/>
  <c r="H19" i="73"/>
  <c r="I19" i="73"/>
  <c r="J19" i="73"/>
  <c r="D19" i="73"/>
  <c r="E19" i="73"/>
  <c r="F19" i="73"/>
  <c r="L19" i="73"/>
  <c r="M19" i="73"/>
  <c r="A19" i="73"/>
  <c r="H18" i="73"/>
  <c r="I18" i="73"/>
  <c r="J18" i="73"/>
  <c r="D18" i="73"/>
  <c r="E18" i="73"/>
  <c r="F18" i="73"/>
  <c r="L18" i="73"/>
  <c r="M18" i="73"/>
  <c r="A18" i="73"/>
  <c r="H17" i="73"/>
  <c r="I17" i="73"/>
  <c r="J17" i="73"/>
  <c r="D17" i="73"/>
  <c r="E17" i="73"/>
  <c r="F17" i="73"/>
  <c r="L17" i="73"/>
  <c r="M17" i="73"/>
  <c r="A17" i="73"/>
  <c r="H16" i="73"/>
  <c r="I16" i="73"/>
  <c r="J16" i="73"/>
  <c r="D16" i="73"/>
  <c r="E16" i="73"/>
  <c r="F16" i="73"/>
  <c r="L16" i="73"/>
  <c r="M16" i="73"/>
  <c r="A16" i="73"/>
  <c r="H15" i="73"/>
  <c r="I15" i="73"/>
  <c r="J15" i="73"/>
  <c r="D15" i="73"/>
  <c r="E15" i="73"/>
  <c r="F15" i="73"/>
  <c r="L15" i="73"/>
  <c r="M15" i="73"/>
  <c r="A15" i="73"/>
  <c r="H14" i="73"/>
  <c r="I14" i="73"/>
  <c r="J14" i="73"/>
  <c r="D14" i="73"/>
  <c r="E14" i="73"/>
  <c r="F14" i="73"/>
  <c r="L14" i="73"/>
  <c r="M14" i="73"/>
  <c r="A14" i="73"/>
  <c r="A13" i="73"/>
  <c r="H12" i="73"/>
  <c r="D12" i="73"/>
  <c r="A12" i="73"/>
  <c r="A8" i="73"/>
  <c r="A6" i="73"/>
  <c r="A5" i="73"/>
  <c r="I70" i="72"/>
  <c r="G70" i="72"/>
  <c r="J70" i="72"/>
  <c r="C70" i="72"/>
  <c r="Z16" i="2"/>
  <c r="AA16" i="2"/>
  <c r="H16" i="2"/>
  <c r="I16" i="2"/>
  <c r="AC16" i="2"/>
  <c r="AD16" i="2"/>
  <c r="K16" i="2"/>
  <c r="L16" i="2"/>
  <c r="Q16" i="2"/>
  <c r="R16" i="2"/>
  <c r="G22" i="3"/>
  <c r="D22" i="3"/>
  <c r="H22" i="3"/>
  <c r="O22" i="3"/>
  <c r="P22" i="3"/>
  <c r="R22" i="3"/>
  <c r="T16" i="2"/>
  <c r="U16" i="2"/>
  <c r="AI16" i="2"/>
  <c r="AJ16" i="2"/>
  <c r="AL16" i="2"/>
  <c r="AM16" i="2"/>
  <c r="AO16" i="2"/>
  <c r="AP16" i="2"/>
  <c r="AR16" i="2"/>
  <c r="AS16" i="2"/>
  <c r="AU16" i="2"/>
  <c r="AV16" i="2"/>
  <c r="X16" i="2"/>
  <c r="I62" i="72"/>
  <c r="I63" i="72"/>
  <c r="I69" i="72"/>
  <c r="G69" i="72"/>
  <c r="J69" i="72"/>
  <c r="C69" i="72"/>
  <c r="I68" i="72"/>
  <c r="G68" i="72"/>
  <c r="J68" i="72"/>
  <c r="C68" i="72"/>
  <c r="I67" i="72"/>
  <c r="G67" i="72"/>
  <c r="J67" i="72"/>
  <c r="C67" i="72"/>
  <c r="J64" i="72"/>
  <c r="C64" i="72"/>
  <c r="C13" i="61"/>
  <c r="C13" i="72"/>
  <c r="C15" i="72"/>
  <c r="C16" i="72"/>
  <c r="C17" i="72"/>
  <c r="C18" i="72"/>
  <c r="C19" i="72"/>
  <c r="C20" i="72"/>
  <c r="C21" i="72"/>
  <c r="C22" i="72"/>
  <c r="C23" i="72"/>
  <c r="C26" i="72"/>
  <c r="C28" i="67"/>
  <c r="C28" i="72"/>
  <c r="C29" i="67"/>
  <c r="C29" i="72"/>
  <c r="C30" i="67"/>
  <c r="C30" i="72"/>
  <c r="C31" i="67"/>
  <c r="C31" i="72"/>
  <c r="C32" i="67"/>
  <c r="C32" i="72"/>
  <c r="C33" i="67"/>
  <c r="C33" i="72"/>
  <c r="C34" i="67"/>
  <c r="C34" i="72"/>
  <c r="C35" i="67"/>
  <c r="C35" i="72"/>
  <c r="C36" i="67"/>
  <c r="C36" i="72"/>
  <c r="C41" i="72"/>
  <c r="C42" i="72"/>
  <c r="C43" i="72"/>
  <c r="C44" i="72"/>
  <c r="C45" i="72"/>
  <c r="C46" i="72"/>
  <c r="C47" i="72"/>
  <c r="C48" i="72"/>
  <c r="C49" i="72"/>
  <c r="C50" i="72"/>
  <c r="C51" i="72"/>
  <c r="C52" i="72"/>
  <c r="C53" i="72"/>
  <c r="C54" i="72"/>
  <c r="C55" i="72"/>
  <c r="C56" i="72"/>
  <c r="C57" i="72"/>
  <c r="C58" i="72"/>
  <c r="C59" i="72"/>
  <c r="C60" i="72"/>
  <c r="C61" i="72"/>
  <c r="C62" i="72"/>
  <c r="C63" i="72"/>
  <c r="A64" i="72"/>
  <c r="J63" i="72"/>
  <c r="A63" i="72"/>
  <c r="J62" i="72"/>
  <c r="A62" i="72"/>
  <c r="J61" i="72"/>
  <c r="A61" i="72"/>
  <c r="J60" i="72"/>
  <c r="A60" i="72"/>
  <c r="J59" i="72"/>
  <c r="A59" i="72"/>
  <c r="J58" i="72"/>
  <c r="A58" i="72"/>
  <c r="J57" i="72"/>
  <c r="A57" i="72"/>
  <c r="J56" i="72"/>
  <c r="A56" i="72"/>
  <c r="J55" i="72"/>
  <c r="A55" i="72"/>
  <c r="J54" i="72"/>
  <c r="A54" i="72"/>
  <c r="J53" i="72"/>
  <c r="A53" i="72"/>
  <c r="J52" i="72"/>
  <c r="A52" i="72"/>
  <c r="J51" i="72"/>
  <c r="A51" i="72"/>
  <c r="J50" i="72"/>
  <c r="A50" i="72"/>
  <c r="J49" i="72"/>
  <c r="A49" i="72"/>
  <c r="J48" i="72"/>
  <c r="A48" i="72"/>
  <c r="J47" i="72"/>
  <c r="A47" i="72"/>
  <c r="J46" i="72"/>
  <c r="A46" i="72"/>
  <c r="J45" i="72"/>
  <c r="A45" i="72"/>
  <c r="J44" i="72"/>
  <c r="A44" i="72"/>
  <c r="J43" i="72"/>
  <c r="A43" i="72"/>
  <c r="J42" i="72"/>
  <c r="A42" i="72"/>
  <c r="I41" i="72"/>
  <c r="J41" i="72"/>
  <c r="A41" i="72"/>
  <c r="J40" i="72"/>
  <c r="I40" i="72"/>
  <c r="G40" i="72"/>
  <c r="A40" i="72"/>
  <c r="I39" i="72"/>
  <c r="G39" i="72"/>
  <c r="A39" i="72"/>
  <c r="A38" i="72"/>
  <c r="D37" i="72"/>
  <c r="I37" i="72"/>
  <c r="J37" i="72"/>
  <c r="K37" i="72"/>
  <c r="E37" i="72"/>
  <c r="F37" i="72"/>
  <c r="G37" i="72"/>
  <c r="M37" i="72"/>
  <c r="N37" i="72"/>
  <c r="A37" i="72"/>
  <c r="D36" i="72"/>
  <c r="I36" i="72"/>
  <c r="J36" i="72"/>
  <c r="K36" i="72"/>
  <c r="E36" i="72"/>
  <c r="F36" i="72"/>
  <c r="G36" i="72"/>
  <c r="M36" i="72"/>
  <c r="N36" i="72"/>
  <c r="A36" i="72"/>
  <c r="D35" i="72"/>
  <c r="I35" i="72"/>
  <c r="J35" i="72"/>
  <c r="K35" i="72"/>
  <c r="E35" i="72"/>
  <c r="F35" i="72"/>
  <c r="G35" i="72"/>
  <c r="M35" i="72"/>
  <c r="N35" i="72"/>
  <c r="A35" i="72"/>
  <c r="D34" i="72"/>
  <c r="I34" i="72"/>
  <c r="J34" i="72"/>
  <c r="K34" i="72"/>
  <c r="E34" i="72"/>
  <c r="F34" i="72"/>
  <c r="G34" i="72"/>
  <c r="M34" i="72"/>
  <c r="N34" i="72"/>
  <c r="A34" i="72"/>
  <c r="D33" i="72"/>
  <c r="I33" i="72"/>
  <c r="J33" i="72"/>
  <c r="K33" i="72"/>
  <c r="E33" i="72"/>
  <c r="F33" i="72"/>
  <c r="G33" i="72"/>
  <c r="M33" i="72"/>
  <c r="N33" i="72"/>
  <c r="A33" i="72"/>
  <c r="D32" i="72"/>
  <c r="I32" i="72"/>
  <c r="J32" i="72"/>
  <c r="K32" i="72"/>
  <c r="E32" i="72"/>
  <c r="F32" i="72"/>
  <c r="G32" i="72"/>
  <c r="M32" i="72"/>
  <c r="N32" i="72"/>
  <c r="A32" i="72"/>
  <c r="D31" i="72"/>
  <c r="I31" i="72"/>
  <c r="J31" i="72"/>
  <c r="K31" i="72"/>
  <c r="E31" i="72"/>
  <c r="F31" i="72"/>
  <c r="G31" i="72"/>
  <c r="M31" i="72"/>
  <c r="N31" i="72"/>
  <c r="A31" i="72"/>
  <c r="D30" i="72"/>
  <c r="I30" i="72"/>
  <c r="J30" i="72"/>
  <c r="K30" i="72"/>
  <c r="E30" i="72"/>
  <c r="F30" i="72"/>
  <c r="G30" i="72"/>
  <c r="M30" i="72"/>
  <c r="N30" i="72"/>
  <c r="A30" i="72"/>
  <c r="D29" i="72"/>
  <c r="I29" i="72"/>
  <c r="J29" i="72"/>
  <c r="K29" i="72"/>
  <c r="E29" i="72"/>
  <c r="F29" i="72"/>
  <c r="G29" i="72"/>
  <c r="M29" i="72"/>
  <c r="N29" i="72"/>
  <c r="A29" i="72"/>
  <c r="D28" i="72"/>
  <c r="I28" i="72"/>
  <c r="J28" i="72"/>
  <c r="K28" i="72"/>
  <c r="E28" i="72"/>
  <c r="F28" i="72"/>
  <c r="G28" i="72"/>
  <c r="M28" i="72"/>
  <c r="N28" i="72"/>
  <c r="A28" i="72"/>
  <c r="A27" i="72"/>
  <c r="I26" i="72"/>
  <c r="E26" i="72"/>
  <c r="D13" i="72"/>
  <c r="D26" i="72"/>
  <c r="A26" i="72"/>
  <c r="A25" i="72"/>
  <c r="D24" i="72"/>
  <c r="I24" i="72"/>
  <c r="J24" i="72"/>
  <c r="K24" i="72"/>
  <c r="E24" i="72"/>
  <c r="F24" i="72"/>
  <c r="G24" i="72"/>
  <c r="M24" i="72"/>
  <c r="N24" i="72"/>
  <c r="A24" i="72"/>
  <c r="D23" i="72"/>
  <c r="I23" i="72"/>
  <c r="J23" i="72"/>
  <c r="K23" i="72"/>
  <c r="E23" i="72"/>
  <c r="F23" i="72"/>
  <c r="G23" i="72"/>
  <c r="M23" i="72"/>
  <c r="N23" i="72"/>
  <c r="A23" i="72"/>
  <c r="D22" i="72"/>
  <c r="I22" i="72"/>
  <c r="J22" i="72"/>
  <c r="K22" i="72"/>
  <c r="E22" i="72"/>
  <c r="F22" i="72"/>
  <c r="G22" i="72"/>
  <c r="M22" i="72"/>
  <c r="N22" i="72"/>
  <c r="A22" i="72"/>
  <c r="D21" i="72"/>
  <c r="I21" i="72"/>
  <c r="J21" i="72"/>
  <c r="K21" i="72"/>
  <c r="E21" i="72"/>
  <c r="F21" i="72"/>
  <c r="G21" i="72"/>
  <c r="M21" i="72"/>
  <c r="N21" i="72"/>
  <c r="A21" i="72"/>
  <c r="D20" i="72"/>
  <c r="I20" i="72"/>
  <c r="J20" i="72"/>
  <c r="K20" i="72"/>
  <c r="E20" i="72"/>
  <c r="F20" i="72"/>
  <c r="G20" i="72"/>
  <c r="M20" i="72"/>
  <c r="N20" i="72"/>
  <c r="A20" i="72"/>
  <c r="D19" i="72"/>
  <c r="I19" i="72"/>
  <c r="J19" i="72"/>
  <c r="K19" i="72"/>
  <c r="E19" i="72"/>
  <c r="F19" i="72"/>
  <c r="G19" i="72"/>
  <c r="M19" i="72"/>
  <c r="N19" i="72"/>
  <c r="A19" i="72"/>
  <c r="D18" i="72"/>
  <c r="I18" i="72"/>
  <c r="J18" i="72"/>
  <c r="K18" i="72"/>
  <c r="E18" i="72"/>
  <c r="F18" i="72"/>
  <c r="G18" i="72"/>
  <c r="M18" i="72"/>
  <c r="N18" i="72"/>
  <c r="A18" i="72"/>
  <c r="D17" i="72"/>
  <c r="I17" i="72"/>
  <c r="J17" i="72"/>
  <c r="K17" i="72"/>
  <c r="E17" i="72"/>
  <c r="F17" i="72"/>
  <c r="G17" i="72"/>
  <c r="M17" i="72"/>
  <c r="N17" i="72"/>
  <c r="A17" i="72"/>
  <c r="D16" i="72"/>
  <c r="I16" i="72"/>
  <c r="J16" i="72"/>
  <c r="K16" i="72"/>
  <c r="E16" i="72"/>
  <c r="F16" i="72"/>
  <c r="G16" i="72"/>
  <c r="M16" i="72"/>
  <c r="N16" i="72"/>
  <c r="A16" i="72"/>
  <c r="D15" i="72"/>
  <c r="I15" i="72"/>
  <c r="J15" i="72"/>
  <c r="K15" i="72"/>
  <c r="E15" i="72"/>
  <c r="F15" i="72"/>
  <c r="G15" i="72"/>
  <c r="M15" i="72"/>
  <c r="N15" i="72"/>
  <c r="A15" i="72"/>
  <c r="A14" i="72"/>
  <c r="I13" i="72"/>
  <c r="E13" i="72"/>
  <c r="A13" i="72"/>
  <c r="A12" i="72"/>
  <c r="A9" i="72"/>
  <c r="A8" i="72"/>
  <c r="A6" i="72"/>
  <c r="A5" i="72"/>
  <c r="I70" i="71"/>
  <c r="G70" i="71"/>
  <c r="J70" i="71"/>
  <c r="C70" i="71"/>
  <c r="I62" i="71"/>
  <c r="I63" i="71"/>
  <c r="I69" i="71"/>
  <c r="G69" i="71"/>
  <c r="J69" i="71"/>
  <c r="C69" i="71"/>
  <c r="I68" i="71"/>
  <c r="G68" i="71"/>
  <c r="J68" i="71"/>
  <c r="C68" i="71"/>
  <c r="I67" i="71"/>
  <c r="G67" i="71"/>
  <c r="J67" i="71"/>
  <c r="C67" i="71"/>
  <c r="J64" i="71"/>
  <c r="C64" i="71"/>
  <c r="C13" i="71"/>
  <c r="C15" i="71"/>
  <c r="C16" i="71"/>
  <c r="C17" i="71"/>
  <c r="C18" i="71"/>
  <c r="C19" i="71"/>
  <c r="C20" i="71"/>
  <c r="C21" i="71"/>
  <c r="C22" i="71"/>
  <c r="C23" i="71"/>
  <c r="C26" i="71"/>
  <c r="C28" i="71"/>
  <c r="C29" i="71"/>
  <c r="C30" i="71"/>
  <c r="C31" i="71"/>
  <c r="C32" i="71"/>
  <c r="C33" i="71"/>
  <c r="C34" i="71"/>
  <c r="C35" i="71"/>
  <c r="C36" i="71"/>
  <c r="C41" i="71"/>
  <c r="C42" i="71"/>
  <c r="C43" i="71"/>
  <c r="C44" i="71"/>
  <c r="C45" i="71"/>
  <c r="C46" i="71"/>
  <c r="C47" i="71"/>
  <c r="C48" i="71"/>
  <c r="C49" i="71"/>
  <c r="C50" i="71"/>
  <c r="C51" i="71"/>
  <c r="C52" i="71"/>
  <c r="C53" i="71"/>
  <c r="C54" i="71"/>
  <c r="C55" i="71"/>
  <c r="C56" i="71"/>
  <c r="C57" i="71"/>
  <c r="C58" i="71"/>
  <c r="C59" i="71"/>
  <c r="C60" i="71"/>
  <c r="C61" i="71"/>
  <c r="C62" i="71"/>
  <c r="C63" i="71"/>
  <c r="A64" i="71"/>
  <c r="J63" i="71"/>
  <c r="A63" i="71"/>
  <c r="J62" i="71"/>
  <c r="A62" i="71"/>
  <c r="J61" i="71"/>
  <c r="A61" i="71"/>
  <c r="J60" i="71"/>
  <c r="A60" i="71"/>
  <c r="J59" i="71"/>
  <c r="A59" i="71"/>
  <c r="J58" i="71"/>
  <c r="A58" i="71"/>
  <c r="J57" i="71"/>
  <c r="A57" i="71"/>
  <c r="J56" i="71"/>
  <c r="A56" i="71"/>
  <c r="J55" i="71"/>
  <c r="A55" i="71"/>
  <c r="J54" i="71"/>
  <c r="A54" i="71"/>
  <c r="J53" i="71"/>
  <c r="A53" i="71"/>
  <c r="J52" i="71"/>
  <c r="A52" i="71"/>
  <c r="J51" i="71"/>
  <c r="A51" i="71"/>
  <c r="J50" i="71"/>
  <c r="A50" i="71"/>
  <c r="J49" i="71"/>
  <c r="A49" i="71"/>
  <c r="J48" i="71"/>
  <c r="A48" i="71"/>
  <c r="J47" i="71"/>
  <c r="A47" i="71"/>
  <c r="J46" i="71"/>
  <c r="A46" i="71"/>
  <c r="J45" i="71"/>
  <c r="A45" i="71"/>
  <c r="J44" i="71"/>
  <c r="A44" i="71"/>
  <c r="J43" i="71"/>
  <c r="A43" i="71"/>
  <c r="J42" i="71"/>
  <c r="A42" i="71"/>
  <c r="I41" i="71"/>
  <c r="J41" i="71"/>
  <c r="A41" i="71"/>
  <c r="J40" i="71"/>
  <c r="I40" i="71"/>
  <c r="G40" i="71"/>
  <c r="A40" i="71"/>
  <c r="I39" i="71"/>
  <c r="G39" i="71"/>
  <c r="A39" i="71"/>
  <c r="A38" i="71"/>
  <c r="D37" i="71"/>
  <c r="I37" i="71"/>
  <c r="J37" i="71"/>
  <c r="K37" i="71"/>
  <c r="E37" i="71"/>
  <c r="F37" i="71"/>
  <c r="G37" i="71"/>
  <c r="M37" i="71"/>
  <c r="N37" i="71"/>
  <c r="A37" i="71"/>
  <c r="D36" i="71"/>
  <c r="I36" i="71"/>
  <c r="J36" i="71"/>
  <c r="K36" i="71"/>
  <c r="E36" i="71"/>
  <c r="F36" i="71"/>
  <c r="G36" i="71"/>
  <c r="M36" i="71"/>
  <c r="N36" i="71"/>
  <c r="A36" i="71"/>
  <c r="D35" i="71"/>
  <c r="I35" i="71"/>
  <c r="J35" i="71"/>
  <c r="K35" i="71"/>
  <c r="E35" i="71"/>
  <c r="F35" i="71"/>
  <c r="G35" i="71"/>
  <c r="M35" i="71"/>
  <c r="N35" i="71"/>
  <c r="A35" i="71"/>
  <c r="D34" i="71"/>
  <c r="I34" i="71"/>
  <c r="J34" i="71"/>
  <c r="K34" i="71"/>
  <c r="E34" i="71"/>
  <c r="F34" i="71"/>
  <c r="G34" i="71"/>
  <c r="M34" i="71"/>
  <c r="N34" i="71"/>
  <c r="A34" i="71"/>
  <c r="D33" i="71"/>
  <c r="I33" i="71"/>
  <c r="J33" i="71"/>
  <c r="K33" i="71"/>
  <c r="E33" i="71"/>
  <c r="F33" i="71"/>
  <c r="G33" i="71"/>
  <c r="M33" i="71"/>
  <c r="N33" i="71"/>
  <c r="A33" i="71"/>
  <c r="D32" i="71"/>
  <c r="I32" i="71"/>
  <c r="J32" i="71"/>
  <c r="K32" i="71"/>
  <c r="E32" i="71"/>
  <c r="F32" i="71"/>
  <c r="G32" i="71"/>
  <c r="M32" i="71"/>
  <c r="N32" i="71"/>
  <c r="A32" i="71"/>
  <c r="D31" i="71"/>
  <c r="I31" i="71"/>
  <c r="J31" i="71"/>
  <c r="K31" i="71"/>
  <c r="E31" i="71"/>
  <c r="F31" i="71"/>
  <c r="G31" i="71"/>
  <c r="M31" i="71"/>
  <c r="N31" i="71"/>
  <c r="A31" i="71"/>
  <c r="D30" i="71"/>
  <c r="I30" i="71"/>
  <c r="J30" i="71"/>
  <c r="K30" i="71"/>
  <c r="E30" i="71"/>
  <c r="F30" i="71"/>
  <c r="G30" i="71"/>
  <c r="M30" i="71"/>
  <c r="N30" i="71"/>
  <c r="A30" i="71"/>
  <c r="D29" i="71"/>
  <c r="I29" i="71"/>
  <c r="J29" i="71"/>
  <c r="K29" i="71"/>
  <c r="E29" i="71"/>
  <c r="F29" i="71"/>
  <c r="G29" i="71"/>
  <c r="M29" i="71"/>
  <c r="N29" i="71"/>
  <c r="A29" i="71"/>
  <c r="D28" i="71"/>
  <c r="I28" i="71"/>
  <c r="J28" i="71"/>
  <c r="K28" i="71"/>
  <c r="E28" i="71"/>
  <c r="F28" i="71"/>
  <c r="G28" i="71"/>
  <c r="M28" i="71"/>
  <c r="N28" i="71"/>
  <c r="A28" i="71"/>
  <c r="A27" i="71"/>
  <c r="I26" i="71"/>
  <c r="E26" i="71"/>
  <c r="D13" i="71"/>
  <c r="D26" i="71"/>
  <c r="A26" i="71"/>
  <c r="A25" i="71"/>
  <c r="D24" i="71"/>
  <c r="I24" i="71"/>
  <c r="J24" i="71"/>
  <c r="K24" i="71"/>
  <c r="E24" i="71"/>
  <c r="F24" i="71"/>
  <c r="G24" i="71"/>
  <c r="M24" i="71"/>
  <c r="N24" i="71"/>
  <c r="A24" i="71"/>
  <c r="D23" i="71"/>
  <c r="I23" i="71"/>
  <c r="J23" i="71"/>
  <c r="K23" i="71"/>
  <c r="E23" i="71"/>
  <c r="F23" i="71"/>
  <c r="G23" i="71"/>
  <c r="M23" i="71"/>
  <c r="N23" i="71"/>
  <c r="A23" i="71"/>
  <c r="D22" i="71"/>
  <c r="I22" i="71"/>
  <c r="J22" i="71"/>
  <c r="K22" i="71"/>
  <c r="E22" i="71"/>
  <c r="F22" i="71"/>
  <c r="G22" i="71"/>
  <c r="M22" i="71"/>
  <c r="N22" i="71"/>
  <c r="A22" i="71"/>
  <c r="D21" i="71"/>
  <c r="I21" i="71"/>
  <c r="J21" i="71"/>
  <c r="K21" i="71"/>
  <c r="E21" i="71"/>
  <c r="F21" i="71"/>
  <c r="G21" i="71"/>
  <c r="M21" i="71"/>
  <c r="N21" i="71"/>
  <c r="A21" i="71"/>
  <c r="D20" i="71"/>
  <c r="I20" i="71"/>
  <c r="J20" i="71"/>
  <c r="K20" i="71"/>
  <c r="E20" i="71"/>
  <c r="F20" i="71"/>
  <c r="G20" i="71"/>
  <c r="M20" i="71"/>
  <c r="N20" i="71"/>
  <c r="A20" i="71"/>
  <c r="D19" i="71"/>
  <c r="I19" i="71"/>
  <c r="J19" i="71"/>
  <c r="K19" i="71"/>
  <c r="E19" i="71"/>
  <c r="F19" i="71"/>
  <c r="G19" i="71"/>
  <c r="M19" i="71"/>
  <c r="N19" i="71"/>
  <c r="A19" i="71"/>
  <c r="D18" i="71"/>
  <c r="I18" i="71"/>
  <c r="J18" i="71"/>
  <c r="K18" i="71"/>
  <c r="E18" i="71"/>
  <c r="F18" i="71"/>
  <c r="G18" i="71"/>
  <c r="M18" i="71"/>
  <c r="N18" i="71"/>
  <c r="A18" i="71"/>
  <c r="D17" i="71"/>
  <c r="I17" i="71"/>
  <c r="J17" i="71"/>
  <c r="K17" i="71"/>
  <c r="E17" i="71"/>
  <c r="F17" i="71"/>
  <c r="G17" i="71"/>
  <c r="M17" i="71"/>
  <c r="N17" i="71"/>
  <c r="A17" i="71"/>
  <c r="D16" i="71"/>
  <c r="I16" i="71"/>
  <c r="J16" i="71"/>
  <c r="K16" i="71"/>
  <c r="E16" i="71"/>
  <c r="F16" i="71"/>
  <c r="G16" i="71"/>
  <c r="M16" i="71"/>
  <c r="N16" i="71"/>
  <c r="A16" i="71"/>
  <c r="D15" i="71"/>
  <c r="I15" i="71"/>
  <c r="J15" i="71"/>
  <c r="K15" i="71"/>
  <c r="E15" i="71"/>
  <c r="F15" i="71"/>
  <c r="G15" i="71"/>
  <c r="M15" i="71"/>
  <c r="N15" i="71"/>
  <c r="A15" i="71"/>
  <c r="A14" i="71"/>
  <c r="I13" i="71"/>
  <c r="E13" i="71"/>
  <c r="A13" i="71"/>
  <c r="A12" i="71"/>
  <c r="A9" i="71"/>
  <c r="A8" i="71"/>
  <c r="A6" i="71"/>
  <c r="A5" i="71"/>
  <c r="A4" i="71"/>
  <c r="I70" i="70"/>
  <c r="G70" i="70"/>
  <c r="J70" i="70"/>
  <c r="C70" i="70"/>
  <c r="I62" i="70"/>
  <c r="I63" i="70"/>
  <c r="I69" i="70"/>
  <c r="G69" i="70"/>
  <c r="J69" i="70"/>
  <c r="C69" i="70"/>
  <c r="I68" i="70"/>
  <c r="G68" i="70"/>
  <c r="J68" i="70"/>
  <c r="C68" i="70"/>
  <c r="I67" i="70"/>
  <c r="G67" i="70"/>
  <c r="J67" i="70"/>
  <c r="C67" i="70"/>
  <c r="J64" i="70"/>
  <c r="C64" i="70"/>
  <c r="C13" i="70"/>
  <c r="C15" i="70"/>
  <c r="C16" i="70"/>
  <c r="C17" i="70"/>
  <c r="C18" i="70"/>
  <c r="C19" i="70"/>
  <c r="C20" i="70"/>
  <c r="C21" i="70"/>
  <c r="C22" i="70"/>
  <c r="C23" i="70"/>
  <c r="C26" i="70"/>
  <c r="C28" i="70"/>
  <c r="C29" i="70"/>
  <c r="C30" i="70"/>
  <c r="C31" i="70"/>
  <c r="C32" i="70"/>
  <c r="C33" i="70"/>
  <c r="C34" i="70"/>
  <c r="C35" i="70"/>
  <c r="C36" i="70"/>
  <c r="C41" i="70"/>
  <c r="C42" i="70"/>
  <c r="C43" i="70"/>
  <c r="C44" i="70"/>
  <c r="C45" i="70"/>
  <c r="C46" i="70"/>
  <c r="C47" i="70"/>
  <c r="C48" i="70"/>
  <c r="C49" i="70"/>
  <c r="C50" i="70"/>
  <c r="C51" i="70"/>
  <c r="C52" i="70"/>
  <c r="C53" i="70"/>
  <c r="C54" i="70"/>
  <c r="C55" i="70"/>
  <c r="C56" i="70"/>
  <c r="C57" i="70"/>
  <c r="C58" i="70"/>
  <c r="C59" i="70"/>
  <c r="C60" i="70"/>
  <c r="C61" i="70"/>
  <c r="C62" i="70"/>
  <c r="C63" i="70"/>
  <c r="A64" i="70"/>
  <c r="J63" i="70"/>
  <c r="A63" i="70"/>
  <c r="J62" i="70"/>
  <c r="A62" i="70"/>
  <c r="J61" i="70"/>
  <c r="A61" i="70"/>
  <c r="J60" i="70"/>
  <c r="A60" i="70"/>
  <c r="J59" i="70"/>
  <c r="A59" i="70"/>
  <c r="J58" i="70"/>
  <c r="A58" i="70"/>
  <c r="J57" i="70"/>
  <c r="A57" i="70"/>
  <c r="J56" i="70"/>
  <c r="A56" i="70"/>
  <c r="J55" i="70"/>
  <c r="A55" i="70"/>
  <c r="J54" i="70"/>
  <c r="A54" i="70"/>
  <c r="J53" i="70"/>
  <c r="A53" i="70"/>
  <c r="J52" i="70"/>
  <c r="A52" i="70"/>
  <c r="J51" i="70"/>
  <c r="A51" i="70"/>
  <c r="J50" i="70"/>
  <c r="A50" i="70"/>
  <c r="J49" i="70"/>
  <c r="A49" i="70"/>
  <c r="J48" i="70"/>
  <c r="A48" i="70"/>
  <c r="J47" i="70"/>
  <c r="A47" i="70"/>
  <c r="J46" i="70"/>
  <c r="A46" i="70"/>
  <c r="J45" i="70"/>
  <c r="A45" i="70"/>
  <c r="J44" i="70"/>
  <c r="A44" i="70"/>
  <c r="J43" i="70"/>
  <c r="A43" i="70"/>
  <c r="J42" i="70"/>
  <c r="A42" i="70"/>
  <c r="I41" i="70"/>
  <c r="J41" i="70"/>
  <c r="A41" i="70"/>
  <c r="J40" i="70"/>
  <c r="I40" i="70"/>
  <c r="G40" i="70"/>
  <c r="A40" i="70"/>
  <c r="I39" i="70"/>
  <c r="G39" i="70"/>
  <c r="A39" i="70"/>
  <c r="A38" i="70"/>
  <c r="D37" i="70"/>
  <c r="I37" i="70"/>
  <c r="J37" i="70"/>
  <c r="K37" i="70"/>
  <c r="E37" i="70"/>
  <c r="F37" i="70"/>
  <c r="G37" i="70"/>
  <c r="M37" i="70"/>
  <c r="N37" i="70"/>
  <c r="A37" i="70"/>
  <c r="D36" i="70"/>
  <c r="I36" i="70"/>
  <c r="J36" i="70"/>
  <c r="K36" i="70"/>
  <c r="E36" i="70"/>
  <c r="F36" i="70"/>
  <c r="G36" i="70"/>
  <c r="M36" i="70"/>
  <c r="N36" i="70"/>
  <c r="A36" i="70"/>
  <c r="D35" i="70"/>
  <c r="I35" i="70"/>
  <c r="J35" i="70"/>
  <c r="K35" i="70"/>
  <c r="E35" i="70"/>
  <c r="F35" i="70"/>
  <c r="G35" i="70"/>
  <c r="M35" i="70"/>
  <c r="N35" i="70"/>
  <c r="A35" i="70"/>
  <c r="D34" i="70"/>
  <c r="I34" i="70"/>
  <c r="J34" i="70"/>
  <c r="K34" i="70"/>
  <c r="E34" i="70"/>
  <c r="F34" i="70"/>
  <c r="G34" i="70"/>
  <c r="M34" i="70"/>
  <c r="N34" i="70"/>
  <c r="A34" i="70"/>
  <c r="D33" i="70"/>
  <c r="I33" i="70"/>
  <c r="J33" i="70"/>
  <c r="K33" i="70"/>
  <c r="E33" i="70"/>
  <c r="F33" i="70"/>
  <c r="G33" i="70"/>
  <c r="M33" i="70"/>
  <c r="N33" i="70"/>
  <c r="A33" i="70"/>
  <c r="D32" i="70"/>
  <c r="I32" i="70"/>
  <c r="J32" i="70"/>
  <c r="K32" i="70"/>
  <c r="E32" i="70"/>
  <c r="F32" i="70"/>
  <c r="G32" i="70"/>
  <c r="M32" i="70"/>
  <c r="N32" i="70"/>
  <c r="A32" i="70"/>
  <c r="D31" i="70"/>
  <c r="I31" i="70"/>
  <c r="J31" i="70"/>
  <c r="K31" i="70"/>
  <c r="E31" i="70"/>
  <c r="F31" i="70"/>
  <c r="G31" i="70"/>
  <c r="M31" i="70"/>
  <c r="N31" i="70"/>
  <c r="A31" i="70"/>
  <c r="D30" i="70"/>
  <c r="I30" i="70"/>
  <c r="J30" i="70"/>
  <c r="K30" i="70"/>
  <c r="E30" i="70"/>
  <c r="F30" i="70"/>
  <c r="G30" i="70"/>
  <c r="M30" i="70"/>
  <c r="N30" i="70"/>
  <c r="A30" i="70"/>
  <c r="D29" i="70"/>
  <c r="I29" i="70"/>
  <c r="J29" i="70"/>
  <c r="K29" i="70"/>
  <c r="E29" i="70"/>
  <c r="F29" i="70"/>
  <c r="G29" i="70"/>
  <c r="M29" i="70"/>
  <c r="N29" i="70"/>
  <c r="A29" i="70"/>
  <c r="D28" i="70"/>
  <c r="I28" i="70"/>
  <c r="J28" i="70"/>
  <c r="K28" i="70"/>
  <c r="E28" i="70"/>
  <c r="F28" i="70"/>
  <c r="G28" i="70"/>
  <c r="M28" i="70"/>
  <c r="N28" i="70"/>
  <c r="A28" i="70"/>
  <c r="A27" i="70"/>
  <c r="I26" i="70"/>
  <c r="E26" i="70"/>
  <c r="D13" i="70"/>
  <c r="D26" i="70"/>
  <c r="A26" i="70"/>
  <c r="A25" i="70"/>
  <c r="D24" i="70"/>
  <c r="I24" i="70"/>
  <c r="J24" i="70"/>
  <c r="K24" i="70"/>
  <c r="E24" i="70"/>
  <c r="F24" i="70"/>
  <c r="G24" i="70"/>
  <c r="M24" i="70"/>
  <c r="N24" i="70"/>
  <c r="A24" i="70"/>
  <c r="D23" i="70"/>
  <c r="I23" i="70"/>
  <c r="J23" i="70"/>
  <c r="K23" i="70"/>
  <c r="E23" i="70"/>
  <c r="F23" i="70"/>
  <c r="G23" i="70"/>
  <c r="M23" i="70"/>
  <c r="N23" i="70"/>
  <c r="A23" i="70"/>
  <c r="D22" i="70"/>
  <c r="I22" i="70"/>
  <c r="J22" i="70"/>
  <c r="K22" i="70"/>
  <c r="E22" i="70"/>
  <c r="F22" i="70"/>
  <c r="G22" i="70"/>
  <c r="M22" i="70"/>
  <c r="N22" i="70"/>
  <c r="A22" i="70"/>
  <c r="D21" i="70"/>
  <c r="I21" i="70"/>
  <c r="J21" i="70"/>
  <c r="K21" i="70"/>
  <c r="E21" i="70"/>
  <c r="F21" i="70"/>
  <c r="G21" i="70"/>
  <c r="M21" i="70"/>
  <c r="N21" i="70"/>
  <c r="A21" i="70"/>
  <c r="D20" i="70"/>
  <c r="I20" i="70"/>
  <c r="J20" i="70"/>
  <c r="K20" i="70"/>
  <c r="E20" i="70"/>
  <c r="F20" i="70"/>
  <c r="G20" i="70"/>
  <c r="M20" i="70"/>
  <c r="N20" i="70"/>
  <c r="A20" i="70"/>
  <c r="D19" i="70"/>
  <c r="I19" i="70"/>
  <c r="J19" i="70"/>
  <c r="K19" i="70"/>
  <c r="E19" i="70"/>
  <c r="F19" i="70"/>
  <c r="G19" i="70"/>
  <c r="M19" i="70"/>
  <c r="N19" i="70"/>
  <c r="A19" i="70"/>
  <c r="D18" i="70"/>
  <c r="I18" i="70"/>
  <c r="J18" i="70"/>
  <c r="K18" i="70"/>
  <c r="E18" i="70"/>
  <c r="F18" i="70"/>
  <c r="G18" i="70"/>
  <c r="M18" i="70"/>
  <c r="N18" i="70"/>
  <c r="A18" i="70"/>
  <c r="D17" i="70"/>
  <c r="I17" i="70"/>
  <c r="J17" i="70"/>
  <c r="K17" i="70"/>
  <c r="E17" i="70"/>
  <c r="F17" i="70"/>
  <c r="G17" i="70"/>
  <c r="M17" i="70"/>
  <c r="N17" i="70"/>
  <c r="A17" i="70"/>
  <c r="D16" i="70"/>
  <c r="I16" i="70"/>
  <c r="J16" i="70"/>
  <c r="K16" i="70"/>
  <c r="E16" i="70"/>
  <c r="F16" i="70"/>
  <c r="G16" i="70"/>
  <c r="M16" i="70"/>
  <c r="N16" i="70"/>
  <c r="A16" i="70"/>
  <c r="D15" i="70"/>
  <c r="I15" i="70"/>
  <c r="J15" i="70"/>
  <c r="K15" i="70"/>
  <c r="E15" i="70"/>
  <c r="F15" i="70"/>
  <c r="G15" i="70"/>
  <c r="M15" i="70"/>
  <c r="N15" i="70"/>
  <c r="A15" i="70"/>
  <c r="A14" i="70"/>
  <c r="I13" i="70"/>
  <c r="E13" i="70"/>
  <c r="A13" i="70"/>
  <c r="A12" i="70"/>
  <c r="A8" i="70"/>
  <c r="A6" i="70"/>
  <c r="A5" i="70"/>
  <c r="I70" i="69"/>
  <c r="G70" i="69"/>
  <c r="J70" i="69"/>
  <c r="C70" i="69"/>
  <c r="I62" i="69"/>
  <c r="I63" i="69"/>
  <c r="I69" i="69"/>
  <c r="G69" i="69"/>
  <c r="J69" i="69"/>
  <c r="C69" i="69"/>
  <c r="I68" i="69"/>
  <c r="G68" i="69"/>
  <c r="J68" i="69"/>
  <c r="C68" i="69"/>
  <c r="I67" i="69"/>
  <c r="G67" i="69"/>
  <c r="J67" i="69"/>
  <c r="C67" i="69"/>
  <c r="J64" i="69"/>
  <c r="C64" i="69"/>
  <c r="C13" i="69"/>
  <c r="C15" i="69"/>
  <c r="C16" i="69"/>
  <c r="C17" i="69"/>
  <c r="C18" i="69"/>
  <c r="C19" i="69"/>
  <c r="C20" i="69"/>
  <c r="C21" i="69"/>
  <c r="C22" i="69"/>
  <c r="C23" i="69"/>
  <c r="C26" i="69"/>
  <c r="C28" i="69"/>
  <c r="C29" i="69"/>
  <c r="C30" i="69"/>
  <c r="C31" i="69"/>
  <c r="C32" i="69"/>
  <c r="C33" i="69"/>
  <c r="C34" i="69"/>
  <c r="C35" i="69"/>
  <c r="C36" i="69"/>
  <c r="C41" i="69"/>
  <c r="C42" i="69"/>
  <c r="C43" i="69"/>
  <c r="C44" i="69"/>
  <c r="C45" i="69"/>
  <c r="C46" i="69"/>
  <c r="C47" i="69"/>
  <c r="C48" i="69"/>
  <c r="C49" i="69"/>
  <c r="C50" i="69"/>
  <c r="C51" i="69"/>
  <c r="C52" i="69"/>
  <c r="C53" i="69"/>
  <c r="C54" i="69"/>
  <c r="C55" i="69"/>
  <c r="C56" i="69"/>
  <c r="C57" i="69"/>
  <c r="C58" i="69"/>
  <c r="C59" i="69"/>
  <c r="C60" i="69"/>
  <c r="C61" i="69"/>
  <c r="C62" i="69"/>
  <c r="C63" i="69"/>
  <c r="A64" i="69"/>
  <c r="J63" i="69"/>
  <c r="A63" i="69"/>
  <c r="J62" i="69"/>
  <c r="A62" i="69"/>
  <c r="J61" i="69"/>
  <c r="A61" i="69"/>
  <c r="J60" i="69"/>
  <c r="A60" i="69"/>
  <c r="J59" i="69"/>
  <c r="A59" i="69"/>
  <c r="J58" i="69"/>
  <c r="A58" i="69"/>
  <c r="J57" i="69"/>
  <c r="A57" i="69"/>
  <c r="J56" i="69"/>
  <c r="A56" i="69"/>
  <c r="J55" i="69"/>
  <c r="A55" i="69"/>
  <c r="J54" i="69"/>
  <c r="A54" i="69"/>
  <c r="J53" i="69"/>
  <c r="A53" i="69"/>
  <c r="J52" i="69"/>
  <c r="A52" i="69"/>
  <c r="J51" i="69"/>
  <c r="A51" i="69"/>
  <c r="J50" i="69"/>
  <c r="A50" i="69"/>
  <c r="J49" i="69"/>
  <c r="A49" i="69"/>
  <c r="J48" i="69"/>
  <c r="A48" i="69"/>
  <c r="J47" i="69"/>
  <c r="A47" i="69"/>
  <c r="J46" i="69"/>
  <c r="A46" i="69"/>
  <c r="J45" i="69"/>
  <c r="A45" i="69"/>
  <c r="J44" i="69"/>
  <c r="A44" i="69"/>
  <c r="J43" i="69"/>
  <c r="A43" i="69"/>
  <c r="J42" i="69"/>
  <c r="A42" i="69"/>
  <c r="I41" i="69"/>
  <c r="J41" i="69"/>
  <c r="A41" i="69"/>
  <c r="J40" i="69"/>
  <c r="I40" i="69"/>
  <c r="G40" i="69"/>
  <c r="A40" i="69"/>
  <c r="I39" i="69"/>
  <c r="G39" i="69"/>
  <c r="A39" i="69"/>
  <c r="A38" i="69"/>
  <c r="D37" i="69"/>
  <c r="I37" i="69"/>
  <c r="J37" i="69"/>
  <c r="K37" i="69"/>
  <c r="E37" i="69"/>
  <c r="F37" i="69"/>
  <c r="G37" i="69"/>
  <c r="M37" i="69"/>
  <c r="N37" i="69"/>
  <c r="A37" i="69"/>
  <c r="D36" i="69"/>
  <c r="I36" i="69"/>
  <c r="J36" i="69"/>
  <c r="K36" i="69"/>
  <c r="E36" i="69"/>
  <c r="F36" i="69"/>
  <c r="G36" i="69"/>
  <c r="M36" i="69"/>
  <c r="N36" i="69"/>
  <c r="A36" i="69"/>
  <c r="D35" i="69"/>
  <c r="I35" i="69"/>
  <c r="J35" i="69"/>
  <c r="K35" i="69"/>
  <c r="E35" i="69"/>
  <c r="F35" i="69"/>
  <c r="G35" i="69"/>
  <c r="M35" i="69"/>
  <c r="N35" i="69"/>
  <c r="A35" i="69"/>
  <c r="D34" i="69"/>
  <c r="I34" i="69"/>
  <c r="J34" i="69"/>
  <c r="K34" i="69"/>
  <c r="E34" i="69"/>
  <c r="F34" i="69"/>
  <c r="G34" i="69"/>
  <c r="M34" i="69"/>
  <c r="N34" i="69"/>
  <c r="A34" i="69"/>
  <c r="D33" i="69"/>
  <c r="I33" i="69"/>
  <c r="J33" i="69"/>
  <c r="K33" i="69"/>
  <c r="E33" i="69"/>
  <c r="F33" i="69"/>
  <c r="G33" i="69"/>
  <c r="M33" i="69"/>
  <c r="N33" i="69"/>
  <c r="A33" i="69"/>
  <c r="D32" i="69"/>
  <c r="I32" i="69"/>
  <c r="J32" i="69"/>
  <c r="K32" i="69"/>
  <c r="E32" i="69"/>
  <c r="F32" i="69"/>
  <c r="G32" i="69"/>
  <c r="M32" i="69"/>
  <c r="N32" i="69"/>
  <c r="A32" i="69"/>
  <c r="D31" i="69"/>
  <c r="I31" i="69"/>
  <c r="J31" i="69"/>
  <c r="K31" i="69"/>
  <c r="E31" i="69"/>
  <c r="F31" i="69"/>
  <c r="G31" i="69"/>
  <c r="M31" i="69"/>
  <c r="N31" i="69"/>
  <c r="A31" i="69"/>
  <c r="D30" i="69"/>
  <c r="I30" i="69"/>
  <c r="J30" i="69"/>
  <c r="K30" i="69"/>
  <c r="E30" i="69"/>
  <c r="F30" i="69"/>
  <c r="G30" i="69"/>
  <c r="M30" i="69"/>
  <c r="N30" i="69"/>
  <c r="A30" i="69"/>
  <c r="D29" i="69"/>
  <c r="I29" i="69"/>
  <c r="J29" i="69"/>
  <c r="K29" i="69"/>
  <c r="E29" i="69"/>
  <c r="F29" i="69"/>
  <c r="G29" i="69"/>
  <c r="M29" i="69"/>
  <c r="N29" i="69"/>
  <c r="A29" i="69"/>
  <c r="D28" i="69"/>
  <c r="I28" i="69"/>
  <c r="J28" i="69"/>
  <c r="K28" i="69"/>
  <c r="E28" i="69"/>
  <c r="F28" i="69"/>
  <c r="G28" i="69"/>
  <c r="M28" i="69"/>
  <c r="N28" i="69"/>
  <c r="A28" i="69"/>
  <c r="A27" i="69"/>
  <c r="I26" i="69"/>
  <c r="E26" i="69"/>
  <c r="D13" i="69"/>
  <c r="D26" i="69"/>
  <c r="A26" i="69"/>
  <c r="A25" i="69"/>
  <c r="D24" i="69"/>
  <c r="I24" i="69"/>
  <c r="J24" i="69"/>
  <c r="K24" i="69"/>
  <c r="E24" i="69"/>
  <c r="F24" i="69"/>
  <c r="G24" i="69"/>
  <c r="M24" i="69"/>
  <c r="N24" i="69"/>
  <c r="A24" i="69"/>
  <c r="D23" i="69"/>
  <c r="I23" i="69"/>
  <c r="J23" i="69"/>
  <c r="K23" i="69"/>
  <c r="E23" i="69"/>
  <c r="F23" i="69"/>
  <c r="G23" i="69"/>
  <c r="M23" i="69"/>
  <c r="N23" i="69"/>
  <c r="A23" i="69"/>
  <c r="D22" i="69"/>
  <c r="I22" i="69"/>
  <c r="J22" i="69"/>
  <c r="K22" i="69"/>
  <c r="E22" i="69"/>
  <c r="F22" i="69"/>
  <c r="G22" i="69"/>
  <c r="M22" i="69"/>
  <c r="N22" i="69"/>
  <c r="A22" i="69"/>
  <c r="D21" i="69"/>
  <c r="I21" i="69"/>
  <c r="J21" i="69"/>
  <c r="K21" i="69"/>
  <c r="E21" i="69"/>
  <c r="F21" i="69"/>
  <c r="G21" i="69"/>
  <c r="M21" i="69"/>
  <c r="N21" i="69"/>
  <c r="A21" i="69"/>
  <c r="D20" i="69"/>
  <c r="I20" i="69"/>
  <c r="J20" i="69"/>
  <c r="K20" i="69"/>
  <c r="E20" i="69"/>
  <c r="F20" i="69"/>
  <c r="G20" i="69"/>
  <c r="M20" i="69"/>
  <c r="N20" i="69"/>
  <c r="A20" i="69"/>
  <c r="D19" i="69"/>
  <c r="I19" i="69"/>
  <c r="J19" i="69"/>
  <c r="K19" i="69"/>
  <c r="E19" i="69"/>
  <c r="F19" i="69"/>
  <c r="G19" i="69"/>
  <c r="M19" i="69"/>
  <c r="N19" i="69"/>
  <c r="A19" i="69"/>
  <c r="D18" i="69"/>
  <c r="I18" i="69"/>
  <c r="J18" i="69"/>
  <c r="K18" i="69"/>
  <c r="E18" i="69"/>
  <c r="F18" i="69"/>
  <c r="G18" i="69"/>
  <c r="M18" i="69"/>
  <c r="N18" i="69"/>
  <c r="A18" i="69"/>
  <c r="D17" i="69"/>
  <c r="I17" i="69"/>
  <c r="J17" i="69"/>
  <c r="K17" i="69"/>
  <c r="E17" i="69"/>
  <c r="F17" i="69"/>
  <c r="G17" i="69"/>
  <c r="M17" i="69"/>
  <c r="N17" i="69"/>
  <c r="A17" i="69"/>
  <c r="D16" i="69"/>
  <c r="I16" i="69"/>
  <c r="J16" i="69"/>
  <c r="K16" i="69"/>
  <c r="E16" i="69"/>
  <c r="F16" i="69"/>
  <c r="G16" i="69"/>
  <c r="M16" i="69"/>
  <c r="N16" i="69"/>
  <c r="A16" i="69"/>
  <c r="D15" i="69"/>
  <c r="I15" i="69"/>
  <c r="J15" i="69"/>
  <c r="K15" i="69"/>
  <c r="E15" i="69"/>
  <c r="F15" i="69"/>
  <c r="G15" i="69"/>
  <c r="M15" i="69"/>
  <c r="N15" i="69"/>
  <c r="A15" i="69"/>
  <c r="A14" i="69"/>
  <c r="I13" i="69"/>
  <c r="E13" i="69"/>
  <c r="A13" i="69"/>
  <c r="A12" i="69"/>
  <c r="A9" i="69"/>
  <c r="A8" i="69"/>
  <c r="A6" i="69"/>
  <c r="A5" i="69"/>
  <c r="I70" i="68"/>
  <c r="G70" i="68"/>
  <c r="J70" i="68"/>
  <c r="C70" i="68"/>
  <c r="I62" i="68"/>
  <c r="I63" i="68"/>
  <c r="I69" i="68"/>
  <c r="G69" i="68"/>
  <c r="J69" i="68"/>
  <c r="C69" i="68"/>
  <c r="I68" i="68"/>
  <c r="G68" i="68"/>
  <c r="J68" i="68"/>
  <c r="C68" i="68"/>
  <c r="I67" i="68"/>
  <c r="G67" i="68"/>
  <c r="J67" i="68"/>
  <c r="C67" i="68"/>
  <c r="J64" i="68"/>
  <c r="C64" i="68"/>
  <c r="C13" i="68"/>
  <c r="C15" i="68"/>
  <c r="C16" i="68"/>
  <c r="C17" i="68"/>
  <c r="C18" i="68"/>
  <c r="C19" i="68"/>
  <c r="C20" i="68"/>
  <c r="C21" i="68"/>
  <c r="C22" i="68"/>
  <c r="C23" i="68"/>
  <c r="C26" i="68"/>
  <c r="C28" i="68"/>
  <c r="C29" i="68"/>
  <c r="C30" i="68"/>
  <c r="C31" i="68"/>
  <c r="C32" i="68"/>
  <c r="C33" i="68"/>
  <c r="C34" i="68"/>
  <c r="C35" i="68"/>
  <c r="C36" i="68"/>
  <c r="C41" i="68"/>
  <c r="C42" i="68"/>
  <c r="C43" i="68"/>
  <c r="C44" i="68"/>
  <c r="C45" i="68"/>
  <c r="C46" i="68"/>
  <c r="C47" i="68"/>
  <c r="C48" i="68"/>
  <c r="C49" i="68"/>
  <c r="C50" i="68"/>
  <c r="C51" i="68"/>
  <c r="C52" i="68"/>
  <c r="C53" i="68"/>
  <c r="C54" i="68"/>
  <c r="C55" i="68"/>
  <c r="C56" i="68"/>
  <c r="C57" i="68"/>
  <c r="C58" i="68"/>
  <c r="C59" i="68"/>
  <c r="C60" i="68"/>
  <c r="C61" i="68"/>
  <c r="C62" i="68"/>
  <c r="C63" i="68"/>
  <c r="A64" i="68"/>
  <c r="J63" i="68"/>
  <c r="A63" i="68"/>
  <c r="J62" i="68"/>
  <c r="A62" i="68"/>
  <c r="J61" i="68"/>
  <c r="A61" i="68"/>
  <c r="J60" i="68"/>
  <c r="A60" i="68"/>
  <c r="J59" i="68"/>
  <c r="A59" i="68"/>
  <c r="J58" i="68"/>
  <c r="A58" i="68"/>
  <c r="J57" i="68"/>
  <c r="A57" i="68"/>
  <c r="J56" i="68"/>
  <c r="A56" i="68"/>
  <c r="J55" i="68"/>
  <c r="A55" i="68"/>
  <c r="J54" i="68"/>
  <c r="A54" i="68"/>
  <c r="J53" i="68"/>
  <c r="A53" i="68"/>
  <c r="J52" i="68"/>
  <c r="A52" i="68"/>
  <c r="J51" i="68"/>
  <c r="A51" i="68"/>
  <c r="J50" i="68"/>
  <c r="A50" i="68"/>
  <c r="J49" i="68"/>
  <c r="A49" i="68"/>
  <c r="J48" i="68"/>
  <c r="A48" i="68"/>
  <c r="J47" i="68"/>
  <c r="A47" i="68"/>
  <c r="J46" i="68"/>
  <c r="A46" i="68"/>
  <c r="J45" i="68"/>
  <c r="A45" i="68"/>
  <c r="J44" i="68"/>
  <c r="A44" i="68"/>
  <c r="J43" i="68"/>
  <c r="A43" i="68"/>
  <c r="J42" i="68"/>
  <c r="A42" i="68"/>
  <c r="I41" i="68"/>
  <c r="J41" i="68"/>
  <c r="A41" i="68"/>
  <c r="J40" i="68"/>
  <c r="I40" i="68"/>
  <c r="G40" i="68"/>
  <c r="A40" i="68"/>
  <c r="I39" i="68"/>
  <c r="G39" i="68"/>
  <c r="A39" i="68"/>
  <c r="A38" i="68"/>
  <c r="D37" i="68"/>
  <c r="I37" i="68"/>
  <c r="J37" i="68"/>
  <c r="K37" i="68"/>
  <c r="E37" i="68"/>
  <c r="F37" i="68"/>
  <c r="G37" i="68"/>
  <c r="M37" i="68"/>
  <c r="N37" i="68"/>
  <c r="A37" i="68"/>
  <c r="D36" i="68"/>
  <c r="I36" i="68"/>
  <c r="J36" i="68"/>
  <c r="K36" i="68"/>
  <c r="E36" i="68"/>
  <c r="F36" i="68"/>
  <c r="G36" i="68"/>
  <c r="M36" i="68"/>
  <c r="N36" i="68"/>
  <c r="A36" i="68"/>
  <c r="D35" i="68"/>
  <c r="I35" i="68"/>
  <c r="J35" i="68"/>
  <c r="K35" i="68"/>
  <c r="E35" i="68"/>
  <c r="F35" i="68"/>
  <c r="G35" i="68"/>
  <c r="M35" i="68"/>
  <c r="N35" i="68"/>
  <c r="A35" i="68"/>
  <c r="D34" i="68"/>
  <c r="I34" i="68"/>
  <c r="J34" i="68"/>
  <c r="K34" i="68"/>
  <c r="E34" i="68"/>
  <c r="F34" i="68"/>
  <c r="G34" i="68"/>
  <c r="M34" i="68"/>
  <c r="N34" i="68"/>
  <c r="A34" i="68"/>
  <c r="D33" i="68"/>
  <c r="I33" i="68"/>
  <c r="J33" i="68"/>
  <c r="K33" i="68"/>
  <c r="E33" i="68"/>
  <c r="F33" i="68"/>
  <c r="G33" i="68"/>
  <c r="M33" i="68"/>
  <c r="N33" i="68"/>
  <c r="A33" i="68"/>
  <c r="D32" i="68"/>
  <c r="I32" i="68"/>
  <c r="J32" i="68"/>
  <c r="K32" i="68"/>
  <c r="E32" i="68"/>
  <c r="F32" i="68"/>
  <c r="G32" i="68"/>
  <c r="M32" i="68"/>
  <c r="N32" i="68"/>
  <c r="A32" i="68"/>
  <c r="D31" i="68"/>
  <c r="I31" i="68"/>
  <c r="J31" i="68"/>
  <c r="K31" i="68"/>
  <c r="E31" i="68"/>
  <c r="F31" i="68"/>
  <c r="G31" i="68"/>
  <c r="M31" i="68"/>
  <c r="N31" i="68"/>
  <c r="A31" i="68"/>
  <c r="D30" i="68"/>
  <c r="I30" i="68"/>
  <c r="J30" i="68"/>
  <c r="K30" i="68"/>
  <c r="E30" i="68"/>
  <c r="F30" i="68"/>
  <c r="G30" i="68"/>
  <c r="M30" i="68"/>
  <c r="N30" i="68"/>
  <c r="A30" i="68"/>
  <c r="D29" i="68"/>
  <c r="I29" i="68"/>
  <c r="J29" i="68"/>
  <c r="K29" i="68"/>
  <c r="E29" i="68"/>
  <c r="F29" i="68"/>
  <c r="G29" i="68"/>
  <c r="M29" i="68"/>
  <c r="N29" i="68"/>
  <c r="A29" i="68"/>
  <c r="D28" i="68"/>
  <c r="I28" i="68"/>
  <c r="J28" i="68"/>
  <c r="K28" i="68"/>
  <c r="E28" i="68"/>
  <c r="F28" i="68"/>
  <c r="G28" i="68"/>
  <c r="M28" i="68"/>
  <c r="N28" i="68"/>
  <c r="A28" i="68"/>
  <c r="A27" i="68"/>
  <c r="I26" i="68"/>
  <c r="E26" i="68"/>
  <c r="D13" i="68"/>
  <c r="D26" i="68"/>
  <c r="A26" i="68"/>
  <c r="A25" i="68"/>
  <c r="D24" i="68"/>
  <c r="I24" i="68"/>
  <c r="J24" i="68"/>
  <c r="K24" i="68"/>
  <c r="E24" i="68"/>
  <c r="F24" i="68"/>
  <c r="G24" i="68"/>
  <c r="M24" i="68"/>
  <c r="N24" i="68"/>
  <c r="A24" i="68"/>
  <c r="D23" i="68"/>
  <c r="I23" i="68"/>
  <c r="J23" i="68"/>
  <c r="K23" i="68"/>
  <c r="E23" i="68"/>
  <c r="F23" i="68"/>
  <c r="G23" i="68"/>
  <c r="M23" i="68"/>
  <c r="N23" i="68"/>
  <c r="A23" i="68"/>
  <c r="D22" i="68"/>
  <c r="I22" i="68"/>
  <c r="J22" i="68"/>
  <c r="K22" i="68"/>
  <c r="E22" i="68"/>
  <c r="F22" i="68"/>
  <c r="G22" i="68"/>
  <c r="M22" i="68"/>
  <c r="N22" i="68"/>
  <c r="A22" i="68"/>
  <c r="D21" i="68"/>
  <c r="I21" i="68"/>
  <c r="J21" i="68"/>
  <c r="K21" i="68"/>
  <c r="E21" i="68"/>
  <c r="F21" i="68"/>
  <c r="G21" i="68"/>
  <c r="M21" i="68"/>
  <c r="N21" i="68"/>
  <c r="A21" i="68"/>
  <c r="D20" i="68"/>
  <c r="I20" i="68"/>
  <c r="J20" i="68"/>
  <c r="K20" i="68"/>
  <c r="E20" i="68"/>
  <c r="F20" i="68"/>
  <c r="G20" i="68"/>
  <c r="M20" i="68"/>
  <c r="N20" i="68"/>
  <c r="A20" i="68"/>
  <c r="D19" i="68"/>
  <c r="I19" i="68"/>
  <c r="J19" i="68"/>
  <c r="K19" i="68"/>
  <c r="E19" i="68"/>
  <c r="F19" i="68"/>
  <c r="G19" i="68"/>
  <c r="M19" i="68"/>
  <c r="N19" i="68"/>
  <c r="A19" i="68"/>
  <c r="D18" i="68"/>
  <c r="I18" i="68"/>
  <c r="J18" i="68"/>
  <c r="K18" i="68"/>
  <c r="E18" i="68"/>
  <c r="F18" i="68"/>
  <c r="G18" i="68"/>
  <c r="M18" i="68"/>
  <c r="N18" i="68"/>
  <c r="A18" i="68"/>
  <c r="D17" i="68"/>
  <c r="I17" i="68"/>
  <c r="J17" i="68"/>
  <c r="K17" i="68"/>
  <c r="E17" i="68"/>
  <c r="F17" i="68"/>
  <c r="G17" i="68"/>
  <c r="M17" i="68"/>
  <c r="N17" i="68"/>
  <c r="A17" i="68"/>
  <c r="D16" i="68"/>
  <c r="I16" i="68"/>
  <c r="J16" i="68"/>
  <c r="K16" i="68"/>
  <c r="E16" i="68"/>
  <c r="F16" i="68"/>
  <c r="G16" i="68"/>
  <c r="M16" i="68"/>
  <c r="N16" i="68"/>
  <c r="A16" i="68"/>
  <c r="D15" i="68"/>
  <c r="I15" i="68"/>
  <c r="J15" i="68"/>
  <c r="K15" i="68"/>
  <c r="E15" i="68"/>
  <c r="F15" i="68"/>
  <c r="G15" i="68"/>
  <c r="M15" i="68"/>
  <c r="N15" i="68"/>
  <c r="A15" i="68"/>
  <c r="A14" i="68"/>
  <c r="I13" i="68"/>
  <c r="E13" i="68"/>
  <c r="A13" i="68"/>
  <c r="A12" i="68"/>
  <c r="A9" i="68"/>
  <c r="A8" i="68"/>
  <c r="A6" i="68"/>
  <c r="A5" i="68"/>
  <c r="I70" i="67"/>
  <c r="G70" i="67"/>
  <c r="J70" i="67"/>
  <c r="I62" i="67"/>
  <c r="I63" i="67"/>
  <c r="I69" i="67"/>
  <c r="G69" i="67"/>
  <c r="J69" i="67"/>
  <c r="I68" i="67"/>
  <c r="G68" i="67"/>
  <c r="J68" i="67"/>
  <c r="I67" i="67"/>
  <c r="G67" i="67"/>
  <c r="J67" i="67"/>
  <c r="J64" i="67"/>
  <c r="C13" i="67"/>
  <c r="C27" i="67"/>
  <c r="A64" i="67"/>
  <c r="J63" i="67"/>
  <c r="A63" i="67"/>
  <c r="J62" i="67"/>
  <c r="A62" i="67"/>
  <c r="J61" i="67"/>
  <c r="A61" i="67"/>
  <c r="J60" i="67"/>
  <c r="A60" i="67"/>
  <c r="J59" i="67"/>
  <c r="A59" i="67"/>
  <c r="J58" i="67"/>
  <c r="A58" i="67"/>
  <c r="J57" i="67"/>
  <c r="A57" i="67"/>
  <c r="J56" i="67"/>
  <c r="A56" i="67"/>
  <c r="J55" i="67"/>
  <c r="A55" i="67"/>
  <c r="J54" i="67"/>
  <c r="A54" i="67"/>
  <c r="J53" i="67"/>
  <c r="A53" i="67"/>
  <c r="J52" i="67"/>
  <c r="A52" i="67"/>
  <c r="J51" i="67"/>
  <c r="A51" i="67"/>
  <c r="J50" i="67"/>
  <c r="A50" i="67"/>
  <c r="J49" i="67"/>
  <c r="A49" i="67"/>
  <c r="J48" i="67"/>
  <c r="A48" i="67"/>
  <c r="J47" i="67"/>
  <c r="A47" i="67"/>
  <c r="J46" i="67"/>
  <c r="A46" i="67"/>
  <c r="J45" i="67"/>
  <c r="A45" i="67"/>
  <c r="J44" i="67"/>
  <c r="A44" i="67"/>
  <c r="J43" i="67"/>
  <c r="A43" i="67"/>
  <c r="J42" i="67"/>
  <c r="A42" i="67"/>
  <c r="I41" i="67"/>
  <c r="J41" i="67"/>
  <c r="A41" i="67"/>
  <c r="A40" i="67"/>
  <c r="A39" i="67"/>
  <c r="A38" i="67"/>
  <c r="D37" i="67"/>
  <c r="I37" i="67"/>
  <c r="J37" i="67"/>
  <c r="K37" i="67"/>
  <c r="E37" i="67"/>
  <c r="F37" i="67"/>
  <c r="G37" i="67"/>
  <c r="M37" i="67"/>
  <c r="N37" i="67"/>
  <c r="A37" i="67"/>
  <c r="D36" i="67"/>
  <c r="I36" i="67"/>
  <c r="J36" i="67"/>
  <c r="K36" i="67"/>
  <c r="E36" i="67"/>
  <c r="F36" i="67"/>
  <c r="G36" i="67"/>
  <c r="M36" i="67"/>
  <c r="N36" i="67"/>
  <c r="A36" i="67"/>
  <c r="D35" i="67"/>
  <c r="I35" i="67"/>
  <c r="J35" i="67"/>
  <c r="K35" i="67"/>
  <c r="E35" i="67"/>
  <c r="F35" i="67"/>
  <c r="G35" i="67"/>
  <c r="M35" i="67"/>
  <c r="N35" i="67"/>
  <c r="A35" i="67"/>
  <c r="D34" i="67"/>
  <c r="I34" i="67"/>
  <c r="J34" i="67"/>
  <c r="K34" i="67"/>
  <c r="E34" i="67"/>
  <c r="F34" i="67"/>
  <c r="G34" i="67"/>
  <c r="M34" i="67"/>
  <c r="N34" i="67"/>
  <c r="A34" i="67"/>
  <c r="D33" i="67"/>
  <c r="I33" i="67"/>
  <c r="J33" i="67"/>
  <c r="K33" i="67"/>
  <c r="E33" i="67"/>
  <c r="F33" i="67"/>
  <c r="G33" i="67"/>
  <c r="M33" i="67"/>
  <c r="N33" i="67"/>
  <c r="A33" i="67"/>
  <c r="D32" i="67"/>
  <c r="I32" i="67"/>
  <c r="J32" i="67"/>
  <c r="K32" i="67"/>
  <c r="E32" i="67"/>
  <c r="F32" i="67"/>
  <c r="G32" i="67"/>
  <c r="M32" i="67"/>
  <c r="N32" i="67"/>
  <c r="A32" i="67"/>
  <c r="D31" i="67"/>
  <c r="I31" i="67"/>
  <c r="J31" i="67"/>
  <c r="K31" i="67"/>
  <c r="E31" i="67"/>
  <c r="F31" i="67"/>
  <c r="G31" i="67"/>
  <c r="M31" i="67"/>
  <c r="N31" i="67"/>
  <c r="A31" i="67"/>
  <c r="D30" i="67"/>
  <c r="I30" i="67"/>
  <c r="J30" i="67"/>
  <c r="K30" i="67"/>
  <c r="E30" i="67"/>
  <c r="F30" i="67"/>
  <c r="G30" i="67"/>
  <c r="M30" i="67"/>
  <c r="N30" i="67"/>
  <c r="A30" i="67"/>
  <c r="D29" i="67"/>
  <c r="I29" i="67"/>
  <c r="J29" i="67"/>
  <c r="K29" i="67"/>
  <c r="E29" i="67"/>
  <c r="F29" i="67"/>
  <c r="G29" i="67"/>
  <c r="M29" i="67"/>
  <c r="N29" i="67"/>
  <c r="A29" i="67"/>
  <c r="D28" i="67"/>
  <c r="I28" i="67"/>
  <c r="J28" i="67"/>
  <c r="K28" i="67"/>
  <c r="E28" i="67"/>
  <c r="F28" i="67"/>
  <c r="G28" i="67"/>
  <c r="M28" i="67"/>
  <c r="N28" i="67"/>
  <c r="A28" i="67"/>
  <c r="D13" i="67"/>
  <c r="D27" i="67"/>
  <c r="A27" i="67"/>
  <c r="I26" i="67"/>
  <c r="E26" i="67"/>
  <c r="A26" i="67"/>
  <c r="A25" i="67"/>
  <c r="D24" i="67"/>
  <c r="I24" i="67"/>
  <c r="J24" i="67"/>
  <c r="K24" i="67"/>
  <c r="E24" i="67"/>
  <c r="F24" i="67"/>
  <c r="G24" i="67"/>
  <c r="M24" i="67"/>
  <c r="N24" i="67"/>
  <c r="A24" i="67"/>
  <c r="D23" i="67"/>
  <c r="I23" i="67"/>
  <c r="J23" i="67"/>
  <c r="K23" i="67"/>
  <c r="E23" i="67"/>
  <c r="F23" i="67"/>
  <c r="G23" i="67"/>
  <c r="M23" i="67"/>
  <c r="N23" i="67"/>
  <c r="A23" i="67"/>
  <c r="D22" i="67"/>
  <c r="I22" i="67"/>
  <c r="J22" i="67"/>
  <c r="K22" i="67"/>
  <c r="E22" i="67"/>
  <c r="F22" i="67"/>
  <c r="G22" i="67"/>
  <c r="M22" i="67"/>
  <c r="N22" i="67"/>
  <c r="A22" i="67"/>
  <c r="D21" i="67"/>
  <c r="I21" i="67"/>
  <c r="J21" i="67"/>
  <c r="K21" i="67"/>
  <c r="E21" i="67"/>
  <c r="F21" i="67"/>
  <c r="G21" i="67"/>
  <c r="M21" i="67"/>
  <c r="N21" i="67"/>
  <c r="A21" i="67"/>
  <c r="D20" i="67"/>
  <c r="I20" i="67"/>
  <c r="J20" i="67"/>
  <c r="K20" i="67"/>
  <c r="E20" i="67"/>
  <c r="F20" i="67"/>
  <c r="G20" i="67"/>
  <c r="M20" i="67"/>
  <c r="N20" i="67"/>
  <c r="A20" i="67"/>
  <c r="D19" i="67"/>
  <c r="I19" i="67"/>
  <c r="J19" i="67"/>
  <c r="K19" i="67"/>
  <c r="E19" i="67"/>
  <c r="F19" i="67"/>
  <c r="G19" i="67"/>
  <c r="M19" i="67"/>
  <c r="N19" i="67"/>
  <c r="A19" i="67"/>
  <c r="D18" i="67"/>
  <c r="I18" i="67"/>
  <c r="J18" i="67"/>
  <c r="K18" i="67"/>
  <c r="E18" i="67"/>
  <c r="F18" i="67"/>
  <c r="G18" i="67"/>
  <c r="M18" i="67"/>
  <c r="N18" i="67"/>
  <c r="A18" i="67"/>
  <c r="D17" i="67"/>
  <c r="I17" i="67"/>
  <c r="J17" i="67"/>
  <c r="K17" i="67"/>
  <c r="E17" i="67"/>
  <c r="F17" i="67"/>
  <c r="G17" i="67"/>
  <c r="M17" i="67"/>
  <c r="N17" i="67"/>
  <c r="A17" i="67"/>
  <c r="D16" i="67"/>
  <c r="I16" i="67"/>
  <c r="J16" i="67"/>
  <c r="K16" i="67"/>
  <c r="E16" i="67"/>
  <c r="F16" i="67"/>
  <c r="G16" i="67"/>
  <c r="M16" i="67"/>
  <c r="N16" i="67"/>
  <c r="A16" i="67"/>
  <c r="D15" i="67"/>
  <c r="I15" i="67"/>
  <c r="J15" i="67"/>
  <c r="K15" i="67"/>
  <c r="E15" i="67"/>
  <c r="F15" i="67"/>
  <c r="G15" i="67"/>
  <c r="M15" i="67"/>
  <c r="N15" i="67"/>
  <c r="A15" i="67"/>
  <c r="A14" i="67"/>
  <c r="I13" i="67"/>
  <c r="E13" i="67"/>
  <c r="A13" i="67"/>
  <c r="A12" i="67"/>
  <c r="A8" i="67"/>
  <c r="A6" i="67"/>
  <c r="A5" i="67"/>
  <c r="I90" i="66"/>
  <c r="G90" i="66"/>
  <c r="J90" i="66"/>
  <c r="C70" i="60"/>
  <c r="C93" i="61"/>
  <c r="C90" i="64"/>
  <c r="C90" i="66"/>
  <c r="AF15" i="2"/>
  <c r="AG15" i="2"/>
  <c r="I73" i="66"/>
  <c r="I74" i="66"/>
  <c r="I88" i="66"/>
  <c r="G88" i="66"/>
  <c r="J88" i="66"/>
  <c r="C91" i="61"/>
  <c r="C88" i="64"/>
  <c r="C88" i="66"/>
  <c r="I87" i="66"/>
  <c r="G87" i="66"/>
  <c r="J87" i="66"/>
  <c r="C90" i="61"/>
  <c r="C87" i="64"/>
  <c r="C87" i="66"/>
  <c r="I86" i="66"/>
  <c r="G86" i="66"/>
  <c r="J86" i="66"/>
  <c r="C89" i="61"/>
  <c r="C86" i="64"/>
  <c r="C86" i="66"/>
  <c r="I85" i="66"/>
  <c r="G85" i="66"/>
  <c r="J85" i="66"/>
  <c r="C88" i="61"/>
  <c r="C85" i="64"/>
  <c r="C85" i="66"/>
  <c r="C84" i="64"/>
  <c r="C84" i="66"/>
  <c r="I82" i="66"/>
  <c r="G82" i="66"/>
  <c r="J82" i="66"/>
  <c r="C82" i="64"/>
  <c r="C82" i="66"/>
  <c r="I81" i="66"/>
  <c r="G81" i="66"/>
  <c r="J81" i="66"/>
  <c r="C81" i="64"/>
  <c r="C81" i="66"/>
  <c r="I80" i="66"/>
  <c r="G80" i="66"/>
  <c r="J80" i="66"/>
  <c r="C80" i="64"/>
  <c r="C80" i="66"/>
  <c r="I79" i="66"/>
  <c r="G79" i="66"/>
  <c r="J79" i="66"/>
  <c r="C79" i="64"/>
  <c r="C79" i="66"/>
  <c r="C78" i="64"/>
  <c r="C78" i="66"/>
  <c r="J75" i="66"/>
  <c r="C78" i="61"/>
  <c r="C75" i="64"/>
  <c r="C75" i="66"/>
  <c r="C13" i="66"/>
  <c r="C15" i="66"/>
  <c r="C16" i="66"/>
  <c r="C17" i="66"/>
  <c r="C18" i="66"/>
  <c r="C19" i="66"/>
  <c r="C20" i="66"/>
  <c r="C21" i="66"/>
  <c r="C22" i="66"/>
  <c r="C23" i="66"/>
  <c r="C24" i="66"/>
  <c r="C27" i="66"/>
  <c r="C29" i="64"/>
  <c r="C29" i="66"/>
  <c r="C30" i="64"/>
  <c r="C30" i="66"/>
  <c r="C31" i="64"/>
  <c r="C31" i="66"/>
  <c r="C32" i="64"/>
  <c r="C32" i="66"/>
  <c r="C33" i="64"/>
  <c r="C33" i="66"/>
  <c r="C34" i="64"/>
  <c r="C34" i="66"/>
  <c r="C35" i="64"/>
  <c r="C35" i="66"/>
  <c r="C36" i="64"/>
  <c r="C36" i="66"/>
  <c r="C37" i="64"/>
  <c r="C37" i="66"/>
  <c r="C38" i="64"/>
  <c r="C38" i="66"/>
  <c r="C44" i="64"/>
  <c r="C44" i="66"/>
  <c r="C45" i="64"/>
  <c r="C45" i="66"/>
  <c r="C46" i="64"/>
  <c r="C46" i="66"/>
  <c r="C47" i="64"/>
  <c r="C47" i="66"/>
  <c r="C48" i="64"/>
  <c r="C48" i="66"/>
  <c r="C49" i="64"/>
  <c r="C49" i="66"/>
  <c r="C50" i="64"/>
  <c r="C50" i="66"/>
  <c r="C51" i="64"/>
  <c r="C51" i="66"/>
  <c r="C52" i="64"/>
  <c r="C52" i="66"/>
  <c r="C53" i="64"/>
  <c r="C53" i="66"/>
  <c r="C54" i="64"/>
  <c r="C54" i="66"/>
  <c r="C55" i="64"/>
  <c r="C55" i="66"/>
  <c r="C56" i="64"/>
  <c r="C56" i="66"/>
  <c r="C57" i="61"/>
  <c r="C57" i="64"/>
  <c r="C57" i="66"/>
  <c r="C58" i="61"/>
  <c r="C58" i="64"/>
  <c r="C58" i="66"/>
  <c r="C59" i="61"/>
  <c r="C59" i="64"/>
  <c r="C59" i="66"/>
  <c r="C60" i="61"/>
  <c r="C60" i="64"/>
  <c r="C60" i="66"/>
  <c r="C61" i="61"/>
  <c r="C61" i="64"/>
  <c r="C61" i="66"/>
  <c r="C62" i="61"/>
  <c r="C62" i="64"/>
  <c r="C62" i="66"/>
  <c r="C63" i="61"/>
  <c r="C63" i="64"/>
  <c r="C63" i="66"/>
  <c r="C64" i="61"/>
  <c r="C64" i="64"/>
  <c r="C64" i="66"/>
  <c r="C65" i="61"/>
  <c r="C65" i="64"/>
  <c r="C65" i="66"/>
  <c r="C66" i="61"/>
  <c r="C66" i="64"/>
  <c r="C66" i="66"/>
  <c r="C67" i="61"/>
  <c r="C67" i="64"/>
  <c r="C67" i="66"/>
  <c r="C68" i="61"/>
  <c r="C68" i="64"/>
  <c r="C68" i="66"/>
  <c r="C69" i="61"/>
  <c r="C69" i="64"/>
  <c r="C69" i="66"/>
  <c r="C70" i="61"/>
  <c r="C70" i="64"/>
  <c r="C70" i="66"/>
  <c r="C71" i="61"/>
  <c r="C71" i="64"/>
  <c r="C71" i="66"/>
  <c r="C75" i="61"/>
  <c r="C72" i="64"/>
  <c r="C72" i="66"/>
  <c r="C76" i="61"/>
  <c r="C73" i="64"/>
  <c r="C73" i="66"/>
  <c r="C77" i="61"/>
  <c r="C74" i="64"/>
  <c r="C74" i="66"/>
  <c r="A75" i="66"/>
  <c r="J74" i="66"/>
  <c r="A74" i="66"/>
  <c r="J73" i="66"/>
  <c r="A73" i="66"/>
  <c r="J72" i="66"/>
  <c r="A72" i="66"/>
  <c r="J71" i="66"/>
  <c r="A71" i="66"/>
  <c r="J70" i="66"/>
  <c r="A70" i="66"/>
  <c r="J69" i="66"/>
  <c r="A69" i="66"/>
  <c r="J68" i="66"/>
  <c r="A68" i="66"/>
  <c r="J67" i="66"/>
  <c r="A67" i="66"/>
  <c r="J66" i="66"/>
  <c r="A66" i="66"/>
  <c r="J65" i="66"/>
  <c r="A65" i="66"/>
  <c r="J64" i="66"/>
  <c r="A64" i="66"/>
  <c r="J63" i="66"/>
  <c r="A63" i="66"/>
  <c r="J62" i="66"/>
  <c r="A62" i="66"/>
  <c r="J61" i="66"/>
  <c r="A61" i="66"/>
  <c r="J60" i="66"/>
  <c r="A60" i="66"/>
  <c r="J59" i="66"/>
  <c r="A59" i="66"/>
  <c r="J58" i="66"/>
  <c r="A58" i="66"/>
  <c r="J57" i="66"/>
  <c r="A57" i="66"/>
  <c r="J56" i="66"/>
  <c r="A56" i="66"/>
  <c r="J55" i="66"/>
  <c r="A55" i="66"/>
  <c r="J54" i="66"/>
  <c r="A54" i="66"/>
  <c r="J53" i="66"/>
  <c r="A53" i="66"/>
  <c r="J52" i="66"/>
  <c r="A52" i="66"/>
  <c r="J51" i="66"/>
  <c r="A51" i="66"/>
  <c r="J50" i="66"/>
  <c r="A50" i="66"/>
  <c r="J49" i="66"/>
  <c r="A49" i="66"/>
  <c r="I48" i="66"/>
  <c r="J48" i="66"/>
  <c r="A48" i="66"/>
  <c r="J47" i="66"/>
  <c r="A47" i="66"/>
  <c r="J46" i="66"/>
  <c r="A46" i="66"/>
  <c r="I45" i="66"/>
  <c r="J45" i="66"/>
  <c r="A45" i="66"/>
  <c r="I44" i="66"/>
  <c r="J44" i="66"/>
  <c r="A44" i="66"/>
  <c r="J43" i="66"/>
  <c r="I43" i="66"/>
  <c r="G43" i="66"/>
  <c r="A43" i="66"/>
  <c r="I42" i="66"/>
  <c r="G42" i="66"/>
  <c r="A42" i="66"/>
  <c r="A41" i="66"/>
  <c r="A40" i="66"/>
  <c r="D39" i="66"/>
  <c r="I39" i="66"/>
  <c r="J39" i="66"/>
  <c r="K39" i="66"/>
  <c r="AF39" i="66"/>
  <c r="E39" i="66"/>
  <c r="F39" i="66"/>
  <c r="G39" i="66"/>
  <c r="M39" i="66"/>
  <c r="N39" i="66"/>
  <c r="A39" i="66"/>
  <c r="D38" i="66"/>
  <c r="I38" i="66"/>
  <c r="J38" i="66"/>
  <c r="K38" i="66"/>
  <c r="AF38" i="66"/>
  <c r="E38" i="66"/>
  <c r="F38" i="66"/>
  <c r="G38" i="66"/>
  <c r="M38" i="66"/>
  <c r="N38" i="66"/>
  <c r="A38" i="66"/>
  <c r="D37" i="66"/>
  <c r="I37" i="66"/>
  <c r="J37" i="66"/>
  <c r="K37" i="66"/>
  <c r="AF37" i="66"/>
  <c r="E37" i="66"/>
  <c r="F37" i="66"/>
  <c r="G37" i="66"/>
  <c r="M37" i="66"/>
  <c r="N37" i="66"/>
  <c r="A37" i="66"/>
  <c r="D36" i="66"/>
  <c r="I36" i="66"/>
  <c r="J36" i="66"/>
  <c r="K36" i="66"/>
  <c r="AF36" i="66"/>
  <c r="E36" i="66"/>
  <c r="F36" i="66"/>
  <c r="G36" i="66"/>
  <c r="M36" i="66"/>
  <c r="N36" i="66"/>
  <c r="A36" i="66"/>
  <c r="D35" i="66"/>
  <c r="I35" i="66"/>
  <c r="J35" i="66"/>
  <c r="K35" i="66"/>
  <c r="AF35" i="66"/>
  <c r="E35" i="66"/>
  <c r="F35" i="66"/>
  <c r="G35" i="66"/>
  <c r="M35" i="66"/>
  <c r="N35" i="66"/>
  <c r="A35" i="66"/>
  <c r="D34" i="66"/>
  <c r="I34" i="66"/>
  <c r="J34" i="66"/>
  <c r="K34" i="66"/>
  <c r="AF34" i="66"/>
  <c r="E34" i="66"/>
  <c r="F34" i="66"/>
  <c r="G34" i="66"/>
  <c r="M34" i="66"/>
  <c r="N34" i="66"/>
  <c r="A34" i="66"/>
  <c r="D33" i="66"/>
  <c r="I33" i="66"/>
  <c r="J33" i="66"/>
  <c r="K33" i="66"/>
  <c r="AF33" i="66"/>
  <c r="E33" i="66"/>
  <c r="F33" i="66"/>
  <c r="G33" i="66"/>
  <c r="M33" i="66"/>
  <c r="N33" i="66"/>
  <c r="A33" i="66"/>
  <c r="D32" i="66"/>
  <c r="I32" i="66"/>
  <c r="J32" i="66"/>
  <c r="K32" i="66"/>
  <c r="AF32" i="66"/>
  <c r="E32" i="66"/>
  <c r="F32" i="66"/>
  <c r="G32" i="66"/>
  <c r="M32" i="66"/>
  <c r="N32" i="66"/>
  <c r="A32" i="66"/>
  <c r="D31" i="66"/>
  <c r="I31" i="66"/>
  <c r="J31" i="66"/>
  <c r="K31" i="66"/>
  <c r="AF31" i="66"/>
  <c r="E31" i="66"/>
  <c r="F31" i="66"/>
  <c r="G31" i="66"/>
  <c r="M31" i="66"/>
  <c r="N31" i="66"/>
  <c r="A31" i="66"/>
  <c r="D30" i="66"/>
  <c r="I30" i="66"/>
  <c r="J30" i="66"/>
  <c r="K30" i="66"/>
  <c r="AF30" i="66"/>
  <c r="E30" i="66"/>
  <c r="F30" i="66"/>
  <c r="G30" i="66"/>
  <c r="M30" i="66"/>
  <c r="N30" i="66"/>
  <c r="A30" i="66"/>
  <c r="D29" i="66"/>
  <c r="I29" i="66"/>
  <c r="J29" i="66"/>
  <c r="K29" i="66"/>
  <c r="AF29" i="66"/>
  <c r="E29" i="66"/>
  <c r="F29" i="66"/>
  <c r="G29" i="66"/>
  <c r="M29" i="66"/>
  <c r="N29" i="66"/>
  <c r="A29" i="66"/>
  <c r="A28" i="66"/>
  <c r="I27" i="66"/>
  <c r="E27" i="66"/>
  <c r="D13" i="66"/>
  <c r="D27" i="66"/>
  <c r="A27" i="66"/>
  <c r="A26" i="66"/>
  <c r="D25" i="66"/>
  <c r="I25" i="66"/>
  <c r="J25" i="66"/>
  <c r="K25" i="66"/>
  <c r="AF25" i="66"/>
  <c r="E25" i="66"/>
  <c r="F25" i="66"/>
  <c r="G25" i="66"/>
  <c r="M25" i="66"/>
  <c r="N25" i="66"/>
  <c r="A25" i="66"/>
  <c r="D24" i="66"/>
  <c r="I24" i="66"/>
  <c r="J24" i="66"/>
  <c r="K24" i="66"/>
  <c r="AF24" i="66"/>
  <c r="E24" i="66"/>
  <c r="F24" i="66"/>
  <c r="G24" i="66"/>
  <c r="M24" i="66"/>
  <c r="N24" i="66"/>
  <c r="A24" i="66"/>
  <c r="D23" i="66"/>
  <c r="I23" i="66"/>
  <c r="J23" i="66"/>
  <c r="K23" i="66"/>
  <c r="AF23" i="66"/>
  <c r="E23" i="66"/>
  <c r="F23" i="66"/>
  <c r="G23" i="66"/>
  <c r="M23" i="66"/>
  <c r="N23" i="66"/>
  <c r="A23" i="66"/>
  <c r="D22" i="66"/>
  <c r="I22" i="66"/>
  <c r="J22" i="66"/>
  <c r="K22" i="66"/>
  <c r="AF22" i="66"/>
  <c r="E22" i="66"/>
  <c r="F22" i="66"/>
  <c r="G22" i="66"/>
  <c r="M22" i="66"/>
  <c r="N22" i="66"/>
  <c r="A22" i="66"/>
  <c r="D21" i="66"/>
  <c r="I21" i="66"/>
  <c r="J21" i="66"/>
  <c r="K21" i="66"/>
  <c r="AF21" i="66"/>
  <c r="E21" i="66"/>
  <c r="F21" i="66"/>
  <c r="G21" i="66"/>
  <c r="M21" i="66"/>
  <c r="N21" i="66"/>
  <c r="A21" i="66"/>
  <c r="D20" i="66"/>
  <c r="I20" i="66"/>
  <c r="J20" i="66"/>
  <c r="K20" i="66"/>
  <c r="AF20" i="66"/>
  <c r="E20" i="66"/>
  <c r="F20" i="66"/>
  <c r="G20" i="66"/>
  <c r="M20" i="66"/>
  <c r="N20" i="66"/>
  <c r="A20" i="66"/>
  <c r="D19" i="66"/>
  <c r="I19" i="66"/>
  <c r="J19" i="66"/>
  <c r="K19" i="66"/>
  <c r="AF19" i="66"/>
  <c r="E19" i="66"/>
  <c r="F19" i="66"/>
  <c r="G19" i="66"/>
  <c r="M19" i="66"/>
  <c r="N19" i="66"/>
  <c r="A19" i="66"/>
  <c r="D18" i="66"/>
  <c r="I18" i="66"/>
  <c r="J18" i="66"/>
  <c r="K18" i="66"/>
  <c r="AF18" i="66"/>
  <c r="E18" i="66"/>
  <c r="F18" i="66"/>
  <c r="G18" i="66"/>
  <c r="M18" i="66"/>
  <c r="N18" i="66"/>
  <c r="A18" i="66"/>
  <c r="D17" i="66"/>
  <c r="I17" i="66"/>
  <c r="J17" i="66"/>
  <c r="K17" i="66"/>
  <c r="AF17" i="66"/>
  <c r="E17" i="66"/>
  <c r="F17" i="66"/>
  <c r="G17" i="66"/>
  <c r="M17" i="66"/>
  <c r="N17" i="66"/>
  <c r="A17" i="66"/>
  <c r="D16" i="66"/>
  <c r="I16" i="66"/>
  <c r="J16" i="66"/>
  <c r="K16" i="66"/>
  <c r="AF16" i="66"/>
  <c r="E16" i="66"/>
  <c r="F16" i="66"/>
  <c r="G16" i="66"/>
  <c r="M16" i="66"/>
  <c r="N16" i="66"/>
  <c r="A16" i="66"/>
  <c r="D15" i="66"/>
  <c r="I15" i="66"/>
  <c r="J15" i="66"/>
  <c r="K15" i="66"/>
  <c r="AF15" i="66"/>
  <c r="E15" i="66"/>
  <c r="F15" i="66"/>
  <c r="G15" i="66"/>
  <c r="M15" i="66"/>
  <c r="N15" i="66"/>
  <c r="A15" i="66"/>
  <c r="A14" i="66"/>
  <c r="I13" i="66"/>
  <c r="E13" i="66"/>
  <c r="A13" i="66"/>
  <c r="A12" i="66"/>
  <c r="A9" i="66"/>
  <c r="A8" i="66"/>
  <c r="A6" i="66"/>
  <c r="A5" i="66"/>
  <c r="I90" i="65"/>
  <c r="G90" i="65"/>
  <c r="J90" i="65"/>
  <c r="C90" i="65"/>
  <c r="I73" i="65"/>
  <c r="I74" i="65"/>
  <c r="I88" i="65"/>
  <c r="G88" i="65"/>
  <c r="J88" i="65"/>
  <c r="C88" i="65"/>
  <c r="I87" i="65"/>
  <c r="G87" i="65"/>
  <c r="J87" i="65"/>
  <c r="C87" i="65"/>
  <c r="I86" i="65"/>
  <c r="G86" i="65"/>
  <c r="J86" i="65"/>
  <c r="C86" i="65"/>
  <c r="I85" i="65"/>
  <c r="G85" i="65"/>
  <c r="J85" i="65"/>
  <c r="C85" i="65"/>
  <c r="C84" i="65"/>
  <c r="I82" i="65"/>
  <c r="G82" i="65"/>
  <c r="J82" i="65"/>
  <c r="C82" i="65"/>
  <c r="I81" i="65"/>
  <c r="G81" i="65"/>
  <c r="J81" i="65"/>
  <c r="C81" i="65"/>
  <c r="I80" i="65"/>
  <c r="G80" i="65"/>
  <c r="J80" i="65"/>
  <c r="C80" i="65"/>
  <c r="I79" i="65"/>
  <c r="G79" i="65"/>
  <c r="J79" i="65"/>
  <c r="C79" i="65"/>
  <c r="C78" i="65"/>
  <c r="J75" i="65"/>
  <c r="C75" i="65"/>
  <c r="C13" i="65"/>
  <c r="C15" i="65"/>
  <c r="C16" i="65"/>
  <c r="C17" i="65"/>
  <c r="C18" i="65"/>
  <c r="C19" i="65"/>
  <c r="C20" i="65"/>
  <c r="C21" i="65"/>
  <c r="C22" i="65"/>
  <c r="C23" i="65"/>
  <c r="C24" i="65"/>
  <c r="C27" i="65"/>
  <c r="C29" i="65"/>
  <c r="C30" i="65"/>
  <c r="C31" i="65"/>
  <c r="C32" i="65"/>
  <c r="C33" i="65"/>
  <c r="C34" i="65"/>
  <c r="C35" i="65"/>
  <c r="C36" i="65"/>
  <c r="C37" i="65"/>
  <c r="C38" i="65"/>
  <c r="C44" i="65"/>
  <c r="C45" i="65"/>
  <c r="C46" i="65"/>
  <c r="C47" i="65"/>
  <c r="C48" i="65"/>
  <c r="C49" i="65"/>
  <c r="C50" i="65"/>
  <c r="C51" i="65"/>
  <c r="C52" i="65"/>
  <c r="C53" i="65"/>
  <c r="C54" i="65"/>
  <c r="C55" i="65"/>
  <c r="C56" i="65"/>
  <c r="C57" i="65"/>
  <c r="C58" i="65"/>
  <c r="C59" i="65"/>
  <c r="C60" i="65"/>
  <c r="C61" i="65"/>
  <c r="C62" i="65"/>
  <c r="C63" i="65"/>
  <c r="C64" i="65"/>
  <c r="C65" i="65"/>
  <c r="C66" i="65"/>
  <c r="C67" i="65"/>
  <c r="C68" i="65"/>
  <c r="C69" i="65"/>
  <c r="C70" i="65"/>
  <c r="C71" i="65"/>
  <c r="C72" i="65"/>
  <c r="C73" i="65"/>
  <c r="C74" i="65"/>
  <c r="A75" i="65"/>
  <c r="J74" i="65"/>
  <c r="A74" i="65"/>
  <c r="J73" i="65"/>
  <c r="A73" i="65"/>
  <c r="J72" i="65"/>
  <c r="A72" i="65"/>
  <c r="J71" i="65"/>
  <c r="A71" i="65"/>
  <c r="J70" i="65"/>
  <c r="A70" i="65"/>
  <c r="J69" i="65"/>
  <c r="A69" i="65"/>
  <c r="J68" i="65"/>
  <c r="A68" i="65"/>
  <c r="J67" i="65"/>
  <c r="A67" i="65"/>
  <c r="J66" i="65"/>
  <c r="A66" i="65"/>
  <c r="J65" i="65"/>
  <c r="A65" i="65"/>
  <c r="J64" i="65"/>
  <c r="A64" i="65"/>
  <c r="J63" i="65"/>
  <c r="A63" i="65"/>
  <c r="J62" i="65"/>
  <c r="A62" i="65"/>
  <c r="J61" i="65"/>
  <c r="A61" i="65"/>
  <c r="J60" i="65"/>
  <c r="A60" i="65"/>
  <c r="J59" i="65"/>
  <c r="A59" i="65"/>
  <c r="J58" i="65"/>
  <c r="A58" i="65"/>
  <c r="J57" i="65"/>
  <c r="A57" i="65"/>
  <c r="J56" i="65"/>
  <c r="A56" i="65"/>
  <c r="J55" i="65"/>
  <c r="A55" i="65"/>
  <c r="J54" i="65"/>
  <c r="A54" i="65"/>
  <c r="J53" i="65"/>
  <c r="A53" i="65"/>
  <c r="J52" i="65"/>
  <c r="A52" i="65"/>
  <c r="J51" i="65"/>
  <c r="A51" i="65"/>
  <c r="J50" i="65"/>
  <c r="A50" i="65"/>
  <c r="J49" i="65"/>
  <c r="A49" i="65"/>
  <c r="I48" i="65"/>
  <c r="J48" i="65"/>
  <c r="A48" i="65"/>
  <c r="J47" i="65"/>
  <c r="A47" i="65"/>
  <c r="J46" i="65"/>
  <c r="A46" i="65"/>
  <c r="I45" i="65"/>
  <c r="J45" i="65"/>
  <c r="A45" i="65"/>
  <c r="I44" i="65"/>
  <c r="J44" i="65"/>
  <c r="A44" i="65"/>
  <c r="J43" i="65"/>
  <c r="I43" i="65"/>
  <c r="G43" i="65"/>
  <c r="A43" i="65"/>
  <c r="I42" i="65"/>
  <c r="G42" i="65"/>
  <c r="A42" i="65"/>
  <c r="A41" i="65"/>
  <c r="A40" i="65"/>
  <c r="D39" i="65"/>
  <c r="I39" i="65"/>
  <c r="J39" i="65"/>
  <c r="K39" i="65"/>
  <c r="AF39" i="65"/>
  <c r="E39" i="65"/>
  <c r="F39" i="65"/>
  <c r="G39" i="65"/>
  <c r="M39" i="65"/>
  <c r="N39" i="65"/>
  <c r="A39" i="65"/>
  <c r="D38" i="65"/>
  <c r="I38" i="65"/>
  <c r="J38" i="65"/>
  <c r="K38" i="65"/>
  <c r="AF38" i="65"/>
  <c r="E38" i="65"/>
  <c r="F38" i="65"/>
  <c r="G38" i="65"/>
  <c r="M38" i="65"/>
  <c r="N38" i="65"/>
  <c r="A38" i="65"/>
  <c r="D37" i="65"/>
  <c r="I37" i="65"/>
  <c r="J37" i="65"/>
  <c r="K37" i="65"/>
  <c r="AF37" i="65"/>
  <c r="E37" i="65"/>
  <c r="F37" i="65"/>
  <c r="G37" i="65"/>
  <c r="M37" i="65"/>
  <c r="N37" i="65"/>
  <c r="A37" i="65"/>
  <c r="D36" i="65"/>
  <c r="I36" i="65"/>
  <c r="J36" i="65"/>
  <c r="K36" i="65"/>
  <c r="AF36" i="65"/>
  <c r="E36" i="65"/>
  <c r="F36" i="65"/>
  <c r="G36" i="65"/>
  <c r="M36" i="65"/>
  <c r="N36" i="65"/>
  <c r="A36" i="65"/>
  <c r="D35" i="65"/>
  <c r="I35" i="65"/>
  <c r="J35" i="65"/>
  <c r="K35" i="65"/>
  <c r="AF35" i="65"/>
  <c r="E35" i="65"/>
  <c r="F35" i="65"/>
  <c r="G35" i="65"/>
  <c r="M35" i="65"/>
  <c r="N35" i="65"/>
  <c r="A35" i="65"/>
  <c r="D34" i="65"/>
  <c r="I34" i="65"/>
  <c r="J34" i="65"/>
  <c r="K34" i="65"/>
  <c r="AF34" i="65"/>
  <c r="E34" i="65"/>
  <c r="F34" i="65"/>
  <c r="G34" i="65"/>
  <c r="M34" i="65"/>
  <c r="N34" i="65"/>
  <c r="A34" i="65"/>
  <c r="D33" i="65"/>
  <c r="I33" i="65"/>
  <c r="J33" i="65"/>
  <c r="K33" i="65"/>
  <c r="AF33" i="65"/>
  <c r="E33" i="65"/>
  <c r="F33" i="65"/>
  <c r="G33" i="65"/>
  <c r="M33" i="65"/>
  <c r="N33" i="65"/>
  <c r="A33" i="65"/>
  <c r="D32" i="65"/>
  <c r="I32" i="65"/>
  <c r="J32" i="65"/>
  <c r="K32" i="65"/>
  <c r="AF32" i="65"/>
  <c r="E32" i="65"/>
  <c r="F32" i="65"/>
  <c r="G32" i="65"/>
  <c r="M32" i="65"/>
  <c r="N32" i="65"/>
  <c r="A32" i="65"/>
  <c r="D31" i="65"/>
  <c r="I31" i="65"/>
  <c r="J31" i="65"/>
  <c r="K31" i="65"/>
  <c r="AF31" i="65"/>
  <c r="E31" i="65"/>
  <c r="F31" i="65"/>
  <c r="G31" i="65"/>
  <c r="M31" i="65"/>
  <c r="N31" i="65"/>
  <c r="A31" i="65"/>
  <c r="D30" i="65"/>
  <c r="I30" i="65"/>
  <c r="J30" i="65"/>
  <c r="K30" i="65"/>
  <c r="AF30" i="65"/>
  <c r="E30" i="65"/>
  <c r="F30" i="65"/>
  <c r="G30" i="65"/>
  <c r="M30" i="65"/>
  <c r="N30" i="65"/>
  <c r="A30" i="65"/>
  <c r="D29" i="65"/>
  <c r="I29" i="65"/>
  <c r="J29" i="65"/>
  <c r="K29" i="65"/>
  <c r="AF29" i="65"/>
  <c r="E29" i="65"/>
  <c r="F29" i="65"/>
  <c r="G29" i="65"/>
  <c r="M29" i="65"/>
  <c r="N29" i="65"/>
  <c r="A29" i="65"/>
  <c r="A28" i="65"/>
  <c r="I27" i="65"/>
  <c r="E27" i="65"/>
  <c r="D13" i="65"/>
  <c r="D27" i="65"/>
  <c r="A27" i="65"/>
  <c r="A26" i="65"/>
  <c r="D25" i="65"/>
  <c r="I25" i="65"/>
  <c r="J25" i="65"/>
  <c r="K25" i="65"/>
  <c r="AF25" i="65"/>
  <c r="E25" i="65"/>
  <c r="F25" i="65"/>
  <c r="G25" i="65"/>
  <c r="M25" i="65"/>
  <c r="N25" i="65"/>
  <c r="A25" i="65"/>
  <c r="D24" i="65"/>
  <c r="I24" i="65"/>
  <c r="J24" i="65"/>
  <c r="K24" i="65"/>
  <c r="AF24" i="65"/>
  <c r="E24" i="65"/>
  <c r="F24" i="65"/>
  <c r="G24" i="65"/>
  <c r="M24" i="65"/>
  <c r="N24" i="65"/>
  <c r="A24" i="65"/>
  <c r="D23" i="65"/>
  <c r="I23" i="65"/>
  <c r="J23" i="65"/>
  <c r="K23" i="65"/>
  <c r="AF23" i="65"/>
  <c r="E23" i="65"/>
  <c r="F23" i="65"/>
  <c r="G23" i="65"/>
  <c r="M23" i="65"/>
  <c r="N23" i="65"/>
  <c r="A23" i="65"/>
  <c r="D22" i="65"/>
  <c r="I22" i="65"/>
  <c r="J22" i="65"/>
  <c r="K22" i="65"/>
  <c r="AF22" i="65"/>
  <c r="E22" i="65"/>
  <c r="F22" i="65"/>
  <c r="G22" i="65"/>
  <c r="M22" i="65"/>
  <c r="N22" i="65"/>
  <c r="A22" i="65"/>
  <c r="D21" i="65"/>
  <c r="I21" i="65"/>
  <c r="J21" i="65"/>
  <c r="K21" i="65"/>
  <c r="AF21" i="65"/>
  <c r="E21" i="65"/>
  <c r="F21" i="65"/>
  <c r="G21" i="65"/>
  <c r="M21" i="65"/>
  <c r="N21" i="65"/>
  <c r="A21" i="65"/>
  <c r="D20" i="65"/>
  <c r="I20" i="65"/>
  <c r="J20" i="65"/>
  <c r="K20" i="65"/>
  <c r="AF20" i="65"/>
  <c r="E20" i="65"/>
  <c r="F20" i="65"/>
  <c r="G20" i="65"/>
  <c r="M20" i="65"/>
  <c r="N20" i="65"/>
  <c r="A20" i="65"/>
  <c r="D19" i="65"/>
  <c r="I19" i="65"/>
  <c r="J19" i="65"/>
  <c r="K19" i="65"/>
  <c r="AF19" i="65"/>
  <c r="E19" i="65"/>
  <c r="F19" i="65"/>
  <c r="G19" i="65"/>
  <c r="M19" i="65"/>
  <c r="N19" i="65"/>
  <c r="A19" i="65"/>
  <c r="D18" i="65"/>
  <c r="I18" i="65"/>
  <c r="J18" i="65"/>
  <c r="K18" i="65"/>
  <c r="AF18" i="65"/>
  <c r="E18" i="65"/>
  <c r="F18" i="65"/>
  <c r="G18" i="65"/>
  <c r="M18" i="65"/>
  <c r="N18" i="65"/>
  <c r="A18" i="65"/>
  <c r="D17" i="65"/>
  <c r="I17" i="65"/>
  <c r="J17" i="65"/>
  <c r="K17" i="65"/>
  <c r="AF17" i="65"/>
  <c r="E17" i="65"/>
  <c r="F17" i="65"/>
  <c r="G17" i="65"/>
  <c r="M17" i="65"/>
  <c r="N17" i="65"/>
  <c r="A17" i="65"/>
  <c r="D16" i="65"/>
  <c r="I16" i="65"/>
  <c r="J16" i="65"/>
  <c r="K16" i="65"/>
  <c r="AF16" i="65"/>
  <c r="E16" i="65"/>
  <c r="F16" i="65"/>
  <c r="G16" i="65"/>
  <c r="M16" i="65"/>
  <c r="N16" i="65"/>
  <c r="A16" i="65"/>
  <c r="D15" i="65"/>
  <c r="I15" i="65"/>
  <c r="J15" i="65"/>
  <c r="K15" i="65"/>
  <c r="AF15" i="65"/>
  <c r="E15" i="65"/>
  <c r="F15" i="65"/>
  <c r="G15" i="65"/>
  <c r="M15" i="65"/>
  <c r="N15" i="65"/>
  <c r="A15" i="65"/>
  <c r="A14" i="65"/>
  <c r="I13" i="65"/>
  <c r="E13" i="65"/>
  <c r="A13" i="65"/>
  <c r="A12" i="65"/>
  <c r="A9" i="65"/>
  <c r="A8" i="65"/>
  <c r="A6" i="65"/>
  <c r="A5" i="65"/>
  <c r="I90" i="64"/>
  <c r="G90" i="64"/>
  <c r="J90" i="64"/>
  <c r="I73" i="64"/>
  <c r="I74" i="64"/>
  <c r="I88" i="64"/>
  <c r="G88" i="64"/>
  <c r="J88" i="64"/>
  <c r="I87" i="64"/>
  <c r="G87" i="64"/>
  <c r="J87" i="64"/>
  <c r="I86" i="64"/>
  <c r="G86" i="64"/>
  <c r="J86" i="64"/>
  <c r="I85" i="64"/>
  <c r="G85" i="64"/>
  <c r="J85" i="64"/>
  <c r="I82" i="64"/>
  <c r="G82" i="64"/>
  <c r="J82" i="64"/>
  <c r="I81" i="64"/>
  <c r="G81" i="64"/>
  <c r="J81" i="64"/>
  <c r="I80" i="64"/>
  <c r="G80" i="64"/>
  <c r="J80" i="64"/>
  <c r="I79" i="64"/>
  <c r="G79" i="64"/>
  <c r="J79" i="64"/>
  <c r="J75" i="64"/>
  <c r="C13" i="64"/>
  <c r="C27" i="64"/>
  <c r="A75" i="64"/>
  <c r="J74" i="64"/>
  <c r="A74" i="64"/>
  <c r="J73" i="64"/>
  <c r="A73" i="64"/>
  <c r="J72" i="64"/>
  <c r="A72" i="64"/>
  <c r="J71" i="64"/>
  <c r="A71" i="64"/>
  <c r="J70" i="64"/>
  <c r="A70" i="64"/>
  <c r="J69" i="64"/>
  <c r="A69" i="64"/>
  <c r="J68" i="64"/>
  <c r="A68" i="64"/>
  <c r="J67" i="64"/>
  <c r="A67" i="64"/>
  <c r="J66" i="64"/>
  <c r="A66" i="64"/>
  <c r="J65" i="64"/>
  <c r="A65" i="64"/>
  <c r="J64" i="64"/>
  <c r="A64" i="64"/>
  <c r="J63" i="64"/>
  <c r="A63" i="64"/>
  <c r="J62" i="64"/>
  <c r="A62" i="64"/>
  <c r="J61" i="64"/>
  <c r="A61" i="64"/>
  <c r="J60" i="64"/>
  <c r="A60" i="64"/>
  <c r="J59" i="64"/>
  <c r="A59" i="64"/>
  <c r="J58" i="64"/>
  <c r="A58" i="64"/>
  <c r="J57" i="64"/>
  <c r="A57" i="64"/>
  <c r="J56" i="64"/>
  <c r="A56" i="64"/>
  <c r="J55" i="64"/>
  <c r="A55" i="64"/>
  <c r="J54" i="64"/>
  <c r="A54" i="64"/>
  <c r="J53" i="64"/>
  <c r="A53" i="64"/>
  <c r="J52" i="64"/>
  <c r="A52" i="64"/>
  <c r="J51" i="64"/>
  <c r="A51" i="64"/>
  <c r="J50" i="64"/>
  <c r="A50" i="64"/>
  <c r="J49" i="64"/>
  <c r="A49" i="64"/>
  <c r="I48" i="64"/>
  <c r="J48" i="64"/>
  <c r="A48" i="64"/>
  <c r="J47" i="64"/>
  <c r="A47" i="64"/>
  <c r="J46" i="64"/>
  <c r="A46" i="64"/>
  <c r="I45" i="64"/>
  <c r="J45" i="64"/>
  <c r="A45" i="64"/>
  <c r="I44" i="64"/>
  <c r="J44" i="64"/>
  <c r="A44" i="64"/>
  <c r="A43" i="64"/>
  <c r="A42" i="64"/>
  <c r="A41" i="64"/>
  <c r="A40" i="64"/>
  <c r="D39" i="64"/>
  <c r="I39" i="64"/>
  <c r="J39" i="64"/>
  <c r="K39" i="64"/>
  <c r="AF39" i="64"/>
  <c r="E39" i="64"/>
  <c r="F39" i="64"/>
  <c r="G39" i="64"/>
  <c r="M39" i="64"/>
  <c r="N39" i="64"/>
  <c r="A39" i="64"/>
  <c r="D38" i="64"/>
  <c r="I38" i="64"/>
  <c r="J38" i="64"/>
  <c r="K38" i="64"/>
  <c r="AF38" i="64"/>
  <c r="E38" i="64"/>
  <c r="F38" i="64"/>
  <c r="G38" i="64"/>
  <c r="M38" i="64"/>
  <c r="N38" i="64"/>
  <c r="A38" i="64"/>
  <c r="D37" i="64"/>
  <c r="I37" i="64"/>
  <c r="J37" i="64"/>
  <c r="K37" i="64"/>
  <c r="AF37" i="64"/>
  <c r="E37" i="64"/>
  <c r="F37" i="64"/>
  <c r="G37" i="64"/>
  <c r="M37" i="64"/>
  <c r="N37" i="64"/>
  <c r="A37" i="64"/>
  <c r="D36" i="64"/>
  <c r="I36" i="64"/>
  <c r="J36" i="64"/>
  <c r="K36" i="64"/>
  <c r="AF36" i="64"/>
  <c r="E36" i="64"/>
  <c r="F36" i="64"/>
  <c r="G36" i="64"/>
  <c r="M36" i="64"/>
  <c r="N36" i="64"/>
  <c r="A36" i="64"/>
  <c r="D35" i="64"/>
  <c r="I35" i="64"/>
  <c r="J35" i="64"/>
  <c r="K35" i="64"/>
  <c r="AF35" i="64"/>
  <c r="E35" i="64"/>
  <c r="F35" i="64"/>
  <c r="G35" i="64"/>
  <c r="M35" i="64"/>
  <c r="N35" i="64"/>
  <c r="A35" i="64"/>
  <c r="D34" i="64"/>
  <c r="I34" i="64"/>
  <c r="J34" i="64"/>
  <c r="K34" i="64"/>
  <c r="AF34" i="64"/>
  <c r="E34" i="64"/>
  <c r="F34" i="64"/>
  <c r="G34" i="64"/>
  <c r="M34" i="64"/>
  <c r="N34" i="64"/>
  <c r="A34" i="64"/>
  <c r="D33" i="64"/>
  <c r="I33" i="64"/>
  <c r="J33" i="64"/>
  <c r="K33" i="64"/>
  <c r="AF33" i="64"/>
  <c r="E33" i="64"/>
  <c r="F33" i="64"/>
  <c r="G33" i="64"/>
  <c r="M33" i="64"/>
  <c r="N33" i="64"/>
  <c r="A33" i="64"/>
  <c r="D32" i="64"/>
  <c r="I32" i="64"/>
  <c r="J32" i="64"/>
  <c r="K32" i="64"/>
  <c r="AF32" i="64"/>
  <c r="E32" i="64"/>
  <c r="F32" i="64"/>
  <c r="G32" i="64"/>
  <c r="M32" i="64"/>
  <c r="N32" i="64"/>
  <c r="A32" i="64"/>
  <c r="D31" i="64"/>
  <c r="I31" i="64"/>
  <c r="J31" i="64"/>
  <c r="K31" i="64"/>
  <c r="AF31" i="64"/>
  <c r="E31" i="64"/>
  <c r="F31" i="64"/>
  <c r="G31" i="64"/>
  <c r="M31" i="64"/>
  <c r="N31" i="64"/>
  <c r="A31" i="64"/>
  <c r="D30" i="64"/>
  <c r="I30" i="64"/>
  <c r="J30" i="64"/>
  <c r="K30" i="64"/>
  <c r="AF30" i="64"/>
  <c r="E30" i="64"/>
  <c r="F30" i="64"/>
  <c r="G30" i="64"/>
  <c r="M30" i="64"/>
  <c r="N30" i="64"/>
  <c r="A30" i="64"/>
  <c r="D29" i="64"/>
  <c r="I29" i="64"/>
  <c r="J29" i="64"/>
  <c r="K29" i="64"/>
  <c r="AF29" i="64"/>
  <c r="E29" i="64"/>
  <c r="F29" i="64"/>
  <c r="G29" i="64"/>
  <c r="M29" i="64"/>
  <c r="N29" i="64"/>
  <c r="A29" i="64"/>
  <c r="A28" i="64"/>
  <c r="I27" i="64"/>
  <c r="E27" i="64"/>
  <c r="D13" i="64"/>
  <c r="D27" i="64"/>
  <c r="A27" i="64"/>
  <c r="A26" i="64"/>
  <c r="D25" i="64"/>
  <c r="I25" i="64"/>
  <c r="J25" i="64"/>
  <c r="K25" i="64"/>
  <c r="AF25" i="64"/>
  <c r="E25" i="64"/>
  <c r="F25" i="64"/>
  <c r="G25" i="64"/>
  <c r="M25" i="64"/>
  <c r="N25" i="64"/>
  <c r="A25" i="64"/>
  <c r="D24" i="64"/>
  <c r="I24" i="64"/>
  <c r="J24" i="64"/>
  <c r="K24" i="64"/>
  <c r="AF24" i="64"/>
  <c r="E24" i="64"/>
  <c r="F24" i="64"/>
  <c r="G24" i="64"/>
  <c r="M24" i="64"/>
  <c r="N24" i="64"/>
  <c r="A24" i="64"/>
  <c r="D23" i="64"/>
  <c r="I23" i="64"/>
  <c r="J23" i="64"/>
  <c r="K23" i="64"/>
  <c r="AF23" i="64"/>
  <c r="E23" i="64"/>
  <c r="F23" i="64"/>
  <c r="G23" i="64"/>
  <c r="M23" i="64"/>
  <c r="N23" i="64"/>
  <c r="A23" i="64"/>
  <c r="D22" i="64"/>
  <c r="I22" i="64"/>
  <c r="J22" i="64"/>
  <c r="K22" i="64"/>
  <c r="AF22" i="64"/>
  <c r="E22" i="64"/>
  <c r="F22" i="64"/>
  <c r="G22" i="64"/>
  <c r="M22" i="64"/>
  <c r="N22" i="64"/>
  <c r="A22" i="64"/>
  <c r="D21" i="64"/>
  <c r="I21" i="64"/>
  <c r="J21" i="64"/>
  <c r="K21" i="64"/>
  <c r="AF21" i="64"/>
  <c r="E21" i="64"/>
  <c r="F21" i="64"/>
  <c r="G21" i="64"/>
  <c r="M21" i="64"/>
  <c r="N21" i="64"/>
  <c r="A21" i="64"/>
  <c r="D20" i="64"/>
  <c r="I20" i="64"/>
  <c r="J20" i="64"/>
  <c r="K20" i="64"/>
  <c r="AF20" i="64"/>
  <c r="E20" i="64"/>
  <c r="F20" i="64"/>
  <c r="G20" i="64"/>
  <c r="M20" i="64"/>
  <c r="N20" i="64"/>
  <c r="A20" i="64"/>
  <c r="D19" i="64"/>
  <c r="I19" i="64"/>
  <c r="J19" i="64"/>
  <c r="K19" i="64"/>
  <c r="AF19" i="64"/>
  <c r="E19" i="64"/>
  <c r="F19" i="64"/>
  <c r="G19" i="64"/>
  <c r="M19" i="64"/>
  <c r="N19" i="64"/>
  <c r="A19" i="64"/>
  <c r="D18" i="64"/>
  <c r="I18" i="64"/>
  <c r="J18" i="64"/>
  <c r="K18" i="64"/>
  <c r="AF18" i="64"/>
  <c r="E18" i="64"/>
  <c r="F18" i="64"/>
  <c r="G18" i="64"/>
  <c r="M18" i="64"/>
  <c r="N18" i="64"/>
  <c r="A18" i="64"/>
  <c r="D17" i="64"/>
  <c r="I17" i="64"/>
  <c r="J17" i="64"/>
  <c r="K17" i="64"/>
  <c r="AF17" i="64"/>
  <c r="E17" i="64"/>
  <c r="F17" i="64"/>
  <c r="G17" i="64"/>
  <c r="M17" i="64"/>
  <c r="N17" i="64"/>
  <c r="A17" i="64"/>
  <c r="D16" i="64"/>
  <c r="I16" i="64"/>
  <c r="J16" i="64"/>
  <c r="K16" i="64"/>
  <c r="AF16" i="64"/>
  <c r="E16" i="64"/>
  <c r="F16" i="64"/>
  <c r="G16" i="64"/>
  <c r="M16" i="64"/>
  <c r="N16" i="64"/>
  <c r="A16" i="64"/>
  <c r="D15" i="64"/>
  <c r="I15" i="64"/>
  <c r="J15" i="64"/>
  <c r="K15" i="64"/>
  <c r="AF15" i="64"/>
  <c r="E15" i="64"/>
  <c r="F15" i="64"/>
  <c r="G15" i="64"/>
  <c r="M15" i="64"/>
  <c r="N15" i="64"/>
  <c r="A15" i="64"/>
  <c r="A14" i="64"/>
  <c r="I13" i="64"/>
  <c r="E13" i="64"/>
  <c r="A13" i="64"/>
  <c r="A12" i="64"/>
  <c r="A8" i="64"/>
  <c r="A6" i="64"/>
  <c r="A5" i="64"/>
  <c r="I93" i="63"/>
  <c r="G93" i="63"/>
  <c r="J93" i="63"/>
  <c r="C93" i="63"/>
  <c r="I76" i="63"/>
  <c r="I77" i="63"/>
  <c r="I91" i="63"/>
  <c r="G91" i="63"/>
  <c r="J91" i="63"/>
  <c r="C91" i="63"/>
  <c r="I90" i="63"/>
  <c r="G90" i="63"/>
  <c r="J90" i="63"/>
  <c r="C90" i="63"/>
  <c r="I89" i="63"/>
  <c r="G89" i="63"/>
  <c r="J89" i="63"/>
  <c r="C89" i="63"/>
  <c r="I88" i="63"/>
  <c r="G88" i="63"/>
  <c r="J88" i="63"/>
  <c r="C88" i="63"/>
  <c r="C87" i="63"/>
  <c r="I85" i="63"/>
  <c r="G85" i="63"/>
  <c r="J85" i="63"/>
  <c r="C85" i="63"/>
  <c r="I84" i="63"/>
  <c r="G84" i="63"/>
  <c r="J84" i="63"/>
  <c r="C84" i="63"/>
  <c r="I83" i="63"/>
  <c r="G83" i="63"/>
  <c r="J83" i="63"/>
  <c r="C83" i="63"/>
  <c r="I82" i="63"/>
  <c r="G82" i="63"/>
  <c r="J82" i="63"/>
  <c r="C82" i="63"/>
  <c r="C81" i="63"/>
  <c r="A79" i="63"/>
  <c r="J78" i="63"/>
  <c r="C78" i="63"/>
  <c r="C13" i="63"/>
  <c r="C15" i="62"/>
  <c r="C15" i="63"/>
  <c r="C16" i="62"/>
  <c r="C16" i="63"/>
  <c r="C17" i="62"/>
  <c r="C17" i="63"/>
  <c r="C18" i="62"/>
  <c r="C18" i="63"/>
  <c r="C19" i="62"/>
  <c r="C19" i="63"/>
  <c r="C20" i="62"/>
  <c r="C20" i="63"/>
  <c r="C21" i="62"/>
  <c r="C21" i="63"/>
  <c r="C22" i="62"/>
  <c r="C22" i="63"/>
  <c r="C23" i="62"/>
  <c r="C23" i="63"/>
  <c r="C27" i="63"/>
  <c r="C29" i="63"/>
  <c r="C30" i="63"/>
  <c r="C31" i="63"/>
  <c r="C32" i="63"/>
  <c r="C33" i="63"/>
  <c r="C34" i="63"/>
  <c r="C35" i="63"/>
  <c r="C36" i="63"/>
  <c r="C37" i="63"/>
  <c r="C38" i="63"/>
  <c r="C44" i="63"/>
  <c r="C45" i="63"/>
  <c r="C46" i="63"/>
  <c r="C47" i="63"/>
  <c r="C48" i="63"/>
  <c r="C49" i="63"/>
  <c r="C50" i="63"/>
  <c r="C51" i="63"/>
  <c r="C52" i="63"/>
  <c r="C53" i="63"/>
  <c r="C54" i="63"/>
  <c r="C55" i="63"/>
  <c r="C56" i="63"/>
  <c r="C57" i="63"/>
  <c r="C58" i="63"/>
  <c r="C59" i="63"/>
  <c r="C60" i="63"/>
  <c r="C61" i="63"/>
  <c r="C62" i="63"/>
  <c r="C63" i="63"/>
  <c r="C64" i="63"/>
  <c r="C65" i="63"/>
  <c r="C66" i="63"/>
  <c r="C67" i="63"/>
  <c r="C68" i="63"/>
  <c r="C69" i="63"/>
  <c r="C70" i="63"/>
  <c r="C71" i="63"/>
  <c r="C72" i="63"/>
  <c r="C73" i="63"/>
  <c r="C74" i="63"/>
  <c r="C75" i="63"/>
  <c r="C76" i="63"/>
  <c r="C77" i="63"/>
  <c r="A78" i="63"/>
  <c r="J77" i="63"/>
  <c r="A77" i="63"/>
  <c r="J76" i="63"/>
  <c r="A76" i="63"/>
  <c r="J75" i="63"/>
  <c r="A75" i="63"/>
  <c r="J74" i="63"/>
  <c r="A74" i="63"/>
  <c r="J73" i="63"/>
  <c r="A73" i="63"/>
  <c r="J72" i="63"/>
  <c r="A72" i="63"/>
  <c r="J71" i="63"/>
  <c r="A71" i="63"/>
  <c r="J70" i="63"/>
  <c r="A70" i="63"/>
  <c r="J69" i="63"/>
  <c r="A69" i="63"/>
  <c r="J68" i="63"/>
  <c r="A68" i="63"/>
  <c r="J67" i="63"/>
  <c r="A67" i="63"/>
  <c r="J66" i="63"/>
  <c r="A66" i="63"/>
  <c r="J65" i="63"/>
  <c r="A65" i="63"/>
  <c r="J64" i="63"/>
  <c r="A64" i="63"/>
  <c r="J63" i="63"/>
  <c r="A63" i="63"/>
  <c r="J62" i="63"/>
  <c r="A62" i="63"/>
  <c r="J61" i="63"/>
  <c r="A61" i="63"/>
  <c r="J60" i="63"/>
  <c r="A60" i="63"/>
  <c r="J59" i="63"/>
  <c r="A59" i="63"/>
  <c r="J58" i="63"/>
  <c r="A58" i="63"/>
  <c r="J57" i="63"/>
  <c r="A57" i="63"/>
  <c r="J56" i="63"/>
  <c r="A56" i="63"/>
  <c r="J55" i="63"/>
  <c r="A55" i="63"/>
  <c r="J54" i="63"/>
  <c r="A54" i="63"/>
  <c r="J53" i="63"/>
  <c r="A53" i="63"/>
  <c r="J52" i="63"/>
  <c r="A52" i="63"/>
  <c r="J51" i="63"/>
  <c r="A51" i="63"/>
  <c r="J50" i="63"/>
  <c r="A50" i="63"/>
  <c r="J49" i="63"/>
  <c r="A49" i="63"/>
  <c r="I48" i="63"/>
  <c r="J48" i="63"/>
  <c r="A48" i="63"/>
  <c r="J47" i="63"/>
  <c r="A47" i="63"/>
  <c r="J46" i="63"/>
  <c r="A46" i="63"/>
  <c r="I45" i="63"/>
  <c r="J45" i="63"/>
  <c r="A45" i="63"/>
  <c r="I44" i="63"/>
  <c r="J44" i="63"/>
  <c r="A44" i="63"/>
  <c r="J43" i="63"/>
  <c r="I43" i="63"/>
  <c r="G43" i="63"/>
  <c r="A43" i="63"/>
  <c r="I42" i="63"/>
  <c r="G42" i="63"/>
  <c r="A42" i="63"/>
  <c r="A41" i="63"/>
  <c r="A40" i="63"/>
  <c r="D39" i="63"/>
  <c r="I39" i="63"/>
  <c r="J39" i="63"/>
  <c r="K39" i="63"/>
  <c r="AF39" i="63"/>
  <c r="E39" i="63"/>
  <c r="F39" i="63"/>
  <c r="G39" i="63"/>
  <c r="M39" i="63"/>
  <c r="N39" i="63"/>
  <c r="A39" i="63"/>
  <c r="D38" i="63"/>
  <c r="I38" i="63"/>
  <c r="J38" i="63"/>
  <c r="K38" i="63"/>
  <c r="AF38" i="63"/>
  <c r="E38" i="63"/>
  <c r="F38" i="63"/>
  <c r="G38" i="63"/>
  <c r="M38" i="63"/>
  <c r="N38" i="63"/>
  <c r="A38" i="63"/>
  <c r="D37" i="63"/>
  <c r="I37" i="63"/>
  <c r="J37" i="63"/>
  <c r="K37" i="63"/>
  <c r="AF37" i="63"/>
  <c r="E37" i="63"/>
  <c r="F37" i="63"/>
  <c r="G37" i="63"/>
  <c r="M37" i="63"/>
  <c r="N37" i="63"/>
  <c r="A37" i="63"/>
  <c r="D36" i="63"/>
  <c r="I36" i="63"/>
  <c r="J36" i="63"/>
  <c r="K36" i="63"/>
  <c r="AF36" i="63"/>
  <c r="E36" i="63"/>
  <c r="F36" i="63"/>
  <c r="G36" i="63"/>
  <c r="M36" i="63"/>
  <c r="N36" i="63"/>
  <c r="A36" i="63"/>
  <c r="D35" i="63"/>
  <c r="I35" i="63"/>
  <c r="J35" i="63"/>
  <c r="K35" i="63"/>
  <c r="AF35" i="63"/>
  <c r="E35" i="63"/>
  <c r="F35" i="63"/>
  <c r="G35" i="63"/>
  <c r="M35" i="63"/>
  <c r="N35" i="63"/>
  <c r="A35" i="63"/>
  <c r="D34" i="63"/>
  <c r="I34" i="63"/>
  <c r="J34" i="63"/>
  <c r="K34" i="63"/>
  <c r="AF34" i="63"/>
  <c r="E34" i="63"/>
  <c r="F34" i="63"/>
  <c r="G34" i="63"/>
  <c r="M34" i="63"/>
  <c r="N34" i="63"/>
  <c r="A34" i="63"/>
  <c r="D33" i="63"/>
  <c r="I33" i="63"/>
  <c r="J33" i="63"/>
  <c r="K33" i="63"/>
  <c r="AF33" i="63"/>
  <c r="E33" i="63"/>
  <c r="F33" i="63"/>
  <c r="G33" i="63"/>
  <c r="M33" i="63"/>
  <c r="N33" i="63"/>
  <c r="A33" i="63"/>
  <c r="D32" i="63"/>
  <c r="I32" i="63"/>
  <c r="J32" i="63"/>
  <c r="K32" i="63"/>
  <c r="AF32" i="63"/>
  <c r="E32" i="63"/>
  <c r="F32" i="63"/>
  <c r="G32" i="63"/>
  <c r="M32" i="63"/>
  <c r="N32" i="63"/>
  <c r="A32" i="63"/>
  <c r="D31" i="63"/>
  <c r="I31" i="63"/>
  <c r="J31" i="63"/>
  <c r="K31" i="63"/>
  <c r="AF31" i="63"/>
  <c r="E31" i="63"/>
  <c r="F31" i="63"/>
  <c r="G31" i="63"/>
  <c r="M31" i="63"/>
  <c r="N31" i="63"/>
  <c r="A31" i="63"/>
  <c r="D30" i="63"/>
  <c r="I30" i="63"/>
  <c r="J30" i="63"/>
  <c r="K30" i="63"/>
  <c r="AF30" i="63"/>
  <c r="E30" i="63"/>
  <c r="F30" i="63"/>
  <c r="G30" i="63"/>
  <c r="M30" i="63"/>
  <c r="N30" i="63"/>
  <c r="A30" i="63"/>
  <c r="D29" i="63"/>
  <c r="I29" i="63"/>
  <c r="J29" i="63"/>
  <c r="K29" i="63"/>
  <c r="AF29" i="63"/>
  <c r="E29" i="63"/>
  <c r="F29" i="63"/>
  <c r="G29" i="63"/>
  <c r="M29" i="63"/>
  <c r="N29" i="63"/>
  <c r="A29" i="63"/>
  <c r="A28" i="63"/>
  <c r="I27" i="63"/>
  <c r="E27" i="63"/>
  <c r="D13" i="63"/>
  <c r="D27" i="63"/>
  <c r="A27" i="63"/>
  <c r="A26" i="63"/>
  <c r="D25" i="63"/>
  <c r="I25" i="63"/>
  <c r="J25" i="63"/>
  <c r="K25" i="63"/>
  <c r="AF25" i="63"/>
  <c r="E25" i="63"/>
  <c r="F25" i="63"/>
  <c r="G25" i="63"/>
  <c r="M25" i="63"/>
  <c r="N25" i="63"/>
  <c r="A25" i="63"/>
  <c r="D24" i="63"/>
  <c r="I24" i="63"/>
  <c r="J24" i="63"/>
  <c r="K24" i="63"/>
  <c r="AF24" i="63"/>
  <c r="E24" i="63"/>
  <c r="F24" i="63"/>
  <c r="G24" i="63"/>
  <c r="M24" i="63"/>
  <c r="N24" i="63"/>
  <c r="A24" i="63"/>
  <c r="D23" i="63"/>
  <c r="I23" i="63"/>
  <c r="J23" i="63"/>
  <c r="K23" i="63"/>
  <c r="AF23" i="63"/>
  <c r="E23" i="63"/>
  <c r="F23" i="63"/>
  <c r="G23" i="63"/>
  <c r="M23" i="63"/>
  <c r="N23" i="63"/>
  <c r="A23" i="63"/>
  <c r="D22" i="63"/>
  <c r="I22" i="63"/>
  <c r="J22" i="63"/>
  <c r="K22" i="63"/>
  <c r="AF22" i="63"/>
  <c r="E22" i="63"/>
  <c r="F22" i="63"/>
  <c r="G22" i="63"/>
  <c r="M22" i="63"/>
  <c r="N22" i="63"/>
  <c r="A22" i="63"/>
  <c r="D21" i="63"/>
  <c r="I21" i="63"/>
  <c r="J21" i="63"/>
  <c r="K21" i="63"/>
  <c r="AF21" i="63"/>
  <c r="E21" i="63"/>
  <c r="F21" i="63"/>
  <c r="G21" i="63"/>
  <c r="M21" i="63"/>
  <c r="N21" i="63"/>
  <c r="A21" i="63"/>
  <c r="D20" i="63"/>
  <c r="I20" i="63"/>
  <c r="J20" i="63"/>
  <c r="K20" i="63"/>
  <c r="AF20" i="63"/>
  <c r="E20" i="63"/>
  <c r="F20" i="63"/>
  <c r="G20" i="63"/>
  <c r="M20" i="63"/>
  <c r="N20" i="63"/>
  <c r="A20" i="63"/>
  <c r="D19" i="63"/>
  <c r="I19" i="63"/>
  <c r="J19" i="63"/>
  <c r="K19" i="63"/>
  <c r="AF19" i="63"/>
  <c r="E19" i="63"/>
  <c r="F19" i="63"/>
  <c r="G19" i="63"/>
  <c r="M19" i="63"/>
  <c r="N19" i="63"/>
  <c r="A19" i="63"/>
  <c r="D18" i="63"/>
  <c r="I18" i="63"/>
  <c r="J18" i="63"/>
  <c r="K18" i="63"/>
  <c r="AF18" i="63"/>
  <c r="E18" i="63"/>
  <c r="F18" i="63"/>
  <c r="G18" i="63"/>
  <c r="M18" i="63"/>
  <c r="N18" i="63"/>
  <c r="A18" i="63"/>
  <c r="D17" i="63"/>
  <c r="I17" i="63"/>
  <c r="J17" i="63"/>
  <c r="K17" i="63"/>
  <c r="AF17" i="63"/>
  <c r="E17" i="63"/>
  <c r="F17" i="63"/>
  <c r="G17" i="63"/>
  <c r="M17" i="63"/>
  <c r="N17" i="63"/>
  <c r="A17" i="63"/>
  <c r="D16" i="63"/>
  <c r="I16" i="63"/>
  <c r="J16" i="63"/>
  <c r="K16" i="63"/>
  <c r="AF16" i="63"/>
  <c r="E16" i="63"/>
  <c r="F16" i="63"/>
  <c r="G16" i="63"/>
  <c r="M16" i="63"/>
  <c r="N16" i="63"/>
  <c r="A16" i="63"/>
  <c r="D15" i="63"/>
  <c r="I15" i="63"/>
  <c r="J15" i="63"/>
  <c r="K15" i="63"/>
  <c r="AF15" i="63"/>
  <c r="E15" i="63"/>
  <c r="F15" i="63"/>
  <c r="G15" i="63"/>
  <c r="M15" i="63"/>
  <c r="N15" i="63"/>
  <c r="A15" i="63"/>
  <c r="A14" i="63"/>
  <c r="I13" i="63"/>
  <c r="E13" i="63"/>
  <c r="A13" i="63"/>
  <c r="A12" i="63"/>
  <c r="A8" i="63"/>
  <c r="A6" i="63"/>
  <c r="A5" i="63"/>
  <c r="I93" i="62"/>
  <c r="G93" i="62"/>
  <c r="J93" i="62"/>
  <c r="C93" i="62"/>
  <c r="I76" i="62"/>
  <c r="I77" i="62"/>
  <c r="I91" i="62"/>
  <c r="G91" i="62"/>
  <c r="J91" i="62"/>
  <c r="C91" i="62"/>
  <c r="I90" i="62"/>
  <c r="G90" i="62"/>
  <c r="J90" i="62"/>
  <c r="C90" i="62"/>
  <c r="I89" i="62"/>
  <c r="G89" i="62"/>
  <c r="J89" i="62"/>
  <c r="C89" i="62"/>
  <c r="I88" i="62"/>
  <c r="G88" i="62"/>
  <c r="J88" i="62"/>
  <c r="C88" i="62"/>
  <c r="C87" i="62"/>
  <c r="I85" i="62"/>
  <c r="G85" i="62"/>
  <c r="J85" i="62"/>
  <c r="C85" i="62"/>
  <c r="I84" i="62"/>
  <c r="G84" i="62"/>
  <c r="J84" i="62"/>
  <c r="C84" i="62"/>
  <c r="I83" i="62"/>
  <c r="G83" i="62"/>
  <c r="J83" i="62"/>
  <c r="C83" i="62"/>
  <c r="I82" i="62"/>
  <c r="G82" i="62"/>
  <c r="J82" i="62"/>
  <c r="C82" i="62"/>
  <c r="C81" i="62"/>
  <c r="J78" i="62"/>
  <c r="C78" i="62"/>
  <c r="C13" i="62"/>
  <c r="C27" i="62"/>
  <c r="C29" i="62"/>
  <c r="C30" i="62"/>
  <c r="C31" i="62"/>
  <c r="C32" i="62"/>
  <c r="C33" i="62"/>
  <c r="C34" i="62"/>
  <c r="C35" i="62"/>
  <c r="C36" i="62"/>
  <c r="C37" i="62"/>
  <c r="C38" i="62"/>
  <c r="C44" i="62"/>
  <c r="C45" i="62"/>
  <c r="C46" i="62"/>
  <c r="C47" i="62"/>
  <c r="C48" i="62"/>
  <c r="C49" i="62"/>
  <c r="C50" i="62"/>
  <c r="C51" i="62"/>
  <c r="C52" i="62"/>
  <c r="C53" i="62"/>
  <c r="C54" i="62"/>
  <c r="C55" i="62"/>
  <c r="C56" i="62"/>
  <c r="C57" i="62"/>
  <c r="C58" i="62"/>
  <c r="C59" i="62"/>
  <c r="C60" i="62"/>
  <c r="C61" i="62"/>
  <c r="C62" i="62"/>
  <c r="C63" i="62"/>
  <c r="C64" i="62"/>
  <c r="C65" i="62"/>
  <c r="C66" i="62"/>
  <c r="C67" i="62"/>
  <c r="C68" i="62"/>
  <c r="C69" i="62"/>
  <c r="C70" i="62"/>
  <c r="C71" i="62"/>
  <c r="C72" i="62"/>
  <c r="C73" i="62"/>
  <c r="C74" i="62"/>
  <c r="C75" i="62"/>
  <c r="C76" i="62"/>
  <c r="C77" i="62"/>
  <c r="A78" i="62"/>
  <c r="J77" i="62"/>
  <c r="A77" i="62"/>
  <c r="J76" i="62"/>
  <c r="A76" i="62"/>
  <c r="J75" i="62"/>
  <c r="A75" i="62"/>
  <c r="J74" i="62"/>
  <c r="A74" i="62"/>
  <c r="J73" i="62"/>
  <c r="A73" i="62"/>
  <c r="J72" i="62"/>
  <c r="A72" i="62"/>
  <c r="J71" i="62"/>
  <c r="A71" i="62"/>
  <c r="J70" i="62"/>
  <c r="A70" i="62"/>
  <c r="J69" i="62"/>
  <c r="A69" i="62"/>
  <c r="J68" i="62"/>
  <c r="A68" i="62"/>
  <c r="J67" i="62"/>
  <c r="A67" i="62"/>
  <c r="J66" i="62"/>
  <c r="A66" i="62"/>
  <c r="J65" i="62"/>
  <c r="A65" i="62"/>
  <c r="J64" i="62"/>
  <c r="A64" i="62"/>
  <c r="J63" i="62"/>
  <c r="A63" i="62"/>
  <c r="J62" i="62"/>
  <c r="A62" i="62"/>
  <c r="J61" i="62"/>
  <c r="A61" i="62"/>
  <c r="J60" i="62"/>
  <c r="A60" i="62"/>
  <c r="J59" i="62"/>
  <c r="A59" i="62"/>
  <c r="J58" i="62"/>
  <c r="A58" i="62"/>
  <c r="J57" i="62"/>
  <c r="A57" i="62"/>
  <c r="J56" i="62"/>
  <c r="A56" i="62"/>
  <c r="J55" i="62"/>
  <c r="A55" i="62"/>
  <c r="J54" i="62"/>
  <c r="A54" i="62"/>
  <c r="J53" i="62"/>
  <c r="A53" i="62"/>
  <c r="J52" i="62"/>
  <c r="A52" i="62"/>
  <c r="J51" i="62"/>
  <c r="A51" i="62"/>
  <c r="J50" i="62"/>
  <c r="A50" i="62"/>
  <c r="J49" i="62"/>
  <c r="A49" i="62"/>
  <c r="I48" i="62"/>
  <c r="J48" i="62"/>
  <c r="A48" i="62"/>
  <c r="J47" i="62"/>
  <c r="A47" i="62"/>
  <c r="J46" i="62"/>
  <c r="A46" i="62"/>
  <c r="I45" i="62"/>
  <c r="J45" i="62"/>
  <c r="A45" i="62"/>
  <c r="I44" i="62"/>
  <c r="J44" i="62"/>
  <c r="A44" i="62"/>
  <c r="J43" i="62"/>
  <c r="I43" i="62"/>
  <c r="G43" i="62"/>
  <c r="A43" i="62"/>
  <c r="I42" i="62"/>
  <c r="G42" i="62"/>
  <c r="A42" i="62"/>
  <c r="A41" i="62"/>
  <c r="A40" i="62"/>
  <c r="D39" i="62"/>
  <c r="I39" i="62"/>
  <c r="J39" i="62"/>
  <c r="K39" i="62"/>
  <c r="AF39" i="62"/>
  <c r="E39" i="62"/>
  <c r="F39" i="62"/>
  <c r="G39" i="62"/>
  <c r="M39" i="62"/>
  <c r="N39" i="62"/>
  <c r="A39" i="62"/>
  <c r="D38" i="62"/>
  <c r="I38" i="62"/>
  <c r="J38" i="62"/>
  <c r="K38" i="62"/>
  <c r="AF38" i="62"/>
  <c r="E38" i="62"/>
  <c r="F38" i="62"/>
  <c r="G38" i="62"/>
  <c r="M38" i="62"/>
  <c r="N38" i="62"/>
  <c r="A38" i="62"/>
  <c r="D37" i="62"/>
  <c r="I37" i="62"/>
  <c r="J37" i="62"/>
  <c r="K37" i="62"/>
  <c r="AF37" i="62"/>
  <c r="E37" i="62"/>
  <c r="F37" i="62"/>
  <c r="G37" i="62"/>
  <c r="M37" i="62"/>
  <c r="N37" i="62"/>
  <c r="A37" i="62"/>
  <c r="D36" i="62"/>
  <c r="I36" i="62"/>
  <c r="J36" i="62"/>
  <c r="K36" i="62"/>
  <c r="AF36" i="62"/>
  <c r="E36" i="62"/>
  <c r="F36" i="62"/>
  <c r="G36" i="62"/>
  <c r="M36" i="62"/>
  <c r="N36" i="62"/>
  <c r="A36" i="62"/>
  <c r="D35" i="62"/>
  <c r="I35" i="62"/>
  <c r="J35" i="62"/>
  <c r="K35" i="62"/>
  <c r="AF35" i="62"/>
  <c r="E35" i="62"/>
  <c r="F35" i="62"/>
  <c r="G35" i="62"/>
  <c r="M35" i="62"/>
  <c r="N35" i="62"/>
  <c r="A35" i="62"/>
  <c r="D34" i="62"/>
  <c r="I34" i="62"/>
  <c r="J34" i="62"/>
  <c r="K34" i="62"/>
  <c r="AF34" i="62"/>
  <c r="E34" i="62"/>
  <c r="F34" i="62"/>
  <c r="G34" i="62"/>
  <c r="M34" i="62"/>
  <c r="N34" i="62"/>
  <c r="A34" i="62"/>
  <c r="D33" i="62"/>
  <c r="I33" i="62"/>
  <c r="J33" i="62"/>
  <c r="K33" i="62"/>
  <c r="AF33" i="62"/>
  <c r="E33" i="62"/>
  <c r="F33" i="62"/>
  <c r="G33" i="62"/>
  <c r="M33" i="62"/>
  <c r="N33" i="62"/>
  <c r="A33" i="62"/>
  <c r="D32" i="62"/>
  <c r="I32" i="62"/>
  <c r="J32" i="62"/>
  <c r="K32" i="62"/>
  <c r="AF32" i="62"/>
  <c r="E32" i="62"/>
  <c r="F32" i="62"/>
  <c r="G32" i="62"/>
  <c r="M32" i="62"/>
  <c r="N32" i="62"/>
  <c r="A32" i="62"/>
  <c r="D31" i="62"/>
  <c r="I31" i="62"/>
  <c r="J31" i="62"/>
  <c r="K31" i="62"/>
  <c r="AF31" i="62"/>
  <c r="E31" i="62"/>
  <c r="F31" i="62"/>
  <c r="G31" i="62"/>
  <c r="M31" i="62"/>
  <c r="N31" i="62"/>
  <c r="A31" i="62"/>
  <c r="D30" i="62"/>
  <c r="I30" i="62"/>
  <c r="J30" i="62"/>
  <c r="K30" i="62"/>
  <c r="AF30" i="62"/>
  <c r="E30" i="62"/>
  <c r="F30" i="62"/>
  <c r="G30" i="62"/>
  <c r="M30" i="62"/>
  <c r="N30" i="62"/>
  <c r="A30" i="62"/>
  <c r="D29" i="62"/>
  <c r="I29" i="62"/>
  <c r="J29" i="62"/>
  <c r="K29" i="62"/>
  <c r="AF29" i="62"/>
  <c r="E29" i="62"/>
  <c r="F29" i="62"/>
  <c r="G29" i="62"/>
  <c r="M29" i="62"/>
  <c r="N29" i="62"/>
  <c r="A29" i="62"/>
  <c r="A28" i="62"/>
  <c r="I27" i="62"/>
  <c r="E27" i="62"/>
  <c r="D13" i="62"/>
  <c r="D27" i="62"/>
  <c r="A27" i="62"/>
  <c r="A26" i="62"/>
  <c r="D25" i="62"/>
  <c r="I25" i="62"/>
  <c r="J25" i="62"/>
  <c r="K25" i="62"/>
  <c r="AF25" i="62"/>
  <c r="E25" i="62"/>
  <c r="F25" i="62"/>
  <c r="G25" i="62"/>
  <c r="M25" i="62"/>
  <c r="N25" i="62"/>
  <c r="A25" i="62"/>
  <c r="D24" i="62"/>
  <c r="I24" i="62"/>
  <c r="J24" i="62"/>
  <c r="K24" i="62"/>
  <c r="AF24" i="62"/>
  <c r="E24" i="62"/>
  <c r="F24" i="62"/>
  <c r="G24" i="62"/>
  <c r="M24" i="62"/>
  <c r="N24" i="62"/>
  <c r="A24" i="62"/>
  <c r="D23" i="62"/>
  <c r="I23" i="62"/>
  <c r="J23" i="62"/>
  <c r="K23" i="62"/>
  <c r="AF23" i="62"/>
  <c r="E23" i="62"/>
  <c r="F23" i="62"/>
  <c r="G23" i="62"/>
  <c r="M23" i="62"/>
  <c r="N23" i="62"/>
  <c r="A23" i="62"/>
  <c r="D22" i="62"/>
  <c r="I22" i="62"/>
  <c r="J22" i="62"/>
  <c r="K22" i="62"/>
  <c r="AF22" i="62"/>
  <c r="E22" i="62"/>
  <c r="F22" i="62"/>
  <c r="G22" i="62"/>
  <c r="M22" i="62"/>
  <c r="N22" i="62"/>
  <c r="A22" i="62"/>
  <c r="D21" i="62"/>
  <c r="I21" i="62"/>
  <c r="J21" i="62"/>
  <c r="K21" i="62"/>
  <c r="AF21" i="62"/>
  <c r="E21" i="62"/>
  <c r="F21" i="62"/>
  <c r="G21" i="62"/>
  <c r="M21" i="62"/>
  <c r="N21" i="62"/>
  <c r="A21" i="62"/>
  <c r="D20" i="62"/>
  <c r="I20" i="62"/>
  <c r="J20" i="62"/>
  <c r="K20" i="62"/>
  <c r="AF20" i="62"/>
  <c r="E20" i="62"/>
  <c r="F20" i="62"/>
  <c r="G20" i="62"/>
  <c r="M20" i="62"/>
  <c r="N20" i="62"/>
  <c r="A20" i="62"/>
  <c r="D19" i="62"/>
  <c r="I19" i="62"/>
  <c r="J19" i="62"/>
  <c r="K19" i="62"/>
  <c r="AF19" i="62"/>
  <c r="E19" i="62"/>
  <c r="F19" i="62"/>
  <c r="G19" i="62"/>
  <c r="M19" i="62"/>
  <c r="N19" i="62"/>
  <c r="A19" i="62"/>
  <c r="D18" i="62"/>
  <c r="I18" i="62"/>
  <c r="J18" i="62"/>
  <c r="K18" i="62"/>
  <c r="AF18" i="62"/>
  <c r="E18" i="62"/>
  <c r="F18" i="62"/>
  <c r="G18" i="62"/>
  <c r="M18" i="62"/>
  <c r="N18" i="62"/>
  <c r="A18" i="62"/>
  <c r="D17" i="62"/>
  <c r="I17" i="62"/>
  <c r="J17" i="62"/>
  <c r="K17" i="62"/>
  <c r="AF17" i="62"/>
  <c r="E17" i="62"/>
  <c r="F17" i="62"/>
  <c r="G17" i="62"/>
  <c r="M17" i="62"/>
  <c r="N17" i="62"/>
  <c r="A17" i="62"/>
  <c r="D16" i="62"/>
  <c r="I16" i="62"/>
  <c r="J16" i="62"/>
  <c r="K16" i="62"/>
  <c r="AF16" i="62"/>
  <c r="E16" i="62"/>
  <c r="F16" i="62"/>
  <c r="G16" i="62"/>
  <c r="M16" i="62"/>
  <c r="N16" i="62"/>
  <c r="A16" i="62"/>
  <c r="D15" i="62"/>
  <c r="I15" i="62"/>
  <c r="J15" i="62"/>
  <c r="K15" i="62"/>
  <c r="AF15" i="62"/>
  <c r="E15" i="62"/>
  <c r="F15" i="62"/>
  <c r="G15" i="62"/>
  <c r="M15" i="62"/>
  <c r="N15" i="62"/>
  <c r="A15" i="62"/>
  <c r="A14" i="62"/>
  <c r="I13" i="62"/>
  <c r="E13" i="62"/>
  <c r="A13" i="62"/>
  <c r="A12" i="62"/>
  <c r="A8" i="62"/>
  <c r="A6" i="62"/>
  <c r="A5" i="62"/>
  <c r="I93" i="61"/>
  <c r="G93" i="61"/>
  <c r="J93" i="61"/>
  <c r="I76" i="61"/>
  <c r="I77" i="61"/>
  <c r="I91" i="61"/>
  <c r="G91" i="61"/>
  <c r="J91" i="61"/>
  <c r="I90" i="61"/>
  <c r="G90" i="61"/>
  <c r="J90" i="61"/>
  <c r="I89" i="61"/>
  <c r="G89" i="61"/>
  <c r="J89" i="61"/>
  <c r="I88" i="61"/>
  <c r="G88" i="61"/>
  <c r="J88" i="61"/>
  <c r="I85" i="61"/>
  <c r="G85" i="61"/>
  <c r="J85" i="61"/>
  <c r="I84" i="61"/>
  <c r="G84" i="61"/>
  <c r="J84" i="61"/>
  <c r="I83" i="61"/>
  <c r="G83" i="61"/>
  <c r="J83" i="61"/>
  <c r="I82" i="61"/>
  <c r="G82" i="61"/>
  <c r="J82" i="61"/>
  <c r="J78" i="61"/>
  <c r="C27" i="61"/>
  <c r="C29" i="61"/>
  <c r="C30" i="61"/>
  <c r="C31" i="61"/>
  <c r="C32" i="61"/>
  <c r="C33" i="61"/>
  <c r="C34" i="61"/>
  <c r="C35" i="61"/>
  <c r="C36" i="61"/>
  <c r="C37" i="61"/>
  <c r="C38" i="61"/>
  <c r="A78" i="61"/>
  <c r="J77" i="61"/>
  <c r="A77" i="61"/>
  <c r="J76" i="61"/>
  <c r="A76" i="61"/>
  <c r="J75" i="61"/>
  <c r="A75" i="61"/>
  <c r="J74" i="61"/>
  <c r="A74" i="61"/>
  <c r="J73" i="61"/>
  <c r="A73" i="61"/>
  <c r="J72" i="61"/>
  <c r="A72" i="61"/>
  <c r="J71" i="61"/>
  <c r="A71" i="61"/>
  <c r="J70" i="61"/>
  <c r="A70" i="61"/>
  <c r="J69" i="61"/>
  <c r="A69" i="61"/>
  <c r="J68" i="61"/>
  <c r="A68" i="61"/>
  <c r="J67" i="61"/>
  <c r="A67" i="61"/>
  <c r="J66" i="61"/>
  <c r="A66" i="61"/>
  <c r="J65" i="61"/>
  <c r="A65" i="61"/>
  <c r="J64" i="61"/>
  <c r="A64" i="61"/>
  <c r="J63" i="61"/>
  <c r="A63" i="61"/>
  <c r="J62" i="61"/>
  <c r="A62" i="61"/>
  <c r="J61" i="61"/>
  <c r="A61" i="61"/>
  <c r="J60" i="61"/>
  <c r="A60" i="61"/>
  <c r="J59" i="61"/>
  <c r="A59" i="61"/>
  <c r="J58" i="61"/>
  <c r="A58" i="61"/>
  <c r="J57" i="61"/>
  <c r="A57" i="61"/>
  <c r="J56" i="61"/>
  <c r="A56" i="61"/>
  <c r="J55" i="61"/>
  <c r="A55" i="61"/>
  <c r="J54" i="61"/>
  <c r="A54" i="61"/>
  <c r="J53" i="61"/>
  <c r="A53" i="61"/>
  <c r="J52" i="61"/>
  <c r="A52" i="61"/>
  <c r="J51" i="61"/>
  <c r="A51" i="61"/>
  <c r="J50" i="61"/>
  <c r="A50" i="61"/>
  <c r="J49" i="61"/>
  <c r="A49" i="61"/>
  <c r="I48" i="61"/>
  <c r="J48" i="61"/>
  <c r="A48" i="61"/>
  <c r="J47" i="61"/>
  <c r="A47" i="61"/>
  <c r="J46" i="61"/>
  <c r="A46" i="61"/>
  <c r="I45" i="61"/>
  <c r="J45" i="61"/>
  <c r="A45" i="61"/>
  <c r="I44" i="61"/>
  <c r="J44" i="61"/>
  <c r="A44" i="61"/>
  <c r="A43" i="61"/>
  <c r="A42" i="61"/>
  <c r="A41" i="61"/>
  <c r="A40" i="61"/>
  <c r="D25" i="61"/>
  <c r="D39" i="61"/>
  <c r="I39" i="61"/>
  <c r="J39" i="61"/>
  <c r="K39" i="61"/>
  <c r="AF39" i="61"/>
  <c r="E39" i="61"/>
  <c r="F39" i="61"/>
  <c r="G39" i="61"/>
  <c r="M39" i="61"/>
  <c r="N39" i="61"/>
  <c r="A39" i="61"/>
  <c r="D24" i="61"/>
  <c r="D38" i="61"/>
  <c r="I38" i="61"/>
  <c r="J38" i="61"/>
  <c r="K38" i="61"/>
  <c r="AF38" i="61"/>
  <c r="E38" i="61"/>
  <c r="F38" i="61"/>
  <c r="G38" i="61"/>
  <c r="M38" i="61"/>
  <c r="N38" i="61"/>
  <c r="A38" i="61"/>
  <c r="D23" i="61"/>
  <c r="D37" i="61"/>
  <c r="I37" i="61"/>
  <c r="J37" i="61"/>
  <c r="K37" i="61"/>
  <c r="AF37" i="61"/>
  <c r="E37" i="61"/>
  <c r="F37" i="61"/>
  <c r="G37" i="61"/>
  <c r="M37" i="61"/>
  <c r="N37" i="61"/>
  <c r="A37" i="61"/>
  <c r="D22" i="61"/>
  <c r="D36" i="61"/>
  <c r="I36" i="61"/>
  <c r="J36" i="61"/>
  <c r="K36" i="61"/>
  <c r="AF36" i="61"/>
  <c r="E36" i="61"/>
  <c r="F36" i="61"/>
  <c r="G36" i="61"/>
  <c r="M36" i="61"/>
  <c r="N36" i="61"/>
  <c r="A36" i="61"/>
  <c r="D21" i="61"/>
  <c r="D35" i="61"/>
  <c r="I35" i="61"/>
  <c r="J35" i="61"/>
  <c r="K35" i="61"/>
  <c r="AF35" i="61"/>
  <c r="E35" i="61"/>
  <c r="F35" i="61"/>
  <c r="G35" i="61"/>
  <c r="M35" i="61"/>
  <c r="N35" i="61"/>
  <c r="A35" i="61"/>
  <c r="D20" i="61"/>
  <c r="D34" i="61"/>
  <c r="I34" i="61"/>
  <c r="J34" i="61"/>
  <c r="K34" i="61"/>
  <c r="AF34" i="61"/>
  <c r="E34" i="61"/>
  <c r="F34" i="61"/>
  <c r="G34" i="61"/>
  <c r="M34" i="61"/>
  <c r="N34" i="61"/>
  <c r="A34" i="61"/>
  <c r="D19" i="61"/>
  <c r="D33" i="61"/>
  <c r="I33" i="61"/>
  <c r="J33" i="61"/>
  <c r="K33" i="61"/>
  <c r="AF33" i="61"/>
  <c r="E33" i="61"/>
  <c r="F33" i="61"/>
  <c r="G33" i="61"/>
  <c r="M33" i="61"/>
  <c r="N33" i="61"/>
  <c r="A33" i="61"/>
  <c r="D18" i="61"/>
  <c r="D32" i="61"/>
  <c r="I32" i="61"/>
  <c r="J32" i="61"/>
  <c r="K32" i="61"/>
  <c r="AF32" i="61"/>
  <c r="E32" i="61"/>
  <c r="F32" i="61"/>
  <c r="G32" i="61"/>
  <c r="M32" i="61"/>
  <c r="N32" i="61"/>
  <c r="A32" i="61"/>
  <c r="D17" i="61"/>
  <c r="D31" i="61"/>
  <c r="I31" i="61"/>
  <c r="J31" i="61"/>
  <c r="K31" i="61"/>
  <c r="AF31" i="61"/>
  <c r="E31" i="61"/>
  <c r="F31" i="61"/>
  <c r="G31" i="61"/>
  <c r="M31" i="61"/>
  <c r="N31" i="61"/>
  <c r="A31" i="61"/>
  <c r="D16" i="61"/>
  <c r="D30" i="61"/>
  <c r="I30" i="61"/>
  <c r="J30" i="61"/>
  <c r="K30" i="61"/>
  <c r="AF30" i="61"/>
  <c r="E30" i="61"/>
  <c r="F30" i="61"/>
  <c r="G30" i="61"/>
  <c r="M30" i="61"/>
  <c r="N30" i="61"/>
  <c r="A30" i="61"/>
  <c r="D15" i="61"/>
  <c r="D29" i="61"/>
  <c r="I29" i="61"/>
  <c r="J29" i="61"/>
  <c r="K29" i="61"/>
  <c r="AF29" i="61"/>
  <c r="E29" i="61"/>
  <c r="F29" i="61"/>
  <c r="G29" i="61"/>
  <c r="M29" i="61"/>
  <c r="N29" i="61"/>
  <c r="A29" i="61"/>
  <c r="A28" i="61"/>
  <c r="I27" i="61"/>
  <c r="E27" i="61"/>
  <c r="D13" i="61"/>
  <c r="D27" i="61"/>
  <c r="A27" i="61"/>
  <c r="A26" i="61"/>
  <c r="I25" i="61"/>
  <c r="J25" i="61"/>
  <c r="K25" i="61"/>
  <c r="AF25" i="61"/>
  <c r="E25" i="61"/>
  <c r="F25" i="61"/>
  <c r="G25" i="61"/>
  <c r="M25" i="61"/>
  <c r="N25" i="61"/>
  <c r="A25" i="61"/>
  <c r="I24" i="61"/>
  <c r="J24" i="61"/>
  <c r="K24" i="61"/>
  <c r="AF24" i="61"/>
  <c r="E24" i="61"/>
  <c r="F24" i="61"/>
  <c r="G24" i="61"/>
  <c r="M24" i="61"/>
  <c r="N24" i="61"/>
  <c r="A24" i="61"/>
  <c r="I23" i="61"/>
  <c r="J23" i="61"/>
  <c r="K23" i="61"/>
  <c r="AF23" i="61"/>
  <c r="E23" i="61"/>
  <c r="F23" i="61"/>
  <c r="G23" i="61"/>
  <c r="M23" i="61"/>
  <c r="N23" i="61"/>
  <c r="A23" i="61"/>
  <c r="I22" i="61"/>
  <c r="J22" i="61"/>
  <c r="K22" i="61"/>
  <c r="AF22" i="61"/>
  <c r="E22" i="61"/>
  <c r="F22" i="61"/>
  <c r="G22" i="61"/>
  <c r="M22" i="61"/>
  <c r="N22" i="61"/>
  <c r="A22" i="61"/>
  <c r="I21" i="61"/>
  <c r="J21" i="61"/>
  <c r="K21" i="61"/>
  <c r="AF21" i="61"/>
  <c r="E21" i="61"/>
  <c r="F21" i="61"/>
  <c r="G21" i="61"/>
  <c r="M21" i="61"/>
  <c r="N21" i="61"/>
  <c r="A21" i="61"/>
  <c r="I20" i="61"/>
  <c r="J20" i="61"/>
  <c r="K20" i="61"/>
  <c r="AF20" i="61"/>
  <c r="E20" i="61"/>
  <c r="F20" i="61"/>
  <c r="G20" i="61"/>
  <c r="M20" i="61"/>
  <c r="N20" i="61"/>
  <c r="A20" i="61"/>
  <c r="I19" i="61"/>
  <c r="J19" i="61"/>
  <c r="K19" i="61"/>
  <c r="AF19" i="61"/>
  <c r="E19" i="61"/>
  <c r="F19" i="61"/>
  <c r="G19" i="61"/>
  <c r="M19" i="61"/>
  <c r="N19" i="61"/>
  <c r="A19" i="61"/>
  <c r="I18" i="61"/>
  <c r="J18" i="61"/>
  <c r="K18" i="61"/>
  <c r="AF18" i="61"/>
  <c r="E18" i="61"/>
  <c r="F18" i="61"/>
  <c r="G18" i="61"/>
  <c r="M18" i="61"/>
  <c r="N18" i="61"/>
  <c r="A18" i="61"/>
  <c r="I17" i="61"/>
  <c r="J17" i="61"/>
  <c r="K17" i="61"/>
  <c r="AF17" i="61"/>
  <c r="E17" i="61"/>
  <c r="F17" i="61"/>
  <c r="G17" i="61"/>
  <c r="M17" i="61"/>
  <c r="N17" i="61"/>
  <c r="A17" i="61"/>
  <c r="I16" i="61"/>
  <c r="J16" i="61"/>
  <c r="K16" i="61"/>
  <c r="AF16" i="61"/>
  <c r="E16" i="61"/>
  <c r="F16" i="61"/>
  <c r="G16" i="61"/>
  <c r="M16" i="61"/>
  <c r="N16" i="61"/>
  <c r="A16" i="61"/>
  <c r="I15" i="61"/>
  <c r="J15" i="61"/>
  <c r="K15" i="61"/>
  <c r="AF15" i="61"/>
  <c r="E15" i="61"/>
  <c r="F15" i="61"/>
  <c r="G15" i="61"/>
  <c r="M15" i="61"/>
  <c r="N15" i="61"/>
  <c r="A15" i="61"/>
  <c r="A14" i="61"/>
  <c r="I13" i="61"/>
  <c r="E13" i="61"/>
  <c r="A13" i="61"/>
  <c r="A12" i="61"/>
  <c r="A8" i="61"/>
  <c r="A6" i="61"/>
  <c r="A5" i="61"/>
  <c r="I65" i="60"/>
  <c r="I70" i="60"/>
  <c r="H70" i="60"/>
  <c r="F70" i="60"/>
  <c r="I45" i="60"/>
  <c r="I46" i="60"/>
  <c r="I47" i="60"/>
  <c r="I48" i="60"/>
  <c r="I49" i="60"/>
  <c r="I50" i="60"/>
  <c r="I51" i="60"/>
  <c r="I52" i="60"/>
  <c r="I53" i="60"/>
  <c r="I54" i="60"/>
  <c r="I55" i="60"/>
  <c r="I56" i="60"/>
  <c r="I57" i="60"/>
  <c r="I58" i="60"/>
  <c r="I59" i="60"/>
  <c r="I60" i="60"/>
  <c r="I61" i="60"/>
  <c r="I62" i="60"/>
  <c r="H63" i="60"/>
  <c r="I63" i="60"/>
  <c r="H64" i="60"/>
  <c r="I64" i="60"/>
  <c r="I69" i="60"/>
  <c r="H69" i="60"/>
  <c r="F69" i="60"/>
  <c r="I44" i="60"/>
  <c r="I68" i="60"/>
  <c r="H68" i="60"/>
  <c r="F68" i="60"/>
  <c r="A67" i="60"/>
  <c r="A66" i="60"/>
  <c r="C13" i="60"/>
  <c r="C26" i="60"/>
  <c r="C27" i="60"/>
  <c r="C28" i="60"/>
  <c r="C29" i="60"/>
  <c r="C30" i="60"/>
  <c r="C31" i="60"/>
  <c r="C32" i="60"/>
  <c r="C33" i="60"/>
  <c r="C34" i="60"/>
  <c r="C35" i="60"/>
  <c r="C36" i="60"/>
  <c r="C37" i="60"/>
  <c r="C43" i="60"/>
  <c r="C61" i="60"/>
  <c r="A65" i="60"/>
  <c r="A64" i="60"/>
  <c r="A63" i="60"/>
  <c r="A62" i="60"/>
  <c r="A61" i="60"/>
  <c r="A60" i="60"/>
  <c r="A59" i="60"/>
  <c r="A58" i="60"/>
  <c r="A57" i="60"/>
  <c r="A56" i="60"/>
  <c r="A55" i="60"/>
  <c r="A54" i="60"/>
  <c r="A53" i="60"/>
  <c r="A52" i="60"/>
  <c r="A51" i="60"/>
  <c r="A50" i="60"/>
  <c r="A49" i="60"/>
  <c r="A48" i="60"/>
  <c r="A47" i="60"/>
  <c r="A46" i="60"/>
  <c r="A45" i="60"/>
  <c r="A44" i="60"/>
  <c r="H43" i="60"/>
  <c r="I43" i="60"/>
  <c r="A43" i="60"/>
  <c r="A42" i="60"/>
  <c r="A41" i="60"/>
  <c r="A40" i="60"/>
  <c r="H38" i="60"/>
  <c r="I38" i="60"/>
  <c r="J38" i="60"/>
  <c r="D38" i="60"/>
  <c r="E38" i="60"/>
  <c r="F38" i="60"/>
  <c r="L38" i="60"/>
  <c r="M38" i="60"/>
  <c r="A38" i="60"/>
  <c r="H37" i="60"/>
  <c r="I37" i="60"/>
  <c r="J37" i="60"/>
  <c r="D37" i="60"/>
  <c r="E37" i="60"/>
  <c r="F37" i="60"/>
  <c r="L37" i="60"/>
  <c r="M37" i="60"/>
  <c r="A37" i="60"/>
  <c r="H36" i="60"/>
  <c r="I36" i="60"/>
  <c r="J36" i="60"/>
  <c r="D36" i="60"/>
  <c r="E36" i="60"/>
  <c r="F36" i="60"/>
  <c r="L36" i="60"/>
  <c r="M36" i="60"/>
  <c r="A36" i="60"/>
  <c r="H35" i="60"/>
  <c r="I35" i="60"/>
  <c r="J35" i="60"/>
  <c r="D35" i="60"/>
  <c r="E35" i="60"/>
  <c r="F35" i="60"/>
  <c r="L35" i="60"/>
  <c r="M35" i="60"/>
  <c r="A35" i="60"/>
  <c r="H34" i="60"/>
  <c r="I34" i="60"/>
  <c r="J34" i="60"/>
  <c r="D34" i="60"/>
  <c r="E34" i="60"/>
  <c r="F34" i="60"/>
  <c r="L34" i="60"/>
  <c r="M34" i="60"/>
  <c r="A34" i="60"/>
  <c r="H33" i="60"/>
  <c r="I33" i="60"/>
  <c r="J33" i="60"/>
  <c r="D33" i="60"/>
  <c r="E33" i="60"/>
  <c r="F33" i="60"/>
  <c r="L33" i="60"/>
  <c r="M33" i="60"/>
  <c r="A33" i="60"/>
  <c r="H32" i="60"/>
  <c r="I32" i="60"/>
  <c r="J32" i="60"/>
  <c r="D32" i="60"/>
  <c r="E32" i="60"/>
  <c r="F32" i="60"/>
  <c r="L32" i="60"/>
  <c r="M32" i="60"/>
  <c r="A32" i="60"/>
  <c r="H31" i="60"/>
  <c r="I31" i="60"/>
  <c r="J31" i="60"/>
  <c r="D31" i="60"/>
  <c r="E31" i="60"/>
  <c r="F31" i="60"/>
  <c r="L31" i="60"/>
  <c r="M31" i="60"/>
  <c r="A31" i="60"/>
  <c r="H30" i="60"/>
  <c r="I30" i="60"/>
  <c r="J30" i="60"/>
  <c r="D30" i="60"/>
  <c r="E30" i="60"/>
  <c r="F30" i="60"/>
  <c r="L30" i="60"/>
  <c r="M30" i="60"/>
  <c r="A30" i="60"/>
  <c r="H29" i="60"/>
  <c r="I29" i="60"/>
  <c r="J29" i="60"/>
  <c r="D29" i="60"/>
  <c r="E29" i="60"/>
  <c r="F29" i="60"/>
  <c r="L29" i="60"/>
  <c r="M29" i="60"/>
  <c r="A29" i="60"/>
  <c r="H28" i="60"/>
  <c r="I28" i="60"/>
  <c r="J28" i="60"/>
  <c r="D28" i="60"/>
  <c r="E28" i="60"/>
  <c r="F28" i="60"/>
  <c r="L28" i="60"/>
  <c r="M28" i="60"/>
  <c r="A28" i="60"/>
  <c r="M13" i="60"/>
  <c r="M27" i="60"/>
  <c r="L13" i="60"/>
  <c r="L27" i="60"/>
  <c r="J13" i="60"/>
  <c r="J27" i="60"/>
  <c r="I13" i="60"/>
  <c r="I27" i="60"/>
  <c r="H13" i="60"/>
  <c r="H27" i="60"/>
  <c r="F13" i="60"/>
  <c r="F27" i="60"/>
  <c r="E13" i="60"/>
  <c r="E27" i="60"/>
  <c r="D13" i="60"/>
  <c r="D27" i="60"/>
  <c r="A27" i="60"/>
  <c r="L12" i="60"/>
  <c r="L26" i="60"/>
  <c r="A26" i="60"/>
  <c r="A25" i="60"/>
  <c r="H24" i="60"/>
  <c r="I24" i="60"/>
  <c r="J24" i="60"/>
  <c r="D24" i="60"/>
  <c r="E24" i="60"/>
  <c r="F24" i="60"/>
  <c r="L24" i="60"/>
  <c r="M24" i="60"/>
  <c r="A24" i="60"/>
  <c r="H23" i="60"/>
  <c r="I23" i="60"/>
  <c r="J23" i="60"/>
  <c r="D23" i="60"/>
  <c r="E23" i="60"/>
  <c r="F23" i="60"/>
  <c r="L23" i="60"/>
  <c r="M23" i="60"/>
  <c r="A23" i="60"/>
  <c r="H22" i="60"/>
  <c r="I22" i="60"/>
  <c r="J22" i="60"/>
  <c r="D22" i="60"/>
  <c r="E22" i="60"/>
  <c r="F22" i="60"/>
  <c r="L22" i="60"/>
  <c r="M22" i="60"/>
  <c r="A22" i="60"/>
  <c r="H21" i="60"/>
  <c r="I21" i="60"/>
  <c r="J21" i="60"/>
  <c r="D21" i="60"/>
  <c r="E21" i="60"/>
  <c r="F21" i="60"/>
  <c r="L21" i="60"/>
  <c r="M21" i="60"/>
  <c r="A21" i="60"/>
  <c r="H20" i="60"/>
  <c r="I20" i="60"/>
  <c r="J20" i="60"/>
  <c r="D20" i="60"/>
  <c r="E20" i="60"/>
  <c r="F20" i="60"/>
  <c r="L20" i="60"/>
  <c r="M20" i="60"/>
  <c r="A20" i="60"/>
  <c r="H19" i="60"/>
  <c r="I19" i="60"/>
  <c r="J19" i="60"/>
  <c r="D19" i="60"/>
  <c r="E19" i="60"/>
  <c r="F19" i="60"/>
  <c r="L19" i="60"/>
  <c r="M19" i="60"/>
  <c r="A19" i="60"/>
  <c r="H18" i="60"/>
  <c r="I18" i="60"/>
  <c r="J18" i="60"/>
  <c r="D18" i="60"/>
  <c r="E18" i="60"/>
  <c r="F18" i="60"/>
  <c r="L18" i="60"/>
  <c r="M18" i="60"/>
  <c r="A18" i="60"/>
  <c r="H17" i="60"/>
  <c r="I17" i="60"/>
  <c r="J17" i="60"/>
  <c r="D17" i="60"/>
  <c r="E17" i="60"/>
  <c r="F17" i="60"/>
  <c r="L17" i="60"/>
  <c r="M17" i="60"/>
  <c r="A17" i="60"/>
  <c r="H16" i="60"/>
  <c r="I16" i="60"/>
  <c r="J16" i="60"/>
  <c r="D16" i="60"/>
  <c r="E16" i="60"/>
  <c r="F16" i="60"/>
  <c r="L16" i="60"/>
  <c r="M16" i="60"/>
  <c r="A16" i="60"/>
  <c r="H15" i="60"/>
  <c r="I15" i="60"/>
  <c r="J15" i="60"/>
  <c r="D15" i="60"/>
  <c r="E15" i="60"/>
  <c r="F15" i="60"/>
  <c r="L15" i="60"/>
  <c r="M15" i="60"/>
  <c r="A15" i="60"/>
  <c r="H14" i="60"/>
  <c r="I14" i="60"/>
  <c r="J14" i="60"/>
  <c r="D14" i="60"/>
  <c r="E14" i="60"/>
  <c r="F14" i="60"/>
  <c r="L14" i="60"/>
  <c r="M14" i="60"/>
  <c r="A14" i="60"/>
  <c r="A13" i="60"/>
  <c r="A12" i="60"/>
  <c r="I52" i="59"/>
  <c r="I57" i="59"/>
  <c r="H57" i="59"/>
  <c r="F57" i="59"/>
  <c r="C57" i="59"/>
  <c r="I32" i="59"/>
  <c r="Z13" i="2"/>
  <c r="AA13" i="2"/>
  <c r="I33" i="59"/>
  <c r="H13" i="2"/>
  <c r="I13" i="2"/>
  <c r="I34" i="59"/>
  <c r="AC13" i="2"/>
  <c r="AD13" i="2"/>
  <c r="I35" i="59"/>
  <c r="K13" i="2"/>
  <c r="L13" i="2"/>
  <c r="I36" i="59"/>
  <c r="I37" i="59"/>
  <c r="Q13" i="2"/>
  <c r="R13" i="2"/>
  <c r="I38" i="59"/>
  <c r="K17" i="3"/>
  <c r="L17" i="3"/>
  <c r="O18" i="3"/>
  <c r="D18" i="3"/>
  <c r="P18" i="3"/>
  <c r="P16" i="3"/>
  <c r="P17" i="3"/>
  <c r="R17" i="3"/>
  <c r="I39" i="59"/>
  <c r="I40" i="59"/>
  <c r="T13" i="2"/>
  <c r="U13" i="2"/>
  <c r="I41" i="59"/>
  <c r="AI13" i="2"/>
  <c r="AJ13" i="2"/>
  <c r="I42" i="59"/>
  <c r="AL13" i="2"/>
  <c r="AM13" i="2"/>
  <c r="I43" i="59"/>
  <c r="AO13" i="2"/>
  <c r="AP13" i="2"/>
  <c r="I44" i="59"/>
  <c r="AR13" i="2"/>
  <c r="AS13" i="2"/>
  <c r="I45" i="59"/>
  <c r="AU13" i="2"/>
  <c r="AV13" i="2"/>
  <c r="I46" i="59"/>
  <c r="X13" i="2"/>
  <c r="I47" i="59"/>
  <c r="I48" i="59"/>
  <c r="I49" i="59"/>
  <c r="H50" i="59"/>
  <c r="I50" i="59"/>
  <c r="H51" i="59"/>
  <c r="I51" i="59"/>
  <c r="I56" i="59"/>
  <c r="H56" i="59"/>
  <c r="F56" i="59"/>
  <c r="C56" i="59"/>
  <c r="H53" i="59"/>
  <c r="I53" i="59"/>
  <c r="C53" i="55"/>
  <c r="C53" i="59"/>
  <c r="C31" i="53"/>
  <c r="C31" i="55"/>
  <c r="C31" i="59"/>
  <c r="C32" i="53"/>
  <c r="C32" i="55"/>
  <c r="C32" i="59"/>
  <c r="C33" i="53"/>
  <c r="C33" i="55"/>
  <c r="C33" i="59"/>
  <c r="C34" i="53"/>
  <c r="C34" i="55"/>
  <c r="C34" i="59"/>
  <c r="C35" i="53"/>
  <c r="C35" i="55"/>
  <c r="C35" i="59"/>
  <c r="C36" i="53"/>
  <c r="C36" i="55"/>
  <c r="C36" i="59"/>
  <c r="C37" i="53"/>
  <c r="C37" i="55"/>
  <c r="C37" i="59"/>
  <c r="C38" i="53"/>
  <c r="C38" i="55"/>
  <c r="C38" i="59"/>
  <c r="C39" i="53"/>
  <c r="C39" i="55"/>
  <c r="C39" i="59"/>
  <c r="C40" i="53"/>
  <c r="C40" i="55"/>
  <c r="C40" i="59"/>
  <c r="C41" i="53"/>
  <c r="C41" i="55"/>
  <c r="C41" i="59"/>
  <c r="C42" i="53"/>
  <c r="C42" i="55"/>
  <c r="C42" i="59"/>
  <c r="C43" i="53"/>
  <c r="C43" i="55"/>
  <c r="C43" i="59"/>
  <c r="C44" i="53"/>
  <c r="C44" i="55"/>
  <c r="C44" i="59"/>
  <c r="C45" i="53"/>
  <c r="C45" i="55"/>
  <c r="C45" i="59"/>
  <c r="C46" i="53"/>
  <c r="C46" i="55"/>
  <c r="C46" i="59"/>
  <c r="C47" i="53"/>
  <c r="C47" i="55"/>
  <c r="C47" i="59"/>
  <c r="C48" i="53"/>
  <c r="C48" i="55"/>
  <c r="C48" i="59"/>
  <c r="C49" i="53"/>
  <c r="C49" i="55"/>
  <c r="C49" i="59"/>
  <c r="C50" i="53"/>
  <c r="C50" i="55"/>
  <c r="C50" i="59"/>
  <c r="C51" i="53"/>
  <c r="C51" i="55"/>
  <c r="C51" i="59"/>
  <c r="C52" i="53"/>
  <c r="C52" i="55"/>
  <c r="C52" i="59"/>
  <c r="A53" i="59"/>
  <c r="A52" i="59"/>
  <c r="A51" i="59"/>
  <c r="A50" i="59"/>
  <c r="A49" i="59"/>
  <c r="A48" i="59"/>
  <c r="A47" i="59"/>
  <c r="A46" i="59"/>
  <c r="A45" i="59"/>
  <c r="A44" i="59"/>
  <c r="A43" i="59"/>
  <c r="A42" i="59"/>
  <c r="A41" i="59"/>
  <c r="A40" i="59"/>
  <c r="A39" i="59"/>
  <c r="A38" i="59"/>
  <c r="A37" i="59"/>
  <c r="A36" i="59"/>
  <c r="A35" i="59"/>
  <c r="A34" i="59"/>
  <c r="A33" i="59"/>
  <c r="A32" i="59"/>
  <c r="H31" i="59"/>
  <c r="I31" i="59"/>
  <c r="A31" i="59"/>
  <c r="A30" i="59"/>
  <c r="H29" i="59"/>
  <c r="F29" i="59"/>
  <c r="A29" i="59"/>
  <c r="A28" i="59"/>
  <c r="A27" i="59"/>
  <c r="H26" i="59"/>
  <c r="I26" i="59"/>
  <c r="J26" i="59"/>
  <c r="D26" i="59"/>
  <c r="E26" i="59"/>
  <c r="F26" i="59"/>
  <c r="L26" i="59"/>
  <c r="M26" i="59"/>
  <c r="A26" i="59"/>
  <c r="H25" i="59"/>
  <c r="I25" i="59"/>
  <c r="J25" i="59"/>
  <c r="D25" i="59"/>
  <c r="E25" i="59"/>
  <c r="F25" i="59"/>
  <c r="L25" i="59"/>
  <c r="M25" i="59"/>
  <c r="A25" i="59"/>
  <c r="H24" i="59"/>
  <c r="I24" i="59"/>
  <c r="J24" i="59"/>
  <c r="D24" i="59"/>
  <c r="E24" i="59"/>
  <c r="F24" i="59"/>
  <c r="L24" i="59"/>
  <c r="M24" i="59"/>
  <c r="A24" i="59"/>
  <c r="H23" i="59"/>
  <c r="I23" i="59"/>
  <c r="J23" i="59"/>
  <c r="D23" i="59"/>
  <c r="E23" i="59"/>
  <c r="F23" i="59"/>
  <c r="L23" i="59"/>
  <c r="M23" i="59"/>
  <c r="A23" i="59"/>
  <c r="H22" i="59"/>
  <c r="I22" i="59"/>
  <c r="J22" i="59"/>
  <c r="D22" i="59"/>
  <c r="E22" i="59"/>
  <c r="F22" i="59"/>
  <c r="L22" i="59"/>
  <c r="M22" i="59"/>
  <c r="A22" i="59"/>
  <c r="H21" i="59"/>
  <c r="I21" i="59"/>
  <c r="J21" i="59"/>
  <c r="D21" i="59"/>
  <c r="E21" i="59"/>
  <c r="F21" i="59"/>
  <c r="L21" i="59"/>
  <c r="M21" i="59"/>
  <c r="A21" i="59"/>
  <c r="H20" i="59"/>
  <c r="I20" i="59"/>
  <c r="J20" i="59"/>
  <c r="D20" i="59"/>
  <c r="E20" i="59"/>
  <c r="F20" i="59"/>
  <c r="L20" i="59"/>
  <c r="M20" i="59"/>
  <c r="A20" i="59"/>
  <c r="H19" i="59"/>
  <c r="I19" i="59"/>
  <c r="J19" i="59"/>
  <c r="D19" i="59"/>
  <c r="E19" i="59"/>
  <c r="F19" i="59"/>
  <c r="L19" i="59"/>
  <c r="M19" i="59"/>
  <c r="A19" i="59"/>
  <c r="H18" i="59"/>
  <c r="I18" i="59"/>
  <c r="J18" i="59"/>
  <c r="D18" i="59"/>
  <c r="E18" i="59"/>
  <c r="F18" i="59"/>
  <c r="L18" i="59"/>
  <c r="M18" i="59"/>
  <c r="A18" i="59"/>
  <c r="H17" i="59"/>
  <c r="I17" i="59"/>
  <c r="J17" i="59"/>
  <c r="D17" i="59"/>
  <c r="E17" i="59"/>
  <c r="F17" i="59"/>
  <c r="L17" i="59"/>
  <c r="M17" i="59"/>
  <c r="A17" i="59"/>
  <c r="H16" i="59"/>
  <c r="I16" i="59"/>
  <c r="J16" i="59"/>
  <c r="D16" i="59"/>
  <c r="E16" i="59"/>
  <c r="F16" i="59"/>
  <c r="L16" i="59"/>
  <c r="M16" i="59"/>
  <c r="A16" i="59"/>
  <c r="H15" i="59"/>
  <c r="I15" i="59"/>
  <c r="J15" i="59"/>
  <c r="D15" i="59"/>
  <c r="E15" i="59"/>
  <c r="F15" i="59"/>
  <c r="L15" i="59"/>
  <c r="M15" i="59"/>
  <c r="A15" i="59"/>
  <c r="H14" i="59"/>
  <c r="I14" i="59"/>
  <c r="J14" i="59"/>
  <c r="D14" i="59"/>
  <c r="E14" i="59"/>
  <c r="F14" i="59"/>
  <c r="L14" i="59"/>
  <c r="M14" i="59"/>
  <c r="A14" i="59"/>
  <c r="H13" i="59"/>
  <c r="I13" i="59"/>
  <c r="J13" i="59"/>
  <c r="D13" i="59"/>
  <c r="E13" i="59"/>
  <c r="F13" i="59"/>
  <c r="L13" i="59"/>
  <c r="M13" i="59"/>
  <c r="A13" i="59"/>
  <c r="M12" i="59"/>
  <c r="L12" i="59"/>
  <c r="J12" i="59"/>
  <c r="I12" i="59"/>
  <c r="H12" i="59"/>
  <c r="F12" i="59"/>
  <c r="E12" i="59"/>
  <c r="D12" i="59"/>
  <c r="A12" i="59"/>
  <c r="L11" i="59"/>
  <c r="H11" i="59"/>
  <c r="D11" i="59"/>
  <c r="A11" i="59"/>
  <c r="A6" i="59"/>
  <c r="A5" i="59"/>
  <c r="A4" i="57"/>
  <c r="A4" i="58"/>
  <c r="A4" i="59"/>
  <c r="I52" i="58"/>
  <c r="I56" i="58"/>
  <c r="H56" i="58"/>
  <c r="F56" i="58"/>
  <c r="C56" i="58"/>
  <c r="I32" i="58"/>
  <c r="I33" i="58"/>
  <c r="I34" i="58"/>
  <c r="I35" i="58"/>
  <c r="I36" i="58"/>
  <c r="I37" i="58"/>
  <c r="I38" i="58"/>
  <c r="I39" i="58"/>
  <c r="I40" i="58"/>
  <c r="I41" i="58"/>
  <c r="I42" i="58"/>
  <c r="I43" i="58"/>
  <c r="I44" i="58"/>
  <c r="I45" i="58"/>
  <c r="I46" i="58"/>
  <c r="I47" i="58"/>
  <c r="I48" i="58"/>
  <c r="I49" i="58"/>
  <c r="H50" i="58"/>
  <c r="I50" i="58"/>
  <c r="H51" i="58"/>
  <c r="I51" i="58"/>
  <c r="I55" i="58"/>
  <c r="H55" i="58"/>
  <c r="F55" i="58"/>
  <c r="C52" i="54"/>
  <c r="C52" i="58"/>
  <c r="C31" i="54"/>
  <c r="C31" i="58"/>
  <c r="C32" i="54"/>
  <c r="C32" i="58"/>
  <c r="C33" i="54"/>
  <c r="C33" i="58"/>
  <c r="C34" i="54"/>
  <c r="C34" i="58"/>
  <c r="C35" i="54"/>
  <c r="C35" i="58"/>
  <c r="C36" i="54"/>
  <c r="C36" i="58"/>
  <c r="C37" i="54"/>
  <c r="C37" i="58"/>
  <c r="C38" i="54"/>
  <c r="C38" i="58"/>
  <c r="C39" i="54"/>
  <c r="C39" i="58"/>
  <c r="C40" i="54"/>
  <c r="C40" i="58"/>
  <c r="C41" i="54"/>
  <c r="C41" i="58"/>
  <c r="C42" i="54"/>
  <c r="C42" i="58"/>
  <c r="C43" i="54"/>
  <c r="C43" i="58"/>
  <c r="C44" i="54"/>
  <c r="C44" i="58"/>
  <c r="C45" i="54"/>
  <c r="C45" i="58"/>
  <c r="C46" i="54"/>
  <c r="C46" i="58"/>
  <c r="C47" i="54"/>
  <c r="C47" i="58"/>
  <c r="C48" i="54"/>
  <c r="C48" i="58"/>
  <c r="C49" i="54"/>
  <c r="C49" i="58"/>
  <c r="C50" i="54"/>
  <c r="C50" i="58"/>
  <c r="C51" i="54"/>
  <c r="C51" i="58"/>
  <c r="A52" i="58"/>
  <c r="A51" i="58"/>
  <c r="A50" i="58"/>
  <c r="A49" i="58"/>
  <c r="A48" i="58"/>
  <c r="A47" i="58"/>
  <c r="A46" i="58"/>
  <c r="A45" i="58"/>
  <c r="A44" i="58"/>
  <c r="A43" i="58"/>
  <c r="A42" i="58"/>
  <c r="A41" i="58"/>
  <c r="A40" i="58"/>
  <c r="A39" i="58"/>
  <c r="A38" i="58"/>
  <c r="A37" i="58"/>
  <c r="A36" i="58"/>
  <c r="A35" i="58"/>
  <c r="A34" i="58"/>
  <c r="A33" i="58"/>
  <c r="A32" i="58"/>
  <c r="H31" i="58"/>
  <c r="I31" i="58"/>
  <c r="A31" i="58"/>
  <c r="A30" i="58"/>
  <c r="H29" i="58"/>
  <c r="F29" i="58"/>
  <c r="A29" i="58"/>
  <c r="A28" i="58"/>
  <c r="A27" i="58"/>
  <c r="H26" i="58"/>
  <c r="I26" i="58"/>
  <c r="J26" i="58"/>
  <c r="D26" i="58"/>
  <c r="E26" i="58"/>
  <c r="F26" i="58"/>
  <c r="L26" i="58"/>
  <c r="M26" i="58"/>
  <c r="A26" i="58"/>
  <c r="H25" i="58"/>
  <c r="I25" i="58"/>
  <c r="J25" i="58"/>
  <c r="D25" i="58"/>
  <c r="E25" i="58"/>
  <c r="F25" i="58"/>
  <c r="L25" i="58"/>
  <c r="M25" i="58"/>
  <c r="A25" i="58"/>
  <c r="H24" i="58"/>
  <c r="I24" i="58"/>
  <c r="J24" i="58"/>
  <c r="D24" i="58"/>
  <c r="E24" i="58"/>
  <c r="F24" i="58"/>
  <c r="L24" i="58"/>
  <c r="M24" i="58"/>
  <c r="A24" i="58"/>
  <c r="H23" i="58"/>
  <c r="I23" i="58"/>
  <c r="J23" i="58"/>
  <c r="D23" i="58"/>
  <c r="E23" i="58"/>
  <c r="F23" i="58"/>
  <c r="L23" i="58"/>
  <c r="M23" i="58"/>
  <c r="A23" i="58"/>
  <c r="H22" i="58"/>
  <c r="I22" i="58"/>
  <c r="J22" i="58"/>
  <c r="D22" i="58"/>
  <c r="E22" i="58"/>
  <c r="F22" i="58"/>
  <c r="L22" i="58"/>
  <c r="M22" i="58"/>
  <c r="A22" i="58"/>
  <c r="H21" i="58"/>
  <c r="I21" i="58"/>
  <c r="J21" i="58"/>
  <c r="D21" i="58"/>
  <c r="E21" i="58"/>
  <c r="F21" i="58"/>
  <c r="L21" i="58"/>
  <c r="M21" i="58"/>
  <c r="A21" i="58"/>
  <c r="H20" i="58"/>
  <c r="I20" i="58"/>
  <c r="J20" i="58"/>
  <c r="D20" i="58"/>
  <c r="E20" i="58"/>
  <c r="F20" i="58"/>
  <c r="L20" i="58"/>
  <c r="M20" i="58"/>
  <c r="A20" i="58"/>
  <c r="H19" i="58"/>
  <c r="I19" i="58"/>
  <c r="J19" i="58"/>
  <c r="D19" i="58"/>
  <c r="E19" i="58"/>
  <c r="F19" i="58"/>
  <c r="L19" i="58"/>
  <c r="M19" i="58"/>
  <c r="A19" i="58"/>
  <c r="H18" i="58"/>
  <c r="I18" i="58"/>
  <c r="J18" i="58"/>
  <c r="D18" i="58"/>
  <c r="E18" i="58"/>
  <c r="F18" i="58"/>
  <c r="L18" i="58"/>
  <c r="M18" i="58"/>
  <c r="A18" i="58"/>
  <c r="H17" i="58"/>
  <c r="I17" i="58"/>
  <c r="J17" i="58"/>
  <c r="D17" i="58"/>
  <c r="E17" i="58"/>
  <c r="F17" i="58"/>
  <c r="L17" i="58"/>
  <c r="M17" i="58"/>
  <c r="A17" i="58"/>
  <c r="H16" i="58"/>
  <c r="I16" i="58"/>
  <c r="J16" i="58"/>
  <c r="D16" i="58"/>
  <c r="E16" i="58"/>
  <c r="F16" i="58"/>
  <c r="L16" i="58"/>
  <c r="M16" i="58"/>
  <c r="A16" i="58"/>
  <c r="H15" i="58"/>
  <c r="I15" i="58"/>
  <c r="J15" i="58"/>
  <c r="D15" i="58"/>
  <c r="E15" i="58"/>
  <c r="F15" i="58"/>
  <c r="L15" i="58"/>
  <c r="M15" i="58"/>
  <c r="A15" i="58"/>
  <c r="H14" i="58"/>
  <c r="I14" i="58"/>
  <c r="J14" i="58"/>
  <c r="D14" i="58"/>
  <c r="E14" i="58"/>
  <c r="F14" i="58"/>
  <c r="L14" i="58"/>
  <c r="M14" i="58"/>
  <c r="A14" i="58"/>
  <c r="H13" i="58"/>
  <c r="I13" i="58"/>
  <c r="J13" i="58"/>
  <c r="D13" i="58"/>
  <c r="E13" i="58"/>
  <c r="F13" i="58"/>
  <c r="L13" i="58"/>
  <c r="M13" i="58"/>
  <c r="A13" i="58"/>
  <c r="M12" i="58"/>
  <c r="L12" i="58"/>
  <c r="J12" i="58"/>
  <c r="I12" i="58"/>
  <c r="H12" i="58"/>
  <c r="F12" i="58"/>
  <c r="E12" i="58"/>
  <c r="D12" i="58"/>
  <c r="A12" i="58"/>
  <c r="L11" i="58"/>
  <c r="H11" i="58"/>
  <c r="D11" i="58"/>
  <c r="A11" i="58"/>
  <c r="A6" i="58"/>
  <c r="A5" i="58"/>
  <c r="I52" i="57"/>
  <c r="I57" i="57"/>
  <c r="H57" i="57"/>
  <c r="F57" i="57"/>
  <c r="C57" i="57"/>
  <c r="I32" i="57"/>
  <c r="Z12" i="2"/>
  <c r="AA12" i="2"/>
  <c r="I33" i="57"/>
  <c r="H12" i="2"/>
  <c r="I12" i="2"/>
  <c r="I34" i="57"/>
  <c r="AC12" i="2"/>
  <c r="AD12" i="2"/>
  <c r="I35" i="57"/>
  <c r="K12" i="2"/>
  <c r="L12" i="2"/>
  <c r="I36" i="57"/>
  <c r="I37" i="57"/>
  <c r="Q12" i="2"/>
  <c r="R12" i="2"/>
  <c r="I38" i="57"/>
  <c r="K13" i="3"/>
  <c r="L13" i="3"/>
  <c r="O14" i="3"/>
  <c r="D14" i="3"/>
  <c r="P14" i="3"/>
  <c r="P12" i="3"/>
  <c r="P13" i="3"/>
  <c r="R13" i="3"/>
  <c r="I39" i="57"/>
  <c r="I40" i="57"/>
  <c r="T12" i="2"/>
  <c r="U12" i="2"/>
  <c r="I41" i="57"/>
  <c r="AI12" i="2"/>
  <c r="AJ12" i="2"/>
  <c r="I42" i="57"/>
  <c r="AL12" i="2"/>
  <c r="AM12" i="2"/>
  <c r="I43" i="57"/>
  <c r="AO12" i="2"/>
  <c r="AP12" i="2"/>
  <c r="I44" i="57"/>
  <c r="AR12" i="2"/>
  <c r="AS12" i="2"/>
  <c r="I45" i="57"/>
  <c r="AU12" i="2"/>
  <c r="AV12" i="2"/>
  <c r="I46" i="57"/>
  <c r="X12" i="2"/>
  <c r="I47" i="57"/>
  <c r="I48" i="57"/>
  <c r="I49" i="57"/>
  <c r="H50" i="57"/>
  <c r="I50" i="57"/>
  <c r="H51" i="57"/>
  <c r="I51" i="57"/>
  <c r="I56" i="57"/>
  <c r="H56" i="57"/>
  <c r="F56" i="57"/>
  <c r="C56" i="57"/>
  <c r="I53" i="57"/>
  <c r="C53" i="57"/>
  <c r="C31" i="57"/>
  <c r="C32" i="57"/>
  <c r="C33" i="57"/>
  <c r="C34" i="57"/>
  <c r="C35" i="57"/>
  <c r="C36" i="57"/>
  <c r="C37" i="57"/>
  <c r="C38" i="57"/>
  <c r="C39" i="57"/>
  <c r="C40" i="57"/>
  <c r="C41" i="57"/>
  <c r="C42" i="57"/>
  <c r="C43" i="57"/>
  <c r="C44" i="57"/>
  <c r="C45" i="57"/>
  <c r="C46" i="57"/>
  <c r="C47" i="57"/>
  <c r="C48" i="57"/>
  <c r="C49" i="57"/>
  <c r="C50" i="57"/>
  <c r="C51" i="57"/>
  <c r="C52" i="57"/>
  <c r="A53" i="57"/>
  <c r="A52" i="57"/>
  <c r="A51" i="57"/>
  <c r="A50" i="57"/>
  <c r="A49" i="57"/>
  <c r="A48" i="57"/>
  <c r="A47" i="57"/>
  <c r="A46" i="57"/>
  <c r="A45" i="57"/>
  <c r="A44" i="57"/>
  <c r="A43" i="57"/>
  <c r="A42" i="57"/>
  <c r="A41" i="57"/>
  <c r="A40" i="57"/>
  <c r="A39" i="57"/>
  <c r="A38" i="57"/>
  <c r="A37" i="57"/>
  <c r="A36" i="57"/>
  <c r="A35" i="57"/>
  <c r="A34" i="57"/>
  <c r="A33" i="57"/>
  <c r="A32" i="57"/>
  <c r="H31" i="57"/>
  <c r="I31" i="57"/>
  <c r="A31" i="57"/>
  <c r="A30" i="57"/>
  <c r="H29" i="57"/>
  <c r="F29" i="57"/>
  <c r="A29" i="57"/>
  <c r="A28" i="57"/>
  <c r="A27" i="57"/>
  <c r="H26" i="57"/>
  <c r="I26" i="57"/>
  <c r="J26" i="57"/>
  <c r="D26" i="57"/>
  <c r="E26" i="57"/>
  <c r="F26" i="57"/>
  <c r="L26" i="57"/>
  <c r="M26" i="57"/>
  <c r="A26" i="57"/>
  <c r="H25" i="57"/>
  <c r="I25" i="57"/>
  <c r="J25" i="57"/>
  <c r="D25" i="57"/>
  <c r="E25" i="57"/>
  <c r="F25" i="57"/>
  <c r="L25" i="57"/>
  <c r="M25" i="57"/>
  <c r="A25" i="57"/>
  <c r="H24" i="57"/>
  <c r="I24" i="57"/>
  <c r="J24" i="57"/>
  <c r="D24" i="57"/>
  <c r="E24" i="57"/>
  <c r="F24" i="57"/>
  <c r="L24" i="57"/>
  <c r="M24" i="57"/>
  <c r="A24" i="57"/>
  <c r="H23" i="57"/>
  <c r="I23" i="57"/>
  <c r="J23" i="57"/>
  <c r="D23" i="57"/>
  <c r="E23" i="57"/>
  <c r="F23" i="57"/>
  <c r="L23" i="57"/>
  <c r="M23" i="57"/>
  <c r="A23" i="57"/>
  <c r="H22" i="57"/>
  <c r="I22" i="57"/>
  <c r="J22" i="57"/>
  <c r="D22" i="57"/>
  <c r="E22" i="57"/>
  <c r="F22" i="57"/>
  <c r="L22" i="57"/>
  <c r="M22" i="57"/>
  <c r="A22" i="57"/>
  <c r="H21" i="57"/>
  <c r="I21" i="57"/>
  <c r="J21" i="57"/>
  <c r="D21" i="57"/>
  <c r="E21" i="57"/>
  <c r="F21" i="57"/>
  <c r="L21" i="57"/>
  <c r="M21" i="57"/>
  <c r="A21" i="57"/>
  <c r="H20" i="57"/>
  <c r="I20" i="57"/>
  <c r="J20" i="57"/>
  <c r="D20" i="57"/>
  <c r="E20" i="57"/>
  <c r="F20" i="57"/>
  <c r="L20" i="57"/>
  <c r="M20" i="57"/>
  <c r="A20" i="57"/>
  <c r="H19" i="57"/>
  <c r="I19" i="57"/>
  <c r="J19" i="57"/>
  <c r="D19" i="57"/>
  <c r="E19" i="57"/>
  <c r="F19" i="57"/>
  <c r="L19" i="57"/>
  <c r="M19" i="57"/>
  <c r="A19" i="57"/>
  <c r="H18" i="57"/>
  <c r="I18" i="57"/>
  <c r="J18" i="57"/>
  <c r="D18" i="57"/>
  <c r="E18" i="57"/>
  <c r="F18" i="57"/>
  <c r="L18" i="57"/>
  <c r="M18" i="57"/>
  <c r="A18" i="57"/>
  <c r="H17" i="57"/>
  <c r="I17" i="57"/>
  <c r="J17" i="57"/>
  <c r="D17" i="57"/>
  <c r="E17" i="57"/>
  <c r="F17" i="57"/>
  <c r="L17" i="57"/>
  <c r="M17" i="57"/>
  <c r="A17" i="57"/>
  <c r="H16" i="57"/>
  <c r="I16" i="57"/>
  <c r="J16" i="57"/>
  <c r="D16" i="57"/>
  <c r="E16" i="57"/>
  <c r="F16" i="57"/>
  <c r="L16" i="57"/>
  <c r="M16" i="57"/>
  <c r="A16" i="57"/>
  <c r="H15" i="57"/>
  <c r="I15" i="57"/>
  <c r="J15" i="57"/>
  <c r="D15" i="57"/>
  <c r="E15" i="57"/>
  <c r="F15" i="57"/>
  <c r="L15" i="57"/>
  <c r="M15" i="57"/>
  <c r="A15" i="57"/>
  <c r="H14" i="57"/>
  <c r="I14" i="57"/>
  <c r="J14" i="57"/>
  <c r="D14" i="57"/>
  <c r="E14" i="57"/>
  <c r="F14" i="57"/>
  <c r="L14" i="57"/>
  <c r="M14" i="57"/>
  <c r="A14" i="57"/>
  <c r="H13" i="57"/>
  <c r="I13" i="57"/>
  <c r="J13" i="57"/>
  <c r="D13" i="57"/>
  <c r="E13" i="57"/>
  <c r="F13" i="57"/>
  <c r="L13" i="57"/>
  <c r="M13" i="57"/>
  <c r="A13" i="57"/>
  <c r="M12" i="57"/>
  <c r="L12" i="57"/>
  <c r="J12" i="57"/>
  <c r="I12" i="57"/>
  <c r="H12" i="57"/>
  <c r="F12" i="57"/>
  <c r="E12" i="57"/>
  <c r="D12" i="57"/>
  <c r="A12" i="57"/>
  <c r="L11" i="57"/>
  <c r="H11" i="57"/>
  <c r="D11" i="57"/>
  <c r="A11" i="57"/>
  <c r="A6" i="57"/>
  <c r="A5" i="57"/>
  <c r="I52" i="56"/>
  <c r="I56" i="56"/>
  <c r="H56" i="56"/>
  <c r="F56" i="56"/>
  <c r="C56" i="56"/>
  <c r="I32" i="56"/>
  <c r="I33" i="56"/>
  <c r="I34" i="56"/>
  <c r="I35" i="56"/>
  <c r="I36" i="56"/>
  <c r="I37" i="56"/>
  <c r="I38" i="56"/>
  <c r="I39" i="56"/>
  <c r="I40" i="56"/>
  <c r="I41" i="56"/>
  <c r="I42" i="56"/>
  <c r="I43" i="56"/>
  <c r="I44" i="56"/>
  <c r="I45" i="56"/>
  <c r="I46" i="56"/>
  <c r="I47" i="56"/>
  <c r="I48" i="56"/>
  <c r="I49" i="56"/>
  <c r="H50" i="56"/>
  <c r="I50" i="56"/>
  <c r="H51" i="56"/>
  <c r="I51" i="56"/>
  <c r="I55" i="56"/>
  <c r="H55" i="56"/>
  <c r="F55" i="56"/>
  <c r="C52" i="56"/>
  <c r="C31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C45" i="56"/>
  <c r="C46" i="56"/>
  <c r="C47" i="56"/>
  <c r="C48" i="56"/>
  <c r="C49" i="56"/>
  <c r="C50" i="56"/>
  <c r="C51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H31" i="56"/>
  <c r="I31" i="56"/>
  <c r="A31" i="56"/>
  <c r="A30" i="56"/>
  <c r="A29" i="56"/>
  <c r="A28" i="56"/>
  <c r="A27" i="56"/>
  <c r="H26" i="56"/>
  <c r="I26" i="56"/>
  <c r="J26" i="56"/>
  <c r="D26" i="56"/>
  <c r="E26" i="56"/>
  <c r="F26" i="56"/>
  <c r="L26" i="56"/>
  <c r="M26" i="56"/>
  <c r="A26" i="56"/>
  <c r="H25" i="56"/>
  <c r="I25" i="56"/>
  <c r="J25" i="56"/>
  <c r="D25" i="56"/>
  <c r="E25" i="56"/>
  <c r="F25" i="56"/>
  <c r="L25" i="56"/>
  <c r="M25" i="56"/>
  <c r="A25" i="56"/>
  <c r="H24" i="56"/>
  <c r="I24" i="56"/>
  <c r="J24" i="56"/>
  <c r="D24" i="56"/>
  <c r="E24" i="56"/>
  <c r="F24" i="56"/>
  <c r="L24" i="56"/>
  <c r="M24" i="56"/>
  <c r="A24" i="56"/>
  <c r="H23" i="56"/>
  <c r="I23" i="56"/>
  <c r="J23" i="56"/>
  <c r="D23" i="56"/>
  <c r="E23" i="56"/>
  <c r="F23" i="56"/>
  <c r="L23" i="56"/>
  <c r="M23" i="56"/>
  <c r="A23" i="56"/>
  <c r="H22" i="56"/>
  <c r="I22" i="56"/>
  <c r="J22" i="56"/>
  <c r="D22" i="56"/>
  <c r="E22" i="56"/>
  <c r="F22" i="56"/>
  <c r="L22" i="56"/>
  <c r="M22" i="56"/>
  <c r="A22" i="56"/>
  <c r="H21" i="56"/>
  <c r="I21" i="56"/>
  <c r="J21" i="56"/>
  <c r="D21" i="56"/>
  <c r="E21" i="56"/>
  <c r="F21" i="56"/>
  <c r="L21" i="56"/>
  <c r="M21" i="56"/>
  <c r="A21" i="56"/>
  <c r="H20" i="56"/>
  <c r="I20" i="56"/>
  <c r="J20" i="56"/>
  <c r="D20" i="56"/>
  <c r="E20" i="56"/>
  <c r="F20" i="56"/>
  <c r="L20" i="56"/>
  <c r="M20" i="56"/>
  <c r="A20" i="56"/>
  <c r="H19" i="56"/>
  <c r="I19" i="56"/>
  <c r="J19" i="56"/>
  <c r="D19" i="56"/>
  <c r="E19" i="56"/>
  <c r="F19" i="56"/>
  <c r="L19" i="56"/>
  <c r="M19" i="56"/>
  <c r="A19" i="56"/>
  <c r="H18" i="56"/>
  <c r="I18" i="56"/>
  <c r="J18" i="56"/>
  <c r="D18" i="56"/>
  <c r="E18" i="56"/>
  <c r="F18" i="56"/>
  <c r="L18" i="56"/>
  <c r="M18" i="56"/>
  <c r="A18" i="56"/>
  <c r="H17" i="56"/>
  <c r="I17" i="56"/>
  <c r="J17" i="56"/>
  <c r="D17" i="56"/>
  <c r="E17" i="56"/>
  <c r="F17" i="56"/>
  <c r="L17" i="56"/>
  <c r="M17" i="56"/>
  <c r="A17" i="56"/>
  <c r="H16" i="56"/>
  <c r="I16" i="56"/>
  <c r="J16" i="56"/>
  <c r="D16" i="56"/>
  <c r="E16" i="56"/>
  <c r="F16" i="56"/>
  <c r="L16" i="56"/>
  <c r="M16" i="56"/>
  <c r="A16" i="56"/>
  <c r="H15" i="56"/>
  <c r="I15" i="56"/>
  <c r="J15" i="56"/>
  <c r="D15" i="56"/>
  <c r="E15" i="56"/>
  <c r="F15" i="56"/>
  <c r="L15" i="56"/>
  <c r="M15" i="56"/>
  <c r="A15" i="56"/>
  <c r="H14" i="56"/>
  <c r="I14" i="56"/>
  <c r="J14" i="56"/>
  <c r="D14" i="56"/>
  <c r="E14" i="56"/>
  <c r="F14" i="56"/>
  <c r="L14" i="56"/>
  <c r="M14" i="56"/>
  <c r="A14" i="56"/>
  <c r="H13" i="56"/>
  <c r="I13" i="56"/>
  <c r="J13" i="56"/>
  <c r="D13" i="56"/>
  <c r="E13" i="56"/>
  <c r="F13" i="56"/>
  <c r="L13" i="56"/>
  <c r="M13" i="56"/>
  <c r="A13" i="56"/>
  <c r="A12" i="56"/>
  <c r="A11" i="56"/>
  <c r="A6" i="56"/>
  <c r="I52" i="55"/>
  <c r="I57" i="55"/>
  <c r="H57" i="55"/>
  <c r="F57" i="55"/>
  <c r="C57" i="55"/>
  <c r="I32" i="55"/>
  <c r="I33" i="55"/>
  <c r="I34" i="55"/>
  <c r="I35" i="55"/>
  <c r="I36" i="55"/>
  <c r="I37" i="55"/>
  <c r="I38" i="55"/>
  <c r="G16" i="3"/>
  <c r="H16" i="3"/>
  <c r="R16" i="3"/>
  <c r="I39" i="55"/>
  <c r="I40" i="55"/>
  <c r="I41" i="55"/>
  <c r="I42" i="55"/>
  <c r="I43" i="55"/>
  <c r="I44" i="55"/>
  <c r="I45" i="55"/>
  <c r="I46" i="55"/>
  <c r="I47" i="55"/>
  <c r="I48" i="55"/>
  <c r="I49" i="55"/>
  <c r="H50" i="55"/>
  <c r="I50" i="55"/>
  <c r="H51" i="55"/>
  <c r="I51" i="55"/>
  <c r="I56" i="55"/>
  <c r="H56" i="55"/>
  <c r="F56" i="55"/>
  <c r="C56" i="55"/>
  <c r="H53" i="55"/>
  <c r="I53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H31" i="55"/>
  <c r="I31" i="55"/>
  <c r="A31" i="55"/>
  <c r="A30" i="55"/>
  <c r="H29" i="55"/>
  <c r="F29" i="55"/>
  <c r="A29" i="55"/>
  <c r="A28" i="55"/>
  <c r="A27" i="55"/>
  <c r="H26" i="55"/>
  <c r="I26" i="55"/>
  <c r="J26" i="55"/>
  <c r="D26" i="55"/>
  <c r="E26" i="55"/>
  <c r="F26" i="55"/>
  <c r="L26" i="55"/>
  <c r="M26" i="55"/>
  <c r="A26" i="55"/>
  <c r="H25" i="55"/>
  <c r="I25" i="55"/>
  <c r="J25" i="55"/>
  <c r="D25" i="55"/>
  <c r="E25" i="55"/>
  <c r="F25" i="55"/>
  <c r="L25" i="55"/>
  <c r="M25" i="55"/>
  <c r="A25" i="55"/>
  <c r="H24" i="55"/>
  <c r="I24" i="55"/>
  <c r="J24" i="55"/>
  <c r="D24" i="55"/>
  <c r="E24" i="55"/>
  <c r="F24" i="55"/>
  <c r="L24" i="55"/>
  <c r="M24" i="55"/>
  <c r="A24" i="55"/>
  <c r="H23" i="55"/>
  <c r="I23" i="55"/>
  <c r="J23" i="55"/>
  <c r="D23" i="55"/>
  <c r="E23" i="55"/>
  <c r="F23" i="55"/>
  <c r="L23" i="55"/>
  <c r="M23" i="55"/>
  <c r="A23" i="55"/>
  <c r="H22" i="55"/>
  <c r="I22" i="55"/>
  <c r="J22" i="55"/>
  <c r="D22" i="55"/>
  <c r="E22" i="55"/>
  <c r="F22" i="55"/>
  <c r="L22" i="55"/>
  <c r="M22" i="55"/>
  <c r="A22" i="55"/>
  <c r="H21" i="55"/>
  <c r="I21" i="55"/>
  <c r="J21" i="55"/>
  <c r="D21" i="55"/>
  <c r="E21" i="55"/>
  <c r="F21" i="55"/>
  <c r="L21" i="55"/>
  <c r="M21" i="55"/>
  <c r="A21" i="55"/>
  <c r="H20" i="55"/>
  <c r="I20" i="55"/>
  <c r="J20" i="55"/>
  <c r="D20" i="55"/>
  <c r="E20" i="55"/>
  <c r="F20" i="55"/>
  <c r="L20" i="55"/>
  <c r="M20" i="55"/>
  <c r="A20" i="55"/>
  <c r="H19" i="55"/>
  <c r="I19" i="55"/>
  <c r="J19" i="55"/>
  <c r="D19" i="55"/>
  <c r="E19" i="55"/>
  <c r="F19" i="55"/>
  <c r="L19" i="55"/>
  <c r="M19" i="55"/>
  <c r="A19" i="55"/>
  <c r="H18" i="55"/>
  <c r="I18" i="55"/>
  <c r="J18" i="55"/>
  <c r="D18" i="55"/>
  <c r="E18" i="55"/>
  <c r="F18" i="55"/>
  <c r="L18" i="55"/>
  <c r="M18" i="55"/>
  <c r="A18" i="55"/>
  <c r="H17" i="55"/>
  <c r="I17" i="55"/>
  <c r="J17" i="55"/>
  <c r="D17" i="55"/>
  <c r="E17" i="55"/>
  <c r="F17" i="55"/>
  <c r="L17" i="55"/>
  <c r="M17" i="55"/>
  <c r="A17" i="55"/>
  <c r="H16" i="55"/>
  <c r="I16" i="55"/>
  <c r="J16" i="55"/>
  <c r="D16" i="55"/>
  <c r="E16" i="55"/>
  <c r="F16" i="55"/>
  <c r="L16" i="55"/>
  <c r="M16" i="55"/>
  <c r="A16" i="55"/>
  <c r="H15" i="55"/>
  <c r="I15" i="55"/>
  <c r="J15" i="55"/>
  <c r="D15" i="55"/>
  <c r="E15" i="55"/>
  <c r="F15" i="55"/>
  <c r="L15" i="55"/>
  <c r="M15" i="55"/>
  <c r="A15" i="55"/>
  <c r="H14" i="55"/>
  <c r="I14" i="55"/>
  <c r="J14" i="55"/>
  <c r="D14" i="55"/>
  <c r="E14" i="55"/>
  <c r="F14" i="55"/>
  <c r="L14" i="55"/>
  <c r="M14" i="55"/>
  <c r="A14" i="55"/>
  <c r="H13" i="55"/>
  <c r="I13" i="55"/>
  <c r="J13" i="55"/>
  <c r="D13" i="55"/>
  <c r="E13" i="55"/>
  <c r="F13" i="55"/>
  <c r="L13" i="55"/>
  <c r="M13" i="55"/>
  <c r="A13" i="55"/>
  <c r="M12" i="55"/>
  <c r="L12" i="55"/>
  <c r="J12" i="55"/>
  <c r="I12" i="55"/>
  <c r="H12" i="55"/>
  <c r="F12" i="55"/>
  <c r="E12" i="55"/>
  <c r="D12" i="55"/>
  <c r="A12" i="55"/>
  <c r="L11" i="55"/>
  <c r="H11" i="55"/>
  <c r="D11" i="55"/>
  <c r="A11" i="55"/>
  <c r="A6" i="55"/>
  <c r="A5" i="55"/>
  <c r="A4" i="53"/>
  <c r="A4" i="54"/>
  <c r="A4" i="55"/>
  <c r="I52" i="54"/>
  <c r="I56" i="54"/>
  <c r="H56" i="54"/>
  <c r="F56" i="54"/>
  <c r="C56" i="54"/>
  <c r="I32" i="54"/>
  <c r="I33" i="54"/>
  <c r="I34" i="54"/>
  <c r="I35" i="54"/>
  <c r="I36" i="54"/>
  <c r="I37" i="54"/>
  <c r="I38" i="54"/>
  <c r="I39" i="54"/>
  <c r="I40" i="54"/>
  <c r="I41" i="54"/>
  <c r="I42" i="54"/>
  <c r="I43" i="54"/>
  <c r="I44" i="54"/>
  <c r="I45" i="54"/>
  <c r="I46" i="54"/>
  <c r="I47" i="54"/>
  <c r="I48" i="54"/>
  <c r="I49" i="54"/>
  <c r="H50" i="54"/>
  <c r="I50" i="54"/>
  <c r="H51" i="54"/>
  <c r="I51" i="54"/>
  <c r="I55" i="54"/>
  <c r="H55" i="54"/>
  <c r="F55" i="54"/>
  <c r="A52" i="54"/>
  <c r="A51" i="54"/>
  <c r="A50" i="54"/>
  <c r="A49" i="54"/>
  <c r="A48" i="54"/>
  <c r="A47" i="54"/>
  <c r="A46" i="54"/>
  <c r="A45" i="54"/>
  <c r="A44" i="54"/>
  <c r="A43" i="54"/>
  <c r="A42" i="54"/>
  <c r="A41" i="54"/>
  <c r="A40" i="54"/>
  <c r="A39" i="54"/>
  <c r="A38" i="54"/>
  <c r="A37" i="54"/>
  <c r="A36" i="54"/>
  <c r="A35" i="54"/>
  <c r="A34" i="54"/>
  <c r="A33" i="54"/>
  <c r="A32" i="54"/>
  <c r="H31" i="54"/>
  <c r="I31" i="54"/>
  <c r="A31" i="54"/>
  <c r="A30" i="54"/>
  <c r="H29" i="54"/>
  <c r="F29" i="54"/>
  <c r="A29" i="54"/>
  <c r="A28" i="54"/>
  <c r="A27" i="54"/>
  <c r="H26" i="54"/>
  <c r="I26" i="54"/>
  <c r="J26" i="54"/>
  <c r="D26" i="54"/>
  <c r="E26" i="54"/>
  <c r="F26" i="54"/>
  <c r="L26" i="54"/>
  <c r="M26" i="54"/>
  <c r="A26" i="54"/>
  <c r="H25" i="54"/>
  <c r="I25" i="54"/>
  <c r="J25" i="54"/>
  <c r="D25" i="54"/>
  <c r="E25" i="54"/>
  <c r="F25" i="54"/>
  <c r="L25" i="54"/>
  <c r="M25" i="54"/>
  <c r="A25" i="54"/>
  <c r="H24" i="54"/>
  <c r="I24" i="54"/>
  <c r="J24" i="54"/>
  <c r="D24" i="54"/>
  <c r="E24" i="54"/>
  <c r="F24" i="54"/>
  <c r="L24" i="54"/>
  <c r="M24" i="54"/>
  <c r="A24" i="54"/>
  <c r="H23" i="54"/>
  <c r="I23" i="54"/>
  <c r="J23" i="54"/>
  <c r="D23" i="54"/>
  <c r="E23" i="54"/>
  <c r="F23" i="54"/>
  <c r="L23" i="54"/>
  <c r="M23" i="54"/>
  <c r="A23" i="54"/>
  <c r="H22" i="54"/>
  <c r="I22" i="54"/>
  <c r="J22" i="54"/>
  <c r="D22" i="54"/>
  <c r="E22" i="54"/>
  <c r="F22" i="54"/>
  <c r="L22" i="54"/>
  <c r="M22" i="54"/>
  <c r="A22" i="54"/>
  <c r="H21" i="54"/>
  <c r="I21" i="54"/>
  <c r="J21" i="54"/>
  <c r="D21" i="54"/>
  <c r="E21" i="54"/>
  <c r="F21" i="54"/>
  <c r="L21" i="54"/>
  <c r="M21" i="54"/>
  <c r="A21" i="54"/>
  <c r="H20" i="54"/>
  <c r="I20" i="54"/>
  <c r="J20" i="54"/>
  <c r="D20" i="54"/>
  <c r="E20" i="54"/>
  <c r="F20" i="54"/>
  <c r="L20" i="54"/>
  <c r="M20" i="54"/>
  <c r="A20" i="54"/>
  <c r="H19" i="54"/>
  <c r="I19" i="54"/>
  <c r="J19" i="54"/>
  <c r="D19" i="54"/>
  <c r="E19" i="54"/>
  <c r="F19" i="54"/>
  <c r="L19" i="54"/>
  <c r="M19" i="54"/>
  <c r="A19" i="54"/>
  <c r="H18" i="54"/>
  <c r="I18" i="54"/>
  <c r="J18" i="54"/>
  <c r="D18" i="54"/>
  <c r="E18" i="54"/>
  <c r="F18" i="54"/>
  <c r="L18" i="54"/>
  <c r="M18" i="54"/>
  <c r="A18" i="54"/>
  <c r="H17" i="54"/>
  <c r="I17" i="54"/>
  <c r="J17" i="54"/>
  <c r="D17" i="54"/>
  <c r="E17" i="54"/>
  <c r="F17" i="54"/>
  <c r="L17" i="54"/>
  <c r="M17" i="54"/>
  <c r="A17" i="54"/>
  <c r="H16" i="54"/>
  <c r="I16" i="54"/>
  <c r="J16" i="54"/>
  <c r="D16" i="54"/>
  <c r="E16" i="54"/>
  <c r="F16" i="54"/>
  <c r="L16" i="54"/>
  <c r="M16" i="54"/>
  <c r="A16" i="54"/>
  <c r="H15" i="54"/>
  <c r="I15" i="54"/>
  <c r="J15" i="54"/>
  <c r="D15" i="54"/>
  <c r="E15" i="54"/>
  <c r="F15" i="54"/>
  <c r="L15" i="54"/>
  <c r="M15" i="54"/>
  <c r="A15" i="54"/>
  <c r="H14" i="54"/>
  <c r="I14" i="54"/>
  <c r="J14" i="54"/>
  <c r="D14" i="54"/>
  <c r="E14" i="54"/>
  <c r="F14" i="54"/>
  <c r="L14" i="54"/>
  <c r="M14" i="54"/>
  <c r="A14" i="54"/>
  <c r="H13" i="54"/>
  <c r="I13" i="54"/>
  <c r="J13" i="54"/>
  <c r="D13" i="54"/>
  <c r="E13" i="54"/>
  <c r="F13" i="54"/>
  <c r="L13" i="54"/>
  <c r="M13" i="54"/>
  <c r="A13" i="54"/>
  <c r="M12" i="54"/>
  <c r="L12" i="54"/>
  <c r="J12" i="54"/>
  <c r="I12" i="54"/>
  <c r="H12" i="54"/>
  <c r="F12" i="54"/>
  <c r="E12" i="54"/>
  <c r="D12" i="54"/>
  <c r="A12" i="54"/>
  <c r="L11" i="54"/>
  <c r="H11" i="54"/>
  <c r="D11" i="54"/>
  <c r="A11" i="54"/>
  <c r="A6" i="54"/>
  <c r="A5" i="54"/>
  <c r="I52" i="53"/>
  <c r="I57" i="53"/>
  <c r="H57" i="53"/>
  <c r="F57" i="53"/>
  <c r="C57" i="53"/>
  <c r="I32" i="53"/>
  <c r="I33" i="53"/>
  <c r="I34" i="53"/>
  <c r="I35" i="53"/>
  <c r="I36" i="53"/>
  <c r="I37" i="53"/>
  <c r="I38" i="53"/>
  <c r="G12" i="3"/>
  <c r="H12" i="3"/>
  <c r="R12" i="3"/>
  <c r="I39" i="53"/>
  <c r="I40" i="53"/>
  <c r="I41" i="53"/>
  <c r="I42" i="53"/>
  <c r="I43" i="53"/>
  <c r="I44" i="53"/>
  <c r="I45" i="53"/>
  <c r="I46" i="53"/>
  <c r="I47" i="53"/>
  <c r="I48" i="53"/>
  <c r="I49" i="53"/>
  <c r="H50" i="53"/>
  <c r="I50" i="53"/>
  <c r="H51" i="53"/>
  <c r="I51" i="53"/>
  <c r="I56" i="53"/>
  <c r="H56" i="53"/>
  <c r="F56" i="53"/>
  <c r="C56" i="53"/>
  <c r="H53" i="53"/>
  <c r="I53" i="53"/>
  <c r="A53" i="53"/>
  <c r="A52" i="53"/>
  <c r="A51" i="53"/>
  <c r="A50" i="53"/>
  <c r="A49" i="53"/>
  <c r="A48" i="53"/>
  <c r="A47" i="53"/>
  <c r="A46" i="53"/>
  <c r="A45" i="53"/>
  <c r="A44" i="53"/>
  <c r="A43" i="53"/>
  <c r="A42" i="53"/>
  <c r="A41" i="53"/>
  <c r="A40" i="53"/>
  <c r="A39" i="53"/>
  <c r="A38" i="53"/>
  <c r="A37" i="53"/>
  <c r="A36" i="53"/>
  <c r="A35" i="53"/>
  <c r="A34" i="53"/>
  <c r="A33" i="53"/>
  <c r="A32" i="53"/>
  <c r="H31" i="53"/>
  <c r="I31" i="53"/>
  <c r="A31" i="53"/>
  <c r="A30" i="53"/>
  <c r="H29" i="53"/>
  <c r="F29" i="53"/>
  <c r="A29" i="53"/>
  <c r="A28" i="53"/>
  <c r="A27" i="53"/>
  <c r="H26" i="53"/>
  <c r="I26" i="53"/>
  <c r="J26" i="53"/>
  <c r="D26" i="53"/>
  <c r="E26" i="53"/>
  <c r="F26" i="53"/>
  <c r="L26" i="53"/>
  <c r="M26" i="53"/>
  <c r="A26" i="53"/>
  <c r="H25" i="53"/>
  <c r="I25" i="53"/>
  <c r="J25" i="53"/>
  <c r="D25" i="53"/>
  <c r="E25" i="53"/>
  <c r="F25" i="53"/>
  <c r="L25" i="53"/>
  <c r="M25" i="53"/>
  <c r="A25" i="53"/>
  <c r="H24" i="53"/>
  <c r="I24" i="53"/>
  <c r="J24" i="53"/>
  <c r="D24" i="53"/>
  <c r="E24" i="53"/>
  <c r="F24" i="53"/>
  <c r="L24" i="53"/>
  <c r="M24" i="53"/>
  <c r="A24" i="53"/>
  <c r="H23" i="53"/>
  <c r="I23" i="53"/>
  <c r="J23" i="53"/>
  <c r="D23" i="53"/>
  <c r="E23" i="53"/>
  <c r="F23" i="53"/>
  <c r="L23" i="53"/>
  <c r="M23" i="53"/>
  <c r="A23" i="53"/>
  <c r="H22" i="53"/>
  <c r="I22" i="53"/>
  <c r="J22" i="53"/>
  <c r="D22" i="53"/>
  <c r="E22" i="53"/>
  <c r="F22" i="53"/>
  <c r="L22" i="53"/>
  <c r="M22" i="53"/>
  <c r="A22" i="53"/>
  <c r="H21" i="53"/>
  <c r="I21" i="53"/>
  <c r="J21" i="53"/>
  <c r="D21" i="53"/>
  <c r="E21" i="53"/>
  <c r="F21" i="53"/>
  <c r="L21" i="53"/>
  <c r="M21" i="53"/>
  <c r="A21" i="53"/>
  <c r="H20" i="53"/>
  <c r="I20" i="53"/>
  <c r="J20" i="53"/>
  <c r="D20" i="53"/>
  <c r="E20" i="53"/>
  <c r="F20" i="53"/>
  <c r="L20" i="53"/>
  <c r="M20" i="53"/>
  <c r="A20" i="53"/>
  <c r="H19" i="53"/>
  <c r="I19" i="53"/>
  <c r="J19" i="53"/>
  <c r="D19" i="53"/>
  <c r="E19" i="53"/>
  <c r="F19" i="53"/>
  <c r="L19" i="53"/>
  <c r="M19" i="53"/>
  <c r="A19" i="53"/>
  <c r="H18" i="53"/>
  <c r="I18" i="53"/>
  <c r="J18" i="53"/>
  <c r="D18" i="53"/>
  <c r="E18" i="53"/>
  <c r="F18" i="53"/>
  <c r="L18" i="53"/>
  <c r="M18" i="53"/>
  <c r="A18" i="53"/>
  <c r="H17" i="53"/>
  <c r="I17" i="53"/>
  <c r="J17" i="53"/>
  <c r="D17" i="53"/>
  <c r="E17" i="53"/>
  <c r="F17" i="53"/>
  <c r="L17" i="53"/>
  <c r="M17" i="53"/>
  <c r="A17" i="53"/>
  <c r="H16" i="53"/>
  <c r="I16" i="53"/>
  <c r="J16" i="53"/>
  <c r="D16" i="53"/>
  <c r="E16" i="53"/>
  <c r="F16" i="53"/>
  <c r="L16" i="53"/>
  <c r="M16" i="53"/>
  <c r="A16" i="53"/>
  <c r="H15" i="53"/>
  <c r="I15" i="53"/>
  <c r="J15" i="53"/>
  <c r="D15" i="53"/>
  <c r="E15" i="53"/>
  <c r="F15" i="53"/>
  <c r="L15" i="53"/>
  <c r="M15" i="53"/>
  <c r="A15" i="53"/>
  <c r="H14" i="53"/>
  <c r="I14" i="53"/>
  <c r="J14" i="53"/>
  <c r="D14" i="53"/>
  <c r="E14" i="53"/>
  <c r="F14" i="53"/>
  <c r="L14" i="53"/>
  <c r="M14" i="53"/>
  <c r="A14" i="53"/>
  <c r="H13" i="53"/>
  <c r="I13" i="53"/>
  <c r="J13" i="53"/>
  <c r="D13" i="53"/>
  <c r="E13" i="53"/>
  <c r="F13" i="53"/>
  <c r="L13" i="53"/>
  <c r="M13" i="53"/>
  <c r="A13" i="53"/>
  <c r="M12" i="53"/>
  <c r="L12" i="53"/>
  <c r="J12" i="53"/>
  <c r="I12" i="53"/>
  <c r="H12" i="53"/>
  <c r="F12" i="53"/>
  <c r="E12" i="53"/>
  <c r="D12" i="53"/>
  <c r="A12" i="53"/>
  <c r="L11" i="53"/>
  <c r="H11" i="53"/>
  <c r="D11" i="53"/>
  <c r="A11" i="53"/>
  <c r="A6" i="53"/>
  <c r="A5" i="53"/>
  <c r="I52" i="52"/>
  <c r="I56" i="52"/>
  <c r="H56" i="52"/>
  <c r="F56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49" i="52"/>
  <c r="H50" i="52"/>
  <c r="I50" i="52"/>
  <c r="H51" i="52"/>
  <c r="I51" i="52"/>
  <c r="I55" i="52"/>
  <c r="H55" i="52"/>
  <c r="F55" i="52"/>
  <c r="A52" i="52"/>
  <c r="A51" i="52"/>
  <c r="A50" i="52"/>
  <c r="A49" i="52"/>
  <c r="A48" i="52"/>
  <c r="A47" i="52"/>
  <c r="A46" i="52"/>
  <c r="A45" i="52"/>
  <c r="A44" i="52"/>
  <c r="A43" i="52"/>
  <c r="A42" i="52"/>
  <c r="A41" i="52"/>
  <c r="A40" i="52"/>
  <c r="A39" i="52"/>
  <c r="A38" i="52"/>
  <c r="A37" i="52"/>
  <c r="A36" i="52"/>
  <c r="A35" i="52"/>
  <c r="A34" i="52"/>
  <c r="A33" i="52"/>
  <c r="A32" i="52"/>
  <c r="H31" i="52"/>
  <c r="I31" i="52"/>
  <c r="A31" i="52"/>
  <c r="A30" i="52"/>
  <c r="A29" i="52"/>
  <c r="A28" i="52"/>
  <c r="A27" i="52"/>
  <c r="H26" i="52"/>
  <c r="I26" i="52"/>
  <c r="J26" i="52"/>
  <c r="D26" i="52"/>
  <c r="E26" i="52"/>
  <c r="F26" i="52"/>
  <c r="L26" i="52"/>
  <c r="M26" i="52"/>
  <c r="A26" i="52"/>
  <c r="H25" i="52"/>
  <c r="I25" i="52"/>
  <c r="J25" i="52"/>
  <c r="D25" i="52"/>
  <c r="E25" i="52"/>
  <c r="F25" i="52"/>
  <c r="L25" i="52"/>
  <c r="M25" i="52"/>
  <c r="A25" i="52"/>
  <c r="H24" i="52"/>
  <c r="I24" i="52"/>
  <c r="J24" i="52"/>
  <c r="D24" i="52"/>
  <c r="E24" i="52"/>
  <c r="F24" i="52"/>
  <c r="L24" i="52"/>
  <c r="M24" i="52"/>
  <c r="A24" i="52"/>
  <c r="H23" i="52"/>
  <c r="I23" i="52"/>
  <c r="J23" i="52"/>
  <c r="D23" i="52"/>
  <c r="E23" i="52"/>
  <c r="F23" i="52"/>
  <c r="L23" i="52"/>
  <c r="M23" i="52"/>
  <c r="A23" i="52"/>
  <c r="H22" i="52"/>
  <c r="I22" i="52"/>
  <c r="J22" i="52"/>
  <c r="D22" i="52"/>
  <c r="E22" i="52"/>
  <c r="F22" i="52"/>
  <c r="L22" i="52"/>
  <c r="M22" i="52"/>
  <c r="A22" i="52"/>
  <c r="H21" i="52"/>
  <c r="I21" i="52"/>
  <c r="J21" i="52"/>
  <c r="D21" i="52"/>
  <c r="E21" i="52"/>
  <c r="F21" i="52"/>
  <c r="L21" i="52"/>
  <c r="M21" i="52"/>
  <c r="A21" i="52"/>
  <c r="H20" i="52"/>
  <c r="I20" i="52"/>
  <c r="J20" i="52"/>
  <c r="D20" i="52"/>
  <c r="E20" i="52"/>
  <c r="F20" i="52"/>
  <c r="L20" i="52"/>
  <c r="M20" i="52"/>
  <c r="A20" i="52"/>
  <c r="H19" i="52"/>
  <c r="I19" i="52"/>
  <c r="J19" i="52"/>
  <c r="D19" i="52"/>
  <c r="E19" i="52"/>
  <c r="F19" i="52"/>
  <c r="L19" i="52"/>
  <c r="M19" i="52"/>
  <c r="A19" i="52"/>
  <c r="H18" i="52"/>
  <c r="I18" i="52"/>
  <c r="J18" i="52"/>
  <c r="D18" i="52"/>
  <c r="E18" i="52"/>
  <c r="F18" i="52"/>
  <c r="L18" i="52"/>
  <c r="M18" i="52"/>
  <c r="A18" i="52"/>
  <c r="H17" i="52"/>
  <c r="I17" i="52"/>
  <c r="J17" i="52"/>
  <c r="D17" i="52"/>
  <c r="E17" i="52"/>
  <c r="F17" i="52"/>
  <c r="L17" i="52"/>
  <c r="M17" i="52"/>
  <c r="A17" i="52"/>
  <c r="H16" i="52"/>
  <c r="I16" i="52"/>
  <c r="J16" i="52"/>
  <c r="D16" i="52"/>
  <c r="E16" i="52"/>
  <c r="F16" i="52"/>
  <c r="L16" i="52"/>
  <c r="M16" i="52"/>
  <c r="A16" i="52"/>
  <c r="H15" i="52"/>
  <c r="I15" i="52"/>
  <c r="J15" i="52"/>
  <c r="D15" i="52"/>
  <c r="E15" i="52"/>
  <c r="F15" i="52"/>
  <c r="L15" i="52"/>
  <c r="M15" i="52"/>
  <c r="A15" i="52"/>
  <c r="H14" i="52"/>
  <c r="I14" i="52"/>
  <c r="J14" i="52"/>
  <c r="D14" i="52"/>
  <c r="E14" i="52"/>
  <c r="F14" i="52"/>
  <c r="L14" i="52"/>
  <c r="M14" i="52"/>
  <c r="A14" i="52"/>
  <c r="H13" i="52"/>
  <c r="I13" i="52"/>
  <c r="J13" i="52"/>
  <c r="D13" i="52"/>
  <c r="E13" i="52"/>
  <c r="F13" i="52"/>
  <c r="L13" i="52"/>
  <c r="M13" i="52"/>
  <c r="A13" i="52"/>
  <c r="A12" i="52"/>
  <c r="A11" i="52"/>
  <c r="H46" i="51"/>
  <c r="K46" i="51"/>
  <c r="G46" i="51"/>
  <c r="J46" i="51"/>
  <c r="E46" i="51"/>
  <c r="D46" i="51"/>
  <c r="A46" i="51"/>
  <c r="H45" i="51"/>
  <c r="K45" i="51"/>
  <c r="G45" i="51"/>
  <c r="J45" i="51"/>
  <c r="E45" i="51"/>
  <c r="D45" i="51"/>
  <c r="A45" i="51"/>
  <c r="H44" i="51"/>
  <c r="K44" i="51"/>
  <c r="G44" i="51"/>
  <c r="J44" i="51"/>
  <c r="E44" i="51"/>
  <c r="D44" i="51"/>
  <c r="A44" i="51"/>
  <c r="A43" i="51"/>
  <c r="H42" i="51"/>
  <c r="K42" i="51"/>
  <c r="G42" i="51"/>
  <c r="J42" i="51"/>
  <c r="E42" i="51"/>
  <c r="D42" i="51"/>
  <c r="A42" i="51"/>
  <c r="H41" i="51"/>
  <c r="K41" i="51"/>
  <c r="G41" i="51"/>
  <c r="J41" i="51"/>
  <c r="E41" i="51"/>
  <c r="D41" i="51"/>
  <c r="A41" i="51"/>
  <c r="H40" i="51"/>
  <c r="K40" i="51"/>
  <c r="G40" i="51"/>
  <c r="J40" i="51"/>
  <c r="E40" i="51"/>
  <c r="D40" i="51"/>
  <c r="A40" i="51"/>
  <c r="H38" i="51"/>
  <c r="K38" i="51"/>
  <c r="G38" i="51"/>
  <c r="J38" i="51"/>
  <c r="E38" i="51"/>
  <c r="D38" i="51"/>
  <c r="A38" i="51"/>
  <c r="H37" i="51"/>
  <c r="K37" i="51"/>
  <c r="G37" i="51"/>
  <c r="J37" i="51"/>
  <c r="E37" i="51"/>
  <c r="D37" i="51"/>
  <c r="A37" i="51"/>
  <c r="H36" i="51"/>
  <c r="K36" i="51"/>
  <c r="G36" i="51"/>
  <c r="J36" i="51"/>
  <c r="E36" i="51"/>
  <c r="D36" i="51"/>
  <c r="A36" i="51"/>
  <c r="H34" i="51"/>
  <c r="K34" i="51"/>
  <c r="G34" i="51"/>
  <c r="J34" i="51"/>
  <c r="E34" i="51"/>
  <c r="D34" i="51"/>
  <c r="A34" i="51"/>
  <c r="H33" i="51"/>
  <c r="K33" i="51"/>
  <c r="G33" i="51"/>
  <c r="J33" i="51"/>
  <c r="E33" i="51"/>
  <c r="D33" i="51"/>
  <c r="A33" i="51"/>
  <c r="H32" i="51"/>
  <c r="K32" i="51"/>
  <c r="G32" i="51"/>
  <c r="J32" i="51"/>
  <c r="E32" i="51"/>
  <c r="D32" i="51"/>
  <c r="A32" i="51"/>
  <c r="A31" i="51"/>
  <c r="H30" i="51"/>
  <c r="K30" i="51"/>
  <c r="G30" i="51"/>
  <c r="J30" i="51"/>
  <c r="E30" i="51"/>
  <c r="D30" i="51"/>
  <c r="A30" i="51"/>
  <c r="H29" i="51"/>
  <c r="K29" i="51"/>
  <c r="G29" i="51"/>
  <c r="J29" i="51"/>
  <c r="E29" i="51"/>
  <c r="D29" i="51"/>
  <c r="A29" i="51"/>
  <c r="H28" i="51"/>
  <c r="K28" i="51"/>
  <c r="G28" i="51"/>
  <c r="J28" i="51"/>
  <c r="E28" i="51"/>
  <c r="D28" i="51"/>
  <c r="A28" i="51"/>
  <c r="H26" i="51"/>
  <c r="K26" i="51"/>
  <c r="G26" i="51"/>
  <c r="J26" i="51"/>
  <c r="E26" i="51"/>
  <c r="D26" i="51"/>
  <c r="A26" i="51"/>
  <c r="H25" i="51"/>
  <c r="K25" i="51"/>
  <c r="G25" i="51"/>
  <c r="J25" i="51"/>
  <c r="E25" i="51"/>
  <c r="D25" i="51"/>
  <c r="A25" i="51"/>
  <c r="H24" i="51"/>
  <c r="K24" i="51"/>
  <c r="G24" i="51"/>
  <c r="J24" i="51"/>
  <c r="E24" i="51"/>
  <c r="D24" i="51"/>
  <c r="A24" i="51"/>
  <c r="A23" i="51"/>
  <c r="H22" i="51"/>
  <c r="K22" i="51"/>
  <c r="G22" i="51"/>
  <c r="J22" i="51"/>
  <c r="E22" i="51"/>
  <c r="D22" i="51"/>
  <c r="A22" i="51"/>
  <c r="H21" i="51"/>
  <c r="K21" i="51"/>
  <c r="G21" i="51"/>
  <c r="J21" i="51"/>
  <c r="E21" i="51"/>
  <c r="D21" i="51"/>
  <c r="A21" i="51"/>
  <c r="H20" i="51"/>
  <c r="K20" i="51"/>
  <c r="G20" i="51"/>
  <c r="J20" i="51"/>
  <c r="E20" i="51"/>
  <c r="D20" i="51"/>
  <c r="A20" i="51"/>
  <c r="H18" i="51"/>
  <c r="K18" i="51"/>
  <c r="G18" i="51"/>
  <c r="J18" i="51"/>
  <c r="D18" i="51"/>
  <c r="A18" i="51"/>
  <c r="H16" i="51"/>
  <c r="K16" i="51"/>
  <c r="G16" i="51"/>
  <c r="J16" i="51"/>
  <c r="D16" i="51"/>
  <c r="A16" i="51"/>
  <c r="H14" i="51"/>
  <c r="K14" i="51"/>
  <c r="G14" i="51"/>
  <c r="J14" i="51"/>
  <c r="D14" i="51"/>
  <c r="A14" i="51"/>
  <c r="H12" i="51"/>
  <c r="K12" i="51"/>
  <c r="G12" i="51"/>
  <c r="J12" i="51"/>
  <c r="D12" i="51"/>
  <c r="A12" i="51"/>
  <c r="H10" i="51"/>
  <c r="K10" i="51"/>
  <c r="G10" i="51"/>
  <c r="J10" i="51"/>
  <c r="D10" i="51"/>
  <c r="A10" i="51"/>
  <c r="A6" i="51"/>
  <c r="I119" i="50"/>
  <c r="L119" i="50"/>
  <c r="H119" i="50"/>
  <c r="K119" i="50"/>
  <c r="F119" i="50"/>
  <c r="E119" i="50"/>
  <c r="A119" i="50"/>
  <c r="I118" i="50"/>
  <c r="L118" i="50"/>
  <c r="H118" i="50"/>
  <c r="K118" i="50"/>
  <c r="F118" i="50"/>
  <c r="E118" i="50"/>
  <c r="A118" i="50"/>
  <c r="I117" i="50"/>
  <c r="L117" i="50"/>
  <c r="H117" i="50"/>
  <c r="K117" i="50"/>
  <c r="F117" i="50"/>
  <c r="E117" i="50"/>
  <c r="A117" i="50"/>
  <c r="A116" i="50"/>
  <c r="I115" i="50"/>
  <c r="L115" i="50"/>
  <c r="H115" i="50"/>
  <c r="K115" i="50"/>
  <c r="F115" i="50"/>
  <c r="E115" i="50"/>
  <c r="A115" i="50"/>
  <c r="I114" i="50"/>
  <c r="L114" i="50"/>
  <c r="H114" i="50"/>
  <c r="K114" i="50"/>
  <c r="F114" i="50"/>
  <c r="E114" i="50"/>
  <c r="A114" i="50"/>
  <c r="I113" i="50"/>
  <c r="L113" i="50"/>
  <c r="H113" i="50"/>
  <c r="K113" i="50"/>
  <c r="F113" i="50"/>
  <c r="E113" i="50"/>
  <c r="A113" i="50"/>
  <c r="A112" i="50"/>
  <c r="I111" i="50"/>
  <c r="L111" i="50"/>
  <c r="H111" i="50"/>
  <c r="K111" i="50"/>
  <c r="E111" i="50"/>
  <c r="A111" i="50"/>
  <c r="A110" i="50"/>
  <c r="I109" i="50"/>
  <c r="L109" i="50"/>
  <c r="H109" i="50"/>
  <c r="K109" i="50"/>
  <c r="E109" i="50"/>
  <c r="A109" i="50"/>
  <c r="A108" i="50"/>
  <c r="I107" i="50"/>
  <c r="L107" i="50"/>
  <c r="H107" i="50"/>
  <c r="K107" i="50"/>
  <c r="F107" i="50"/>
  <c r="E107" i="50"/>
  <c r="A107" i="50"/>
  <c r="I106" i="50"/>
  <c r="L106" i="50"/>
  <c r="H106" i="50"/>
  <c r="K106" i="50"/>
  <c r="F106" i="50"/>
  <c r="E106" i="50"/>
  <c r="A106" i="50"/>
  <c r="I105" i="50"/>
  <c r="L105" i="50"/>
  <c r="H105" i="50"/>
  <c r="K105" i="50"/>
  <c r="F105" i="50"/>
  <c r="E105" i="50"/>
  <c r="A105" i="50"/>
  <c r="A104" i="50"/>
  <c r="I103" i="50"/>
  <c r="L103" i="50"/>
  <c r="H103" i="50"/>
  <c r="K103" i="50"/>
  <c r="F103" i="50"/>
  <c r="E103" i="50"/>
  <c r="A103" i="50"/>
  <c r="I102" i="50"/>
  <c r="L102" i="50"/>
  <c r="H102" i="50"/>
  <c r="K102" i="50"/>
  <c r="F102" i="50"/>
  <c r="E102" i="50"/>
  <c r="A102" i="50"/>
  <c r="I101" i="50"/>
  <c r="L101" i="50"/>
  <c r="H101" i="50"/>
  <c r="K101" i="50"/>
  <c r="F101" i="50"/>
  <c r="E101" i="50"/>
  <c r="A101" i="50"/>
  <c r="A100" i="50"/>
  <c r="I99" i="50"/>
  <c r="L99" i="50"/>
  <c r="H99" i="50"/>
  <c r="K99" i="50"/>
  <c r="F99" i="50"/>
  <c r="E99" i="50"/>
  <c r="A99" i="50"/>
  <c r="I98" i="50"/>
  <c r="L98" i="50"/>
  <c r="H98" i="50"/>
  <c r="K98" i="50"/>
  <c r="F98" i="50"/>
  <c r="E98" i="50"/>
  <c r="A98" i="50"/>
  <c r="I97" i="50"/>
  <c r="L97" i="50"/>
  <c r="H97" i="50"/>
  <c r="K97" i="50"/>
  <c r="F97" i="50"/>
  <c r="E97" i="50"/>
  <c r="A97" i="50"/>
  <c r="A96" i="50"/>
  <c r="I95" i="50"/>
  <c r="L95" i="50"/>
  <c r="H95" i="50"/>
  <c r="K95" i="50"/>
  <c r="F95" i="50"/>
  <c r="E95" i="50"/>
  <c r="A95" i="50"/>
  <c r="I94" i="50"/>
  <c r="L94" i="50"/>
  <c r="H94" i="50"/>
  <c r="K94" i="50"/>
  <c r="F94" i="50"/>
  <c r="E94" i="50"/>
  <c r="A94" i="50"/>
  <c r="I93" i="50"/>
  <c r="L93" i="50"/>
  <c r="H93" i="50"/>
  <c r="K93" i="50"/>
  <c r="F93" i="50"/>
  <c r="E93" i="50"/>
  <c r="A93" i="50"/>
  <c r="A92" i="50"/>
  <c r="I91" i="50"/>
  <c r="L91" i="50"/>
  <c r="H91" i="50"/>
  <c r="K91" i="50"/>
  <c r="F91" i="50"/>
  <c r="E91" i="50"/>
  <c r="A91" i="50"/>
  <c r="I90" i="50"/>
  <c r="L90" i="50"/>
  <c r="H90" i="50"/>
  <c r="K90" i="50"/>
  <c r="F90" i="50"/>
  <c r="E90" i="50"/>
  <c r="A90" i="50"/>
  <c r="I89" i="50"/>
  <c r="L89" i="50"/>
  <c r="H89" i="50"/>
  <c r="K89" i="50"/>
  <c r="F89" i="50"/>
  <c r="E89" i="50"/>
  <c r="A89" i="50"/>
  <c r="A88" i="50"/>
  <c r="I87" i="50"/>
  <c r="L87" i="50"/>
  <c r="H87" i="50"/>
  <c r="K87" i="50"/>
  <c r="E87" i="50"/>
  <c r="A87" i="50"/>
  <c r="A86" i="50"/>
  <c r="I85" i="50"/>
  <c r="L85" i="50"/>
  <c r="H85" i="50"/>
  <c r="K85" i="50"/>
  <c r="E85" i="50"/>
  <c r="A85" i="50"/>
  <c r="A84" i="50"/>
  <c r="I83" i="50"/>
  <c r="L83" i="50"/>
  <c r="H83" i="50"/>
  <c r="K83" i="50"/>
  <c r="F83" i="50"/>
  <c r="E83" i="50"/>
  <c r="A83" i="50"/>
  <c r="I82" i="50"/>
  <c r="L82" i="50"/>
  <c r="H82" i="50"/>
  <c r="K82" i="50"/>
  <c r="F82" i="50"/>
  <c r="E82" i="50"/>
  <c r="A82" i="50"/>
  <c r="I81" i="50"/>
  <c r="L81" i="50"/>
  <c r="H81" i="50"/>
  <c r="K81" i="50"/>
  <c r="F81" i="50"/>
  <c r="E81" i="50"/>
  <c r="A81" i="50"/>
  <c r="A80" i="50"/>
  <c r="I79" i="50"/>
  <c r="L79" i="50"/>
  <c r="H79" i="50"/>
  <c r="K79" i="50"/>
  <c r="F79" i="50"/>
  <c r="E79" i="50"/>
  <c r="A79" i="50"/>
  <c r="I78" i="50"/>
  <c r="L78" i="50"/>
  <c r="H78" i="50"/>
  <c r="K78" i="50"/>
  <c r="F78" i="50"/>
  <c r="E78" i="50"/>
  <c r="A78" i="50"/>
  <c r="I77" i="50"/>
  <c r="L77" i="50"/>
  <c r="H77" i="50"/>
  <c r="K77" i="50"/>
  <c r="F77" i="50"/>
  <c r="E77" i="50"/>
  <c r="A77" i="50"/>
  <c r="A76" i="50"/>
  <c r="I75" i="50"/>
  <c r="L75" i="50"/>
  <c r="H75" i="50"/>
  <c r="K75" i="50"/>
  <c r="F75" i="50"/>
  <c r="E75" i="50"/>
  <c r="A75" i="50"/>
  <c r="I74" i="50"/>
  <c r="L74" i="50"/>
  <c r="H74" i="50"/>
  <c r="K74" i="50"/>
  <c r="F74" i="50"/>
  <c r="E74" i="50"/>
  <c r="A74" i="50"/>
  <c r="I73" i="50"/>
  <c r="L73" i="50"/>
  <c r="H73" i="50"/>
  <c r="K73" i="50"/>
  <c r="F73" i="50"/>
  <c r="E73" i="50"/>
  <c r="A73" i="50"/>
  <c r="A72" i="50"/>
  <c r="I71" i="50"/>
  <c r="L71" i="50"/>
  <c r="H71" i="50"/>
  <c r="K71" i="50"/>
  <c r="F71" i="50"/>
  <c r="E71" i="50"/>
  <c r="A71" i="50"/>
  <c r="I70" i="50"/>
  <c r="L70" i="50"/>
  <c r="H70" i="50"/>
  <c r="K70" i="50"/>
  <c r="F70" i="50"/>
  <c r="E70" i="50"/>
  <c r="A70" i="50"/>
  <c r="I69" i="50"/>
  <c r="L69" i="50"/>
  <c r="H69" i="50"/>
  <c r="K69" i="50"/>
  <c r="F69" i="50"/>
  <c r="E69" i="50"/>
  <c r="A69" i="50"/>
  <c r="A68" i="50"/>
  <c r="I67" i="50"/>
  <c r="L67" i="50"/>
  <c r="H67" i="50"/>
  <c r="K67" i="50"/>
  <c r="E67" i="50"/>
  <c r="A67" i="50"/>
  <c r="A66" i="50"/>
  <c r="I65" i="50"/>
  <c r="L65" i="50"/>
  <c r="H65" i="50"/>
  <c r="K65" i="50"/>
  <c r="F65" i="50"/>
  <c r="E65" i="50"/>
  <c r="A65" i="50"/>
  <c r="I64" i="50"/>
  <c r="L64" i="50"/>
  <c r="H64" i="50"/>
  <c r="K64" i="50"/>
  <c r="F64" i="50"/>
  <c r="E64" i="50"/>
  <c r="A64" i="50"/>
  <c r="I63" i="50"/>
  <c r="L63" i="50"/>
  <c r="H63" i="50"/>
  <c r="K63" i="50"/>
  <c r="F63" i="50"/>
  <c r="E63" i="50"/>
  <c r="A63" i="50"/>
  <c r="I62" i="50"/>
  <c r="L62" i="50"/>
  <c r="H62" i="50"/>
  <c r="K62" i="50"/>
  <c r="F62" i="50"/>
  <c r="E62" i="50"/>
  <c r="A62" i="50"/>
  <c r="I61" i="50"/>
  <c r="L61" i="50"/>
  <c r="H61" i="50"/>
  <c r="K61" i="50"/>
  <c r="F61" i="50"/>
  <c r="E61" i="50"/>
  <c r="A61" i="50"/>
  <c r="I60" i="50"/>
  <c r="L60" i="50"/>
  <c r="H60" i="50"/>
  <c r="K60" i="50"/>
  <c r="F60" i="50"/>
  <c r="E60" i="50"/>
  <c r="A60" i="50"/>
  <c r="A59" i="50"/>
  <c r="I58" i="50"/>
  <c r="L58" i="50"/>
  <c r="H58" i="50"/>
  <c r="K58" i="50"/>
  <c r="F58" i="50"/>
  <c r="E58" i="50"/>
  <c r="A58" i="50"/>
  <c r="I57" i="50"/>
  <c r="L57" i="50"/>
  <c r="H57" i="50"/>
  <c r="K57" i="50"/>
  <c r="F57" i="50"/>
  <c r="E57" i="50"/>
  <c r="A57" i="50"/>
  <c r="I56" i="50"/>
  <c r="L56" i="50"/>
  <c r="H56" i="50"/>
  <c r="K56" i="50"/>
  <c r="F56" i="50"/>
  <c r="E56" i="50"/>
  <c r="A56" i="50"/>
  <c r="I55" i="50"/>
  <c r="L55" i="50"/>
  <c r="H55" i="50"/>
  <c r="K55" i="50"/>
  <c r="F55" i="50"/>
  <c r="E55" i="50"/>
  <c r="A55" i="50"/>
  <c r="I54" i="50"/>
  <c r="L54" i="50"/>
  <c r="H54" i="50"/>
  <c r="K54" i="50"/>
  <c r="F54" i="50"/>
  <c r="E54" i="50"/>
  <c r="A54" i="50"/>
  <c r="I53" i="50"/>
  <c r="L53" i="50"/>
  <c r="H53" i="50"/>
  <c r="K53" i="50"/>
  <c r="F53" i="50"/>
  <c r="E53" i="50"/>
  <c r="A53" i="50"/>
  <c r="A52" i="50"/>
  <c r="I51" i="50"/>
  <c r="L51" i="50"/>
  <c r="H51" i="50"/>
  <c r="K51" i="50"/>
  <c r="E51" i="50"/>
  <c r="A51" i="50"/>
  <c r="I50" i="50"/>
  <c r="L50" i="50"/>
  <c r="H50" i="50"/>
  <c r="K50" i="50"/>
  <c r="E50" i="50"/>
  <c r="A50" i="50"/>
  <c r="I48" i="50"/>
  <c r="L48" i="50"/>
  <c r="H48" i="50"/>
  <c r="K48" i="50"/>
  <c r="F48" i="50"/>
  <c r="E48" i="50"/>
  <c r="A48" i="50"/>
  <c r="I47" i="50"/>
  <c r="L47" i="50"/>
  <c r="H47" i="50"/>
  <c r="K47" i="50"/>
  <c r="F47" i="50"/>
  <c r="E47" i="50"/>
  <c r="A47" i="50"/>
  <c r="I46" i="50"/>
  <c r="L46" i="50"/>
  <c r="H46" i="50"/>
  <c r="K46" i="50"/>
  <c r="F46" i="50"/>
  <c r="E46" i="50"/>
  <c r="A46" i="50"/>
  <c r="I45" i="50"/>
  <c r="L45" i="50"/>
  <c r="H45" i="50"/>
  <c r="K45" i="50"/>
  <c r="F45" i="50"/>
  <c r="E45" i="50"/>
  <c r="A45" i="50"/>
  <c r="I44" i="50"/>
  <c r="L44" i="50"/>
  <c r="H44" i="50"/>
  <c r="K44" i="50"/>
  <c r="F44" i="50"/>
  <c r="E44" i="50"/>
  <c r="A44" i="50"/>
  <c r="I43" i="50"/>
  <c r="L43" i="50"/>
  <c r="H43" i="50"/>
  <c r="K43" i="50"/>
  <c r="F43" i="50"/>
  <c r="E43" i="50"/>
  <c r="A43" i="50"/>
  <c r="A42" i="50"/>
  <c r="I41" i="50"/>
  <c r="L41" i="50"/>
  <c r="H41" i="50"/>
  <c r="K41" i="50"/>
  <c r="F41" i="50"/>
  <c r="E41" i="50"/>
  <c r="A41" i="50"/>
  <c r="I40" i="50"/>
  <c r="L40" i="50"/>
  <c r="H40" i="50"/>
  <c r="K40" i="50"/>
  <c r="F40" i="50"/>
  <c r="E40" i="50"/>
  <c r="A40" i="50"/>
  <c r="I39" i="50"/>
  <c r="L39" i="50"/>
  <c r="H39" i="50"/>
  <c r="K39" i="50"/>
  <c r="F39" i="50"/>
  <c r="E39" i="50"/>
  <c r="A39" i="50"/>
  <c r="I38" i="50"/>
  <c r="L38" i="50"/>
  <c r="H38" i="50"/>
  <c r="K38" i="50"/>
  <c r="F38" i="50"/>
  <c r="E38" i="50"/>
  <c r="A38" i="50"/>
  <c r="I37" i="50"/>
  <c r="L37" i="50"/>
  <c r="H37" i="50"/>
  <c r="K37" i="50"/>
  <c r="F37" i="50"/>
  <c r="E37" i="50"/>
  <c r="A37" i="50"/>
  <c r="I36" i="50"/>
  <c r="L36" i="50"/>
  <c r="H36" i="50"/>
  <c r="K36" i="50"/>
  <c r="F36" i="50"/>
  <c r="E36" i="50"/>
  <c r="A36" i="50"/>
  <c r="I34" i="50"/>
  <c r="L34" i="50"/>
  <c r="H34" i="50"/>
  <c r="K34" i="50"/>
  <c r="F34" i="50"/>
  <c r="E34" i="50"/>
  <c r="A34" i="50"/>
  <c r="I33" i="50"/>
  <c r="L33" i="50"/>
  <c r="H33" i="50"/>
  <c r="K33" i="50"/>
  <c r="F33" i="50"/>
  <c r="E33" i="50"/>
  <c r="A33" i="50"/>
  <c r="I32" i="50"/>
  <c r="L32" i="50"/>
  <c r="H32" i="50"/>
  <c r="K32" i="50"/>
  <c r="F32" i="50"/>
  <c r="E32" i="50"/>
  <c r="A32" i="50"/>
  <c r="I31" i="50"/>
  <c r="L31" i="50"/>
  <c r="H31" i="50"/>
  <c r="K31" i="50"/>
  <c r="F31" i="50"/>
  <c r="E31" i="50"/>
  <c r="A31" i="50"/>
  <c r="I30" i="50"/>
  <c r="L30" i="50"/>
  <c r="H30" i="50"/>
  <c r="K30" i="50"/>
  <c r="F30" i="50"/>
  <c r="E30" i="50"/>
  <c r="A30" i="50"/>
  <c r="I29" i="50"/>
  <c r="L29" i="50"/>
  <c r="H29" i="50"/>
  <c r="K29" i="50"/>
  <c r="F29" i="50"/>
  <c r="E29" i="50"/>
  <c r="A29" i="50"/>
  <c r="A28" i="50"/>
  <c r="I27" i="50"/>
  <c r="L27" i="50"/>
  <c r="H27" i="50"/>
  <c r="K27" i="50"/>
  <c r="F27" i="50"/>
  <c r="E27" i="50"/>
  <c r="A27" i="50"/>
  <c r="I26" i="50"/>
  <c r="L26" i="50"/>
  <c r="H26" i="50"/>
  <c r="K26" i="50"/>
  <c r="F26" i="50"/>
  <c r="E26" i="50"/>
  <c r="A26" i="50"/>
  <c r="I25" i="50"/>
  <c r="L25" i="50"/>
  <c r="H25" i="50"/>
  <c r="K25" i="50"/>
  <c r="F25" i="50"/>
  <c r="E25" i="50"/>
  <c r="A25" i="50"/>
  <c r="I24" i="50"/>
  <c r="L24" i="50"/>
  <c r="H24" i="50"/>
  <c r="K24" i="50"/>
  <c r="F24" i="50"/>
  <c r="E24" i="50"/>
  <c r="A24" i="50"/>
  <c r="I23" i="50"/>
  <c r="L23" i="50"/>
  <c r="H23" i="50"/>
  <c r="K23" i="50"/>
  <c r="F23" i="50"/>
  <c r="E23" i="50"/>
  <c r="A23" i="50"/>
  <c r="I22" i="50"/>
  <c r="L22" i="50"/>
  <c r="H22" i="50"/>
  <c r="K22" i="50"/>
  <c r="F22" i="50"/>
  <c r="E22" i="50"/>
  <c r="A22" i="50"/>
  <c r="I20" i="50"/>
  <c r="L20" i="50"/>
  <c r="H20" i="50"/>
  <c r="K20" i="50"/>
  <c r="E20" i="50"/>
  <c r="A20" i="50"/>
  <c r="I19" i="50"/>
  <c r="L19" i="50"/>
  <c r="H19" i="50"/>
  <c r="K19" i="50"/>
  <c r="E19" i="50"/>
  <c r="A19" i="50"/>
  <c r="I17" i="50"/>
  <c r="L17" i="50"/>
  <c r="H17" i="50"/>
  <c r="K17" i="50"/>
  <c r="E17" i="50"/>
  <c r="A17" i="50"/>
  <c r="I15" i="50"/>
  <c r="L15" i="50"/>
  <c r="H15" i="50"/>
  <c r="K15" i="50"/>
  <c r="E15" i="50"/>
  <c r="A15" i="50"/>
  <c r="I13" i="50"/>
  <c r="L13" i="50"/>
  <c r="H13" i="50"/>
  <c r="K13" i="50"/>
  <c r="E13" i="50"/>
  <c r="A13" i="50"/>
  <c r="I11" i="50"/>
  <c r="L11" i="50"/>
  <c r="H11" i="50"/>
  <c r="K11" i="50"/>
  <c r="E11" i="50"/>
  <c r="A11" i="50"/>
  <c r="B74" i="39"/>
  <c r="B73" i="49"/>
  <c r="B73" i="39"/>
  <c r="B72" i="49"/>
  <c r="B72" i="39"/>
  <c r="B71" i="49"/>
  <c r="B71" i="39"/>
  <c r="B70" i="49"/>
  <c r="B70" i="39"/>
  <c r="B69" i="49"/>
  <c r="A67" i="49"/>
  <c r="C46" i="39"/>
  <c r="C45" i="49"/>
  <c r="C18" i="39"/>
  <c r="C17" i="49"/>
  <c r="C19" i="39"/>
  <c r="C18" i="49"/>
  <c r="C20" i="39"/>
  <c r="C19" i="49"/>
  <c r="C21" i="39"/>
  <c r="C20" i="49"/>
  <c r="C22" i="39"/>
  <c r="C21" i="49"/>
  <c r="C23" i="39"/>
  <c r="C22" i="49"/>
  <c r="C24" i="39"/>
  <c r="C23" i="49"/>
  <c r="C25" i="39"/>
  <c r="C24" i="49"/>
  <c r="C26" i="39"/>
  <c r="C25" i="49"/>
  <c r="C27" i="39"/>
  <c r="C26" i="49"/>
  <c r="C28" i="39"/>
  <c r="C27" i="49"/>
  <c r="C29" i="39"/>
  <c r="C28" i="49"/>
  <c r="C30" i="39"/>
  <c r="C29" i="49"/>
  <c r="C31" i="39"/>
  <c r="C30" i="49"/>
  <c r="C32" i="39"/>
  <c r="C31" i="49"/>
  <c r="C33" i="39"/>
  <c r="C32" i="49"/>
  <c r="C34" i="39"/>
  <c r="C33" i="49"/>
  <c r="C35" i="39"/>
  <c r="C34" i="49"/>
  <c r="C36" i="39"/>
  <c r="C35" i="49"/>
  <c r="C37" i="39"/>
  <c r="C36" i="49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Z33" i="2"/>
  <c r="AA33" i="2"/>
  <c r="AO34" i="1"/>
  <c r="N17" i="49"/>
  <c r="H33" i="2"/>
  <c r="I33" i="2"/>
  <c r="K34" i="1"/>
  <c r="N18" i="49"/>
  <c r="AC33" i="2"/>
  <c r="AD33" i="2"/>
  <c r="AT34" i="1"/>
  <c r="N19" i="49"/>
  <c r="K33" i="2"/>
  <c r="L33" i="2"/>
  <c r="P34" i="1"/>
  <c r="N20" i="49"/>
  <c r="O32" i="2"/>
  <c r="O33" i="2"/>
  <c r="U34" i="1"/>
  <c r="N21" i="49"/>
  <c r="Q33" i="2"/>
  <c r="R33" i="2"/>
  <c r="Z34" i="1"/>
  <c r="N22" i="49"/>
  <c r="K39" i="3"/>
  <c r="D39" i="3"/>
  <c r="L39" i="3"/>
  <c r="O39" i="3"/>
  <c r="P39" i="3"/>
  <c r="R39" i="3"/>
  <c r="AY34" i="1"/>
  <c r="N23" i="49"/>
  <c r="N24" i="49"/>
  <c r="T33" i="2"/>
  <c r="U33" i="2"/>
  <c r="AE34" i="1"/>
  <c r="N25" i="49"/>
  <c r="AI33" i="2"/>
  <c r="AJ33" i="2"/>
  <c r="BI34" i="1"/>
  <c r="N26" i="49"/>
  <c r="AL33" i="2"/>
  <c r="AM33" i="2"/>
  <c r="BN34" i="1"/>
  <c r="N27" i="49"/>
  <c r="AO33" i="2"/>
  <c r="AP33" i="2"/>
  <c r="BS34" i="1"/>
  <c r="N28" i="49"/>
  <c r="AR33" i="2"/>
  <c r="AS33" i="2"/>
  <c r="BX34" i="1"/>
  <c r="N29" i="49"/>
  <c r="AU33" i="2"/>
  <c r="AV33" i="2"/>
  <c r="CC34" i="1"/>
  <c r="N30" i="49"/>
  <c r="X33" i="2"/>
  <c r="AJ34" i="1"/>
  <c r="N31" i="49"/>
  <c r="N32" i="49"/>
  <c r="N33" i="49"/>
  <c r="L34" i="49"/>
  <c r="N34" i="49"/>
  <c r="L35" i="49"/>
  <c r="N35" i="49"/>
  <c r="N36" i="49"/>
  <c r="I45" i="49"/>
  <c r="E45" i="49"/>
  <c r="L45" i="49"/>
  <c r="C46" i="6"/>
  <c r="C47" i="39"/>
  <c r="C46" i="49"/>
  <c r="I46" i="49"/>
  <c r="I17" i="49"/>
  <c r="E46" i="49"/>
  <c r="L46" i="49"/>
  <c r="C47" i="6"/>
  <c r="C48" i="39"/>
  <c r="C47" i="49"/>
  <c r="I47" i="49"/>
  <c r="I18" i="49"/>
  <c r="E47" i="49"/>
  <c r="L47" i="49"/>
  <c r="C48" i="6"/>
  <c r="C49" i="39"/>
  <c r="C48" i="49"/>
  <c r="I48" i="49"/>
  <c r="I19" i="49"/>
  <c r="E48" i="49"/>
  <c r="L48" i="49"/>
  <c r="C49" i="6"/>
  <c r="C50" i="39"/>
  <c r="C49" i="49"/>
  <c r="I49" i="49"/>
  <c r="I20" i="49"/>
  <c r="E49" i="49"/>
  <c r="L49" i="49"/>
  <c r="C50" i="6"/>
  <c r="C51" i="39"/>
  <c r="C50" i="49"/>
  <c r="I50" i="49"/>
  <c r="I21" i="49"/>
  <c r="E50" i="49"/>
  <c r="L50" i="49"/>
  <c r="C51" i="6"/>
  <c r="C52" i="39"/>
  <c r="C51" i="49"/>
  <c r="I51" i="49"/>
  <c r="I22" i="49"/>
  <c r="E51" i="49"/>
  <c r="L51" i="49"/>
  <c r="C52" i="6"/>
  <c r="C53" i="39"/>
  <c r="C52" i="49"/>
  <c r="I52" i="49"/>
  <c r="I23" i="49"/>
  <c r="E52" i="49"/>
  <c r="L52" i="49"/>
  <c r="C53" i="6"/>
  <c r="C54" i="39"/>
  <c r="C53" i="49"/>
  <c r="I53" i="49"/>
  <c r="I24" i="49"/>
  <c r="E53" i="49"/>
  <c r="L53" i="49"/>
  <c r="C54" i="6"/>
  <c r="C55" i="39"/>
  <c r="C54" i="49"/>
  <c r="I54" i="49"/>
  <c r="I25" i="49"/>
  <c r="E54" i="49"/>
  <c r="L54" i="49"/>
  <c r="C55" i="6"/>
  <c r="C56" i="39"/>
  <c r="C55" i="49"/>
  <c r="I55" i="49"/>
  <c r="I26" i="49"/>
  <c r="E55" i="49"/>
  <c r="L55" i="49"/>
  <c r="C56" i="6"/>
  <c r="C57" i="39"/>
  <c r="C56" i="49"/>
  <c r="I56" i="49"/>
  <c r="I27" i="49"/>
  <c r="E56" i="49"/>
  <c r="L56" i="49"/>
  <c r="C57" i="6"/>
  <c r="C58" i="39"/>
  <c r="C57" i="49"/>
  <c r="I57" i="49"/>
  <c r="I28" i="49"/>
  <c r="E57" i="49"/>
  <c r="L57" i="49"/>
  <c r="C58" i="6"/>
  <c r="C59" i="39"/>
  <c r="C58" i="49"/>
  <c r="I58" i="49"/>
  <c r="I29" i="49"/>
  <c r="E58" i="49"/>
  <c r="L58" i="49"/>
  <c r="C59" i="6"/>
  <c r="C60" i="39"/>
  <c r="C59" i="49"/>
  <c r="I59" i="49"/>
  <c r="I30" i="49"/>
  <c r="E59" i="49"/>
  <c r="L59" i="49"/>
  <c r="C60" i="6"/>
  <c r="C61" i="39"/>
  <c r="C60" i="49"/>
  <c r="I60" i="49"/>
  <c r="I31" i="49"/>
  <c r="E60" i="49"/>
  <c r="L60" i="49"/>
  <c r="I61" i="49"/>
  <c r="I32" i="49"/>
  <c r="E61" i="49"/>
  <c r="L61" i="49"/>
  <c r="C62" i="6"/>
  <c r="C63" i="39"/>
  <c r="C62" i="49"/>
  <c r="I62" i="49"/>
  <c r="I33" i="49"/>
  <c r="E62" i="49"/>
  <c r="L62" i="49"/>
  <c r="C63" i="6"/>
  <c r="C64" i="39"/>
  <c r="C63" i="49"/>
  <c r="I63" i="49"/>
  <c r="I34" i="49"/>
  <c r="E63" i="49"/>
  <c r="L63" i="49"/>
  <c r="C64" i="6"/>
  <c r="C65" i="39"/>
  <c r="C64" i="49"/>
  <c r="I64" i="49"/>
  <c r="I35" i="49"/>
  <c r="E64" i="49"/>
  <c r="L64" i="49"/>
  <c r="C65" i="6"/>
  <c r="C66" i="39"/>
  <c r="C65" i="49"/>
  <c r="I65" i="49"/>
  <c r="I36" i="49"/>
  <c r="E65" i="49"/>
  <c r="L65" i="49"/>
  <c r="L66" i="49"/>
  <c r="N66" i="49"/>
  <c r="I66" i="49"/>
  <c r="J66" i="49"/>
  <c r="E66" i="49"/>
  <c r="G66" i="49"/>
  <c r="B67" i="39"/>
  <c r="B66" i="49"/>
  <c r="B18" i="39"/>
  <c r="B17" i="49"/>
  <c r="B19" i="39"/>
  <c r="B18" i="49"/>
  <c r="B20" i="39"/>
  <c r="B19" i="49"/>
  <c r="B21" i="39"/>
  <c r="B20" i="49"/>
  <c r="B22" i="39"/>
  <c r="B21" i="49"/>
  <c r="B23" i="39"/>
  <c r="B22" i="49"/>
  <c r="B24" i="39"/>
  <c r="B23" i="49"/>
  <c r="B25" i="39"/>
  <c r="B24" i="49"/>
  <c r="B26" i="39"/>
  <c r="B25" i="49"/>
  <c r="B27" i="39"/>
  <c r="B26" i="49"/>
  <c r="B28" i="39"/>
  <c r="B27" i="49"/>
  <c r="B29" i="39"/>
  <c r="B28" i="49"/>
  <c r="B30" i="39"/>
  <c r="B29" i="49"/>
  <c r="B31" i="39"/>
  <c r="B30" i="49"/>
  <c r="B32" i="39"/>
  <c r="B31" i="49"/>
  <c r="B33" i="39"/>
  <c r="B32" i="49"/>
  <c r="B34" i="39"/>
  <c r="B33" i="49"/>
  <c r="B35" i="39"/>
  <c r="B34" i="49"/>
  <c r="B36" i="39"/>
  <c r="B35" i="49"/>
  <c r="B37" i="39"/>
  <c r="B36" i="49"/>
  <c r="B46" i="39"/>
  <c r="B45" i="49"/>
  <c r="B46" i="6"/>
  <c r="B47" i="39"/>
  <c r="B46" i="49"/>
  <c r="B47" i="6"/>
  <c r="B48" i="39"/>
  <c r="B47" i="49"/>
  <c r="B48" i="6"/>
  <c r="B49" i="39"/>
  <c r="B48" i="49"/>
  <c r="B49" i="6"/>
  <c r="B50" i="39"/>
  <c r="B49" i="49"/>
  <c r="B50" i="6"/>
  <c r="B51" i="39"/>
  <c r="B50" i="49"/>
  <c r="B51" i="6"/>
  <c r="B52" i="39"/>
  <c r="B51" i="49"/>
  <c r="B52" i="6"/>
  <c r="B53" i="39"/>
  <c r="B52" i="49"/>
  <c r="B53" i="6"/>
  <c r="B54" i="39"/>
  <c r="B53" i="49"/>
  <c r="B54" i="6"/>
  <c r="B55" i="39"/>
  <c r="B54" i="49"/>
  <c r="B55" i="6"/>
  <c r="B56" i="39"/>
  <c r="B55" i="49"/>
  <c r="B56" i="6"/>
  <c r="B57" i="39"/>
  <c r="B56" i="49"/>
  <c r="B57" i="6"/>
  <c r="B58" i="39"/>
  <c r="B57" i="49"/>
  <c r="B58" i="6"/>
  <c r="B59" i="39"/>
  <c r="B58" i="49"/>
  <c r="B59" i="6"/>
  <c r="B60" i="39"/>
  <c r="B59" i="49"/>
  <c r="B60" i="6"/>
  <c r="B61" i="39"/>
  <c r="B60" i="49"/>
  <c r="B62" i="39"/>
  <c r="B61" i="49"/>
  <c r="B62" i="6"/>
  <c r="B63" i="39"/>
  <c r="B62" i="49"/>
  <c r="B63" i="6"/>
  <c r="B64" i="39"/>
  <c r="B63" i="49"/>
  <c r="B64" i="6"/>
  <c r="B65" i="39"/>
  <c r="B64" i="49"/>
  <c r="B65" i="6"/>
  <c r="B66" i="39"/>
  <c r="B65" i="49"/>
  <c r="A66" i="49"/>
  <c r="N65" i="49"/>
  <c r="J65" i="49"/>
  <c r="G65" i="49"/>
  <c r="A65" i="49"/>
  <c r="N64" i="49"/>
  <c r="J64" i="49"/>
  <c r="G64" i="49"/>
  <c r="A64" i="49"/>
  <c r="N63" i="49"/>
  <c r="J63" i="49"/>
  <c r="G63" i="49"/>
  <c r="A63" i="49"/>
  <c r="N62" i="49"/>
  <c r="J62" i="49"/>
  <c r="G62" i="49"/>
  <c r="A62" i="49"/>
  <c r="N61" i="49"/>
  <c r="J61" i="49"/>
  <c r="G61" i="49"/>
  <c r="C62" i="39"/>
  <c r="C61" i="49"/>
  <c r="A61" i="49"/>
  <c r="N60" i="49"/>
  <c r="J60" i="49"/>
  <c r="G60" i="49"/>
  <c r="A60" i="49"/>
  <c r="N59" i="49"/>
  <c r="J59" i="49"/>
  <c r="G59" i="49"/>
  <c r="A59" i="49"/>
  <c r="N58" i="49"/>
  <c r="J58" i="49"/>
  <c r="G58" i="49"/>
  <c r="A58" i="49"/>
  <c r="N57" i="49"/>
  <c r="J57" i="49"/>
  <c r="G57" i="49"/>
  <c r="A57" i="49"/>
  <c r="N56" i="49"/>
  <c r="J56" i="49"/>
  <c r="G56" i="49"/>
  <c r="A56" i="49"/>
  <c r="N55" i="49"/>
  <c r="J55" i="49"/>
  <c r="G55" i="49"/>
  <c r="A55" i="49"/>
  <c r="N54" i="49"/>
  <c r="J54" i="49"/>
  <c r="G54" i="49"/>
  <c r="A54" i="49"/>
  <c r="N53" i="49"/>
  <c r="J53" i="49"/>
  <c r="G53" i="49"/>
  <c r="A53" i="49"/>
  <c r="N52" i="49"/>
  <c r="J52" i="49"/>
  <c r="G52" i="49"/>
  <c r="A52" i="49"/>
  <c r="N51" i="49"/>
  <c r="J51" i="49"/>
  <c r="G51" i="49"/>
  <c r="A51" i="49"/>
  <c r="N50" i="49"/>
  <c r="J50" i="49"/>
  <c r="G50" i="49"/>
  <c r="A50" i="49"/>
  <c r="N49" i="49"/>
  <c r="J49" i="49"/>
  <c r="G49" i="49"/>
  <c r="A49" i="49"/>
  <c r="N48" i="49"/>
  <c r="J48" i="49"/>
  <c r="G48" i="49"/>
  <c r="A48" i="49"/>
  <c r="N47" i="49"/>
  <c r="J47" i="49"/>
  <c r="G47" i="49"/>
  <c r="A47" i="49"/>
  <c r="N46" i="49"/>
  <c r="J46" i="49"/>
  <c r="G46" i="49"/>
  <c r="A46" i="49"/>
  <c r="N45" i="49"/>
  <c r="J45" i="49"/>
  <c r="G45" i="49"/>
  <c r="A45" i="49"/>
  <c r="A44" i="49"/>
  <c r="A43" i="49"/>
  <c r="A42" i="49"/>
  <c r="A41" i="49"/>
  <c r="N38" i="49"/>
  <c r="I38" i="49"/>
  <c r="N40" i="49"/>
  <c r="A40" i="49"/>
  <c r="A39" i="49"/>
  <c r="A38" i="49"/>
  <c r="A37" i="49"/>
  <c r="A36" i="49"/>
  <c r="A35" i="49"/>
  <c r="A34" i="49"/>
  <c r="A33" i="49"/>
  <c r="A32" i="49"/>
  <c r="A31" i="49"/>
  <c r="A30" i="49"/>
  <c r="A29" i="49"/>
  <c r="A28" i="49"/>
  <c r="A27" i="49"/>
  <c r="A26" i="49"/>
  <c r="A25" i="49"/>
  <c r="A24" i="49"/>
  <c r="A23" i="49"/>
  <c r="A22" i="49"/>
  <c r="A21" i="49"/>
  <c r="A20" i="49"/>
  <c r="A19" i="49"/>
  <c r="A18" i="49"/>
  <c r="A17" i="49"/>
  <c r="A16" i="49"/>
  <c r="A15" i="49"/>
  <c r="A14" i="49"/>
  <c r="A13" i="49"/>
  <c r="A12" i="49"/>
  <c r="A11" i="49"/>
  <c r="A7" i="49"/>
  <c r="A5" i="48"/>
  <c r="A5" i="49"/>
  <c r="A4" i="11"/>
  <c r="A4" i="12"/>
  <c r="A4" i="13"/>
  <c r="A4" i="39"/>
  <c r="A4" i="40"/>
  <c r="A4" i="41"/>
  <c r="A4" i="42"/>
  <c r="A4" i="43"/>
  <c r="A4" i="44"/>
  <c r="A4" i="45"/>
  <c r="A4" i="46"/>
  <c r="A4" i="49"/>
  <c r="B73" i="48"/>
  <c r="B75" i="14"/>
  <c r="B73" i="21"/>
  <c r="B72" i="48"/>
  <c r="B74" i="14"/>
  <c r="B72" i="21"/>
  <c r="B71" i="48"/>
  <c r="B73" i="14"/>
  <c r="B71" i="21"/>
  <c r="B70" i="48"/>
  <c r="B72" i="14"/>
  <c r="B70" i="21"/>
  <c r="B69" i="48"/>
  <c r="A67" i="48"/>
  <c r="C48" i="14"/>
  <c r="C46" i="21"/>
  <c r="C45" i="48"/>
  <c r="C20" i="14"/>
  <c r="C18" i="21"/>
  <c r="C17" i="48"/>
  <c r="C21" i="14"/>
  <c r="C19" i="21"/>
  <c r="C18" i="48"/>
  <c r="C22" i="14"/>
  <c r="C20" i="21"/>
  <c r="C19" i="48"/>
  <c r="C23" i="14"/>
  <c r="C21" i="21"/>
  <c r="C20" i="48"/>
  <c r="C24" i="14"/>
  <c r="C22" i="21"/>
  <c r="C21" i="48"/>
  <c r="C25" i="14"/>
  <c r="C23" i="21"/>
  <c r="C22" i="48"/>
  <c r="C26" i="14"/>
  <c r="C24" i="21"/>
  <c r="C23" i="48"/>
  <c r="C27" i="14"/>
  <c r="C25" i="21"/>
  <c r="C24" i="48"/>
  <c r="C28" i="14"/>
  <c r="C26" i="21"/>
  <c r="C25" i="48"/>
  <c r="C29" i="14"/>
  <c r="C27" i="21"/>
  <c r="C26" i="48"/>
  <c r="C30" i="14"/>
  <c r="C28" i="21"/>
  <c r="C27" i="48"/>
  <c r="C31" i="14"/>
  <c r="C29" i="21"/>
  <c r="C28" i="48"/>
  <c r="C32" i="14"/>
  <c r="C30" i="21"/>
  <c r="C29" i="48"/>
  <c r="C33" i="14"/>
  <c r="C31" i="21"/>
  <c r="C30" i="48"/>
  <c r="C34" i="14"/>
  <c r="C32" i="21"/>
  <c r="C31" i="48"/>
  <c r="C35" i="14"/>
  <c r="C33" i="21"/>
  <c r="C32" i="48"/>
  <c r="C36" i="14"/>
  <c r="C34" i="21"/>
  <c r="C33" i="48"/>
  <c r="C37" i="14"/>
  <c r="C35" i="21"/>
  <c r="C34" i="48"/>
  <c r="C38" i="14"/>
  <c r="C36" i="21"/>
  <c r="C35" i="48"/>
  <c r="C39" i="14"/>
  <c r="C37" i="21"/>
  <c r="C36" i="48"/>
  <c r="Z32" i="2"/>
  <c r="AA32" i="2"/>
  <c r="AO33" i="1"/>
  <c r="N17" i="48"/>
  <c r="H32" i="2"/>
  <c r="I32" i="2"/>
  <c r="K33" i="1"/>
  <c r="N18" i="48"/>
  <c r="AC32" i="2"/>
  <c r="AD32" i="2"/>
  <c r="AT33" i="1"/>
  <c r="N19" i="48"/>
  <c r="K32" i="2"/>
  <c r="L32" i="2"/>
  <c r="P33" i="1"/>
  <c r="N20" i="48"/>
  <c r="U33" i="1"/>
  <c r="N21" i="48"/>
  <c r="Q32" i="2"/>
  <c r="R32" i="2"/>
  <c r="Z33" i="1"/>
  <c r="N22" i="48"/>
  <c r="G38" i="3"/>
  <c r="D38" i="3"/>
  <c r="H38" i="3"/>
  <c r="O38" i="3"/>
  <c r="P38" i="3"/>
  <c r="R38" i="3"/>
  <c r="AY33" i="1"/>
  <c r="N23" i="48"/>
  <c r="N24" i="48"/>
  <c r="T32" i="2"/>
  <c r="U32" i="2"/>
  <c r="AE33" i="1"/>
  <c r="N25" i="48"/>
  <c r="AI32" i="2"/>
  <c r="AJ32" i="2"/>
  <c r="BI33" i="1"/>
  <c r="N26" i="48"/>
  <c r="AL32" i="2"/>
  <c r="AM32" i="2"/>
  <c r="BN33" i="1"/>
  <c r="N27" i="48"/>
  <c r="AO32" i="2"/>
  <c r="AP32" i="2"/>
  <c r="BS33" i="1"/>
  <c r="N28" i="48"/>
  <c r="AR32" i="2"/>
  <c r="AS32" i="2"/>
  <c r="BX33" i="1"/>
  <c r="N29" i="48"/>
  <c r="AU32" i="2"/>
  <c r="AV32" i="2"/>
  <c r="CC33" i="1"/>
  <c r="N30" i="48"/>
  <c r="X32" i="2"/>
  <c r="AJ33" i="1"/>
  <c r="N31" i="48"/>
  <c r="N32" i="48"/>
  <c r="N33" i="48"/>
  <c r="L34" i="48"/>
  <c r="N34" i="48"/>
  <c r="L35" i="48"/>
  <c r="N35" i="48"/>
  <c r="N36" i="48"/>
  <c r="I45" i="48"/>
  <c r="E45" i="48"/>
  <c r="L45" i="48"/>
  <c r="C49" i="14"/>
  <c r="C47" i="21"/>
  <c r="C46" i="48"/>
  <c r="I46" i="48"/>
  <c r="I17" i="48"/>
  <c r="E46" i="48"/>
  <c r="L46" i="48"/>
  <c r="C50" i="14"/>
  <c r="C48" i="21"/>
  <c r="C47" i="48"/>
  <c r="I47" i="48"/>
  <c r="I18" i="48"/>
  <c r="E47" i="48"/>
  <c r="L47" i="48"/>
  <c r="C51" i="14"/>
  <c r="C49" i="21"/>
  <c r="C48" i="48"/>
  <c r="I48" i="48"/>
  <c r="I19" i="48"/>
  <c r="E48" i="48"/>
  <c r="L48" i="48"/>
  <c r="C52" i="14"/>
  <c r="C50" i="21"/>
  <c r="C49" i="48"/>
  <c r="I49" i="48"/>
  <c r="I20" i="48"/>
  <c r="E49" i="48"/>
  <c r="L49" i="48"/>
  <c r="C53" i="14"/>
  <c r="C51" i="21"/>
  <c r="C50" i="48"/>
  <c r="I50" i="48"/>
  <c r="I21" i="48"/>
  <c r="E50" i="48"/>
  <c r="L50" i="48"/>
  <c r="C54" i="14"/>
  <c r="C52" i="21"/>
  <c r="C51" i="48"/>
  <c r="I51" i="48"/>
  <c r="I22" i="48"/>
  <c r="E51" i="48"/>
  <c r="L51" i="48"/>
  <c r="C55" i="14"/>
  <c r="C53" i="21"/>
  <c r="C52" i="48"/>
  <c r="I52" i="48"/>
  <c r="I23" i="48"/>
  <c r="E52" i="48"/>
  <c r="L52" i="48"/>
  <c r="C56" i="14"/>
  <c r="C54" i="21"/>
  <c r="C53" i="48"/>
  <c r="I53" i="48"/>
  <c r="I24" i="48"/>
  <c r="E53" i="48"/>
  <c r="L53" i="48"/>
  <c r="C57" i="14"/>
  <c r="C55" i="21"/>
  <c r="C54" i="48"/>
  <c r="I54" i="48"/>
  <c r="I25" i="48"/>
  <c r="E54" i="48"/>
  <c r="L54" i="48"/>
  <c r="C58" i="14"/>
  <c r="C56" i="21"/>
  <c r="C55" i="48"/>
  <c r="I55" i="48"/>
  <c r="I26" i="48"/>
  <c r="E55" i="48"/>
  <c r="L55" i="48"/>
  <c r="C59" i="14"/>
  <c r="C57" i="21"/>
  <c r="C56" i="48"/>
  <c r="I56" i="48"/>
  <c r="I27" i="48"/>
  <c r="E56" i="48"/>
  <c r="L56" i="48"/>
  <c r="C60" i="14"/>
  <c r="C58" i="21"/>
  <c r="C57" i="48"/>
  <c r="I57" i="48"/>
  <c r="I28" i="48"/>
  <c r="E57" i="48"/>
  <c r="L57" i="48"/>
  <c r="C61" i="14"/>
  <c r="C59" i="21"/>
  <c r="C58" i="48"/>
  <c r="I58" i="48"/>
  <c r="I29" i="48"/>
  <c r="E58" i="48"/>
  <c r="L58" i="48"/>
  <c r="C62" i="14"/>
  <c r="C60" i="21"/>
  <c r="C59" i="48"/>
  <c r="I59" i="48"/>
  <c r="I30" i="48"/>
  <c r="E59" i="48"/>
  <c r="L59" i="48"/>
  <c r="C63" i="14"/>
  <c r="C61" i="21"/>
  <c r="C60" i="48"/>
  <c r="I60" i="48"/>
  <c r="I31" i="48"/>
  <c r="E60" i="48"/>
  <c r="L60" i="48"/>
  <c r="I61" i="48"/>
  <c r="I32" i="48"/>
  <c r="E61" i="48"/>
  <c r="L61" i="48"/>
  <c r="C65" i="14"/>
  <c r="C63" i="21"/>
  <c r="C62" i="48"/>
  <c r="I62" i="48"/>
  <c r="I33" i="48"/>
  <c r="E62" i="48"/>
  <c r="L62" i="48"/>
  <c r="C66" i="14"/>
  <c r="C64" i="21"/>
  <c r="C63" i="48"/>
  <c r="I63" i="48"/>
  <c r="I34" i="48"/>
  <c r="E63" i="48"/>
  <c r="L63" i="48"/>
  <c r="C67" i="14"/>
  <c r="C65" i="21"/>
  <c r="C64" i="48"/>
  <c r="I64" i="48"/>
  <c r="I35" i="48"/>
  <c r="E64" i="48"/>
  <c r="L64" i="48"/>
  <c r="C68" i="14"/>
  <c r="C66" i="21"/>
  <c r="C65" i="48"/>
  <c r="I65" i="48"/>
  <c r="I36" i="48"/>
  <c r="E65" i="48"/>
  <c r="L65" i="48"/>
  <c r="L66" i="48"/>
  <c r="N66" i="48"/>
  <c r="I66" i="48"/>
  <c r="J66" i="48"/>
  <c r="E66" i="48"/>
  <c r="G66" i="48"/>
  <c r="B69" i="14"/>
  <c r="B67" i="21"/>
  <c r="B66" i="48"/>
  <c r="B20" i="14"/>
  <c r="B18" i="21"/>
  <c r="B17" i="48"/>
  <c r="B21" i="14"/>
  <c r="B19" i="21"/>
  <c r="B18" i="48"/>
  <c r="B22" i="14"/>
  <c r="B20" i="21"/>
  <c r="B19" i="48"/>
  <c r="B23" i="14"/>
  <c r="B21" i="21"/>
  <c r="B20" i="48"/>
  <c r="B24" i="14"/>
  <c r="B22" i="21"/>
  <c r="B21" i="48"/>
  <c r="B25" i="14"/>
  <c r="B23" i="21"/>
  <c r="B22" i="48"/>
  <c r="B26" i="14"/>
  <c r="B24" i="21"/>
  <c r="B23" i="48"/>
  <c r="B27" i="14"/>
  <c r="B25" i="21"/>
  <c r="B24" i="48"/>
  <c r="B28" i="14"/>
  <c r="B26" i="21"/>
  <c r="B25" i="48"/>
  <c r="B29" i="14"/>
  <c r="B27" i="21"/>
  <c r="B26" i="48"/>
  <c r="B30" i="14"/>
  <c r="B28" i="21"/>
  <c r="B27" i="48"/>
  <c r="B31" i="14"/>
  <c r="B29" i="21"/>
  <c r="B28" i="48"/>
  <c r="B32" i="14"/>
  <c r="B30" i="21"/>
  <c r="B29" i="48"/>
  <c r="B33" i="14"/>
  <c r="B31" i="21"/>
  <c r="B30" i="48"/>
  <c r="B34" i="14"/>
  <c r="B32" i="21"/>
  <c r="B31" i="48"/>
  <c r="B35" i="14"/>
  <c r="B33" i="21"/>
  <c r="B32" i="48"/>
  <c r="B36" i="14"/>
  <c r="B34" i="21"/>
  <c r="B33" i="48"/>
  <c r="B37" i="14"/>
  <c r="B35" i="21"/>
  <c r="B34" i="48"/>
  <c r="B38" i="14"/>
  <c r="B36" i="21"/>
  <c r="B35" i="48"/>
  <c r="B39" i="14"/>
  <c r="B37" i="21"/>
  <c r="B36" i="48"/>
  <c r="B48" i="14"/>
  <c r="B46" i="21"/>
  <c r="B45" i="48"/>
  <c r="B49" i="14"/>
  <c r="B47" i="21"/>
  <c r="B46" i="48"/>
  <c r="B50" i="14"/>
  <c r="B48" i="21"/>
  <c r="B47" i="48"/>
  <c r="B51" i="14"/>
  <c r="B49" i="21"/>
  <c r="B48" i="48"/>
  <c r="B52" i="14"/>
  <c r="B50" i="21"/>
  <c r="B49" i="48"/>
  <c r="B53" i="14"/>
  <c r="B51" i="21"/>
  <c r="B50" i="48"/>
  <c r="B54" i="14"/>
  <c r="B52" i="21"/>
  <c r="B51" i="48"/>
  <c r="B55" i="14"/>
  <c r="B53" i="21"/>
  <c r="B52" i="48"/>
  <c r="B56" i="14"/>
  <c r="B54" i="21"/>
  <c r="B53" i="48"/>
  <c r="B57" i="14"/>
  <c r="B55" i="21"/>
  <c r="B54" i="48"/>
  <c r="B58" i="14"/>
  <c r="B56" i="21"/>
  <c r="B55" i="48"/>
  <c r="B59" i="14"/>
  <c r="B57" i="21"/>
  <c r="B56" i="48"/>
  <c r="B60" i="14"/>
  <c r="B58" i="21"/>
  <c r="B57" i="48"/>
  <c r="B61" i="14"/>
  <c r="B59" i="21"/>
  <c r="B58" i="48"/>
  <c r="B62" i="14"/>
  <c r="B60" i="21"/>
  <c r="B59" i="48"/>
  <c r="B63" i="14"/>
  <c r="B61" i="21"/>
  <c r="B60" i="48"/>
  <c r="B64" i="14"/>
  <c r="B62" i="21"/>
  <c r="B61" i="48"/>
  <c r="B65" i="14"/>
  <c r="B63" i="21"/>
  <c r="B62" i="48"/>
  <c r="B66" i="14"/>
  <c r="B64" i="21"/>
  <c r="B63" i="48"/>
  <c r="B67" i="14"/>
  <c r="B65" i="21"/>
  <c r="B64" i="48"/>
  <c r="B68" i="14"/>
  <c r="B66" i="21"/>
  <c r="B65" i="48"/>
  <c r="A66" i="48"/>
  <c r="N65" i="48"/>
  <c r="J65" i="48"/>
  <c r="G65" i="48"/>
  <c r="A65" i="48"/>
  <c r="N64" i="48"/>
  <c r="J64" i="48"/>
  <c r="G64" i="48"/>
  <c r="A64" i="48"/>
  <c r="N63" i="48"/>
  <c r="J63" i="48"/>
  <c r="G63" i="48"/>
  <c r="A63" i="48"/>
  <c r="N62" i="48"/>
  <c r="J62" i="48"/>
  <c r="G62" i="48"/>
  <c r="A62" i="48"/>
  <c r="N61" i="48"/>
  <c r="J61" i="48"/>
  <c r="G61" i="48"/>
  <c r="C64" i="14"/>
  <c r="C62" i="21"/>
  <c r="C61" i="48"/>
  <c r="A61" i="48"/>
  <c r="N60" i="48"/>
  <c r="J60" i="48"/>
  <c r="G60" i="48"/>
  <c r="A60" i="48"/>
  <c r="N59" i="48"/>
  <c r="J59" i="48"/>
  <c r="G59" i="48"/>
  <c r="A59" i="48"/>
  <c r="N58" i="48"/>
  <c r="J58" i="48"/>
  <c r="G58" i="48"/>
  <c r="A58" i="48"/>
  <c r="N57" i="48"/>
  <c r="J57" i="48"/>
  <c r="G57" i="48"/>
  <c r="A57" i="48"/>
  <c r="N56" i="48"/>
  <c r="J56" i="48"/>
  <c r="G56" i="48"/>
  <c r="A56" i="48"/>
  <c r="N55" i="48"/>
  <c r="J55" i="48"/>
  <c r="G55" i="48"/>
  <c r="A55" i="48"/>
  <c r="N54" i="48"/>
  <c r="J54" i="48"/>
  <c r="G54" i="48"/>
  <c r="A54" i="48"/>
  <c r="N53" i="48"/>
  <c r="J53" i="48"/>
  <c r="G53" i="48"/>
  <c r="A53" i="48"/>
  <c r="N52" i="48"/>
  <c r="J52" i="48"/>
  <c r="G52" i="48"/>
  <c r="A52" i="48"/>
  <c r="N51" i="48"/>
  <c r="J51" i="48"/>
  <c r="G51" i="48"/>
  <c r="A51" i="48"/>
  <c r="N50" i="48"/>
  <c r="J50" i="48"/>
  <c r="G50" i="48"/>
  <c r="A50" i="48"/>
  <c r="N49" i="48"/>
  <c r="J49" i="48"/>
  <c r="G49" i="48"/>
  <c r="A49" i="48"/>
  <c r="N48" i="48"/>
  <c r="J48" i="48"/>
  <c r="G48" i="48"/>
  <c r="A48" i="48"/>
  <c r="N47" i="48"/>
  <c r="J47" i="48"/>
  <c r="G47" i="48"/>
  <c r="A47" i="48"/>
  <c r="N46" i="48"/>
  <c r="J46" i="48"/>
  <c r="G46" i="48"/>
  <c r="A46" i="48"/>
  <c r="N45" i="48"/>
  <c r="J45" i="48"/>
  <c r="G45" i="48"/>
  <c r="A45" i="48"/>
  <c r="A44" i="48"/>
  <c r="A43" i="48"/>
  <c r="A42" i="48"/>
  <c r="A41" i="48"/>
  <c r="N38" i="48"/>
  <c r="I38" i="48"/>
  <c r="N40" i="48"/>
  <c r="A40" i="48"/>
  <c r="A39" i="48"/>
  <c r="A38" i="48"/>
  <c r="A37" i="48"/>
  <c r="A36" i="48"/>
  <c r="A35" i="48"/>
  <c r="A34" i="48"/>
  <c r="A33" i="48"/>
  <c r="A32" i="48"/>
  <c r="A31" i="48"/>
  <c r="A30" i="48"/>
  <c r="A29" i="48"/>
  <c r="A28" i="48"/>
  <c r="A27" i="48"/>
  <c r="A26" i="48"/>
  <c r="A25" i="48"/>
  <c r="A24" i="48"/>
  <c r="A23" i="48"/>
  <c r="A22" i="48"/>
  <c r="A21" i="48"/>
  <c r="A20" i="48"/>
  <c r="A19" i="48"/>
  <c r="A18" i="48"/>
  <c r="A17" i="48"/>
  <c r="A16" i="48"/>
  <c r="A15" i="48"/>
  <c r="A14" i="48"/>
  <c r="A13" i="48"/>
  <c r="A12" i="48"/>
  <c r="A4" i="48"/>
  <c r="B24" i="43"/>
  <c r="B25" i="43"/>
  <c r="B26" i="43"/>
  <c r="B27" i="43"/>
  <c r="B28" i="43"/>
  <c r="B29" i="43"/>
  <c r="B30" i="43"/>
  <c r="B31" i="43"/>
  <c r="B32" i="43"/>
  <c r="B33" i="43"/>
  <c r="B34" i="43"/>
  <c r="B35" i="43"/>
  <c r="B36" i="43"/>
  <c r="B37" i="43"/>
  <c r="B38" i="43"/>
  <c r="B40" i="43"/>
  <c r="B41" i="43"/>
  <c r="B42" i="43"/>
  <c r="B43" i="43"/>
  <c r="B52" i="43"/>
  <c r="B53" i="43"/>
  <c r="B54" i="43"/>
  <c r="B55" i="43"/>
  <c r="B56" i="43"/>
  <c r="B57" i="43"/>
  <c r="B58" i="43"/>
  <c r="B59" i="43"/>
  <c r="B60" i="43"/>
  <c r="B61" i="43"/>
  <c r="B62" i="43"/>
  <c r="B63" i="43"/>
  <c r="B64" i="43"/>
  <c r="B65" i="43"/>
  <c r="B66" i="43"/>
  <c r="B67" i="43"/>
  <c r="B68" i="43"/>
  <c r="B69" i="43"/>
  <c r="B70" i="43"/>
  <c r="B71" i="43"/>
  <c r="B72" i="43"/>
  <c r="B73" i="43"/>
  <c r="B76" i="43"/>
  <c r="B77" i="43"/>
  <c r="B78" i="43"/>
  <c r="B79" i="43"/>
  <c r="C52" i="43"/>
  <c r="C24" i="43"/>
  <c r="C25" i="43"/>
  <c r="C26" i="43"/>
  <c r="C27" i="43"/>
  <c r="C28" i="43"/>
  <c r="C29" i="43"/>
  <c r="C30" i="43"/>
  <c r="C31" i="43"/>
  <c r="C32" i="43"/>
  <c r="C33" i="43"/>
  <c r="C34" i="43"/>
  <c r="C35" i="43"/>
  <c r="C36" i="43"/>
  <c r="C37" i="43"/>
  <c r="C38" i="43"/>
  <c r="C40" i="43"/>
  <c r="C41" i="43"/>
  <c r="C42" i="43"/>
  <c r="C43" i="43"/>
  <c r="AO32" i="1"/>
  <c r="K32" i="1"/>
  <c r="AT32" i="1"/>
  <c r="P32" i="1"/>
  <c r="U32" i="1"/>
  <c r="Z32" i="1"/>
  <c r="AY32" i="1"/>
  <c r="AE32" i="1"/>
  <c r="BI32" i="1"/>
  <c r="BN32" i="1"/>
  <c r="BS32" i="1"/>
  <c r="BX32" i="1"/>
  <c r="CC32" i="1"/>
  <c r="AJ32" i="1"/>
  <c r="C53" i="43"/>
  <c r="C54" i="43"/>
  <c r="C55" i="43"/>
  <c r="C56" i="43"/>
  <c r="C57" i="43"/>
  <c r="C58" i="43"/>
  <c r="C59" i="43"/>
  <c r="C60" i="43"/>
  <c r="C61" i="43"/>
  <c r="C62" i="43"/>
  <c r="C63" i="43"/>
  <c r="C64" i="43"/>
  <c r="C65" i="43"/>
  <c r="C66" i="43"/>
  <c r="C67" i="43"/>
  <c r="C69" i="43"/>
  <c r="C70" i="43"/>
  <c r="C71" i="43"/>
  <c r="C72" i="43"/>
  <c r="C68" i="43"/>
  <c r="A5" i="38"/>
  <c r="A5" i="39"/>
  <c r="B80" i="46"/>
  <c r="B24" i="46"/>
  <c r="B25" i="46"/>
  <c r="B26" i="46"/>
  <c r="B27" i="46"/>
  <c r="B28" i="46"/>
  <c r="B29" i="46"/>
  <c r="B30" i="46"/>
  <c r="B31" i="46"/>
  <c r="B32" i="46"/>
  <c r="B33" i="46"/>
  <c r="B34" i="46"/>
  <c r="B35" i="46"/>
  <c r="B36" i="46"/>
  <c r="B37" i="46"/>
  <c r="B38" i="46"/>
  <c r="B39" i="46"/>
  <c r="B40" i="46"/>
  <c r="B41" i="46"/>
  <c r="B42" i="46"/>
  <c r="B43" i="46"/>
  <c r="B52" i="46"/>
  <c r="B53" i="46"/>
  <c r="B54" i="46"/>
  <c r="B55" i="46"/>
  <c r="B56" i="46"/>
  <c r="B57" i="46"/>
  <c r="B58" i="46"/>
  <c r="B59" i="46"/>
  <c r="B60" i="46"/>
  <c r="B61" i="46"/>
  <c r="B62" i="46"/>
  <c r="B63" i="46"/>
  <c r="B64" i="46"/>
  <c r="B65" i="46"/>
  <c r="B66" i="46"/>
  <c r="B67" i="46"/>
  <c r="B68" i="46"/>
  <c r="B69" i="46"/>
  <c r="B70" i="46"/>
  <c r="B71" i="46"/>
  <c r="B72" i="46"/>
  <c r="B73" i="46"/>
  <c r="B76" i="46"/>
  <c r="B77" i="46"/>
  <c r="B78" i="46"/>
  <c r="B79" i="46"/>
  <c r="A74" i="46"/>
  <c r="C52" i="46"/>
  <c r="N13" i="46"/>
  <c r="N14" i="46"/>
  <c r="N15" i="46"/>
  <c r="N16" i="46"/>
  <c r="N18" i="46"/>
  <c r="C24" i="46"/>
  <c r="C25" i="46"/>
  <c r="C26" i="46"/>
  <c r="C27" i="46"/>
  <c r="C28" i="46"/>
  <c r="C29" i="46"/>
  <c r="C30" i="46"/>
  <c r="C31" i="46"/>
  <c r="C32" i="46"/>
  <c r="C33" i="46"/>
  <c r="C34" i="46"/>
  <c r="C35" i="46"/>
  <c r="C36" i="46"/>
  <c r="C37" i="46"/>
  <c r="C38" i="46"/>
  <c r="C39" i="46"/>
  <c r="C40" i="46"/>
  <c r="C41" i="46"/>
  <c r="C42" i="46"/>
  <c r="C43" i="46"/>
  <c r="E17" i="46"/>
  <c r="N24" i="46"/>
  <c r="N25" i="46"/>
  <c r="N26" i="46"/>
  <c r="N27" i="46"/>
  <c r="N28" i="46"/>
  <c r="N29" i="46"/>
  <c r="N30" i="46"/>
  <c r="N31" i="46"/>
  <c r="N32" i="46"/>
  <c r="N33" i="46"/>
  <c r="N34" i="46"/>
  <c r="N35" i="46"/>
  <c r="N36" i="46"/>
  <c r="N37" i="46"/>
  <c r="N38" i="46"/>
  <c r="N39" i="46"/>
  <c r="N40" i="46"/>
  <c r="L41" i="46"/>
  <c r="N41" i="46"/>
  <c r="L42" i="46"/>
  <c r="N42" i="46"/>
  <c r="N43" i="46"/>
  <c r="I52" i="46"/>
  <c r="I13" i="46"/>
  <c r="I14" i="46"/>
  <c r="I15" i="46"/>
  <c r="I16" i="46"/>
  <c r="I18" i="46"/>
  <c r="E52" i="46"/>
  <c r="L52" i="46"/>
  <c r="C53" i="46"/>
  <c r="I53" i="46"/>
  <c r="I24" i="46"/>
  <c r="E53" i="46"/>
  <c r="L53" i="46"/>
  <c r="C54" i="46"/>
  <c r="I54" i="46"/>
  <c r="I25" i="46"/>
  <c r="E54" i="46"/>
  <c r="L54" i="46"/>
  <c r="C55" i="46"/>
  <c r="I55" i="46"/>
  <c r="I26" i="46"/>
  <c r="E55" i="46"/>
  <c r="L55" i="46"/>
  <c r="C56" i="46"/>
  <c r="I56" i="46"/>
  <c r="I27" i="46"/>
  <c r="E56" i="46"/>
  <c r="L56" i="46"/>
  <c r="C57" i="46"/>
  <c r="I57" i="46"/>
  <c r="I28" i="46"/>
  <c r="E57" i="46"/>
  <c r="L57" i="46"/>
  <c r="C58" i="46"/>
  <c r="I58" i="46"/>
  <c r="I29" i="46"/>
  <c r="E58" i="46"/>
  <c r="L58" i="46"/>
  <c r="C59" i="46"/>
  <c r="I59" i="46"/>
  <c r="I30" i="46"/>
  <c r="E59" i="46"/>
  <c r="L59" i="46"/>
  <c r="C60" i="46"/>
  <c r="I60" i="46"/>
  <c r="I31" i="46"/>
  <c r="E60" i="46"/>
  <c r="L60" i="46"/>
  <c r="C61" i="46"/>
  <c r="I61" i="46"/>
  <c r="I32" i="46"/>
  <c r="E61" i="46"/>
  <c r="L61" i="46"/>
  <c r="C62" i="46"/>
  <c r="I62" i="46"/>
  <c r="I33" i="46"/>
  <c r="E62" i="46"/>
  <c r="L62" i="46"/>
  <c r="C63" i="46"/>
  <c r="I63" i="46"/>
  <c r="I34" i="46"/>
  <c r="E63" i="46"/>
  <c r="L63" i="46"/>
  <c r="C64" i="46"/>
  <c r="I64" i="46"/>
  <c r="I35" i="46"/>
  <c r="E64" i="46"/>
  <c r="L64" i="46"/>
  <c r="C65" i="46"/>
  <c r="I65" i="46"/>
  <c r="I36" i="46"/>
  <c r="E65" i="46"/>
  <c r="L65" i="46"/>
  <c r="C66" i="46"/>
  <c r="I66" i="46"/>
  <c r="I37" i="46"/>
  <c r="E66" i="46"/>
  <c r="L66" i="46"/>
  <c r="C67" i="46"/>
  <c r="I67" i="46"/>
  <c r="I38" i="46"/>
  <c r="E67" i="46"/>
  <c r="L67" i="46"/>
  <c r="I68" i="46"/>
  <c r="I39" i="46"/>
  <c r="E68" i="46"/>
  <c r="L68" i="46"/>
  <c r="C69" i="46"/>
  <c r="I69" i="46"/>
  <c r="I40" i="46"/>
  <c r="E69" i="46"/>
  <c r="L69" i="46"/>
  <c r="C70" i="46"/>
  <c r="I70" i="46"/>
  <c r="I41" i="46"/>
  <c r="E70" i="46"/>
  <c r="L70" i="46"/>
  <c r="C71" i="46"/>
  <c r="I71" i="46"/>
  <c r="I42" i="46"/>
  <c r="E71" i="46"/>
  <c r="L71" i="46"/>
  <c r="C72" i="46"/>
  <c r="I72" i="46"/>
  <c r="I43" i="46"/>
  <c r="E72" i="46"/>
  <c r="L72" i="46"/>
  <c r="L73" i="46"/>
  <c r="N73" i="46"/>
  <c r="I73" i="46"/>
  <c r="J73" i="46"/>
  <c r="E73" i="46"/>
  <c r="G73" i="46"/>
  <c r="A73" i="46"/>
  <c r="N72" i="46"/>
  <c r="J72" i="46"/>
  <c r="G72" i="46"/>
  <c r="A72" i="46"/>
  <c r="N71" i="46"/>
  <c r="J71" i="46"/>
  <c r="G71" i="46"/>
  <c r="A71" i="46"/>
  <c r="N70" i="46"/>
  <c r="J70" i="46"/>
  <c r="G70" i="46"/>
  <c r="A70" i="46"/>
  <c r="N69" i="46"/>
  <c r="J69" i="46"/>
  <c r="G69" i="46"/>
  <c r="A69" i="46"/>
  <c r="N68" i="46"/>
  <c r="J68" i="46"/>
  <c r="G68" i="46"/>
  <c r="C68" i="46"/>
  <c r="A68" i="46"/>
  <c r="N67" i="46"/>
  <c r="J67" i="46"/>
  <c r="G67" i="46"/>
  <c r="A67" i="46"/>
  <c r="N66" i="46"/>
  <c r="J66" i="46"/>
  <c r="G66" i="46"/>
  <c r="A66" i="46"/>
  <c r="N65" i="46"/>
  <c r="J65" i="46"/>
  <c r="G65" i="46"/>
  <c r="A65" i="46"/>
  <c r="N64" i="46"/>
  <c r="J64" i="46"/>
  <c r="G64" i="46"/>
  <c r="A64" i="46"/>
  <c r="N63" i="46"/>
  <c r="J63" i="46"/>
  <c r="G63" i="46"/>
  <c r="A63" i="46"/>
  <c r="N62" i="46"/>
  <c r="J62" i="46"/>
  <c r="G62" i="46"/>
  <c r="A62" i="46"/>
  <c r="N61" i="46"/>
  <c r="J61" i="46"/>
  <c r="G61" i="46"/>
  <c r="A61" i="46"/>
  <c r="N60" i="46"/>
  <c r="J60" i="46"/>
  <c r="G60" i="46"/>
  <c r="A60" i="46"/>
  <c r="N59" i="46"/>
  <c r="J59" i="46"/>
  <c r="G59" i="46"/>
  <c r="A59" i="46"/>
  <c r="N58" i="46"/>
  <c r="J58" i="46"/>
  <c r="G58" i="46"/>
  <c r="A58" i="46"/>
  <c r="N57" i="46"/>
  <c r="J57" i="46"/>
  <c r="G57" i="46"/>
  <c r="A57" i="46"/>
  <c r="N56" i="46"/>
  <c r="J56" i="46"/>
  <c r="G56" i="46"/>
  <c r="A56" i="46"/>
  <c r="N55" i="46"/>
  <c r="J55" i="46"/>
  <c r="G55" i="46"/>
  <c r="A55" i="46"/>
  <c r="N54" i="46"/>
  <c r="J54" i="46"/>
  <c r="G54" i="46"/>
  <c r="A54" i="46"/>
  <c r="N53" i="46"/>
  <c r="J53" i="46"/>
  <c r="G53" i="46"/>
  <c r="A53" i="46"/>
  <c r="N52" i="46"/>
  <c r="J52" i="46"/>
  <c r="G52" i="46"/>
  <c r="A52" i="46"/>
  <c r="A51" i="46"/>
  <c r="A50" i="46"/>
  <c r="A49" i="46"/>
  <c r="A48" i="46"/>
  <c r="N45" i="46"/>
  <c r="I45" i="46"/>
  <c r="N47" i="46"/>
  <c r="A47" i="46"/>
  <c r="A46" i="46"/>
  <c r="A45" i="46"/>
  <c r="A44" i="46"/>
  <c r="A43" i="46"/>
  <c r="A42" i="46"/>
  <c r="A41" i="46"/>
  <c r="A40" i="46"/>
  <c r="A39" i="46"/>
  <c r="A38" i="46"/>
  <c r="A37" i="46"/>
  <c r="A36" i="46"/>
  <c r="A35" i="46"/>
  <c r="A34" i="46"/>
  <c r="A33" i="46"/>
  <c r="A32" i="46"/>
  <c r="A31" i="46"/>
  <c r="A30" i="46"/>
  <c r="A29" i="46"/>
  <c r="A28" i="46"/>
  <c r="A27" i="46"/>
  <c r="A26" i="46"/>
  <c r="A25" i="46"/>
  <c r="A24" i="46"/>
  <c r="A23" i="46"/>
  <c r="A22" i="46"/>
  <c r="A21" i="46"/>
  <c r="A20" i="46"/>
  <c r="A19" i="46"/>
  <c r="A18" i="46"/>
  <c r="A17" i="46"/>
  <c r="A16" i="46"/>
  <c r="A15" i="46"/>
  <c r="A14" i="46"/>
  <c r="A13" i="46"/>
  <c r="A12" i="46"/>
  <c r="A5" i="46"/>
  <c r="B82" i="45"/>
  <c r="B81" i="45"/>
  <c r="B80" i="45"/>
  <c r="B79" i="45"/>
  <c r="A77" i="45"/>
  <c r="C55" i="45"/>
  <c r="N13" i="45"/>
  <c r="N14" i="45"/>
  <c r="N15" i="45"/>
  <c r="N17" i="45"/>
  <c r="N18" i="45"/>
  <c r="N19" i="45"/>
  <c r="N21" i="45"/>
  <c r="C27" i="45"/>
  <c r="C28" i="45"/>
  <c r="C29" i="45"/>
  <c r="C30" i="45"/>
  <c r="C31" i="45"/>
  <c r="C32" i="45"/>
  <c r="C33" i="45"/>
  <c r="C34" i="45"/>
  <c r="C35" i="45"/>
  <c r="C36" i="45"/>
  <c r="C37" i="45"/>
  <c r="C38" i="45"/>
  <c r="C39" i="45"/>
  <c r="C40" i="45"/>
  <c r="C41" i="45"/>
  <c r="C42" i="45"/>
  <c r="C43" i="45"/>
  <c r="C44" i="45"/>
  <c r="C45" i="45"/>
  <c r="C46" i="45"/>
  <c r="AO31" i="1"/>
  <c r="N27" i="45"/>
  <c r="K31" i="1"/>
  <c r="N28" i="45"/>
  <c r="AT31" i="1"/>
  <c r="N29" i="45"/>
  <c r="P31" i="1"/>
  <c r="N30" i="45"/>
  <c r="U31" i="1"/>
  <c r="N31" i="45"/>
  <c r="Z31" i="1"/>
  <c r="N32" i="45"/>
  <c r="AY31" i="1"/>
  <c r="N33" i="45"/>
  <c r="N34" i="45"/>
  <c r="AE31" i="1"/>
  <c r="N35" i="45"/>
  <c r="BI31" i="1"/>
  <c r="N36" i="45"/>
  <c r="BN31" i="1"/>
  <c r="N37" i="45"/>
  <c r="BS31" i="1"/>
  <c r="N38" i="45"/>
  <c r="BX31" i="1"/>
  <c r="N39" i="45"/>
  <c r="CC31" i="1"/>
  <c r="N40" i="45"/>
  <c r="AJ31" i="1"/>
  <c r="N41" i="45"/>
  <c r="N42" i="45"/>
  <c r="N43" i="45"/>
  <c r="L44" i="45"/>
  <c r="N44" i="45"/>
  <c r="L45" i="45"/>
  <c r="N45" i="45"/>
  <c r="N46" i="45"/>
  <c r="I55" i="45"/>
  <c r="I13" i="45"/>
  <c r="I14" i="45"/>
  <c r="I15" i="45"/>
  <c r="I17" i="45"/>
  <c r="I18" i="45"/>
  <c r="I19" i="45"/>
  <c r="I21" i="45"/>
  <c r="E55" i="45"/>
  <c r="L55" i="45"/>
  <c r="C56" i="45"/>
  <c r="I56" i="45"/>
  <c r="I27" i="45"/>
  <c r="E56" i="45"/>
  <c r="L56" i="45"/>
  <c r="C57" i="45"/>
  <c r="I57" i="45"/>
  <c r="I28" i="45"/>
  <c r="E57" i="45"/>
  <c r="L57" i="45"/>
  <c r="C58" i="45"/>
  <c r="I58" i="45"/>
  <c r="I29" i="45"/>
  <c r="E58" i="45"/>
  <c r="L58" i="45"/>
  <c r="C59" i="45"/>
  <c r="I59" i="45"/>
  <c r="I30" i="45"/>
  <c r="E59" i="45"/>
  <c r="L59" i="45"/>
  <c r="C60" i="45"/>
  <c r="I60" i="45"/>
  <c r="I31" i="45"/>
  <c r="E60" i="45"/>
  <c r="L60" i="45"/>
  <c r="C61" i="45"/>
  <c r="I61" i="45"/>
  <c r="I32" i="45"/>
  <c r="E61" i="45"/>
  <c r="L61" i="45"/>
  <c r="C62" i="45"/>
  <c r="I62" i="45"/>
  <c r="I33" i="45"/>
  <c r="E62" i="45"/>
  <c r="L62" i="45"/>
  <c r="C63" i="45"/>
  <c r="I63" i="45"/>
  <c r="I34" i="45"/>
  <c r="E63" i="45"/>
  <c r="L63" i="45"/>
  <c r="C64" i="45"/>
  <c r="I64" i="45"/>
  <c r="I35" i="45"/>
  <c r="E64" i="45"/>
  <c r="L64" i="45"/>
  <c r="C65" i="45"/>
  <c r="I65" i="45"/>
  <c r="I36" i="45"/>
  <c r="E65" i="45"/>
  <c r="L65" i="45"/>
  <c r="C66" i="45"/>
  <c r="I66" i="45"/>
  <c r="I37" i="45"/>
  <c r="E66" i="45"/>
  <c r="L66" i="45"/>
  <c r="C67" i="45"/>
  <c r="I67" i="45"/>
  <c r="I38" i="45"/>
  <c r="E67" i="45"/>
  <c r="L67" i="45"/>
  <c r="C68" i="45"/>
  <c r="I68" i="45"/>
  <c r="I39" i="45"/>
  <c r="E68" i="45"/>
  <c r="L68" i="45"/>
  <c r="C69" i="45"/>
  <c r="I69" i="45"/>
  <c r="I40" i="45"/>
  <c r="E69" i="45"/>
  <c r="L69" i="45"/>
  <c r="C70" i="45"/>
  <c r="I70" i="45"/>
  <c r="I41" i="45"/>
  <c r="E70" i="45"/>
  <c r="L70" i="45"/>
  <c r="I71" i="45"/>
  <c r="I42" i="45"/>
  <c r="E71" i="45"/>
  <c r="L71" i="45"/>
  <c r="C72" i="45"/>
  <c r="I72" i="45"/>
  <c r="I43" i="45"/>
  <c r="E72" i="45"/>
  <c r="L72" i="45"/>
  <c r="C73" i="45"/>
  <c r="I73" i="45"/>
  <c r="I44" i="45"/>
  <c r="E73" i="45"/>
  <c r="L73" i="45"/>
  <c r="C74" i="45"/>
  <c r="I74" i="45"/>
  <c r="I45" i="45"/>
  <c r="E74" i="45"/>
  <c r="L74" i="45"/>
  <c r="C75" i="45"/>
  <c r="I75" i="45"/>
  <c r="I46" i="45"/>
  <c r="E75" i="45"/>
  <c r="L75" i="45"/>
  <c r="L76" i="45"/>
  <c r="N76" i="45"/>
  <c r="I76" i="45"/>
  <c r="J76" i="45"/>
  <c r="E76" i="45"/>
  <c r="G76" i="45"/>
  <c r="B76" i="45"/>
  <c r="B27" i="45"/>
  <c r="B28" i="45"/>
  <c r="B29" i="45"/>
  <c r="B30" i="45"/>
  <c r="B31" i="45"/>
  <c r="B32" i="45"/>
  <c r="B33" i="45"/>
  <c r="B34" i="45"/>
  <c r="B35" i="45"/>
  <c r="B36" i="45"/>
  <c r="B37" i="45"/>
  <c r="B38" i="45"/>
  <c r="B39" i="45"/>
  <c r="B40" i="45"/>
  <c r="B41" i="45"/>
  <c r="B42" i="45"/>
  <c r="B43" i="45"/>
  <c r="B44" i="45"/>
  <c r="B45" i="45"/>
  <c r="B46" i="45"/>
  <c r="B55" i="45"/>
  <c r="B56" i="45"/>
  <c r="B57" i="45"/>
  <c r="B58" i="45"/>
  <c r="B59" i="45"/>
  <c r="B60" i="45"/>
  <c r="B61" i="45"/>
  <c r="B62" i="45"/>
  <c r="B63" i="45"/>
  <c r="B64" i="45"/>
  <c r="B65" i="45"/>
  <c r="B66" i="45"/>
  <c r="B67" i="45"/>
  <c r="B68" i="45"/>
  <c r="B69" i="45"/>
  <c r="B70" i="45"/>
  <c r="B71" i="45"/>
  <c r="B72" i="45"/>
  <c r="B73" i="45"/>
  <c r="B74" i="45"/>
  <c r="B75" i="45"/>
  <c r="A76" i="45"/>
  <c r="N75" i="45"/>
  <c r="J75" i="45"/>
  <c r="G75" i="45"/>
  <c r="A75" i="45"/>
  <c r="N74" i="45"/>
  <c r="J74" i="45"/>
  <c r="G74" i="45"/>
  <c r="A74" i="45"/>
  <c r="N73" i="45"/>
  <c r="J73" i="45"/>
  <c r="G73" i="45"/>
  <c r="A73" i="45"/>
  <c r="N72" i="45"/>
  <c r="J72" i="45"/>
  <c r="G72" i="45"/>
  <c r="A72" i="45"/>
  <c r="N71" i="45"/>
  <c r="J71" i="45"/>
  <c r="G71" i="45"/>
  <c r="C71" i="45"/>
  <c r="A71" i="45"/>
  <c r="N70" i="45"/>
  <c r="J70" i="45"/>
  <c r="G70" i="45"/>
  <c r="A70" i="45"/>
  <c r="N69" i="45"/>
  <c r="J69" i="45"/>
  <c r="G69" i="45"/>
  <c r="A69" i="45"/>
  <c r="N68" i="45"/>
  <c r="J68" i="45"/>
  <c r="G68" i="45"/>
  <c r="A68" i="45"/>
  <c r="N67" i="45"/>
  <c r="J67" i="45"/>
  <c r="G67" i="45"/>
  <c r="A67" i="45"/>
  <c r="N66" i="45"/>
  <c r="J66" i="45"/>
  <c r="G66" i="45"/>
  <c r="A66" i="45"/>
  <c r="N65" i="45"/>
  <c r="J65" i="45"/>
  <c r="G65" i="45"/>
  <c r="A65" i="45"/>
  <c r="N64" i="45"/>
  <c r="J64" i="45"/>
  <c r="G64" i="45"/>
  <c r="A64" i="45"/>
  <c r="N63" i="45"/>
  <c r="J63" i="45"/>
  <c r="G63" i="45"/>
  <c r="A63" i="45"/>
  <c r="N62" i="45"/>
  <c r="J62" i="45"/>
  <c r="G62" i="45"/>
  <c r="A62" i="45"/>
  <c r="N61" i="45"/>
  <c r="J61" i="45"/>
  <c r="G61" i="45"/>
  <c r="A61" i="45"/>
  <c r="N60" i="45"/>
  <c r="J60" i="45"/>
  <c r="G60" i="45"/>
  <c r="A60" i="45"/>
  <c r="N59" i="45"/>
  <c r="J59" i="45"/>
  <c r="G59" i="45"/>
  <c r="A59" i="45"/>
  <c r="N58" i="45"/>
  <c r="J58" i="45"/>
  <c r="G58" i="45"/>
  <c r="A58" i="45"/>
  <c r="N57" i="45"/>
  <c r="J57" i="45"/>
  <c r="G57" i="45"/>
  <c r="A57" i="45"/>
  <c r="N56" i="45"/>
  <c r="J56" i="45"/>
  <c r="G56" i="45"/>
  <c r="A56" i="45"/>
  <c r="N55" i="45"/>
  <c r="J55" i="45"/>
  <c r="G55" i="45"/>
  <c r="A55" i="45"/>
  <c r="A54" i="45"/>
  <c r="A53" i="45"/>
  <c r="A52" i="45"/>
  <c r="A51" i="45"/>
  <c r="N48" i="45"/>
  <c r="I48" i="45"/>
  <c r="N50" i="45"/>
  <c r="A50" i="45"/>
  <c r="A49" i="45"/>
  <c r="A48" i="45"/>
  <c r="A47" i="45"/>
  <c r="A46" i="45"/>
  <c r="A45" i="45"/>
  <c r="A44" i="45"/>
  <c r="A43" i="45"/>
  <c r="A42" i="45"/>
  <c r="A41" i="45"/>
  <c r="A40" i="45"/>
  <c r="A39" i="45"/>
  <c r="A38" i="45"/>
  <c r="A37" i="45"/>
  <c r="A36" i="45"/>
  <c r="A35" i="45"/>
  <c r="A34" i="45"/>
  <c r="A33" i="45"/>
  <c r="A32" i="45"/>
  <c r="A31" i="45"/>
  <c r="A30" i="45"/>
  <c r="A29" i="45"/>
  <c r="A28" i="45"/>
  <c r="A27" i="45"/>
  <c r="A26" i="45"/>
  <c r="A25" i="45"/>
  <c r="A24" i="45"/>
  <c r="A23" i="45"/>
  <c r="A22" i="45"/>
  <c r="A21" i="45"/>
  <c r="A20" i="45"/>
  <c r="A19" i="45"/>
  <c r="A18" i="45"/>
  <c r="A17" i="45"/>
  <c r="A16" i="45"/>
  <c r="A15" i="45"/>
  <c r="A14" i="45"/>
  <c r="A13" i="45"/>
  <c r="A12" i="45"/>
  <c r="A5" i="45"/>
  <c r="B81" i="44"/>
  <c r="B80" i="44"/>
  <c r="B79" i="44"/>
  <c r="B78" i="44"/>
  <c r="A76" i="44"/>
  <c r="C54" i="44"/>
  <c r="N13" i="44"/>
  <c r="N14" i="44"/>
  <c r="N15" i="44"/>
  <c r="N17" i="44"/>
  <c r="N18" i="44"/>
  <c r="N20" i="44"/>
  <c r="C26" i="44"/>
  <c r="C27" i="44"/>
  <c r="C28" i="44"/>
  <c r="C29" i="44"/>
  <c r="C30" i="44"/>
  <c r="C31" i="44"/>
  <c r="C32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5" i="44"/>
  <c r="AO30" i="1"/>
  <c r="N26" i="44"/>
  <c r="K30" i="1"/>
  <c r="N27" i="44"/>
  <c r="AT30" i="1"/>
  <c r="N28" i="44"/>
  <c r="P30" i="1"/>
  <c r="N29" i="44"/>
  <c r="U30" i="1"/>
  <c r="N30" i="44"/>
  <c r="Z30" i="1"/>
  <c r="N31" i="44"/>
  <c r="AY30" i="1"/>
  <c r="N32" i="44"/>
  <c r="N33" i="44"/>
  <c r="AE30" i="1"/>
  <c r="N34" i="44"/>
  <c r="BI30" i="1"/>
  <c r="N35" i="44"/>
  <c r="BN30" i="1"/>
  <c r="N36" i="44"/>
  <c r="BS30" i="1"/>
  <c r="N37" i="44"/>
  <c r="BX30" i="1"/>
  <c r="N38" i="44"/>
  <c r="CC30" i="1"/>
  <c r="N39" i="44"/>
  <c r="AJ30" i="1"/>
  <c r="N40" i="44"/>
  <c r="N41" i="44"/>
  <c r="N42" i="44"/>
  <c r="L43" i="44"/>
  <c r="N43" i="44"/>
  <c r="L44" i="44"/>
  <c r="N44" i="44"/>
  <c r="N45" i="44"/>
  <c r="I54" i="44"/>
  <c r="I13" i="44"/>
  <c r="I14" i="44"/>
  <c r="I15" i="44"/>
  <c r="I17" i="44"/>
  <c r="I18" i="44"/>
  <c r="I20" i="44"/>
  <c r="E54" i="44"/>
  <c r="L54" i="44"/>
  <c r="C55" i="44"/>
  <c r="I55" i="44"/>
  <c r="I26" i="44"/>
  <c r="E55" i="44"/>
  <c r="L55" i="44"/>
  <c r="C56" i="44"/>
  <c r="I56" i="44"/>
  <c r="I27" i="44"/>
  <c r="E56" i="44"/>
  <c r="L56" i="44"/>
  <c r="C57" i="44"/>
  <c r="I57" i="44"/>
  <c r="I28" i="44"/>
  <c r="E57" i="44"/>
  <c r="L57" i="44"/>
  <c r="C58" i="44"/>
  <c r="I58" i="44"/>
  <c r="I29" i="44"/>
  <c r="E58" i="44"/>
  <c r="L58" i="44"/>
  <c r="C59" i="44"/>
  <c r="I59" i="44"/>
  <c r="I30" i="44"/>
  <c r="E59" i="44"/>
  <c r="L59" i="44"/>
  <c r="C60" i="44"/>
  <c r="I60" i="44"/>
  <c r="I31" i="44"/>
  <c r="E60" i="44"/>
  <c r="L60" i="44"/>
  <c r="C61" i="44"/>
  <c r="I61" i="44"/>
  <c r="I32" i="44"/>
  <c r="E61" i="44"/>
  <c r="L61" i="44"/>
  <c r="C62" i="44"/>
  <c r="I62" i="44"/>
  <c r="I33" i="44"/>
  <c r="E62" i="44"/>
  <c r="L62" i="44"/>
  <c r="C63" i="44"/>
  <c r="I63" i="44"/>
  <c r="I34" i="44"/>
  <c r="E63" i="44"/>
  <c r="L63" i="44"/>
  <c r="C64" i="44"/>
  <c r="I64" i="44"/>
  <c r="I35" i="44"/>
  <c r="E64" i="44"/>
  <c r="L64" i="44"/>
  <c r="C65" i="44"/>
  <c r="I65" i="44"/>
  <c r="I36" i="44"/>
  <c r="E65" i="44"/>
  <c r="L65" i="44"/>
  <c r="C66" i="44"/>
  <c r="I66" i="44"/>
  <c r="I37" i="44"/>
  <c r="E66" i="44"/>
  <c r="L66" i="44"/>
  <c r="C67" i="44"/>
  <c r="I67" i="44"/>
  <c r="I38" i="44"/>
  <c r="E67" i="44"/>
  <c r="L67" i="44"/>
  <c r="C68" i="44"/>
  <c r="I68" i="44"/>
  <c r="I39" i="44"/>
  <c r="E68" i="44"/>
  <c r="L68" i="44"/>
  <c r="C69" i="44"/>
  <c r="I69" i="44"/>
  <c r="I40" i="44"/>
  <c r="E69" i="44"/>
  <c r="L69" i="44"/>
  <c r="I70" i="44"/>
  <c r="I41" i="44"/>
  <c r="E70" i="44"/>
  <c r="L70" i="44"/>
  <c r="C71" i="44"/>
  <c r="I71" i="44"/>
  <c r="I42" i="44"/>
  <c r="E71" i="44"/>
  <c r="L71" i="44"/>
  <c r="C72" i="44"/>
  <c r="I72" i="44"/>
  <c r="I43" i="44"/>
  <c r="E72" i="44"/>
  <c r="L72" i="44"/>
  <c r="C73" i="44"/>
  <c r="I73" i="44"/>
  <c r="I44" i="44"/>
  <c r="E73" i="44"/>
  <c r="L73" i="44"/>
  <c r="C74" i="44"/>
  <c r="I74" i="44"/>
  <c r="I45" i="44"/>
  <c r="E74" i="44"/>
  <c r="L74" i="44"/>
  <c r="L75" i="44"/>
  <c r="N75" i="44"/>
  <c r="I75" i="44"/>
  <c r="J75" i="44"/>
  <c r="E75" i="44"/>
  <c r="G75" i="44"/>
  <c r="B75" i="44"/>
  <c r="B13" i="44"/>
  <c r="B14" i="44"/>
  <c r="B15" i="44"/>
  <c r="B16" i="44"/>
  <c r="B26" i="44"/>
  <c r="B27" i="44"/>
  <c r="B28" i="44"/>
  <c r="B29" i="44"/>
  <c r="B30" i="44"/>
  <c r="B31" i="44"/>
  <c r="B32" i="44"/>
  <c r="B33" i="44"/>
  <c r="B34" i="44"/>
  <c r="B35" i="44"/>
  <c r="B36" i="44"/>
  <c r="B37" i="44"/>
  <c r="B38" i="44"/>
  <c r="B39" i="44"/>
  <c r="B40" i="44"/>
  <c r="B41" i="44"/>
  <c r="B42" i="44"/>
  <c r="B43" i="44"/>
  <c r="B44" i="44"/>
  <c r="B45" i="44"/>
  <c r="B54" i="44"/>
  <c r="B55" i="44"/>
  <c r="B56" i="44"/>
  <c r="B57" i="44"/>
  <c r="B58" i="44"/>
  <c r="B59" i="44"/>
  <c r="B60" i="44"/>
  <c r="B61" i="44"/>
  <c r="B62" i="44"/>
  <c r="B63" i="44"/>
  <c r="B64" i="44"/>
  <c r="B65" i="44"/>
  <c r="B66" i="44"/>
  <c r="B67" i="44"/>
  <c r="B68" i="44"/>
  <c r="B69" i="44"/>
  <c r="B70" i="44"/>
  <c r="B71" i="44"/>
  <c r="B72" i="44"/>
  <c r="B73" i="44"/>
  <c r="B74" i="44"/>
  <c r="A75" i="44"/>
  <c r="N74" i="44"/>
  <c r="J74" i="44"/>
  <c r="G74" i="44"/>
  <c r="A74" i="44"/>
  <c r="N73" i="44"/>
  <c r="J73" i="44"/>
  <c r="G73" i="44"/>
  <c r="A73" i="44"/>
  <c r="N72" i="44"/>
  <c r="J72" i="44"/>
  <c r="G72" i="44"/>
  <c r="A72" i="44"/>
  <c r="N71" i="44"/>
  <c r="J71" i="44"/>
  <c r="G71" i="44"/>
  <c r="A71" i="44"/>
  <c r="N70" i="44"/>
  <c r="J70" i="44"/>
  <c r="G70" i="44"/>
  <c r="C70" i="44"/>
  <c r="A70" i="44"/>
  <c r="N69" i="44"/>
  <c r="J69" i="44"/>
  <c r="G69" i="44"/>
  <c r="A69" i="44"/>
  <c r="N68" i="44"/>
  <c r="J68" i="44"/>
  <c r="G68" i="44"/>
  <c r="A68" i="44"/>
  <c r="N67" i="44"/>
  <c r="J67" i="44"/>
  <c r="G67" i="44"/>
  <c r="A67" i="44"/>
  <c r="N66" i="44"/>
  <c r="J66" i="44"/>
  <c r="G66" i="44"/>
  <c r="A66" i="44"/>
  <c r="N65" i="44"/>
  <c r="J65" i="44"/>
  <c r="G65" i="44"/>
  <c r="A65" i="44"/>
  <c r="N64" i="44"/>
  <c r="J64" i="44"/>
  <c r="G64" i="44"/>
  <c r="A64" i="44"/>
  <c r="N63" i="44"/>
  <c r="J63" i="44"/>
  <c r="G63" i="44"/>
  <c r="A63" i="44"/>
  <c r="N62" i="44"/>
  <c r="J62" i="44"/>
  <c r="G62" i="44"/>
  <c r="A62" i="44"/>
  <c r="N61" i="44"/>
  <c r="J61" i="44"/>
  <c r="G61" i="44"/>
  <c r="A61" i="44"/>
  <c r="N60" i="44"/>
  <c r="J60" i="44"/>
  <c r="G60" i="44"/>
  <c r="A60" i="44"/>
  <c r="N59" i="44"/>
  <c r="J59" i="44"/>
  <c r="G59" i="44"/>
  <c r="A59" i="44"/>
  <c r="N58" i="44"/>
  <c r="J58" i="44"/>
  <c r="G58" i="44"/>
  <c r="A58" i="44"/>
  <c r="N57" i="44"/>
  <c r="J57" i="44"/>
  <c r="G57" i="44"/>
  <c r="A57" i="44"/>
  <c r="N56" i="44"/>
  <c r="J56" i="44"/>
  <c r="G56" i="44"/>
  <c r="A56" i="44"/>
  <c r="N55" i="44"/>
  <c r="J55" i="44"/>
  <c r="G55" i="44"/>
  <c r="A55" i="44"/>
  <c r="N54" i="44"/>
  <c r="J54" i="44"/>
  <c r="G54" i="44"/>
  <c r="A54" i="44"/>
  <c r="A53" i="44"/>
  <c r="A52" i="44"/>
  <c r="A51" i="44"/>
  <c r="A50" i="44"/>
  <c r="N47" i="44"/>
  <c r="I47" i="44"/>
  <c r="N49" i="44"/>
  <c r="A49" i="44"/>
  <c r="A48" i="44"/>
  <c r="A47" i="44"/>
  <c r="A46" i="44"/>
  <c r="A45" i="44"/>
  <c r="A44" i="44"/>
  <c r="A43" i="44"/>
  <c r="A42" i="44"/>
  <c r="A41" i="44"/>
  <c r="A40" i="44"/>
  <c r="A39" i="44"/>
  <c r="A38" i="44"/>
  <c r="A37" i="44"/>
  <c r="A36" i="44"/>
  <c r="A35" i="44"/>
  <c r="A34" i="44"/>
  <c r="A33" i="44"/>
  <c r="A32" i="44"/>
  <c r="A31" i="44"/>
  <c r="A30" i="44"/>
  <c r="A29" i="44"/>
  <c r="A28" i="44"/>
  <c r="A27" i="44"/>
  <c r="A26" i="44"/>
  <c r="A25" i="44"/>
  <c r="A24" i="44"/>
  <c r="A23" i="44"/>
  <c r="A22" i="44"/>
  <c r="A21" i="44"/>
  <c r="A20" i="44"/>
  <c r="A19" i="44"/>
  <c r="A18" i="44"/>
  <c r="A17" i="44"/>
  <c r="A16" i="44"/>
  <c r="A15" i="44"/>
  <c r="A14" i="44"/>
  <c r="A13" i="44"/>
  <c r="A12" i="44"/>
  <c r="A5" i="44"/>
  <c r="B80" i="42"/>
  <c r="B80" i="43"/>
  <c r="A74" i="43"/>
  <c r="N13" i="43"/>
  <c r="N14" i="43"/>
  <c r="N15" i="43"/>
  <c r="N17" i="43"/>
  <c r="N18" i="43"/>
  <c r="I52" i="43"/>
  <c r="I13" i="43"/>
  <c r="I14" i="43"/>
  <c r="I15" i="43"/>
  <c r="I17" i="43"/>
  <c r="I18" i="43"/>
  <c r="E52" i="43"/>
  <c r="L52" i="43"/>
  <c r="N24" i="43"/>
  <c r="I53" i="43"/>
  <c r="I24" i="43"/>
  <c r="E53" i="43"/>
  <c r="L53" i="43"/>
  <c r="N25" i="43"/>
  <c r="I54" i="43"/>
  <c r="I25" i="43"/>
  <c r="E54" i="43"/>
  <c r="L54" i="43"/>
  <c r="N26" i="43"/>
  <c r="I55" i="43"/>
  <c r="I26" i="43"/>
  <c r="E55" i="43"/>
  <c r="L55" i="43"/>
  <c r="N27" i="43"/>
  <c r="I56" i="43"/>
  <c r="I27" i="43"/>
  <c r="E56" i="43"/>
  <c r="L56" i="43"/>
  <c r="N28" i="43"/>
  <c r="I57" i="43"/>
  <c r="I28" i="43"/>
  <c r="E57" i="43"/>
  <c r="L57" i="43"/>
  <c r="N29" i="43"/>
  <c r="I58" i="43"/>
  <c r="I29" i="43"/>
  <c r="E58" i="43"/>
  <c r="L58" i="43"/>
  <c r="N30" i="43"/>
  <c r="I59" i="43"/>
  <c r="I30" i="43"/>
  <c r="E59" i="43"/>
  <c r="L59" i="43"/>
  <c r="N31" i="43"/>
  <c r="I60" i="43"/>
  <c r="I31" i="43"/>
  <c r="E60" i="43"/>
  <c r="L60" i="43"/>
  <c r="N32" i="43"/>
  <c r="I61" i="43"/>
  <c r="I32" i="43"/>
  <c r="E61" i="43"/>
  <c r="L61" i="43"/>
  <c r="N33" i="43"/>
  <c r="I62" i="43"/>
  <c r="I33" i="43"/>
  <c r="E62" i="43"/>
  <c r="L62" i="43"/>
  <c r="N34" i="43"/>
  <c r="I63" i="43"/>
  <c r="I34" i="43"/>
  <c r="E63" i="43"/>
  <c r="L63" i="43"/>
  <c r="N35" i="43"/>
  <c r="I64" i="43"/>
  <c r="I35" i="43"/>
  <c r="E64" i="43"/>
  <c r="L64" i="43"/>
  <c r="N36" i="43"/>
  <c r="I65" i="43"/>
  <c r="I36" i="43"/>
  <c r="E65" i="43"/>
  <c r="L65" i="43"/>
  <c r="N37" i="43"/>
  <c r="I66" i="43"/>
  <c r="I37" i="43"/>
  <c r="E66" i="43"/>
  <c r="L66" i="43"/>
  <c r="N38" i="43"/>
  <c r="I67" i="43"/>
  <c r="I38" i="43"/>
  <c r="E67" i="43"/>
  <c r="L67" i="43"/>
  <c r="N39" i="43"/>
  <c r="I68" i="43"/>
  <c r="I39" i="43"/>
  <c r="E68" i="43"/>
  <c r="L68" i="43"/>
  <c r="N40" i="43"/>
  <c r="I69" i="43"/>
  <c r="I40" i="43"/>
  <c r="E69" i="43"/>
  <c r="L69" i="43"/>
  <c r="L41" i="43"/>
  <c r="N41" i="43"/>
  <c r="I70" i="43"/>
  <c r="I41" i="43"/>
  <c r="E70" i="43"/>
  <c r="L70" i="43"/>
  <c r="L42" i="43"/>
  <c r="N42" i="43"/>
  <c r="I71" i="43"/>
  <c r="I42" i="43"/>
  <c r="E71" i="43"/>
  <c r="L71" i="43"/>
  <c r="N43" i="43"/>
  <c r="I72" i="43"/>
  <c r="I43" i="43"/>
  <c r="E72" i="43"/>
  <c r="L72" i="43"/>
  <c r="L73" i="43"/>
  <c r="N73" i="43"/>
  <c r="I73" i="43"/>
  <c r="J73" i="43"/>
  <c r="E73" i="43"/>
  <c r="G73" i="43"/>
  <c r="A73" i="43"/>
  <c r="N72" i="43"/>
  <c r="J72" i="43"/>
  <c r="G72" i="43"/>
  <c r="A72" i="43"/>
  <c r="N71" i="43"/>
  <c r="J71" i="43"/>
  <c r="G71" i="43"/>
  <c r="A71" i="43"/>
  <c r="N70" i="43"/>
  <c r="J70" i="43"/>
  <c r="G70" i="43"/>
  <c r="A70" i="43"/>
  <c r="N69" i="43"/>
  <c r="J69" i="43"/>
  <c r="G69" i="43"/>
  <c r="A69" i="43"/>
  <c r="N68" i="43"/>
  <c r="J68" i="43"/>
  <c r="G68" i="43"/>
  <c r="A68" i="43"/>
  <c r="N67" i="43"/>
  <c r="J67" i="43"/>
  <c r="G67" i="43"/>
  <c r="A67" i="43"/>
  <c r="N66" i="43"/>
  <c r="J66" i="43"/>
  <c r="G66" i="43"/>
  <c r="A66" i="43"/>
  <c r="N65" i="43"/>
  <c r="J65" i="43"/>
  <c r="G65" i="43"/>
  <c r="A65" i="43"/>
  <c r="N64" i="43"/>
  <c r="J64" i="43"/>
  <c r="G64" i="43"/>
  <c r="A64" i="43"/>
  <c r="N63" i="43"/>
  <c r="J63" i="43"/>
  <c r="G63" i="43"/>
  <c r="A63" i="43"/>
  <c r="N62" i="43"/>
  <c r="J62" i="43"/>
  <c r="G62" i="43"/>
  <c r="A62" i="43"/>
  <c r="N61" i="43"/>
  <c r="J61" i="43"/>
  <c r="G61" i="43"/>
  <c r="A61" i="43"/>
  <c r="N60" i="43"/>
  <c r="J60" i="43"/>
  <c r="G60" i="43"/>
  <c r="A60" i="43"/>
  <c r="N59" i="43"/>
  <c r="J59" i="43"/>
  <c r="G59" i="43"/>
  <c r="A59" i="43"/>
  <c r="N58" i="43"/>
  <c r="J58" i="43"/>
  <c r="G58" i="43"/>
  <c r="A58" i="43"/>
  <c r="N57" i="43"/>
  <c r="J57" i="43"/>
  <c r="G57" i="43"/>
  <c r="A57" i="43"/>
  <c r="N56" i="43"/>
  <c r="J56" i="43"/>
  <c r="G56" i="43"/>
  <c r="A56" i="43"/>
  <c r="N55" i="43"/>
  <c r="J55" i="43"/>
  <c r="G55" i="43"/>
  <c r="A55" i="43"/>
  <c r="N54" i="43"/>
  <c r="J54" i="43"/>
  <c r="G54" i="43"/>
  <c r="A54" i="43"/>
  <c r="N53" i="43"/>
  <c r="J53" i="43"/>
  <c r="G53" i="43"/>
  <c r="A53" i="43"/>
  <c r="N52" i="43"/>
  <c r="J52" i="43"/>
  <c r="G52" i="43"/>
  <c r="A52" i="43"/>
  <c r="A51" i="43"/>
  <c r="A50" i="43"/>
  <c r="A49" i="43"/>
  <c r="A48" i="43"/>
  <c r="N45" i="43"/>
  <c r="I45" i="43"/>
  <c r="N47" i="43"/>
  <c r="A47" i="43"/>
  <c r="A46" i="43"/>
  <c r="A45" i="43"/>
  <c r="A44" i="43"/>
  <c r="A43" i="43"/>
  <c r="A42" i="43"/>
  <c r="A41" i="43"/>
  <c r="A40" i="43"/>
  <c r="A39" i="43"/>
  <c r="A38" i="43"/>
  <c r="A37" i="43"/>
  <c r="A36" i="43"/>
  <c r="A35" i="43"/>
  <c r="A34" i="43"/>
  <c r="A33" i="43"/>
  <c r="A32" i="43"/>
  <c r="A31" i="43"/>
  <c r="A30" i="43"/>
  <c r="A29" i="43"/>
  <c r="A28" i="43"/>
  <c r="A27" i="43"/>
  <c r="A26" i="43"/>
  <c r="A25" i="43"/>
  <c r="A24" i="43"/>
  <c r="A23" i="43"/>
  <c r="A22" i="43"/>
  <c r="A21" i="43"/>
  <c r="A20" i="43"/>
  <c r="A19" i="43"/>
  <c r="A18" i="43"/>
  <c r="A17" i="43"/>
  <c r="A16" i="43"/>
  <c r="A15" i="43"/>
  <c r="A14" i="43"/>
  <c r="A13" i="43"/>
  <c r="A12" i="43"/>
  <c r="A5" i="43"/>
  <c r="B74" i="40"/>
  <c r="B79" i="41"/>
  <c r="B79" i="42"/>
  <c r="B73" i="40"/>
  <c r="B78" i="41"/>
  <c r="B78" i="42"/>
  <c r="B72" i="40"/>
  <c r="B77" i="41"/>
  <c r="B77" i="42"/>
  <c r="B71" i="40"/>
  <c r="B76" i="41"/>
  <c r="B76" i="42"/>
  <c r="A74" i="42"/>
  <c r="C47" i="40"/>
  <c r="C52" i="41"/>
  <c r="C52" i="42"/>
  <c r="N13" i="42"/>
  <c r="N14" i="42"/>
  <c r="N15" i="42"/>
  <c r="N16" i="42"/>
  <c r="N18" i="42"/>
  <c r="C19" i="40"/>
  <c r="C24" i="41"/>
  <c r="C24" i="42"/>
  <c r="C20" i="40"/>
  <c r="C25" i="41"/>
  <c r="C25" i="42"/>
  <c r="C21" i="40"/>
  <c r="C26" i="41"/>
  <c r="C26" i="42"/>
  <c r="C22" i="40"/>
  <c r="C27" i="41"/>
  <c r="C27" i="42"/>
  <c r="C23" i="40"/>
  <c r="C28" i="41"/>
  <c r="C28" i="42"/>
  <c r="C24" i="40"/>
  <c r="C29" i="41"/>
  <c r="C29" i="42"/>
  <c r="C25" i="40"/>
  <c r="C30" i="41"/>
  <c r="C30" i="42"/>
  <c r="C26" i="40"/>
  <c r="C31" i="41"/>
  <c r="C31" i="42"/>
  <c r="C27" i="40"/>
  <c r="C32" i="41"/>
  <c r="C32" i="42"/>
  <c r="C28" i="40"/>
  <c r="C33" i="41"/>
  <c r="C33" i="42"/>
  <c r="C29" i="40"/>
  <c r="C34" i="41"/>
  <c r="C34" i="42"/>
  <c r="C30" i="40"/>
  <c r="C35" i="41"/>
  <c r="C35" i="42"/>
  <c r="C31" i="40"/>
  <c r="C36" i="41"/>
  <c r="C36" i="42"/>
  <c r="C32" i="40"/>
  <c r="C37" i="41"/>
  <c r="C37" i="42"/>
  <c r="C33" i="40"/>
  <c r="C38" i="41"/>
  <c r="C38" i="42"/>
  <c r="C39" i="41"/>
  <c r="C39" i="42"/>
  <c r="C35" i="40"/>
  <c r="C40" i="41"/>
  <c r="C40" i="42"/>
  <c r="C36" i="40"/>
  <c r="C41" i="41"/>
  <c r="C41" i="42"/>
  <c r="C37" i="40"/>
  <c r="C42" i="41"/>
  <c r="C42" i="42"/>
  <c r="C38" i="40"/>
  <c r="C43" i="41"/>
  <c r="C43" i="42"/>
  <c r="AO29" i="1"/>
  <c r="N24" i="42"/>
  <c r="K29" i="1"/>
  <c r="N25" i="42"/>
  <c r="AT29" i="1"/>
  <c r="N26" i="42"/>
  <c r="P29" i="1"/>
  <c r="N27" i="42"/>
  <c r="U29" i="1"/>
  <c r="N28" i="42"/>
  <c r="Z29" i="1"/>
  <c r="N29" i="42"/>
  <c r="AY29" i="1"/>
  <c r="N30" i="42"/>
  <c r="N31" i="42"/>
  <c r="AE29" i="1"/>
  <c r="N32" i="42"/>
  <c r="BI29" i="1"/>
  <c r="N33" i="42"/>
  <c r="BN29" i="1"/>
  <c r="N34" i="42"/>
  <c r="BS29" i="1"/>
  <c r="N35" i="42"/>
  <c r="BX29" i="1"/>
  <c r="N36" i="42"/>
  <c r="CC29" i="1"/>
  <c r="N37" i="42"/>
  <c r="AJ29" i="1"/>
  <c r="N38" i="42"/>
  <c r="N39" i="42"/>
  <c r="N40" i="42"/>
  <c r="L41" i="42"/>
  <c r="N41" i="42"/>
  <c r="L42" i="42"/>
  <c r="N42" i="42"/>
  <c r="N43" i="42"/>
  <c r="I52" i="42"/>
  <c r="I13" i="42"/>
  <c r="I14" i="42"/>
  <c r="I15" i="42"/>
  <c r="I16" i="42"/>
  <c r="I18" i="42"/>
  <c r="E52" i="42"/>
  <c r="L52" i="42"/>
  <c r="C48" i="40"/>
  <c r="C53" i="41"/>
  <c r="C53" i="42"/>
  <c r="I53" i="42"/>
  <c r="I24" i="42"/>
  <c r="E53" i="42"/>
  <c r="L53" i="42"/>
  <c r="C49" i="40"/>
  <c r="C54" i="41"/>
  <c r="C54" i="42"/>
  <c r="I54" i="42"/>
  <c r="I25" i="42"/>
  <c r="E54" i="42"/>
  <c r="L54" i="42"/>
  <c r="C50" i="40"/>
  <c r="C55" i="41"/>
  <c r="C55" i="42"/>
  <c r="I55" i="42"/>
  <c r="I26" i="42"/>
  <c r="E55" i="42"/>
  <c r="L55" i="42"/>
  <c r="C51" i="40"/>
  <c r="C56" i="41"/>
  <c r="C56" i="42"/>
  <c r="I56" i="42"/>
  <c r="I27" i="42"/>
  <c r="E56" i="42"/>
  <c r="L56" i="42"/>
  <c r="C52" i="40"/>
  <c r="C57" i="41"/>
  <c r="C57" i="42"/>
  <c r="I57" i="42"/>
  <c r="I28" i="42"/>
  <c r="E57" i="42"/>
  <c r="L57" i="42"/>
  <c r="C53" i="40"/>
  <c r="C58" i="41"/>
  <c r="C58" i="42"/>
  <c r="I58" i="42"/>
  <c r="I29" i="42"/>
  <c r="E58" i="42"/>
  <c r="L58" i="42"/>
  <c r="C54" i="40"/>
  <c r="C59" i="41"/>
  <c r="C59" i="42"/>
  <c r="I59" i="42"/>
  <c r="I30" i="42"/>
  <c r="E59" i="42"/>
  <c r="L59" i="42"/>
  <c r="C55" i="40"/>
  <c r="C60" i="41"/>
  <c r="C60" i="42"/>
  <c r="I60" i="42"/>
  <c r="I31" i="42"/>
  <c r="E60" i="42"/>
  <c r="L60" i="42"/>
  <c r="C56" i="40"/>
  <c r="C61" i="41"/>
  <c r="C61" i="42"/>
  <c r="I61" i="42"/>
  <c r="I32" i="42"/>
  <c r="E61" i="42"/>
  <c r="L61" i="42"/>
  <c r="C57" i="40"/>
  <c r="C62" i="41"/>
  <c r="C62" i="42"/>
  <c r="I62" i="42"/>
  <c r="I33" i="42"/>
  <c r="E62" i="42"/>
  <c r="L62" i="42"/>
  <c r="C58" i="40"/>
  <c r="C63" i="41"/>
  <c r="C63" i="42"/>
  <c r="I63" i="42"/>
  <c r="I34" i="42"/>
  <c r="E63" i="42"/>
  <c r="L63" i="42"/>
  <c r="C59" i="40"/>
  <c r="C64" i="41"/>
  <c r="C64" i="42"/>
  <c r="I64" i="42"/>
  <c r="I35" i="42"/>
  <c r="E64" i="42"/>
  <c r="L64" i="42"/>
  <c r="C60" i="40"/>
  <c r="C65" i="41"/>
  <c r="C65" i="42"/>
  <c r="I65" i="42"/>
  <c r="I36" i="42"/>
  <c r="E65" i="42"/>
  <c r="L65" i="42"/>
  <c r="C61" i="40"/>
  <c r="C66" i="41"/>
  <c r="C66" i="42"/>
  <c r="I66" i="42"/>
  <c r="I37" i="42"/>
  <c r="E66" i="42"/>
  <c r="L66" i="42"/>
  <c r="C62" i="40"/>
  <c r="C67" i="41"/>
  <c r="C67" i="42"/>
  <c r="I67" i="42"/>
  <c r="I38" i="42"/>
  <c r="E67" i="42"/>
  <c r="L67" i="42"/>
  <c r="I68" i="42"/>
  <c r="I39" i="42"/>
  <c r="E68" i="42"/>
  <c r="L68" i="42"/>
  <c r="C64" i="40"/>
  <c r="C69" i="41"/>
  <c r="C69" i="42"/>
  <c r="I69" i="42"/>
  <c r="I40" i="42"/>
  <c r="E69" i="42"/>
  <c r="L69" i="42"/>
  <c r="C65" i="40"/>
  <c r="C70" i="41"/>
  <c r="C70" i="42"/>
  <c r="I70" i="42"/>
  <c r="I41" i="42"/>
  <c r="E70" i="42"/>
  <c r="L70" i="42"/>
  <c r="C66" i="40"/>
  <c r="C71" i="41"/>
  <c r="C71" i="42"/>
  <c r="I71" i="42"/>
  <c r="I42" i="42"/>
  <c r="E71" i="42"/>
  <c r="L71" i="42"/>
  <c r="C67" i="40"/>
  <c r="C72" i="41"/>
  <c r="C72" i="42"/>
  <c r="I72" i="42"/>
  <c r="I43" i="42"/>
  <c r="E72" i="42"/>
  <c r="L72" i="42"/>
  <c r="L73" i="42"/>
  <c r="N73" i="42"/>
  <c r="I73" i="42"/>
  <c r="J73" i="42"/>
  <c r="E73" i="42"/>
  <c r="G73" i="42"/>
  <c r="B68" i="40"/>
  <c r="B73" i="41"/>
  <c r="B73" i="42"/>
  <c r="B15" i="41"/>
  <c r="B13" i="42"/>
  <c r="B16" i="41"/>
  <c r="B14" i="42"/>
  <c r="B19" i="40"/>
  <c r="B24" i="41"/>
  <c r="B24" i="42"/>
  <c r="B20" i="40"/>
  <c r="B25" i="41"/>
  <c r="B25" i="42"/>
  <c r="B21" i="40"/>
  <c r="B26" i="41"/>
  <c r="B26" i="42"/>
  <c r="B22" i="40"/>
  <c r="B27" i="41"/>
  <c r="B27" i="42"/>
  <c r="B23" i="40"/>
  <c r="B28" i="41"/>
  <c r="B28" i="42"/>
  <c r="B24" i="40"/>
  <c r="B29" i="41"/>
  <c r="B29" i="42"/>
  <c r="B25" i="40"/>
  <c r="B30" i="41"/>
  <c r="B30" i="42"/>
  <c r="B26" i="40"/>
  <c r="B31" i="41"/>
  <c r="B31" i="42"/>
  <c r="B27" i="40"/>
  <c r="B32" i="41"/>
  <c r="B32" i="42"/>
  <c r="B28" i="40"/>
  <c r="B33" i="41"/>
  <c r="B33" i="42"/>
  <c r="B29" i="40"/>
  <c r="B34" i="41"/>
  <c r="B34" i="42"/>
  <c r="B30" i="40"/>
  <c r="B35" i="41"/>
  <c r="B35" i="42"/>
  <c r="B31" i="40"/>
  <c r="B36" i="41"/>
  <c r="B36" i="42"/>
  <c r="B32" i="40"/>
  <c r="B37" i="41"/>
  <c r="B37" i="42"/>
  <c r="B33" i="40"/>
  <c r="B38" i="41"/>
  <c r="B38" i="42"/>
  <c r="B39" i="41"/>
  <c r="B39" i="42"/>
  <c r="B35" i="40"/>
  <c r="B40" i="41"/>
  <c r="B40" i="42"/>
  <c r="B36" i="40"/>
  <c r="B41" i="41"/>
  <c r="B41" i="42"/>
  <c r="B37" i="40"/>
  <c r="B42" i="41"/>
  <c r="B42" i="42"/>
  <c r="B38" i="40"/>
  <c r="B43" i="41"/>
  <c r="B43" i="42"/>
  <c r="B47" i="40"/>
  <c r="B52" i="41"/>
  <c r="B52" i="42"/>
  <c r="B48" i="40"/>
  <c r="B53" i="41"/>
  <c r="B53" i="42"/>
  <c r="B49" i="40"/>
  <c r="B54" i="41"/>
  <c r="B54" i="42"/>
  <c r="B50" i="40"/>
  <c r="B55" i="41"/>
  <c r="B55" i="42"/>
  <c r="B51" i="40"/>
  <c r="B56" i="41"/>
  <c r="B56" i="42"/>
  <c r="B52" i="40"/>
  <c r="B57" i="41"/>
  <c r="B57" i="42"/>
  <c r="B53" i="40"/>
  <c r="B58" i="41"/>
  <c r="B58" i="42"/>
  <c r="B54" i="40"/>
  <c r="B59" i="41"/>
  <c r="B59" i="42"/>
  <c r="B55" i="40"/>
  <c r="B60" i="41"/>
  <c r="B60" i="42"/>
  <c r="B56" i="40"/>
  <c r="B61" i="41"/>
  <c r="B61" i="42"/>
  <c r="B57" i="40"/>
  <c r="B62" i="41"/>
  <c r="B62" i="42"/>
  <c r="B58" i="40"/>
  <c r="B63" i="41"/>
  <c r="B63" i="42"/>
  <c r="B59" i="40"/>
  <c r="B64" i="41"/>
  <c r="B64" i="42"/>
  <c r="B60" i="40"/>
  <c r="B65" i="41"/>
  <c r="B65" i="42"/>
  <c r="B61" i="40"/>
  <c r="B66" i="41"/>
  <c r="B66" i="42"/>
  <c r="B62" i="40"/>
  <c r="B67" i="41"/>
  <c r="B67" i="42"/>
  <c r="B63" i="40"/>
  <c r="B68" i="41"/>
  <c r="B68" i="42"/>
  <c r="B64" i="40"/>
  <c r="B69" i="41"/>
  <c r="B69" i="42"/>
  <c r="B65" i="40"/>
  <c r="B70" i="41"/>
  <c r="B70" i="42"/>
  <c r="B66" i="40"/>
  <c r="B71" i="41"/>
  <c r="B71" i="42"/>
  <c r="B67" i="40"/>
  <c r="B72" i="41"/>
  <c r="B72" i="42"/>
  <c r="A73" i="42"/>
  <c r="N72" i="42"/>
  <c r="J72" i="42"/>
  <c r="G72" i="42"/>
  <c r="A72" i="42"/>
  <c r="N71" i="42"/>
  <c r="J71" i="42"/>
  <c r="G71" i="42"/>
  <c r="A71" i="42"/>
  <c r="N70" i="42"/>
  <c r="J70" i="42"/>
  <c r="G70" i="42"/>
  <c r="A70" i="42"/>
  <c r="N69" i="42"/>
  <c r="J69" i="42"/>
  <c r="G69" i="42"/>
  <c r="A69" i="42"/>
  <c r="N68" i="42"/>
  <c r="J68" i="42"/>
  <c r="G68" i="42"/>
  <c r="C63" i="40"/>
  <c r="C68" i="41"/>
  <c r="C68" i="42"/>
  <c r="A68" i="42"/>
  <c r="N67" i="42"/>
  <c r="J67" i="42"/>
  <c r="G67" i="42"/>
  <c r="A67" i="42"/>
  <c r="N66" i="42"/>
  <c r="J66" i="42"/>
  <c r="G66" i="42"/>
  <c r="A66" i="42"/>
  <c r="N65" i="42"/>
  <c r="J65" i="42"/>
  <c r="G65" i="42"/>
  <c r="A65" i="42"/>
  <c r="N64" i="42"/>
  <c r="J64" i="42"/>
  <c r="G64" i="42"/>
  <c r="A64" i="42"/>
  <c r="N63" i="42"/>
  <c r="J63" i="42"/>
  <c r="G63" i="42"/>
  <c r="A63" i="42"/>
  <c r="N62" i="42"/>
  <c r="J62" i="42"/>
  <c r="G62" i="42"/>
  <c r="A62" i="42"/>
  <c r="N61" i="42"/>
  <c r="J61" i="42"/>
  <c r="G61" i="42"/>
  <c r="A61" i="42"/>
  <c r="N60" i="42"/>
  <c r="J60" i="42"/>
  <c r="G60" i="42"/>
  <c r="A60" i="42"/>
  <c r="N59" i="42"/>
  <c r="J59" i="42"/>
  <c r="G59" i="42"/>
  <c r="A59" i="42"/>
  <c r="N58" i="42"/>
  <c r="J58" i="42"/>
  <c r="G58" i="42"/>
  <c r="A58" i="42"/>
  <c r="N57" i="42"/>
  <c r="J57" i="42"/>
  <c r="G57" i="42"/>
  <c r="A57" i="42"/>
  <c r="N56" i="42"/>
  <c r="J56" i="42"/>
  <c r="G56" i="42"/>
  <c r="A56" i="42"/>
  <c r="N55" i="42"/>
  <c r="J55" i="42"/>
  <c r="G55" i="42"/>
  <c r="A55" i="42"/>
  <c r="N54" i="42"/>
  <c r="J54" i="42"/>
  <c r="G54" i="42"/>
  <c r="A54" i="42"/>
  <c r="N53" i="42"/>
  <c r="J53" i="42"/>
  <c r="G53" i="42"/>
  <c r="A53" i="42"/>
  <c r="N52" i="42"/>
  <c r="J52" i="42"/>
  <c r="G52" i="42"/>
  <c r="A52" i="42"/>
  <c r="A51" i="42"/>
  <c r="A50" i="42"/>
  <c r="A49" i="42"/>
  <c r="A48" i="42"/>
  <c r="N45" i="42"/>
  <c r="I45" i="42"/>
  <c r="N47" i="42"/>
  <c r="A47" i="42"/>
  <c r="A46" i="42"/>
  <c r="A45" i="42"/>
  <c r="A44" i="42"/>
  <c r="A43" i="42"/>
  <c r="A42" i="42"/>
  <c r="A41" i="42"/>
  <c r="A40" i="42"/>
  <c r="A39" i="42"/>
  <c r="A38" i="42"/>
  <c r="A37" i="42"/>
  <c r="A36" i="42"/>
  <c r="A35" i="42"/>
  <c r="A34" i="42"/>
  <c r="A33" i="42"/>
  <c r="A32" i="42"/>
  <c r="A31" i="42"/>
  <c r="A30" i="42"/>
  <c r="A29" i="42"/>
  <c r="A28" i="42"/>
  <c r="A27" i="42"/>
  <c r="A26" i="42"/>
  <c r="A25" i="42"/>
  <c r="A24" i="42"/>
  <c r="A23" i="42"/>
  <c r="A22" i="42"/>
  <c r="A21" i="42"/>
  <c r="A20" i="42"/>
  <c r="A19" i="42"/>
  <c r="A18" i="42"/>
  <c r="A17" i="42"/>
  <c r="A16" i="42"/>
  <c r="A15" i="42"/>
  <c r="A14" i="42"/>
  <c r="A13" i="42"/>
  <c r="A12" i="42"/>
  <c r="A5" i="42"/>
  <c r="A74" i="41"/>
  <c r="N13" i="41"/>
  <c r="N14" i="41"/>
  <c r="N16" i="41"/>
  <c r="N17" i="41"/>
  <c r="N18" i="41"/>
  <c r="I52" i="41"/>
  <c r="I13" i="41"/>
  <c r="I14" i="41"/>
  <c r="I16" i="41"/>
  <c r="I17" i="41"/>
  <c r="I18" i="41"/>
  <c r="E52" i="41"/>
  <c r="L52" i="41"/>
  <c r="N24" i="41"/>
  <c r="I53" i="41"/>
  <c r="I24" i="41"/>
  <c r="E53" i="41"/>
  <c r="L53" i="41"/>
  <c r="N25" i="41"/>
  <c r="I54" i="41"/>
  <c r="I25" i="41"/>
  <c r="E54" i="41"/>
  <c r="L54" i="41"/>
  <c r="N26" i="41"/>
  <c r="I55" i="41"/>
  <c r="I26" i="41"/>
  <c r="E55" i="41"/>
  <c r="L55" i="41"/>
  <c r="N27" i="41"/>
  <c r="I56" i="41"/>
  <c r="I27" i="41"/>
  <c r="E56" i="41"/>
  <c r="L56" i="41"/>
  <c r="N28" i="41"/>
  <c r="I57" i="41"/>
  <c r="I28" i="41"/>
  <c r="E57" i="41"/>
  <c r="L57" i="41"/>
  <c r="N29" i="41"/>
  <c r="I58" i="41"/>
  <c r="I29" i="41"/>
  <c r="E58" i="41"/>
  <c r="L58" i="41"/>
  <c r="N30" i="41"/>
  <c r="I59" i="41"/>
  <c r="I30" i="41"/>
  <c r="E59" i="41"/>
  <c r="L59" i="41"/>
  <c r="N31" i="41"/>
  <c r="I60" i="41"/>
  <c r="I31" i="41"/>
  <c r="E60" i="41"/>
  <c r="L60" i="41"/>
  <c r="N32" i="41"/>
  <c r="I61" i="41"/>
  <c r="I32" i="41"/>
  <c r="E61" i="41"/>
  <c r="L61" i="41"/>
  <c r="N33" i="41"/>
  <c r="I62" i="41"/>
  <c r="I33" i="41"/>
  <c r="E62" i="41"/>
  <c r="L62" i="41"/>
  <c r="N34" i="41"/>
  <c r="I63" i="41"/>
  <c r="I34" i="41"/>
  <c r="E63" i="41"/>
  <c r="L63" i="41"/>
  <c r="N35" i="41"/>
  <c r="I64" i="41"/>
  <c r="I35" i="41"/>
  <c r="E64" i="41"/>
  <c r="L64" i="41"/>
  <c r="N36" i="41"/>
  <c r="I65" i="41"/>
  <c r="I36" i="41"/>
  <c r="E65" i="41"/>
  <c r="L65" i="41"/>
  <c r="N37" i="41"/>
  <c r="I66" i="41"/>
  <c r="I37" i="41"/>
  <c r="E66" i="41"/>
  <c r="L66" i="41"/>
  <c r="N38" i="41"/>
  <c r="I67" i="41"/>
  <c r="I38" i="41"/>
  <c r="E67" i="41"/>
  <c r="L67" i="41"/>
  <c r="N39" i="41"/>
  <c r="I68" i="41"/>
  <c r="I39" i="41"/>
  <c r="E68" i="41"/>
  <c r="L68" i="41"/>
  <c r="N40" i="41"/>
  <c r="I69" i="41"/>
  <c r="I40" i="41"/>
  <c r="E69" i="41"/>
  <c r="L69" i="41"/>
  <c r="L41" i="41"/>
  <c r="N41" i="41"/>
  <c r="I70" i="41"/>
  <c r="I41" i="41"/>
  <c r="E70" i="41"/>
  <c r="L70" i="41"/>
  <c r="L42" i="41"/>
  <c r="N42" i="41"/>
  <c r="I71" i="41"/>
  <c r="I42" i="41"/>
  <c r="E71" i="41"/>
  <c r="L71" i="41"/>
  <c r="N43" i="41"/>
  <c r="I72" i="41"/>
  <c r="I43" i="41"/>
  <c r="E72" i="41"/>
  <c r="L72" i="41"/>
  <c r="L73" i="41"/>
  <c r="N73" i="41"/>
  <c r="I73" i="41"/>
  <c r="J73" i="41"/>
  <c r="E73" i="41"/>
  <c r="G73" i="41"/>
  <c r="B17" i="41"/>
  <c r="B18" i="41"/>
  <c r="A73" i="41"/>
  <c r="N72" i="41"/>
  <c r="J72" i="41"/>
  <c r="G72" i="41"/>
  <c r="A72" i="41"/>
  <c r="N71" i="41"/>
  <c r="J71" i="41"/>
  <c r="G71" i="41"/>
  <c r="A71" i="41"/>
  <c r="N70" i="41"/>
  <c r="J70" i="41"/>
  <c r="G70" i="41"/>
  <c r="A70" i="41"/>
  <c r="N69" i="41"/>
  <c r="J69" i="41"/>
  <c r="G69" i="41"/>
  <c r="A69" i="41"/>
  <c r="N68" i="41"/>
  <c r="J68" i="41"/>
  <c r="G68" i="41"/>
  <c r="A68" i="41"/>
  <c r="N67" i="41"/>
  <c r="J67" i="41"/>
  <c r="G67" i="41"/>
  <c r="A67" i="41"/>
  <c r="N66" i="41"/>
  <c r="J66" i="41"/>
  <c r="G66" i="41"/>
  <c r="A66" i="41"/>
  <c r="N65" i="41"/>
  <c r="J65" i="41"/>
  <c r="G65" i="41"/>
  <c r="A65" i="41"/>
  <c r="N64" i="41"/>
  <c r="J64" i="41"/>
  <c r="G64" i="41"/>
  <c r="A64" i="41"/>
  <c r="N63" i="41"/>
  <c r="J63" i="41"/>
  <c r="G63" i="41"/>
  <c r="A63" i="41"/>
  <c r="N62" i="41"/>
  <c r="J62" i="41"/>
  <c r="G62" i="41"/>
  <c r="A62" i="41"/>
  <c r="N61" i="41"/>
  <c r="J61" i="41"/>
  <c r="G61" i="41"/>
  <c r="A61" i="41"/>
  <c r="N60" i="41"/>
  <c r="J60" i="41"/>
  <c r="G60" i="41"/>
  <c r="A60" i="41"/>
  <c r="N59" i="41"/>
  <c r="J59" i="41"/>
  <c r="G59" i="41"/>
  <c r="A59" i="41"/>
  <c r="N58" i="41"/>
  <c r="J58" i="41"/>
  <c r="G58" i="41"/>
  <c r="A58" i="41"/>
  <c r="N57" i="41"/>
  <c r="J57" i="41"/>
  <c r="G57" i="41"/>
  <c r="A57" i="41"/>
  <c r="N56" i="41"/>
  <c r="J56" i="41"/>
  <c r="G56" i="41"/>
  <c r="A56" i="41"/>
  <c r="N55" i="41"/>
  <c r="J55" i="41"/>
  <c r="G55" i="41"/>
  <c r="A55" i="41"/>
  <c r="N54" i="41"/>
  <c r="J54" i="41"/>
  <c r="G54" i="41"/>
  <c r="A54" i="41"/>
  <c r="N53" i="41"/>
  <c r="J53" i="41"/>
  <c r="G53" i="41"/>
  <c r="A53" i="41"/>
  <c r="N52" i="41"/>
  <c r="J52" i="41"/>
  <c r="G52" i="41"/>
  <c r="A52" i="41"/>
  <c r="A51" i="41"/>
  <c r="A50" i="41"/>
  <c r="A49" i="41"/>
  <c r="A48" i="41"/>
  <c r="N45" i="41"/>
  <c r="I45" i="41"/>
  <c r="N47" i="41"/>
  <c r="A47" i="41"/>
  <c r="A46" i="41"/>
  <c r="A45" i="41"/>
  <c r="A44" i="41"/>
  <c r="A43" i="41"/>
  <c r="A42" i="41"/>
  <c r="A41" i="41"/>
  <c r="A40" i="41"/>
  <c r="A39" i="41"/>
  <c r="A38" i="41"/>
  <c r="A37" i="41"/>
  <c r="A36" i="41"/>
  <c r="A35" i="41"/>
  <c r="A34" i="41"/>
  <c r="A33" i="41"/>
  <c r="A32" i="41"/>
  <c r="A31" i="41"/>
  <c r="A30" i="41"/>
  <c r="A29" i="41"/>
  <c r="A28" i="41"/>
  <c r="A27" i="41"/>
  <c r="A26" i="41"/>
  <c r="A25" i="41"/>
  <c r="A24" i="41"/>
  <c r="A23" i="41"/>
  <c r="A22" i="41"/>
  <c r="A21" i="41"/>
  <c r="A20" i="41"/>
  <c r="A19" i="41"/>
  <c r="A18" i="41"/>
  <c r="A17" i="41"/>
  <c r="A16" i="41"/>
  <c r="A15" i="41"/>
  <c r="A14" i="41"/>
  <c r="A13" i="41"/>
  <c r="A12" i="41"/>
  <c r="A5" i="41"/>
  <c r="A69" i="40"/>
  <c r="N13" i="40"/>
  <c r="N14" i="40"/>
  <c r="N15" i="40"/>
  <c r="N16" i="40"/>
  <c r="I47" i="40"/>
  <c r="I13" i="40"/>
  <c r="I14" i="40"/>
  <c r="I15" i="40"/>
  <c r="I16" i="40"/>
  <c r="E47" i="40"/>
  <c r="L47" i="40"/>
  <c r="N19" i="40"/>
  <c r="I48" i="40"/>
  <c r="I19" i="40"/>
  <c r="E48" i="40"/>
  <c r="L48" i="40"/>
  <c r="N20" i="40"/>
  <c r="I49" i="40"/>
  <c r="I20" i="40"/>
  <c r="E49" i="40"/>
  <c r="L49" i="40"/>
  <c r="N21" i="40"/>
  <c r="I50" i="40"/>
  <c r="I21" i="40"/>
  <c r="E50" i="40"/>
  <c r="L50" i="40"/>
  <c r="N22" i="40"/>
  <c r="I51" i="40"/>
  <c r="I22" i="40"/>
  <c r="E51" i="40"/>
  <c r="L51" i="40"/>
  <c r="N23" i="40"/>
  <c r="I52" i="40"/>
  <c r="I23" i="40"/>
  <c r="E52" i="40"/>
  <c r="L52" i="40"/>
  <c r="N24" i="40"/>
  <c r="I53" i="40"/>
  <c r="I24" i="40"/>
  <c r="E53" i="40"/>
  <c r="L53" i="40"/>
  <c r="N25" i="40"/>
  <c r="I54" i="40"/>
  <c r="I25" i="40"/>
  <c r="E54" i="40"/>
  <c r="L54" i="40"/>
  <c r="N26" i="40"/>
  <c r="I55" i="40"/>
  <c r="I26" i="40"/>
  <c r="E55" i="40"/>
  <c r="L55" i="40"/>
  <c r="N27" i="40"/>
  <c r="I56" i="40"/>
  <c r="I27" i="40"/>
  <c r="E56" i="40"/>
  <c r="L56" i="40"/>
  <c r="N28" i="40"/>
  <c r="I57" i="40"/>
  <c r="I28" i="40"/>
  <c r="E57" i="40"/>
  <c r="L57" i="40"/>
  <c r="N29" i="40"/>
  <c r="I58" i="40"/>
  <c r="I29" i="40"/>
  <c r="E58" i="40"/>
  <c r="L58" i="40"/>
  <c r="N30" i="40"/>
  <c r="I59" i="40"/>
  <c r="I30" i="40"/>
  <c r="E59" i="40"/>
  <c r="L59" i="40"/>
  <c r="N31" i="40"/>
  <c r="I60" i="40"/>
  <c r="I31" i="40"/>
  <c r="E60" i="40"/>
  <c r="L60" i="40"/>
  <c r="N32" i="40"/>
  <c r="I61" i="40"/>
  <c r="I32" i="40"/>
  <c r="E61" i="40"/>
  <c r="L61" i="40"/>
  <c r="N33" i="40"/>
  <c r="I62" i="40"/>
  <c r="I33" i="40"/>
  <c r="E62" i="40"/>
  <c r="L62" i="40"/>
  <c r="N34" i="40"/>
  <c r="I63" i="40"/>
  <c r="I34" i="40"/>
  <c r="E63" i="40"/>
  <c r="L63" i="40"/>
  <c r="N35" i="40"/>
  <c r="I64" i="40"/>
  <c r="I35" i="40"/>
  <c r="E64" i="40"/>
  <c r="L64" i="40"/>
  <c r="L36" i="40"/>
  <c r="N36" i="40"/>
  <c r="I65" i="40"/>
  <c r="I36" i="40"/>
  <c r="E65" i="40"/>
  <c r="L65" i="40"/>
  <c r="L37" i="40"/>
  <c r="N37" i="40"/>
  <c r="I66" i="40"/>
  <c r="I37" i="40"/>
  <c r="E66" i="40"/>
  <c r="L66" i="40"/>
  <c r="N38" i="40"/>
  <c r="I67" i="40"/>
  <c r="I38" i="40"/>
  <c r="E67" i="40"/>
  <c r="L67" i="40"/>
  <c r="L68" i="40"/>
  <c r="N68" i="40"/>
  <c r="I68" i="40"/>
  <c r="J68" i="40"/>
  <c r="E68" i="40"/>
  <c r="G68" i="40"/>
  <c r="A68" i="40"/>
  <c r="N67" i="40"/>
  <c r="J67" i="40"/>
  <c r="G67" i="40"/>
  <c r="A67" i="40"/>
  <c r="N66" i="40"/>
  <c r="J66" i="40"/>
  <c r="G66" i="40"/>
  <c r="A66" i="40"/>
  <c r="N65" i="40"/>
  <c r="J65" i="40"/>
  <c r="G65" i="40"/>
  <c r="A65" i="40"/>
  <c r="N64" i="40"/>
  <c r="J64" i="40"/>
  <c r="G64" i="40"/>
  <c r="A64" i="40"/>
  <c r="N63" i="40"/>
  <c r="J63" i="40"/>
  <c r="G63" i="40"/>
  <c r="A63" i="40"/>
  <c r="N62" i="40"/>
  <c r="J62" i="40"/>
  <c r="G62" i="40"/>
  <c r="A62" i="40"/>
  <c r="N61" i="40"/>
  <c r="J61" i="40"/>
  <c r="G61" i="40"/>
  <c r="A61" i="40"/>
  <c r="N60" i="40"/>
  <c r="J60" i="40"/>
  <c r="G60" i="40"/>
  <c r="A60" i="40"/>
  <c r="N59" i="40"/>
  <c r="J59" i="40"/>
  <c r="G59" i="40"/>
  <c r="A59" i="40"/>
  <c r="N58" i="40"/>
  <c r="J58" i="40"/>
  <c r="G58" i="40"/>
  <c r="A58" i="40"/>
  <c r="N57" i="40"/>
  <c r="J57" i="40"/>
  <c r="G57" i="40"/>
  <c r="A57" i="40"/>
  <c r="N56" i="40"/>
  <c r="J56" i="40"/>
  <c r="G56" i="40"/>
  <c r="A56" i="40"/>
  <c r="N55" i="40"/>
  <c r="J55" i="40"/>
  <c r="G55" i="40"/>
  <c r="A55" i="40"/>
  <c r="N54" i="40"/>
  <c r="J54" i="40"/>
  <c r="G54" i="40"/>
  <c r="A54" i="40"/>
  <c r="N53" i="40"/>
  <c r="J53" i="40"/>
  <c r="G53" i="40"/>
  <c r="A53" i="40"/>
  <c r="N52" i="40"/>
  <c r="J52" i="40"/>
  <c r="G52" i="40"/>
  <c r="A52" i="40"/>
  <c r="N51" i="40"/>
  <c r="J51" i="40"/>
  <c r="G51" i="40"/>
  <c r="A51" i="40"/>
  <c r="N50" i="40"/>
  <c r="J50" i="40"/>
  <c r="G50" i="40"/>
  <c r="A50" i="40"/>
  <c r="N49" i="40"/>
  <c r="J49" i="40"/>
  <c r="G49" i="40"/>
  <c r="A49" i="40"/>
  <c r="N48" i="40"/>
  <c r="J48" i="40"/>
  <c r="G48" i="40"/>
  <c r="A48" i="40"/>
  <c r="N47" i="40"/>
  <c r="J47" i="40"/>
  <c r="G47" i="40"/>
  <c r="A47" i="40"/>
  <c r="A46" i="40"/>
  <c r="A45" i="40"/>
  <c r="A44" i="40"/>
  <c r="A43" i="40"/>
  <c r="N40" i="40"/>
  <c r="I40" i="40"/>
  <c r="N42" i="40"/>
  <c r="A42" i="40"/>
  <c r="A41" i="40"/>
  <c r="A40" i="40"/>
  <c r="A39" i="40"/>
  <c r="A38" i="40"/>
  <c r="A37" i="40"/>
  <c r="A36" i="40"/>
  <c r="A35" i="40"/>
  <c r="A34" i="40"/>
  <c r="A33" i="40"/>
  <c r="A32" i="40"/>
  <c r="A31" i="40"/>
  <c r="A30" i="40"/>
  <c r="A29" i="40"/>
  <c r="A28" i="40"/>
  <c r="A27" i="40"/>
  <c r="A26" i="40"/>
  <c r="A25" i="40"/>
  <c r="A24" i="40"/>
  <c r="A23" i="40"/>
  <c r="A22" i="40"/>
  <c r="A21" i="40"/>
  <c r="A20" i="40"/>
  <c r="A19" i="40"/>
  <c r="A18" i="40"/>
  <c r="A17" i="40"/>
  <c r="A16" i="40"/>
  <c r="A15" i="40"/>
  <c r="A14" i="40"/>
  <c r="A13" i="40"/>
  <c r="A12" i="40"/>
  <c r="A5" i="40"/>
  <c r="A68" i="39"/>
  <c r="C13" i="39"/>
  <c r="C14" i="39"/>
  <c r="C15" i="39"/>
  <c r="N13" i="39"/>
  <c r="N14" i="39"/>
  <c r="N15" i="39"/>
  <c r="I46" i="39"/>
  <c r="I13" i="39"/>
  <c r="I14" i="39"/>
  <c r="I15" i="39"/>
  <c r="E46" i="39"/>
  <c r="L46" i="39"/>
  <c r="N18" i="39"/>
  <c r="I47" i="39"/>
  <c r="I18" i="39"/>
  <c r="E47" i="39"/>
  <c r="L47" i="39"/>
  <c r="N19" i="39"/>
  <c r="I48" i="39"/>
  <c r="I19" i="39"/>
  <c r="E48" i="39"/>
  <c r="L48" i="39"/>
  <c r="N20" i="39"/>
  <c r="I49" i="39"/>
  <c r="I20" i="39"/>
  <c r="E49" i="39"/>
  <c r="L49" i="39"/>
  <c r="N21" i="39"/>
  <c r="I50" i="39"/>
  <c r="I21" i="39"/>
  <c r="E50" i="39"/>
  <c r="L50" i="39"/>
  <c r="N22" i="39"/>
  <c r="I51" i="39"/>
  <c r="I22" i="39"/>
  <c r="E51" i="39"/>
  <c r="L51" i="39"/>
  <c r="N23" i="39"/>
  <c r="I52" i="39"/>
  <c r="I23" i="39"/>
  <c r="E52" i="39"/>
  <c r="L52" i="39"/>
  <c r="N24" i="39"/>
  <c r="I53" i="39"/>
  <c r="I24" i="39"/>
  <c r="E53" i="39"/>
  <c r="L53" i="39"/>
  <c r="N25" i="39"/>
  <c r="I54" i="39"/>
  <c r="I25" i="39"/>
  <c r="E54" i="39"/>
  <c r="L54" i="39"/>
  <c r="N26" i="39"/>
  <c r="I55" i="39"/>
  <c r="I26" i="39"/>
  <c r="E55" i="39"/>
  <c r="L55" i="39"/>
  <c r="N27" i="39"/>
  <c r="I56" i="39"/>
  <c r="I27" i="39"/>
  <c r="E56" i="39"/>
  <c r="L56" i="39"/>
  <c r="N28" i="39"/>
  <c r="I57" i="39"/>
  <c r="I28" i="39"/>
  <c r="E57" i="39"/>
  <c r="L57" i="39"/>
  <c r="N29" i="39"/>
  <c r="I58" i="39"/>
  <c r="I29" i="39"/>
  <c r="E58" i="39"/>
  <c r="L58" i="39"/>
  <c r="N30" i="39"/>
  <c r="I59" i="39"/>
  <c r="I30" i="39"/>
  <c r="E59" i="39"/>
  <c r="L59" i="39"/>
  <c r="N31" i="39"/>
  <c r="I60" i="39"/>
  <c r="I31" i="39"/>
  <c r="E60" i="39"/>
  <c r="L60" i="39"/>
  <c r="N32" i="39"/>
  <c r="I61" i="39"/>
  <c r="I32" i="39"/>
  <c r="E61" i="39"/>
  <c r="L61" i="39"/>
  <c r="N33" i="39"/>
  <c r="I62" i="39"/>
  <c r="I33" i="39"/>
  <c r="E62" i="39"/>
  <c r="L62" i="39"/>
  <c r="N34" i="39"/>
  <c r="I63" i="39"/>
  <c r="I34" i="39"/>
  <c r="E63" i="39"/>
  <c r="L63" i="39"/>
  <c r="L35" i="39"/>
  <c r="N35" i="39"/>
  <c r="I64" i="39"/>
  <c r="I35" i="39"/>
  <c r="E64" i="39"/>
  <c r="L64" i="39"/>
  <c r="L36" i="39"/>
  <c r="N36" i="39"/>
  <c r="I65" i="39"/>
  <c r="I36" i="39"/>
  <c r="E65" i="39"/>
  <c r="L65" i="39"/>
  <c r="N37" i="39"/>
  <c r="I66" i="39"/>
  <c r="I37" i="39"/>
  <c r="E66" i="39"/>
  <c r="L66" i="39"/>
  <c r="L67" i="39"/>
  <c r="N67" i="39"/>
  <c r="I67" i="39"/>
  <c r="J67" i="39"/>
  <c r="E67" i="39"/>
  <c r="G67" i="39"/>
  <c r="B13" i="39"/>
  <c r="B14" i="39"/>
  <c r="B15" i="39"/>
  <c r="A67" i="39"/>
  <c r="N66" i="39"/>
  <c r="J66" i="39"/>
  <c r="G66" i="39"/>
  <c r="A66" i="39"/>
  <c r="N65" i="39"/>
  <c r="J65" i="39"/>
  <c r="G65" i="39"/>
  <c r="A65" i="39"/>
  <c r="N64" i="39"/>
  <c r="J64" i="39"/>
  <c r="G64" i="39"/>
  <c r="A64" i="39"/>
  <c r="N63" i="39"/>
  <c r="J63" i="39"/>
  <c r="G63" i="39"/>
  <c r="A63" i="39"/>
  <c r="N62" i="39"/>
  <c r="J62" i="39"/>
  <c r="G62" i="39"/>
  <c r="A62" i="39"/>
  <c r="N61" i="39"/>
  <c r="J61" i="39"/>
  <c r="G61" i="39"/>
  <c r="A61" i="39"/>
  <c r="N60" i="39"/>
  <c r="J60" i="39"/>
  <c r="G60" i="39"/>
  <c r="A60" i="39"/>
  <c r="N59" i="39"/>
  <c r="J59" i="39"/>
  <c r="G59" i="39"/>
  <c r="A59" i="39"/>
  <c r="N58" i="39"/>
  <c r="J58" i="39"/>
  <c r="G58" i="39"/>
  <c r="A58" i="39"/>
  <c r="N57" i="39"/>
  <c r="J57" i="39"/>
  <c r="G57" i="39"/>
  <c r="A57" i="39"/>
  <c r="N56" i="39"/>
  <c r="J56" i="39"/>
  <c r="G56" i="39"/>
  <c r="A56" i="39"/>
  <c r="N55" i="39"/>
  <c r="J55" i="39"/>
  <c r="G55" i="39"/>
  <c r="A55" i="39"/>
  <c r="N54" i="39"/>
  <c r="J54" i="39"/>
  <c r="G54" i="39"/>
  <c r="A54" i="39"/>
  <c r="N53" i="39"/>
  <c r="J53" i="39"/>
  <c r="G53" i="39"/>
  <c r="A53" i="39"/>
  <c r="N52" i="39"/>
  <c r="J52" i="39"/>
  <c r="G52" i="39"/>
  <c r="A52" i="39"/>
  <c r="N51" i="39"/>
  <c r="J51" i="39"/>
  <c r="G51" i="39"/>
  <c r="A51" i="39"/>
  <c r="N50" i="39"/>
  <c r="J50" i="39"/>
  <c r="G50" i="39"/>
  <c r="A50" i="39"/>
  <c r="N49" i="39"/>
  <c r="J49" i="39"/>
  <c r="G49" i="39"/>
  <c r="A49" i="39"/>
  <c r="N48" i="39"/>
  <c r="J48" i="39"/>
  <c r="G48" i="39"/>
  <c r="A48" i="39"/>
  <c r="N47" i="39"/>
  <c r="J47" i="39"/>
  <c r="G47" i="39"/>
  <c r="A47" i="39"/>
  <c r="N46" i="39"/>
  <c r="J46" i="39"/>
  <c r="G46" i="39"/>
  <c r="A46" i="39"/>
  <c r="A45" i="39"/>
  <c r="A44" i="39"/>
  <c r="A43" i="39"/>
  <c r="A42" i="39"/>
  <c r="N39" i="39"/>
  <c r="I39" i="39"/>
  <c r="N41" i="39"/>
  <c r="A41" i="39"/>
  <c r="A40" i="39"/>
  <c r="A39" i="39"/>
  <c r="A38" i="39"/>
  <c r="A37" i="39"/>
  <c r="A36" i="39"/>
  <c r="A35" i="39"/>
  <c r="A34" i="39"/>
  <c r="A33" i="39"/>
  <c r="A32" i="39"/>
  <c r="A31" i="39"/>
  <c r="A30" i="39"/>
  <c r="A29" i="39"/>
  <c r="A28" i="39"/>
  <c r="A27" i="39"/>
  <c r="A26" i="39"/>
  <c r="A25" i="39"/>
  <c r="A24" i="39"/>
  <c r="A23" i="39"/>
  <c r="A22" i="39"/>
  <c r="A21" i="39"/>
  <c r="A20" i="39"/>
  <c r="A19" i="39"/>
  <c r="A18" i="39"/>
  <c r="A17" i="39"/>
  <c r="A16" i="39"/>
  <c r="A15" i="39"/>
  <c r="A14" i="39"/>
  <c r="A13" i="39"/>
  <c r="A12" i="39"/>
  <c r="B78" i="38"/>
  <c r="B78" i="32"/>
  <c r="B77" i="37"/>
  <c r="B77" i="38"/>
  <c r="B77" i="32"/>
  <c r="B76" i="37"/>
  <c r="B76" i="38"/>
  <c r="B76" i="32"/>
  <c r="B75" i="37"/>
  <c r="B75" i="38"/>
  <c r="B75" i="32"/>
  <c r="B74" i="37"/>
  <c r="B74" i="38"/>
  <c r="A72" i="38"/>
  <c r="C58" i="30"/>
  <c r="C51" i="32"/>
  <c r="C50" i="37"/>
  <c r="C50" i="38"/>
  <c r="C13" i="38"/>
  <c r="C14" i="38"/>
  <c r="C15" i="38"/>
  <c r="C16" i="38"/>
  <c r="C17" i="38"/>
  <c r="C18" i="38"/>
  <c r="C30" i="30"/>
  <c r="C22" i="32"/>
  <c r="C21" i="37"/>
  <c r="C21" i="38"/>
  <c r="C31" i="30"/>
  <c r="C23" i="32"/>
  <c r="C22" i="37"/>
  <c r="C22" i="38"/>
  <c r="C32" i="30"/>
  <c r="C24" i="32"/>
  <c r="C23" i="37"/>
  <c r="C23" i="38"/>
  <c r="C33" i="30"/>
  <c r="C25" i="32"/>
  <c r="C24" i="37"/>
  <c r="C24" i="38"/>
  <c r="C34" i="30"/>
  <c r="C26" i="32"/>
  <c r="C25" i="37"/>
  <c r="C25" i="38"/>
  <c r="C35" i="30"/>
  <c r="C27" i="32"/>
  <c r="C26" i="37"/>
  <c r="C26" i="38"/>
  <c r="C36" i="30"/>
  <c r="C28" i="32"/>
  <c r="C27" i="37"/>
  <c r="C27" i="38"/>
  <c r="C37" i="30"/>
  <c r="C29" i="32"/>
  <c r="C28" i="37"/>
  <c r="C28" i="38"/>
  <c r="C38" i="30"/>
  <c r="C30" i="32"/>
  <c r="C29" i="37"/>
  <c r="C29" i="38"/>
  <c r="C39" i="30"/>
  <c r="C31" i="32"/>
  <c r="C30" i="37"/>
  <c r="C30" i="38"/>
  <c r="C40" i="30"/>
  <c r="C32" i="32"/>
  <c r="C31" i="37"/>
  <c r="C31" i="38"/>
  <c r="C41" i="30"/>
  <c r="C33" i="32"/>
  <c r="C32" i="37"/>
  <c r="C32" i="38"/>
  <c r="C42" i="30"/>
  <c r="C34" i="32"/>
  <c r="C33" i="37"/>
  <c r="C33" i="38"/>
  <c r="C43" i="30"/>
  <c r="C35" i="32"/>
  <c r="C34" i="37"/>
  <c r="C34" i="38"/>
  <c r="C44" i="30"/>
  <c r="C36" i="32"/>
  <c r="C35" i="37"/>
  <c r="C35" i="38"/>
  <c r="C36" i="37"/>
  <c r="C36" i="38"/>
  <c r="C37" i="37"/>
  <c r="C37" i="38"/>
  <c r="C46" i="30"/>
  <c r="C39" i="32"/>
  <c r="C38" i="37"/>
  <c r="C38" i="38"/>
  <c r="C47" i="30"/>
  <c r="C40" i="32"/>
  <c r="C39" i="37"/>
  <c r="C39" i="38"/>
  <c r="C48" i="30"/>
  <c r="C41" i="32"/>
  <c r="C40" i="37"/>
  <c r="C40" i="38"/>
  <c r="C49" i="30"/>
  <c r="C42" i="32"/>
  <c r="C41" i="37"/>
  <c r="C41" i="38"/>
  <c r="N13" i="38"/>
  <c r="N14" i="38"/>
  <c r="N15" i="38"/>
  <c r="N16" i="38"/>
  <c r="N18" i="38"/>
  <c r="AO23" i="1"/>
  <c r="N21" i="38"/>
  <c r="K23" i="1"/>
  <c r="N22" i="38"/>
  <c r="AT23" i="1"/>
  <c r="N23" i="38"/>
  <c r="P23" i="1"/>
  <c r="N24" i="38"/>
  <c r="U23" i="1"/>
  <c r="N25" i="38"/>
  <c r="Z23" i="1"/>
  <c r="N26" i="38"/>
  <c r="AY23" i="1"/>
  <c r="N27" i="38"/>
  <c r="N28" i="38"/>
  <c r="AE23" i="1"/>
  <c r="N29" i="38"/>
  <c r="BI23" i="1"/>
  <c r="N30" i="38"/>
  <c r="BN23" i="1"/>
  <c r="N31" i="38"/>
  <c r="BS23" i="1"/>
  <c r="N32" i="38"/>
  <c r="BX23" i="1"/>
  <c r="N33" i="38"/>
  <c r="CC23" i="1"/>
  <c r="N34" i="38"/>
  <c r="AJ23" i="1"/>
  <c r="N35" i="38"/>
  <c r="N36" i="38"/>
  <c r="N37" i="38"/>
  <c r="N38" i="38"/>
  <c r="L39" i="38"/>
  <c r="N39" i="38"/>
  <c r="L40" i="38"/>
  <c r="N40" i="38"/>
  <c r="N41" i="38"/>
  <c r="I50" i="38"/>
  <c r="I13" i="38"/>
  <c r="I14" i="38"/>
  <c r="I15" i="38"/>
  <c r="I16" i="38"/>
  <c r="I18" i="38"/>
  <c r="E50" i="38"/>
  <c r="L50" i="38"/>
  <c r="C59" i="30"/>
  <c r="C52" i="32"/>
  <c r="C51" i="37"/>
  <c r="C51" i="38"/>
  <c r="I51" i="38"/>
  <c r="I21" i="38"/>
  <c r="E51" i="38"/>
  <c r="L51" i="38"/>
  <c r="C60" i="30"/>
  <c r="C53" i="32"/>
  <c r="C52" i="37"/>
  <c r="C52" i="38"/>
  <c r="I52" i="38"/>
  <c r="I22" i="38"/>
  <c r="E52" i="38"/>
  <c r="L52" i="38"/>
  <c r="C61" i="30"/>
  <c r="C54" i="32"/>
  <c r="C53" i="37"/>
  <c r="C53" i="38"/>
  <c r="I53" i="38"/>
  <c r="I23" i="38"/>
  <c r="E53" i="38"/>
  <c r="L53" i="38"/>
  <c r="C62" i="30"/>
  <c r="C55" i="32"/>
  <c r="C54" i="37"/>
  <c r="C54" i="38"/>
  <c r="I54" i="38"/>
  <c r="I24" i="38"/>
  <c r="E54" i="38"/>
  <c r="L54" i="38"/>
  <c r="C63" i="30"/>
  <c r="C56" i="32"/>
  <c r="C55" i="37"/>
  <c r="C55" i="38"/>
  <c r="I55" i="38"/>
  <c r="I25" i="38"/>
  <c r="E55" i="38"/>
  <c r="L55" i="38"/>
  <c r="C64" i="30"/>
  <c r="C57" i="32"/>
  <c r="C56" i="37"/>
  <c r="C56" i="38"/>
  <c r="I56" i="38"/>
  <c r="I26" i="38"/>
  <c r="E56" i="38"/>
  <c r="L56" i="38"/>
  <c r="C65" i="30"/>
  <c r="C58" i="32"/>
  <c r="C57" i="37"/>
  <c r="C57" i="38"/>
  <c r="I57" i="38"/>
  <c r="I27" i="38"/>
  <c r="E57" i="38"/>
  <c r="L57" i="38"/>
  <c r="C66" i="30"/>
  <c r="C59" i="32"/>
  <c r="C58" i="37"/>
  <c r="C58" i="38"/>
  <c r="I58" i="38"/>
  <c r="I28" i="38"/>
  <c r="E58" i="38"/>
  <c r="L58" i="38"/>
  <c r="C67" i="30"/>
  <c r="C60" i="32"/>
  <c r="C59" i="37"/>
  <c r="C59" i="38"/>
  <c r="I59" i="38"/>
  <c r="I29" i="38"/>
  <c r="E59" i="38"/>
  <c r="L59" i="38"/>
  <c r="C68" i="30"/>
  <c r="C61" i="32"/>
  <c r="C60" i="37"/>
  <c r="C60" i="38"/>
  <c r="I60" i="38"/>
  <c r="I30" i="38"/>
  <c r="E60" i="38"/>
  <c r="L60" i="38"/>
  <c r="C69" i="30"/>
  <c r="C62" i="32"/>
  <c r="C61" i="37"/>
  <c r="C61" i="38"/>
  <c r="I61" i="38"/>
  <c r="I31" i="38"/>
  <c r="E61" i="38"/>
  <c r="L61" i="38"/>
  <c r="C70" i="30"/>
  <c r="C63" i="32"/>
  <c r="C62" i="37"/>
  <c r="C62" i="38"/>
  <c r="I62" i="38"/>
  <c r="I32" i="38"/>
  <c r="E62" i="38"/>
  <c r="L62" i="38"/>
  <c r="C71" i="30"/>
  <c r="C64" i="32"/>
  <c r="C63" i="37"/>
  <c r="C63" i="38"/>
  <c r="I63" i="38"/>
  <c r="I33" i="38"/>
  <c r="E63" i="38"/>
  <c r="L63" i="38"/>
  <c r="C72" i="30"/>
  <c r="C65" i="32"/>
  <c r="C64" i="37"/>
  <c r="C64" i="38"/>
  <c r="I64" i="38"/>
  <c r="I34" i="38"/>
  <c r="E64" i="38"/>
  <c r="L64" i="38"/>
  <c r="C73" i="30"/>
  <c r="C66" i="32"/>
  <c r="C65" i="37"/>
  <c r="C65" i="38"/>
  <c r="I65" i="38"/>
  <c r="I35" i="38"/>
  <c r="E65" i="38"/>
  <c r="L65" i="38"/>
  <c r="I66" i="38"/>
  <c r="C75" i="30"/>
  <c r="C68" i="32"/>
  <c r="C67" i="37"/>
  <c r="C67" i="38"/>
  <c r="I67" i="38"/>
  <c r="I38" i="38"/>
  <c r="E67" i="38"/>
  <c r="L67" i="38"/>
  <c r="C76" i="30"/>
  <c r="C69" i="32"/>
  <c r="C68" i="37"/>
  <c r="C68" i="38"/>
  <c r="I68" i="38"/>
  <c r="I39" i="38"/>
  <c r="E68" i="38"/>
  <c r="L68" i="38"/>
  <c r="C77" i="30"/>
  <c r="C70" i="32"/>
  <c r="C69" i="37"/>
  <c r="C69" i="38"/>
  <c r="I69" i="38"/>
  <c r="I40" i="38"/>
  <c r="E69" i="38"/>
  <c r="L69" i="38"/>
  <c r="C78" i="30"/>
  <c r="C71" i="32"/>
  <c r="C70" i="37"/>
  <c r="C70" i="38"/>
  <c r="I70" i="38"/>
  <c r="I41" i="38"/>
  <c r="E70" i="38"/>
  <c r="L70" i="38"/>
  <c r="I71" i="38"/>
  <c r="J71" i="38"/>
  <c r="B79" i="30"/>
  <c r="B72" i="32"/>
  <c r="B71" i="37"/>
  <c r="B71" i="38"/>
  <c r="B13" i="38"/>
  <c r="B14" i="38"/>
  <c r="B15" i="38"/>
  <c r="B16" i="38"/>
  <c r="B17" i="38"/>
  <c r="B18" i="38"/>
  <c r="B30" i="30"/>
  <c r="B22" i="32"/>
  <c r="B21" i="37"/>
  <c r="B21" i="38"/>
  <c r="B31" i="30"/>
  <c r="B23" i="32"/>
  <c r="B22" i="37"/>
  <c r="B22" i="38"/>
  <c r="B32" i="30"/>
  <c r="B24" i="32"/>
  <c r="B23" i="37"/>
  <c r="B23" i="38"/>
  <c r="B33" i="30"/>
  <c r="B25" i="32"/>
  <c r="B24" i="37"/>
  <c r="B24" i="38"/>
  <c r="B34" i="30"/>
  <c r="B26" i="32"/>
  <c r="B25" i="37"/>
  <c r="B25" i="38"/>
  <c r="B35" i="30"/>
  <c r="B27" i="32"/>
  <c r="B26" i="37"/>
  <c r="B26" i="38"/>
  <c r="B36" i="30"/>
  <c r="B28" i="32"/>
  <c r="B27" i="37"/>
  <c r="B27" i="38"/>
  <c r="B37" i="30"/>
  <c r="B29" i="32"/>
  <c r="B28" i="37"/>
  <c r="B28" i="38"/>
  <c r="B38" i="30"/>
  <c r="B30" i="32"/>
  <c r="B29" i="37"/>
  <c r="B29" i="38"/>
  <c r="B39" i="30"/>
  <c r="B31" i="32"/>
  <c r="B30" i="37"/>
  <c r="B30" i="38"/>
  <c r="B40" i="30"/>
  <c r="B32" i="32"/>
  <c r="B31" i="37"/>
  <c r="B31" i="38"/>
  <c r="B41" i="30"/>
  <c r="B33" i="32"/>
  <c r="B32" i="37"/>
  <c r="B32" i="38"/>
  <c r="B42" i="30"/>
  <c r="B34" i="32"/>
  <c r="B33" i="37"/>
  <c r="B33" i="38"/>
  <c r="B43" i="30"/>
  <c r="B35" i="32"/>
  <c r="B34" i="37"/>
  <c r="B34" i="38"/>
  <c r="B44" i="30"/>
  <c r="B36" i="32"/>
  <c r="B35" i="37"/>
  <c r="B35" i="38"/>
  <c r="B36" i="37"/>
  <c r="B36" i="38"/>
  <c r="B37" i="37"/>
  <c r="B37" i="38"/>
  <c r="B46" i="30"/>
  <c r="B39" i="32"/>
  <c r="B38" i="37"/>
  <c r="B38" i="38"/>
  <c r="B47" i="30"/>
  <c r="B40" i="32"/>
  <c r="B39" i="37"/>
  <c r="B39" i="38"/>
  <c r="B48" i="30"/>
  <c r="B41" i="32"/>
  <c r="B40" i="37"/>
  <c r="B40" i="38"/>
  <c r="B49" i="30"/>
  <c r="B42" i="32"/>
  <c r="B41" i="37"/>
  <c r="B41" i="38"/>
  <c r="B58" i="30"/>
  <c r="B51" i="32"/>
  <c r="B50" i="37"/>
  <c r="B50" i="38"/>
  <c r="B59" i="30"/>
  <c r="B52" i="32"/>
  <c r="B51" i="37"/>
  <c r="B51" i="38"/>
  <c r="B60" i="30"/>
  <c r="B53" i="32"/>
  <c r="B52" i="37"/>
  <c r="B52" i="38"/>
  <c r="B61" i="30"/>
  <c r="B54" i="32"/>
  <c r="B53" i="37"/>
  <c r="B53" i="38"/>
  <c r="B62" i="30"/>
  <c r="B55" i="32"/>
  <c r="B54" i="37"/>
  <c r="B54" i="38"/>
  <c r="B63" i="30"/>
  <c r="B56" i="32"/>
  <c r="B55" i="37"/>
  <c r="B55" i="38"/>
  <c r="B64" i="30"/>
  <c r="B57" i="32"/>
  <c r="B56" i="37"/>
  <c r="B56" i="38"/>
  <c r="B65" i="30"/>
  <c r="B58" i="32"/>
  <c r="B57" i="37"/>
  <c r="B57" i="38"/>
  <c r="B66" i="30"/>
  <c r="B59" i="32"/>
  <c r="B58" i="37"/>
  <c r="B58" i="38"/>
  <c r="B67" i="30"/>
  <c r="B60" i="32"/>
  <c r="B59" i="37"/>
  <c r="B59" i="38"/>
  <c r="B68" i="30"/>
  <c r="B61" i="32"/>
  <c r="B60" i="37"/>
  <c r="B60" i="38"/>
  <c r="B69" i="30"/>
  <c r="B62" i="32"/>
  <c r="B61" i="37"/>
  <c r="B61" i="38"/>
  <c r="B70" i="30"/>
  <c r="B63" i="32"/>
  <c r="B62" i="37"/>
  <c r="B62" i="38"/>
  <c r="B71" i="30"/>
  <c r="B64" i="32"/>
  <c r="B63" i="37"/>
  <c r="B63" i="38"/>
  <c r="B72" i="30"/>
  <c r="B65" i="32"/>
  <c r="B64" i="37"/>
  <c r="B64" i="38"/>
  <c r="B73" i="30"/>
  <c r="B66" i="32"/>
  <c r="B65" i="37"/>
  <c r="B65" i="38"/>
  <c r="B74" i="30"/>
  <c r="B67" i="32"/>
  <c r="B66" i="37"/>
  <c r="B66" i="38"/>
  <c r="B75" i="30"/>
  <c r="B68" i="32"/>
  <c r="B67" i="37"/>
  <c r="B67" i="38"/>
  <c r="B76" i="30"/>
  <c r="B69" i="32"/>
  <c r="B68" i="37"/>
  <c r="B68" i="38"/>
  <c r="B77" i="30"/>
  <c r="B70" i="32"/>
  <c r="B69" i="37"/>
  <c r="B69" i="38"/>
  <c r="B78" i="30"/>
  <c r="B71" i="32"/>
  <c r="B70" i="37"/>
  <c r="B70" i="38"/>
  <c r="A71" i="38"/>
  <c r="N70" i="38"/>
  <c r="J70" i="38"/>
  <c r="G70" i="38"/>
  <c r="A70" i="38"/>
  <c r="N69" i="38"/>
  <c r="J69" i="38"/>
  <c r="G69" i="38"/>
  <c r="A69" i="38"/>
  <c r="N68" i="38"/>
  <c r="J68" i="38"/>
  <c r="G68" i="38"/>
  <c r="A68" i="38"/>
  <c r="N67" i="38"/>
  <c r="J67" i="38"/>
  <c r="G67" i="38"/>
  <c r="A67" i="38"/>
  <c r="J66" i="38"/>
  <c r="C74" i="30"/>
  <c r="C67" i="32"/>
  <c r="C66" i="37"/>
  <c r="C66" i="38"/>
  <c r="A66" i="38"/>
  <c r="N65" i="38"/>
  <c r="J65" i="38"/>
  <c r="G65" i="38"/>
  <c r="A65" i="38"/>
  <c r="N64" i="38"/>
  <c r="J64" i="38"/>
  <c r="G64" i="38"/>
  <c r="A64" i="38"/>
  <c r="N63" i="38"/>
  <c r="J63" i="38"/>
  <c r="G63" i="38"/>
  <c r="A63" i="38"/>
  <c r="N62" i="38"/>
  <c r="J62" i="38"/>
  <c r="G62" i="38"/>
  <c r="A62" i="38"/>
  <c r="N61" i="38"/>
  <c r="J61" i="38"/>
  <c r="G61" i="38"/>
  <c r="A61" i="38"/>
  <c r="N60" i="38"/>
  <c r="J60" i="38"/>
  <c r="G60" i="38"/>
  <c r="A60" i="38"/>
  <c r="N59" i="38"/>
  <c r="J59" i="38"/>
  <c r="G59" i="38"/>
  <c r="A59" i="38"/>
  <c r="N58" i="38"/>
  <c r="J58" i="38"/>
  <c r="G58" i="38"/>
  <c r="A58" i="38"/>
  <c r="N57" i="38"/>
  <c r="J57" i="38"/>
  <c r="G57" i="38"/>
  <c r="A57" i="38"/>
  <c r="N56" i="38"/>
  <c r="J56" i="38"/>
  <c r="G56" i="38"/>
  <c r="A56" i="38"/>
  <c r="N55" i="38"/>
  <c r="J55" i="38"/>
  <c r="G55" i="38"/>
  <c r="A55" i="38"/>
  <c r="N54" i="38"/>
  <c r="J54" i="38"/>
  <c r="G54" i="38"/>
  <c r="A54" i="38"/>
  <c r="N53" i="38"/>
  <c r="J53" i="38"/>
  <c r="G53" i="38"/>
  <c r="A53" i="38"/>
  <c r="N52" i="38"/>
  <c r="J52" i="38"/>
  <c r="G52" i="38"/>
  <c r="A52" i="38"/>
  <c r="N51" i="38"/>
  <c r="J51" i="38"/>
  <c r="G51" i="38"/>
  <c r="A51" i="38"/>
  <c r="N50" i="38"/>
  <c r="J50" i="38"/>
  <c r="G50" i="38"/>
  <c r="A50" i="38"/>
  <c r="A49" i="38"/>
  <c r="A48" i="38"/>
  <c r="A47" i="38"/>
  <c r="A46" i="38"/>
  <c r="N43" i="38"/>
  <c r="I36" i="38"/>
  <c r="I37" i="38"/>
  <c r="I43" i="38"/>
  <c r="N45" i="38"/>
  <c r="A45" i="38"/>
  <c r="A44" i="38"/>
  <c r="A43" i="38"/>
  <c r="A42" i="38"/>
  <c r="A41" i="38"/>
  <c r="A40" i="38"/>
  <c r="A39" i="38"/>
  <c r="A38" i="38"/>
  <c r="A37" i="38"/>
  <c r="A36" i="38"/>
  <c r="A35" i="38"/>
  <c r="A34" i="38"/>
  <c r="A33" i="38"/>
  <c r="A32" i="38"/>
  <c r="A31" i="38"/>
  <c r="A30" i="38"/>
  <c r="A29" i="38"/>
  <c r="A28" i="38"/>
  <c r="A27" i="38"/>
  <c r="A26" i="38"/>
  <c r="A25" i="38"/>
  <c r="A24" i="38"/>
  <c r="A23" i="38"/>
  <c r="A22" i="38"/>
  <c r="A21" i="38"/>
  <c r="A20" i="38"/>
  <c r="A19" i="38"/>
  <c r="A18" i="38"/>
  <c r="A17" i="38"/>
  <c r="A16" i="38"/>
  <c r="A15" i="38"/>
  <c r="A14" i="38"/>
  <c r="A13" i="38"/>
  <c r="A12" i="38"/>
  <c r="A4" i="38"/>
  <c r="A72" i="37"/>
  <c r="N13" i="37"/>
  <c r="N14" i="37"/>
  <c r="N15" i="37"/>
  <c r="N16" i="37"/>
  <c r="N18" i="37"/>
  <c r="I50" i="37"/>
  <c r="I13" i="37"/>
  <c r="I14" i="37"/>
  <c r="I15" i="37"/>
  <c r="I16" i="37"/>
  <c r="I18" i="37"/>
  <c r="E50" i="37"/>
  <c r="L50" i="37"/>
  <c r="N21" i="37"/>
  <c r="I51" i="37"/>
  <c r="I21" i="37"/>
  <c r="E51" i="37"/>
  <c r="L51" i="37"/>
  <c r="N22" i="37"/>
  <c r="I52" i="37"/>
  <c r="I22" i="37"/>
  <c r="E52" i="37"/>
  <c r="L52" i="37"/>
  <c r="N23" i="37"/>
  <c r="I53" i="37"/>
  <c r="I23" i="37"/>
  <c r="E53" i="37"/>
  <c r="L53" i="37"/>
  <c r="N24" i="37"/>
  <c r="I54" i="37"/>
  <c r="I24" i="37"/>
  <c r="E54" i="37"/>
  <c r="L54" i="37"/>
  <c r="N25" i="37"/>
  <c r="I55" i="37"/>
  <c r="I25" i="37"/>
  <c r="E55" i="37"/>
  <c r="L55" i="37"/>
  <c r="N26" i="37"/>
  <c r="I56" i="37"/>
  <c r="I26" i="37"/>
  <c r="E56" i="37"/>
  <c r="L56" i="37"/>
  <c r="N27" i="37"/>
  <c r="I57" i="37"/>
  <c r="I27" i="37"/>
  <c r="E57" i="37"/>
  <c r="L57" i="37"/>
  <c r="N28" i="37"/>
  <c r="I58" i="37"/>
  <c r="I28" i="37"/>
  <c r="E58" i="37"/>
  <c r="L58" i="37"/>
  <c r="N29" i="37"/>
  <c r="I59" i="37"/>
  <c r="I29" i="37"/>
  <c r="E59" i="37"/>
  <c r="L59" i="37"/>
  <c r="N30" i="37"/>
  <c r="I60" i="37"/>
  <c r="I30" i="37"/>
  <c r="E60" i="37"/>
  <c r="L60" i="37"/>
  <c r="N31" i="37"/>
  <c r="I61" i="37"/>
  <c r="I31" i="37"/>
  <c r="E61" i="37"/>
  <c r="L61" i="37"/>
  <c r="N32" i="37"/>
  <c r="I62" i="37"/>
  <c r="I32" i="37"/>
  <c r="E62" i="37"/>
  <c r="L62" i="37"/>
  <c r="N33" i="37"/>
  <c r="I63" i="37"/>
  <c r="I33" i="37"/>
  <c r="E63" i="37"/>
  <c r="L63" i="37"/>
  <c r="N34" i="37"/>
  <c r="I64" i="37"/>
  <c r="I34" i="37"/>
  <c r="E64" i="37"/>
  <c r="L64" i="37"/>
  <c r="N35" i="37"/>
  <c r="I65" i="37"/>
  <c r="I35" i="37"/>
  <c r="E65" i="37"/>
  <c r="L65" i="37"/>
  <c r="N38" i="37"/>
  <c r="I67" i="37"/>
  <c r="I38" i="37"/>
  <c r="E67" i="37"/>
  <c r="L67" i="37"/>
  <c r="L39" i="37"/>
  <c r="N39" i="37"/>
  <c r="I68" i="37"/>
  <c r="I39" i="37"/>
  <c r="E68" i="37"/>
  <c r="L68" i="37"/>
  <c r="L40" i="37"/>
  <c r="N40" i="37"/>
  <c r="I69" i="37"/>
  <c r="I40" i="37"/>
  <c r="E69" i="37"/>
  <c r="L69" i="37"/>
  <c r="N41" i="37"/>
  <c r="I70" i="37"/>
  <c r="I41" i="37"/>
  <c r="E70" i="37"/>
  <c r="L70" i="37"/>
  <c r="A71" i="37"/>
  <c r="N70" i="37"/>
  <c r="J70" i="37"/>
  <c r="G70" i="37"/>
  <c r="A70" i="37"/>
  <c r="N69" i="37"/>
  <c r="J69" i="37"/>
  <c r="G69" i="37"/>
  <c r="A69" i="37"/>
  <c r="N68" i="37"/>
  <c r="J68" i="37"/>
  <c r="G68" i="37"/>
  <c r="A68" i="37"/>
  <c r="N67" i="37"/>
  <c r="J67" i="37"/>
  <c r="G67" i="37"/>
  <c r="A67" i="37"/>
  <c r="A66" i="37"/>
  <c r="N65" i="37"/>
  <c r="J65" i="37"/>
  <c r="G65" i="37"/>
  <c r="A65" i="37"/>
  <c r="N64" i="37"/>
  <c r="J64" i="37"/>
  <c r="G64" i="37"/>
  <c r="A64" i="37"/>
  <c r="N63" i="37"/>
  <c r="J63" i="37"/>
  <c r="G63" i="37"/>
  <c r="A63" i="37"/>
  <c r="N62" i="37"/>
  <c r="J62" i="37"/>
  <c r="G62" i="37"/>
  <c r="A62" i="37"/>
  <c r="N61" i="37"/>
  <c r="J61" i="37"/>
  <c r="G61" i="37"/>
  <c r="A61" i="37"/>
  <c r="N60" i="37"/>
  <c r="J60" i="37"/>
  <c r="G60" i="37"/>
  <c r="A60" i="37"/>
  <c r="N59" i="37"/>
  <c r="J59" i="37"/>
  <c r="G59" i="37"/>
  <c r="A59" i="37"/>
  <c r="N58" i="37"/>
  <c r="J58" i="37"/>
  <c r="G58" i="37"/>
  <c r="A58" i="37"/>
  <c r="N57" i="37"/>
  <c r="J57" i="37"/>
  <c r="G57" i="37"/>
  <c r="A57" i="37"/>
  <c r="N56" i="37"/>
  <c r="J56" i="37"/>
  <c r="G56" i="37"/>
  <c r="A56" i="37"/>
  <c r="N55" i="37"/>
  <c r="J55" i="37"/>
  <c r="G55" i="37"/>
  <c r="A55" i="37"/>
  <c r="N54" i="37"/>
  <c r="J54" i="37"/>
  <c r="G54" i="37"/>
  <c r="A54" i="37"/>
  <c r="N53" i="37"/>
  <c r="J53" i="37"/>
  <c r="G53" i="37"/>
  <c r="A53" i="37"/>
  <c r="N52" i="37"/>
  <c r="J52" i="37"/>
  <c r="G52" i="37"/>
  <c r="A52" i="37"/>
  <c r="N51" i="37"/>
  <c r="J51" i="37"/>
  <c r="G51" i="37"/>
  <c r="A51" i="37"/>
  <c r="N50" i="37"/>
  <c r="J50" i="37"/>
  <c r="G50" i="37"/>
  <c r="A50" i="37"/>
  <c r="A49" i="37"/>
  <c r="A48" i="37"/>
  <c r="A47" i="37"/>
  <c r="A46" i="37"/>
  <c r="N36" i="37"/>
  <c r="N37" i="37"/>
  <c r="N43" i="37"/>
  <c r="I36" i="37"/>
  <c r="I37" i="37"/>
  <c r="I43" i="37"/>
  <c r="N45" i="37"/>
  <c r="A45" i="37"/>
  <c r="A44" i="37"/>
  <c r="A43" i="37"/>
  <c r="A42" i="37"/>
  <c r="A41" i="37"/>
  <c r="A40" i="37"/>
  <c r="A39" i="37"/>
  <c r="A38" i="37"/>
  <c r="A37" i="37"/>
  <c r="A36" i="37"/>
  <c r="A35" i="37"/>
  <c r="A34" i="37"/>
  <c r="A33" i="37"/>
  <c r="A32" i="37"/>
  <c r="A31" i="37"/>
  <c r="A30" i="37"/>
  <c r="A29" i="37"/>
  <c r="A28" i="37"/>
  <c r="A27" i="37"/>
  <c r="A26" i="37"/>
  <c r="A25" i="37"/>
  <c r="A24" i="37"/>
  <c r="A23" i="37"/>
  <c r="A22" i="37"/>
  <c r="A21" i="37"/>
  <c r="A20" i="37"/>
  <c r="A19" i="37"/>
  <c r="A18" i="37"/>
  <c r="A17" i="37"/>
  <c r="A16" i="37"/>
  <c r="A15" i="37"/>
  <c r="A14" i="37"/>
  <c r="A13" i="37"/>
  <c r="A12" i="37"/>
  <c r="A5" i="37"/>
  <c r="A4" i="37"/>
  <c r="B74" i="36"/>
  <c r="B73" i="36"/>
  <c r="B72" i="36"/>
  <c r="B71" i="36"/>
  <c r="B70" i="36"/>
  <c r="A68" i="36"/>
  <c r="C46" i="36"/>
  <c r="N13" i="36"/>
  <c r="N14" i="36"/>
  <c r="N15" i="36"/>
  <c r="C18" i="36"/>
  <c r="C19" i="36"/>
  <c r="C20" i="36"/>
  <c r="C21" i="36"/>
  <c r="C22" i="36"/>
  <c r="C23" i="36"/>
  <c r="C24" i="36"/>
  <c r="C25" i="36"/>
  <c r="C26" i="36"/>
  <c r="C27" i="36"/>
  <c r="C28" i="36"/>
  <c r="C29" i="36"/>
  <c r="C30" i="36"/>
  <c r="C31" i="36"/>
  <c r="C32" i="36"/>
  <c r="C45" i="30"/>
  <c r="C33" i="36"/>
  <c r="C34" i="36"/>
  <c r="C35" i="36"/>
  <c r="C36" i="36"/>
  <c r="C37" i="36"/>
  <c r="AO28" i="1"/>
  <c r="N18" i="36"/>
  <c r="K28" i="1"/>
  <c r="N19" i="36"/>
  <c r="AT28" i="1"/>
  <c r="N20" i="36"/>
  <c r="P28" i="1"/>
  <c r="N21" i="36"/>
  <c r="U28" i="1"/>
  <c r="N22" i="36"/>
  <c r="Z28" i="1"/>
  <c r="N23" i="36"/>
  <c r="AY28" i="1"/>
  <c r="N24" i="36"/>
  <c r="N25" i="36"/>
  <c r="AE28" i="1"/>
  <c r="N26" i="36"/>
  <c r="BI28" i="1"/>
  <c r="N27" i="36"/>
  <c r="BN28" i="1"/>
  <c r="N28" i="36"/>
  <c r="BS28" i="1"/>
  <c r="N29" i="36"/>
  <c r="BX28" i="1"/>
  <c r="N30" i="36"/>
  <c r="CC28" i="1"/>
  <c r="N31" i="36"/>
  <c r="AJ28" i="1"/>
  <c r="N32" i="36"/>
  <c r="N33" i="36"/>
  <c r="N34" i="36"/>
  <c r="L35" i="36"/>
  <c r="N35" i="36"/>
  <c r="L36" i="36"/>
  <c r="N36" i="36"/>
  <c r="N37" i="36"/>
  <c r="I46" i="36"/>
  <c r="I13" i="36"/>
  <c r="I14" i="36"/>
  <c r="I15" i="36"/>
  <c r="E46" i="36"/>
  <c r="L46" i="36"/>
  <c r="C47" i="36"/>
  <c r="I47" i="36"/>
  <c r="I18" i="36"/>
  <c r="E47" i="36"/>
  <c r="L47" i="36"/>
  <c r="C48" i="36"/>
  <c r="I48" i="36"/>
  <c r="I19" i="36"/>
  <c r="E48" i="36"/>
  <c r="L48" i="36"/>
  <c r="C49" i="36"/>
  <c r="I49" i="36"/>
  <c r="I20" i="36"/>
  <c r="E49" i="36"/>
  <c r="L49" i="36"/>
  <c r="C50" i="36"/>
  <c r="I50" i="36"/>
  <c r="I21" i="36"/>
  <c r="E50" i="36"/>
  <c r="L50" i="36"/>
  <c r="C51" i="36"/>
  <c r="I51" i="36"/>
  <c r="I22" i="36"/>
  <c r="E51" i="36"/>
  <c r="L51" i="36"/>
  <c r="C52" i="36"/>
  <c r="I52" i="36"/>
  <c r="I23" i="36"/>
  <c r="E52" i="36"/>
  <c r="L52" i="36"/>
  <c r="C53" i="36"/>
  <c r="I53" i="36"/>
  <c r="I24" i="36"/>
  <c r="E53" i="36"/>
  <c r="L53" i="36"/>
  <c r="C54" i="36"/>
  <c r="I54" i="36"/>
  <c r="I25" i="36"/>
  <c r="E54" i="36"/>
  <c r="L54" i="36"/>
  <c r="C55" i="36"/>
  <c r="I55" i="36"/>
  <c r="I26" i="36"/>
  <c r="E55" i="36"/>
  <c r="L55" i="36"/>
  <c r="C56" i="36"/>
  <c r="I56" i="36"/>
  <c r="I27" i="36"/>
  <c r="E56" i="36"/>
  <c r="L56" i="36"/>
  <c r="C57" i="36"/>
  <c r="I57" i="36"/>
  <c r="I28" i="36"/>
  <c r="E57" i="36"/>
  <c r="L57" i="36"/>
  <c r="C58" i="36"/>
  <c r="I58" i="36"/>
  <c r="I29" i="36"/>
  <c r="E58" i="36"/>
  <c r="L58" i="36"/>
  <c r="C59" i="36"/>
  <c r="I59" i="36"/>
  <c r="I30" i="36"/>
  <c r="E59" i="36"/>
  <c r="L59" i="36"/>
  <c r="C60" i="36"/>
  <c r="I60" i="36"/>
  <c r="I31" i="36"/>
  <c r="E60" i="36"/>
  <c r="L60" i="36"/>
  <c r="C61" i="36"/>
  <c r="I61" i="36"/>
  <c r="I32" i="36"/>
  <c r="E61" i="36"/>
  <c r="L61" i="36"/>
  <c r="I62" i="36"/>
  <c r="I33" i="36"/>
  <c r="E62" i="36"/>
  <c r="L62" i="36"/>
  <c r="C63" i="36"/>
  <c r="I63" i="36"/>
  <c r="I34" i="36"/>
  <c r="E63" i="36"/>
  <c r="L63" i="36"/>
  <c r="C64" i="36"/>
  <c r="I64" i="36"/>
  <c r="I35" i="36"/>
  <c r="E64" i="36"/>
  <c r="L64" i="36"/>
  <c r="C65" i="36"/>
  <c r="I65" i="36"/>
  <c r="I36" i="36"/>
  <c r="E65" i="36"/>
  <c r="L65" i="36"/>
  <c r="C66" i="36"/>
  <c r="I66" i="36"/>
  <c r="I37" i="36"/>
  <c r="E66" i="36"/>
  <c r="L66" i="36"/>
  <c r="L67" i="36"/>
  <c r="N67" i="36"/>
  <c r="I67" i="36"/>
  <c r="J67" i="36"/>
  <c r="E67" i="36"/>
  <c r="G67" i="36"/>
  <c r="B67" i="36"/>
  <c r="B18" i="36"/>
  <c r="B19" i="36"/>
  <c r="B20" i="36"/>
  <c r="B21" i="36"/>
  <c r="B22" i="36"/>
  <c r="B23" i="36"/>
  <c r="B24" i="36"/>
  <c r="B25" i="36"/>
  <c r="B26" i="36"/>
  <c r="B27" i="36"/>
  <c r="B28" i="36"/>
  <c r="B29" i="36"/>
  <c r="B30" i="36"/>
  <c r="B31" i="36"/>
  <c r="B32" i="36"/>
  <c r="B45" i="30"/>
  <c r="B33" i="36"/>
  <c r="B34" i="36"/>
  <c r="B35" i="36"/>
  <c r="B36" i="36"/>
  <c r="B37" i="36"/>
  <c r="B46" i="36"/>
  <c r="B47" i="36"/>
  <c r="B48" i="36"/>
  <c r="B49" i="36"/>
  <c r="B50" i="36"/>
  <c r="B51" i="36"/>
  <c r="B52" i="36"/>
  <c r="B53" i="36"/>
  <c r="B54" i="36"/>
  <c r="B55" i="36"/>
  <c r="B56" i="36"/>
  <c r="B57" i="36"/>
  <c r="B58" i="36"/>
  <c r="B59" i="36"/>
  <c r="B60" i="36"/>
  <c r="B61" i="36"/>
  <c r="B62" i="36"/>
  <c r="B63" i="36"/>
  <c r="B64" i="36"/>
  <c r="B65" i="36"/>
  <c r="B66" i="36"/>
  <c r="A67" i="36"/>
  <c r="N66" i="36"/>
  <c r="J66" i="36"/>
  <c r="G66" i="36"/>
  <c r="A66" i="36"/>
  <c r="N65" i="36"/>
  <c r="J65" i="36"/>
  <c r="G65" i="36"/>
  <c r="A65" i="36"/>
  <c r="N64" i="36"/>
  <c r="J64" i="36"/>
  <c r="G64" i="36"/>
  <c r="A64" i="36"/>
  <c r="N63" i="36"/>
  <c r="J63" i="36"/>
  <c r="G63" i="36"/>
  <c r="A63" i="36"/>
  <c r="N62" i="36"/>
  <c r="J62" i="36"/>
  <c r="G62" i="36"/>
  <c r="C62" i="36"/>
  <c r="A62" i="36"/>
  <c r="N61" i="36"/>
  <c r="J61" i="36"/>
  <c r="G61" i="36"/>
  <c r="A61" i="36"/>
  <c r="N60" i="36"/>
  <c r="J60" i="36"/>
  <c r="G60" i="36"/>
  <c r="A60" i="36"/>
  <c r="N59" i="36"/>
  <c r="J59" i="36"/>
  <c r="G59" i="36"/>
  <c r="A59" i="36"/>
  <c r="N58" i="36"/>
  <c r="J58" i="36"/>
  <c r="G58" i="36"/>
  <c r="A58" i="36"/>
  <c r="N57" i="36"/>
  <c r="J57" i="36"/>
  <c r="G57" i="36"/>
  <c r="A57" i="36"/>
  <c r="N56" i="36"/>
  <c r="J56" i="36"/>
  <c r="G56" i="36"/>
  <c r="A56" i="36"/>
  <c r="N55" i="36"/>
  <c r="J55" i="36"/>
  <c r="G55" i="36"/>
  <c r="A55" i="36"/>
  <c r="N54" i="36"/>
  <c r="J54" i="36"/>
  <c r="G54" i="36"/>
  <c r="A54" i="36"/>
  <c r="N53" i="36"/>
  <c r="J53" i="36"/>
  <c r="G53" i="36"/>
  <c r="A53" i="36"/>
  <c r="N52" i="36"/>
  <c r="J52" i="36"/>
  <c r="G52" i="36"/>
  <c r="A52" i="36"/>
  <c r="N51" i="36"/>
  <c r="J51" i="36"/>
  <c r="G51" i="36"/>
  <c r="A51" i="36"/>
  <c r="N50" i="36"/>
  <c r="J50" i="36"/>
  <c r="G50" i="36"/>
  <c r="A50" i="36"/>
  <c r="N49" i="36"/>
  <c r="J49" i="36"/>
  <c r="G49" i="36"/>
  <c r="A49" i="36"/>
  <c r="N48" i="36"/>
  <c r="J48" i="36"/>
  <c r="G48" i="36"/>
  <c r="A48" i="36"/>
  <c r="N47" i="36"/>
  <c r="J47" i="36"/>
  <c r="G47" i="36"/>
  <c r="A47" i="36"/>
  <c r="N46" i="36"/>
  <c r="J46" i="36"/>
  <c r="G46" i="36"/>
  <c r="A46" i="36"/>
  <c r="A45" i="36"/>
  <c r="A44" i="36"/>
  <c r="A43" i="36"/>
  <c r="A42" i="36"/>
  <c r="N39" i="36"/>
  <c r="I39" i="36"/>
  <c r="N41" i="36"/>
  <c r="A41" i="36"/>
  <c r="A40" i="36"/>
  <c r="A39" i="36"/>
  <c r="A38" i="36"/>
  <c r="A37" i="36"/>
  <c r="A36" i="36"/>
  <c r="A35" i="36"/>
  <c r="A34" i="36"/>
  <c r="A33" i="36"/>
  <c r="A32" i="36"/>
  <c r="A31" i="36"/>
  <c r="A30" i="36"/>
  <c r="A29" i="36"/>
  <c r="A28" i="36"/>
  <c r="A27" i="36"/>
  <c r="A26" i="36"/>
  <c r="A25" i="36"/>
  <c r="A24" i="36"/>
  <c r="A23" i="36"/>
  <c r="A22" i="36"/>
  <c r="A21" i="36"/>
  <c r="A20" i="36"/>
  <c r="A19" i="36"/>
  <c r="A18" i="36"/>
  <c r="A17" i="36"/>
  <c r="A16" i="36"/>
  <c r="A15" i="36"/>
  <c r="A14" i="36"/>
  <c r="A13" i="36"/>
  <c r="A12" i="36"/>
  <c r="A5" i="36"/>
  <c r="A4" i="36"/>
  <c r="B73" i="35"/>
  <c r="B72" i="35"/>
  <c r="B71" i="35"/>
  <c r="B70" i="35"/>
  <c r="A68" i="35"/>
  <c r="C46" i="35"/>
  <c r="N13" i="35"/>
  <c r="N14" i="35"/>
  <c r="N15" i="35"/>
  <c r="C18" i="35"/>
  <c r="C19" i="35"/>
  <c r="C20" i="35"/>
  <c r="C21" i="35"/>
  <c r="C22" i="35"/>
  <c r="C23" i="35"/>
  <c r="C24" i="35"/>
  <c r="C25" i="35"/>
  <c r="C26" i="35"/>
  <c r="C27" i="35"/>
  <c r="C28" i="35"/>
  <c r="C29" i="35"/>
  <c r="C30" i="35"/>
  <c r="C31" i="35"/>
  <c r="C32" i="35"/>
  <c r="C33" i="35"/>
  <c r="C34" i="35"/>
  <c r="C35" i="35"/>
  <c r="C36" i="35"/>
  <c r="C37" i="35"/>
  <c r="AO27" i="1"/>
  <c r="N18" i="35"/>
  <c r="K27" i="1"/>
  <c r="N19" i="35"/>
  <c r="AT27" i="1"/>
  <c r="N20" i="35"/>
  <c r="P27" i="1"/>
  <c r="N21" i="35"/>
  <c r="U27" i="1"/>
  <c r="N22" i="35"/>
  <c r="Z27" i="1"/>
  <c r="N23" i="35"/>
  <c r="AY27" i="1"/>
  <c r="N24" i="35"/>
  <c r="N25" i="35"/>
  <c r="AE27" i="1"/>
  <c r="N26" i="35"/>
  <c r="BI27" i="1"/>
  <c r="N27" i="35"/>
  <c r="BN27" i="1"/>
  <c r="N28" i="35"/>
  <c r="BS27" i="1"/>
  <c r="N29" i="35"/>
  <c r="BX27" i="1"/>
  <c r="N30" i="35"/>
  <c r="CC27" i="1"/>
  <c r="N31" i="35"/>
  <c r="AJ27" i="1"/>
  <c r="N32" i="35"/>
  <c r="N33" i="35"/>
  <c r="N34" i="35"/>
  <c r="L35" i="35"/>
  <c r="N35" i="35"/>
  <c r="L36" i="35"/>
  <c r="N36" i="35"/>
  <c r="N37" i="35"/>
  <c r="I46" i="35"/>
  <c r="I13" i="35"/>
  <c r="I14" i="35"/>
  <c r="I15" i="35"/>
  <c r="E46" i="35"/>
  <c r="L46" i="35"/>
  <c r="C47" i="35"/>
  <c r="I47" i="35"/>
  <c r="I18" i="35"/>
  <c r="E47" i="35"/>
  <c r="L47" i="35"/>
  <c r="C48" i="35"/>
  <c r="I48" i="35"/>
  <c r="I19" i="35"/>
  <c r="E48" i="35"/>
  <c r="L48" i="35"/>
  <c r="C49" i="35"/>
  <c r="I49" i="35"/>
  <c r="I20" i="35"/>
  <c r="E49" i="35"/>
  <c r="L49" i="35"/>
  <c r="C50" i="35"/>
  <c r="I50" i="35"/>
  <c r="I21" i="35"/>
  <c r="E50" i="35"/>
  <c r="L50" i="35"/>
  <c r="C51" i="35"/>
  <c r="I51" i="35"/>
  <c r="I22" i="35"/>
  <c r="E51" i="35"/>
  <c r="L51" i="35"/>
  <c r="C52" i="35"/>
  <c r="I52" i="35"/>
  <c r="I23" i="35"/>
  <c r="E52" i="35"/>
  <c r="L52" i="35"/>
  <c r="C53" i="35"/>
  <c r="I53" i="35"/>
  <c r="I24" i="35"/>
  <c r="E53" i="35"/>
  <c r="L53" i="35"/>
  <c r="C54" i="35"/>
  <c r="I54" i="35"/>
  <c r="I25" i="35"/>
  <c r="E54" i="35"/>
  <c r="L54" i="35"/>
  <c r="C55" i="35"/>
  <c r="I55" i="35"/>
  <c r="I26" i="35"/>
  <c r="E55" i="35"/>
  <c r="L55" i="35"/>
  <c r="C56" i="35"/>
  <c r="I56" i="35"/>
  <c r="I27" i="35"/>
  <c r="E56" i="35"/>
  <c r="L56" i="35"/>
  <c r="C57" i="35"/>
  <c r="I57" i="35"/>
  <c r="I28" i="35"/>
  <c r="E57" i="35"/>
  <c r="L57" i="35"/>
  <c r="C58" i="35"/>
  <c r="I58" i="35"/>
  <c r="I29" i="35"/>
  <c r="E58" i="35"/>
  <c r="L58" i="35"/>
  <c r="C59" i="35"/>
  <c r="I59" i="35"/>
  <c r="I30" i="35"/>
  <c r="E59" i="35"/>
  <c r="L59" i="35"/>
  <c r="C60" i="35"/>
  <c r="I60" i="35"/>
  <c r="I31" i="35"/>
  <c r="E60" i="35"/>
  <c r="L60" i="35"/>
  <c r="C61" i="35"/>
  <c r="I61" i="35"/>
  <c r="I32" i="35"/>
  <c r="E61" i="35"/>
  <c r="L61" i="35"/>
  <c r="I62" i="35"/>
  <c r="I33" i="35"/>
  <c r="E62" i="35"/>
  <c r="L62" i="35"/>
  <c r="C63" i="35"/>
  <c r="I63" i="35"/>
  <c r="I34" i="35"/>
  <c r="E63" i="35"/>
  <c r="L63" i="35"/>
  <c r="C64" i="35"/>
  <c r="I64" i="35"/>
  <c r="I35" i="35"/>
  <c r="E64" i="35"/>
  <c r="L64" i="35"/>
  <c r="C65" i="35"/>
  <c r="I65" i="35"/>
  <c r="I36" i="35"/>
  <c r="E65" i="35"/>
  <c r="L65" i="35"/>
  <c r="C66" i="35"/>
  <c r="I66" i="35"/>
  <c r="I37" i="35"/>
  <c r="E66" i="35"/>
  <c r="L66" i="35"/>
  <c r="L67" i="35"/>
  <c r="N67" i="35"/>
  <c r="I67" i="35"/>
  <c r="J67" i="35"/>
  <c r="E67" i="35"/>
  <c r="G67" i="35"/>
  <c r="B6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B31" i="35"/>
  <c r="B32" i="35"/>
  <c r="B33" i="35"/>
  <c r="B34" i="35"/>
  <c r="B35" i="35"/>
  <c r="B36" i="35"/>
  <c r="B37" i="35"/>
  <c r="B46" i="35"/>
  <c r="B47" i="35"/>
  <c r="B48" i="35"/>
  <c r="B49" i="35"/>
  <c r="B50" i="35"/>
  <c r="B51" i="35"/>
  <c r="B52" i="35"/>
  <c r="B53" i="35"/>
  <c r="B54" i="35"/>
  <c r="B55" i="35"/>
  <c r="B56" i="35"/>
  <c r="B57" i="35"/>
  <c r="B58" i="35"/>
  <c r="B59" i="35"/>
  <c r="B60" i="35"/>
  <c r="B61" i="35"/>
  <c r="B62" i="35"/>
  <c r="B63" i="35"/>
  <c r="B64" i="35"/>
  <c r="B65" i="35"/>
  <c r="B66" i="35"/>
  <c r="A67" i="35"/>
  <c r="N66" i="35"/>
  <c r="J66" i="35"/>
  <c r="G66" i="35"/>
  <c r="A66" i="35"/>
  <c r="N65" i="35"/>
  <c r="J65" i="35"/>
  <c r="G65" i="35"/>
  <c r="A65" i="35"/>
  <c r="N64" i="35"/>
  <c r="J64" i="35"/>
  <c r="G64" i="35"/>
  <c r="A64" i="35"/>
  <c r="N63" i="35"/>
  <c r="J63" i="35"/>
  <c r="G63" i="35"/>
  <c r="A63" i="35"/>
  <c r="N62" i="35"/>
  <c r="J62" i="35"/>
  <c r="G62" i="35"/>
  <c r="C62" i="35"/>
  <c r="A62" i="35"/>
  <c r="N61" i="35"/>
  <c r="J61" i="35"/>
  <c r="G61" i="35"/>
  <c r="A61" i="35"/>
  <c r="N60" i="35"/>
  <c r="J60" i="35"/>
  <c r="G60" i="35"/>
  <c r="A60" i="35"/>
  <c r="N59" i="35"/>
  <c r="J59" i="35"/>
  <c r="G59" i="35"/>
  <c r="A59" i="35"/>
  <c r="N58" i="35"/>
  <c r="J58" i="35"/>
  <c r="G58" i="35"/>
  <c r="A58" i="35"/>
  <c r="N57" i="35"/>
  <c r="J57" i="35"/>
  <c r="G57" i="35"/>
  <c r="A57" i="35"/>
  <c r="N56" i="35"/>
  <c r="J56" i="35"/>
  <c r="G56" i="35"/>
  <c r="A56" i="35"/>
  <c r="N55" i="35"/>
  <c r="J55" i="35"/>
  <c r="G55" i="35"/>
  <c r="A55" i="35"/>
  <c r="N54" i="35"/>
  <c r="J54" i="35"/>
  <c r="G54" i="35"/>
  <c r="A54" i="35"/>
  <c r="N53" i="35"/>
  <c r="J53" i="35"/>
  <c r="G53" i="35"/>
  <c r="A53" i="35"/>
  <c r="N52" i="35"/>
  <c r="J52" i="35"/>
  <c r="G52" i="35"/>
  <c r="A52" i="35"/>
  <c r="N51" i="35"/>
  <c r="J51" i="35"/>
  <c r="G51" i="35"/>
  <c r="A51" i="35"/>
  <c r="N50" i="35"/>
  <c r="J50" i="35"/>
  <c r="G50" i="35"/>
  <c r="A50" i="35"/>
  <c r="N49" i="35"/>
  <c r="J49" i="35"/>
  <c r="G49" i="35"/>
  <c r="A49" i="35"/>
  <c r="N48" i="35"/>
  <c r="J48" i="35"/>
  <c r="G48" i="35"/>
  <c r="A48" i="35"/>
  <c r="N47" i="35"/>
  <c r="J47" i="35"/>
  <c r="G47" i="35"/>
  <c r="A47" i="35"/>
  <c r="N46" i="35"/>
  <c r="J46" i="35"/>
  <c r="G46" i="35"/>
  <c r="A46" i="35"/>
  <c r="A45" i="35"/>
  <c r="A44" i="35"/>
  <c r="A43" i="35"/>
  <c r="A42" i="35"/>
  <c r="N39" i="35"/>
  <c r="I39" i="35"/>
  <c r="N41" i="35"/>
  <c r="A41" i="35"/>
  <c r="A40" i="35"/>
  <c r="A39" i="35"/>
  <c r="A38" i="35"/>
  <c r="A37" i="35"/>
  <c r="A36" i="35"/>
  <c r="A35" i="35"/>
  <c r="A34" i="35"/>
  <c r="A33" i="35"/>
  <c r="A32" i="35"/>
  <c r="A31" i="35"/>
  <c r="A30" i="35"/>
  <c r="A29" i="35"/>
  <c r="A28" i="35"/>
  <c r="A27" i="35"/>
  <c r="A26" i="35"/>
  <c r="A25" i="35"/>
  <c r="A24" i="35"/>
  <c r="A23" i="35"/>
  <c r="A22" i="35"/>
  <c r="A21" i="35"/>
  <c r="A20" i="35"/>
  <c r="A19" i="35"/>
  <c r="A18" i="35"/>
  <c r="A17" i="35"/>
  <c r="A16" i="35"/>
  <c r="A15" i="35"/>
  <c r="A14" i="35"/>
  <c r="A13" i="35"/>
  <c r="A12" i="35"/>
  <c r="A5" i="35"/>
  <c r="A4" i="35"/>
  <c r="B75" i="34"/>
  <c r="B74" i="34"/>
  <c r="B73" i="34"/>
  <c r="B72" i="34"/>
  <c r="A70" i="34"/>
  <c r="C48" i="34"/>
  <c r="N13" i="34"/>
  <c r="N14" i="34"/>
  <c r="N15" i="34"/>
  <c r="N16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AO26" i="1"/>
  <c r="N19" i="34"/>
  <c r="K26" i="1"/>
  <c r="N20" i="34"/>
  <c r="AT26" i="1"/>
  <c r="N21" i="34"/>
  <c r="P26" i="1"/>
  <c r="N22" i="34"/>
  <c r="U26" i="1"/>
  <c r="N23" i="34"/>
  <c r="Z26" i="1"/>
  <c r="N24" i="34"/>
  <c r="AY26" i="1"/>
  <c r="N25" i="34"/>
  <c r="N26" i="34"/>
  <c r="AE26" i="1"/>
  <c r="N27" i="34"/>
  <c r="BI26" i="1"/>
  <c r="N28" i="34"/>
  <c r="BN26" i="1"/>
  <c r="N29" i="34"/>
  <c r="BS26" i="1"/>
  <c r="N30" i="34"/>
  <c r="BX26" i="1"/>
  <c r="N31" i="34"/>
  <c r="CC26" i="1"/>
  <c r="N32" i="34"/>
  <c r="AJ26" i="1"/>
  <c r="N33" i="34"/>
  <c r="N34" i="34"/>
  <c r="N35" i="34"/>
  <c r="N36" i="34"/>
  <c r="L37" i="34"/>
  <c r="N37" i="34"/>
  <c r="L38" i="34"/>
  <c r="N38" i="34"/>
  <c r="N39" i="34"/>
  <c r="I48" i="34"/>
  <c r="I13" i="34"/>
  <c r="I14" i="34"/>
  <c r="I15" i="34"/>
  <c r="I16" i="34"/>
  <c r="E48" i="34"/>
  <c r="L48" i="34"/>
  <c r="C49" i="34"/>
  <c r="I49" i="34"/>
  <c r="I19" i="34"/>
  <c r="E49" i="34"/>
  <c r="L49" i="34"/>
  <c r="C50" i="34"/>
  <c r="I50" i="34"/>
  <c r="I20" i="34"/>
  <c r="E50" i="34"/>
  <c r="L50" i="34"/>
  <c r="C51" i="34"/>
  <c r="I51" i="34"/>
  <c r="I21" i="34"/>
  <c r="E51" i="34"/>
  <c r="L51" i="34"/>
  <c r="C52" i="34"/>
  <c r="I52" i="34"/>
  <c r="I22" i="34"/>
  <c r="E52" i="34"/>
  <c r="L52" i="34"/>
  <c r="C53" i="34"/>
  <c r="I53" i="34"/>
  <c r="I23" i="34"/>
  <c r="E53" i="34"/>
  <c r="L53" i="34"/>
  <c r="C54" i="34"/>
  <c r="I54" i="34"/>
  <c r="I24" i="34"/>
  <c r="E54" i="34"/>
  <c r="L54" i="34"/>
  <c r="C55" i="34"/>
  <c r="I55" i="34"/>
  <c r="I25" i="34"/>
  <c r="E55" i="34"/>
  <c r="L55" i="34"/>
  <c r="C56" i="34"/>
  <c r="I56" i="34"/>
  <c r="I26" i="34"/>
  <c r="E56" i="34"/>
  <c r="L56" i="34"/>
  <c r="C57" i="34"/>
  <c r="I57" i="34"/>
  <c r="I27" i="34"/>
  <c r="E57" i="34"/>
  <c r="L57" i="34"/>
  <c r="C58" i="34"/>
  <c r="I58" i="34"/>
  <c r="I28" i="34"/>
  <c r="E58" i="34"/>
  <c r="L58" i="34"/>
  <c r="C59" i="34"/>
  <c r="I59" i="34"/>
  <c r="I29" i="34"/>
  <c r="E59" i="34"/>
  <c r="L59" i="34"/>
  <c r="C60" i="34"/>
  <c r="I60" i="34"/>
  <c r="I30" i="34"/>
  <c r="E60" i="34"/>
  <c r="L60" i="34"/>
  <c r="C61" i="34"/>
  <c r="I61" i="34"/>
  <c r="I31" i="34"/>
  <c r="E61" i="34"/>
  <c r="L61" i="34"/>
  <c r="C62" i="34"/>
  <c r="I62" i="34"/>
  <c r="I32" i="34"/>
  <c r="E62" i="34"/>
  <c r="L62" i="34"/>
  <c r="C63" i="34"/>
  <c r="I63" i="34"/>
  <c r="I33" i="34"/>
  <c r="E63" i="34"/>
  <c r="L63" i="34"/>
  <c r="I64" i="34"/>
  <c r="C65" i="34"/>
  <c r="I65" i="34"/>
  <c r="I36" i="34"/>
  <c r="E65" i="34"/>
  <c r="L65" i="34"/>
  <c r="C66" i="34"/>
  <c r="I66" i="34"/>
  <c r="I37" i="34"/>
  <c r="E66" i="34"/>
  <c r="L66" i="34"/>
  <c r="C67" i="34"/>
  <c r="I67" i="34"/>
  <c r="I38" i="34"/>
  <c r="E67" i="34"/>
  <c r="L67" i="34"/>
  <c r="C68" i="34"/>
  <c r="I68" i="34"/>
  <c r="I39" i="34"/>
  <c r="E68" i="34"/>
  <c r="L68" i="34"/>
  <c r="I69" i="34"/>
  <c r="J69" i="34"/>
  <c r="B69" i="34"/>
  <c r="B19" i="34"/>
  <c r="B20" i="34"/>
  <c r="B21" i="34"/>
  <c r="B22" i="34"/>
  <c r="B23" i="34"/>
  <c r="B24" i="34"/>
  <c r="B25" i="34"/>
  <c r="B26" i="34"/>
  <c r="B27" i="34"/>
  <c r="B28" i="34"/>
  <c r="B29" i="34"/>
  <c r="B30" i="34"/>
  <c r="B31" i="34"/>
  <c r="B32" i="34"/>
  <c r="B33" i="34"/>
  <c r="B34" i="34"/>
  <c r="B35" i="34"/>
  <c r="B36" i="34"/>
  <c r="B37" i="34"/>
  <c r="B38" i="34"/>
  <c r="B39" i="34"/>
  <c r="B48" i="34"/>
  <c r="B49" i="34"/>
  <c r="B50" i="34"/>
  <c r="B51" i="34"/>
  <c r="B52" i="34"/>
  <c r="B53" i="34"/>
  <c r="B54" i="34"/>
  <c r="B55" i="34"/>
  <c r="B56" i="34"/>
  <c r="B57" i="34"/>
  <c r="B58" i="34"/>
  <c r="B59" i="34"/>
  <c r="B60" i="34"/>
  <c r="B61" i="34"/>
  <c r="B62" i="34"/>
  <c r="B63" i="34"/>
  <c r="B64" i="34"/>
  <c r="B65" i="34"/>
  <c r="B66" i="34"/>
  <c r="B67" i="34"/>
  <c r="B68" i="34"/>
  <c r="A69" i="34"/>
  <c r="N68" i="34"/>
  <c r="J68" i="34"/>
  <c r="G68" i="34"/>
  <c r="A68" i="34"/>
  <c r="N67" i="34"/>
  <c r="J67" i="34"/>
  <c r="G67" i="34"/>
  <c r="A67" i="34"/>
  <c r="N66" i="34"/>
  <c r="J66" i="34"/>
  <c r="G66" i="34"/>
  <c r="A66" i="34"/>
  <c r="N65" i="34"/>
  <c r="J65" i="34"/>
  <c r="G65" i="34"/>
  <c r="A65" i="34"/>
  <c r="J64" i="34"/>
  <c r="C64" i="34"/>
  <c r="A64" i="34"/>
  <c r="N63" i="34"/>
  <c r="J63" i="34"/>
  <c r="G63" i="34"/>
  <c r="A63" i="34"/>
  <c r="N62" i="34"/>
  <c r="J62" i="34"/>
  <c r="G62" i="34"/>
  <c r="A62" i="34"/>
  <c r="N61" i="34"/>
  <c r="J61" i="34"/>
  <c r="G61" i="34"/>
  <c r="A61" i="34"/>
  <c r="N60" i="34"/>
  <c r="J60" i="34"/>
  <c r="G60" i="34"/>
  <c r="A60" i="34"/>
  <c r="N59" i="34"/>
  <c r="J59" i="34"/>
  <c r="G59" i="34"/>
  <c r="A59" i="34"/>
  <c r="N58" i="34"/>
  <c r="J58" i="34"/>
  <c r="G58" i="34"/>
  <c r="A58" i="34"/>
  <c r="N57" i="34"/>
  <c r="J57" i="34"/>
  <c r="G57" i="34"/>
  <c r="A57" i="34"/>
  <c r="N56" i="34"/>
  <c r="J56" i="34"/>
  <c r="G56" i="34"/>
  <c r="A56" i="34"/>
  <c r="N55" i="34"/>
  <c r="J55" i="34"/>
  <c r="G55" i="34"/>
  <c r="A55" i="34"/>
  <c r="N54" i="34"/>
  <c r="J54" i="34"/>
  <c r="G54" i="34"/>
  <c r="A54" i="34"/>
  <c r="N53" i="34"/>
  <c r="J53" i="34"/>
  <c r="G53" i="34"/>
  <c r="A53" i="34"/>
  <c r="N52" i="34"/>
  <c r="J52" i="34"/>
  <c r="G52" i="34"/>
  <c r="A52" i="34"/>
  <c r="N51" i="34"/>
  <c r="J51" i="34"/>
  <c r="G51" i="34"/>
  <c r="A51" i="34"/>
  <c r="N50" i="34"/>
  <c r="J50" i="34"/>
  <c r="G50" i="34"/>
  <c r="A50" i="34"/>
  <c r="N49" i="34"/>
  <c r="J49" i="34"/>
  <c r="G49" i="34"/>
  <c r="A49" i="34"/>
  <c r="N48" i="34"/>
  <c r="J48" i="34"/>
  <c r="G48" i="34"/>
  <c r="A48" i="34"/>
  <c r="A47" i="34"/>
  <c r="A46" i="34"/>
  <c r="A45" i="34"/>
  <c r="A44" i="34"/>
  <c r="N41" i="34"/>
  <c r="I34" i="34"/>
  <c r="I35" i="34"/>
  <c r="I41" i="34"/>
  <c r="N43" i="34"/>
  <c r="A43" i="34"/>
  <c r="A42" i="34"/>
  <c r="A41" i="34"/>
  <c r="A40" i="34"/>
  <c r="A39" i="34"/>
  <c r="A38" i="34"/>
  <c r="A37" i="34"/>
  <c r="A36" i="34"/>
  <c r="A35" i="34"/>
  <c r="A34" i="34"/>
  <c r="A33" i="34"/>
  <c r="A32" i="34"/>
  <c r="A31" i="34"/>
  <c r="A30" i="34"/>
  <c r="A29" i="34"/>
  <c r="A28" i="34"/>
  <c r="A27" i="34"/>
  <c r="A26" i="34"/>
  <c r="A25" i="34"/>
  <c r="A24" i="34"/>
  <c r="A23" i="34"/>
  <c r="A22" i="34"/>
  <c r="A21" i="34"/>
  <c r="A20" i="34"/>
  <c r="A19" i="34"/>
  <c r="A18" i="34"/>
  <c r="A17" i="34"/>
  <c r="A16" i="34"/>
  <c r="A15" i="34"/>
  <c r="A14" i="34"/>
  <c r="A13" i="34"/>
  <c r="A12" i="34"/>
  <c r="A5" i="34"/>
  <c r="A4" i="34"/>
  <c r="B82" i="33"/>
  <c r="B81" i="33"/>
  <c r="B80" i="33"/>
  <c r="B79" i="33"/>
  <c r="B78" i="33"/>
  <c r="A76" i="33"/>
  <c r="C54" i="33"/>
  <c r="C13" i="33"/>
  <c r="C14" i="33"/>
  <c r="C15" i="33"/>
  <c r="C16" i="33"/>
  <c r="C17" i="33"/>
  <c r="C18" i="33"/>
  <c r="C19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0" i="33"/>
  <c r="C41" i="33"/>
  <c r="C42" i="33"/>
  <c r="C43" i="33"/>
  <c r="C44" i="33"/>
  <c r="C45" i="33"/>
  <c r="N13" i="33"/>
  <c r="N14" i="33"/>
  <c r="N15" i="33"/>
  <c r="N16" i="33"/>
  <c r="N17" i="33"/>
  <c r="N19" i="33"/>
  <c r="E18" i="33"/>
  <c r="AO25" i="1"/>
  <c r="N25" i="33"/>
  <c r="K25" i="1"/>
  <c r="N26" i="33"/>
  <c r="AT25" i="1"/>
  <c r="N27" i="33"/>
  <c r="P25" i="1"/>
  <c r="N28" i="33"/>
  <c r="U25" i="1"/>
  <c r="N29" i="33"/>
  <c r="Z25" i="1"/>
  <c r="N30" i="33"/>
  <c r="AY25" i="1"/>
  <c r="N31" i="33"/>
  <c r="N32" i="33"/>
  <c r="AE25" i="1"/>
  <c r="N33" i="33"/>
  <c r="BI25" i="1"/>
  <c r="N34" i="33"/>
  <c r="BN25" i="1"/>
  <c r="N35" i="33"/>
  <c r="BS25" i="1"/>
  <c r="N36" i="33"/>
  <c r="BX25" i="1"/>
  <c r="N37" i="33"/>
  <c r="CC25" i="1"/>
  <c r="N38" i="33"/>
  <c r="AJ25" i="1"/>
  <c r="N39" i="33"/>
  <c r="N40" i="33"/>
  <c r="N41" i="33"/>
  <c r="N42" i="33"/>
  <c r="L43" i="33"/>
  <c r="N43" i="33"/>
  <c r="L44" i="33"/>
  <c r="N44" i="33"/>
  <c r="N45" i="33"/>
  <c r="I54" i="33"/>
  <c r="I13" i="33"/>
  <c r="I14" i="33"/>
  <c r="I15" i="33"/>
  <c r="I16" i="33"/>
  <c r="I17" i="33"/>
  <c r="I19" i="33"/>
  <c r="E54" i="33"/>
  <c r="L54" i="33"/>
  <c r="C55" i="33"/>
  <c r="I55" i="33"/>
  <c r="I25" i="33"/>
  <c r="E55" i="33"/>
  <c r="L55" i="33"/>
  <c r="C56" i="33"/>
  <c r="I56" i="33"/>
  <c r="I26" i="33"/>
  <c r="E56" i="33"/>
  <c r="L56" i="33"/>
  <c r="C57" i="33"/>
  <c r="I57" i="33"/>
  <c r="I27" i="33"/>
  <c r="E57" i="33"/>
  <c r="L57" i="33"/>
  <c r="C58" i="33"/>
  <c r="I58" i="33"/>
  <c r="I28" i="33"/>
  <c r="E58" i="33"/>
  <c r="L58" i="33"/>
  <c r="C59" i="33"/>
  <c r="I59" i="33"/>
  <c r="I29" i="33"/>
  <c r="E59" i="33"/>
  <c r="L59" i="33"/>
  <c r="C60" i="33"/>
  <c r="I60" i="33"/>
  <c r="I30" i="33"/>
  <c r="E60" i="33"/>
  <c r="L60" i="33"/>
  <c r="C61" i="33"/>
  <c r="I61" i="33"/>
  <c r="I31" i="33"/>
  <c r="E61" i="33"/>
  <c r="L61" i="33"/>
  <c r="C62" i="33"/>
  <c r="I62" i="33"/>
  <c r="I32" i="33"/>
  <c r="E62" i="33"/>
  <c r="L62" i="33"/>
  <c r="C63" i="33"/>
  <c r="I63" i="33"/>
  <c r="I33" i="33"/>
  <c r="E63" i="33"/>
  <c r="L63" i="33"/>
  <c r="C64" i="33"/>
  <c r="I64" i="33"/>
  <c r="I34" i="33"/>
  <c r="E64" i="33"/>
  <c r="L64" i="33"/>
  <c r="C65" i="33"/>
  <c r="I65" i="33"/>
  <c r="I35" i="33"/>
  <c r="E65" i="33"/>
  <c r="L65" i="33"/>
  <c r="C66" i="33"/>
  <c r="I66" i="33"/>
  <c r="I36" i="33"/>
  <c r="E66" i="33"/>
  <c r="L66" i="33"/>
  <c r="C67" i="33"/>
  <c r="I67" i="33"/>
  <c r="I37" i="33"/>
  <c r="E67" i="33"/>
  <c r="L67" i="33"/>
  <c r="C68" i="33"/>
  <c r="I68" i="33"/>
  <c r="I38" i="33"/>
  <c r="E68" i="33"/>
  <c r="L68" i="33"/>
  <c r="C69" i="33"/>
  <c r="I69" i="33"/>
  <c r="I39" i="33"/>
  <c r="E69" i="33"/>
  <c r="L69" i="33"/>
  <c r="I70" i="33"/>
  <c r="C71" i="33"/>
  <c r="I71" i="33"/>
  <c r="I42" i="33"/>
  <c r="E71" i="33"/>
  <c r="L71" i="33"/>
  <c r="C72" i="33"/>
  <c r="I72" i="33"/>
  <c r="I43" i="33"/>
  <c r="E72" i="33"/>
  <c r="L72" i="33"/>
  <c r="C73" i="33"/>
  <c r="I73" i="33"/>
  <c r="I44" i="33"/>
  <c r="E73" i="33"/>
  <c r="L73" i="33"/>
  <c r="C74" i="33"/>
  <c r="I74" i="33"/>
  <c r="I45" i="33"/>
  <c r="E74" i="33"/>
  <c r="L74" i="33"/>
  <c r="I75" i="33"/>
  <c r="J75" i="33"/>
  <c r="B75" i="33"/>
  <c r="B13" i="33"/>
  <c r="B14" i="33"/>
  <c r="B15" i="33"/>
  <c r="B16" i="33"/>
  <c r="B17" i="33"/>
  <c r="B18" i="33"/>
  <c r="B19" i="33"/>
  <c r="B25" i="33"/>
  <c r="B26" i="33"/>
  <c r="B27" i="33"/>
  <c r="B28" i="33"/>
  <c r="B29" i="33"/>
  <c r="B30" i="33"/>
  <c r="B31" i="33"/>
  <c r="B32" i="33"/>
  <c r="B33" i="33"/>
  <c r="B34" i="33"/>
  <c r="B35" i="33"/>
  <c r="B36" i="33"/>
  <c r="B37" i="33"/>
  <c r="B38" i="33"/>
  <c r="B39" i="33"/>
  <c r="B40" i="33"/>
  <c r="B41" i="33"/>
  <c r="B42" i="33"/>
  <c r="B43" i="33"/>
  <c r="B44" i="33"/>
  <c r="B45" i="33"/>
  <c r="B54" i="33"/>
  <c r="B55" i="33"/>
  <c r="B56" i="33"/>
  <c r="B57" i="33"/>
  <c r="B58" i="33"/>
  <c r="B59" i="33"/>
  <c r="B60" i="33"/>
  <c r="B61" i="33"/>
  <c r="B62" i="33"/>
  <c r="B63" i="33"/>
  <c r="B64" i="33"/>
  <c r="B65" i="33"/>
  <c r="B66" i="33"/>
  <c r="B67" i="33"/>
  <c r="B68" i="33"/>
  <c r="B69" i="33"/>
  <c r="B70" i="33"/>
  <c r="B71" i="33"/>
  <c r="B72" i="33"/>
  <c r="B73" i="33"/>
  <c r="B74" i="33"/>
  <c r="A75" i="33"/>
  <c r="N74" i="33"/>
  <c r="J74" i="33"/>
  <c r="G74" i="33"/>
  <c r="A74" i="33"/>
  <c r="N73" i="33"/>
  <c r="J73" i="33"/>
  <c r="G73" i="33"/>
  <c r="A73" i="33"/>
  <c r="N72" i="33"/>
  <c r="J72" i="33"/>
  <c r="G72" i="33"/>
  <c r="A72" i="33"/>
  <c r="N71" i="33"/>
  <c r="J71" i="33"/>
  <c r="G71" i="33"/>
  <c r="A71" i="33"/>
  <c r="J70" i="33"/>
  <c r="C70" i="33"/>
  <c r="A70" i="33"/>
  <c r="N69" i="33"/>
  <c r="J69" i="33"/>
  <c r="G69" i="33"/>
  <c r="A69" i="33"/>
  <c r="N68" i="33"/>
  <c r="J68" i="33"/>
  <c r="G68" i="33"/>
  <c r="A68" i="33"/>
  <c r="N67" i="33"/>
  <c r="J67" i="33"/>
  <c r="G67" i="33"/>
  <c r="A67" i="33"/>
  <c r="N66" i="33"/>
  <c r="J66" i="33"/>
  <c r="G66" i="33"/>
  <c r="A66" i="33"/>
  <c r="N65" i="33"/>
  <c r="J65" i="33"/>
  <c r="G65" i="33"/>
  <c r="A65" i="33"/>
  <c r="N64" i="33"/>
  <c r="J64" i="33"/>
  <c r="G64" i="33"/>
  <c r="A64" i="33"/>
  <c r="N63" i="33"/>
  <c r="J63" i="33"/>
  <c r="G63" i="33"/>
  <c r="A63" i="33"/>
  <c r="N62" i="33"/>
  <c r="J62" i="33"/>
  <c r="G62" i="33"/>
  <c r="A62" i="33"/>
  <c r="N61" i="33"/>
  <c r="J61" i="33"/>
  <c r="G61" i="33"/>
  <c r="A61" i="33"/>
  <c r="N60" i="33"/>
  <c r="J60" i="33"/>
  <c r="G60" i="33"/>
  <c r="A60" i="33"/>
  <c r="N59" i="33"/>
  <c r="J59" i="33"/>
  <c r="G59" i="33"/>
  <c r="A59" i="33"/>
  <c r="N58" i="33"/>
  <c r="J58" i="33"/>
  <c r="G58" i="33"/>
  <c r="A58" i="33"/>
  <c r="N57" i="33"/>
  <c r="J57" i="33"/>
  <c r="G57" i="33"/>
  <c r="A57" i="33"/>
  <c r="N56" i="33"/>
  <c r="J56" i="33"/>
  <c r="G56" i="33"/>
  <c r="A56" i="33"/>
  <c r="N55" i="33"/>
  <c r="J55" i="33"/>
  <c r="G55" i="33"/>
  <c r="A55" i="33"/>
  <c r="N54" i="33"/>
  <c r="J54" i="33"/>
  <c r="G54" i="33"/>
  <c r="A54" i="33"/>
  <c r="A53" i="33"/>
  <c r="A52" i="33"/>
  <c r="A51" i="33"/>
  <c r="A50" i="33"/>
  <c r="N47" i="33"/>
  <c r="I40" i="33"/>
  <c r="I41" i="33"/>
  <c r="I47" i="33"/>
  <c r="N49" i="33"/>
  <c r="A49" i="33"/>
  <c r="A48" i="33"/>
  <c r="A47" i="33"/>
  <c r="A46" i="33"/>
  <c r="A45" i="33"/>
  <c r="A44" i="33"/>
  <c r="A43" i="33"/>
  <c r="A42" i="33"/>
  <c r="A41" i="33"/>
  <c r="A40" i="33"/>
  <c r="A39" i="33"/>
  <c r="A38" i="33"/>
  <c r="A37" i="33"/>
  <c r="A36" i="33"/>
  <c r="A35" i="33"/>
  <c r="A34" i="33"/>
  <c r="A33" i="33"/>
  <c r="A32" i="33"/>
  <c r="A31" i="33"/>
  <c r="A30" i="33"/>
  <c r="A29" i="33"/>
  <c r="A28" i="33"/>
  <c r="A27" i="33"/>
  <c r="A26" i="33"/>
  <c r="A25" i="33"/>
  <c r="A24" i="33"/>
  <c r="A23" i="33"/>
  <c r="A22" i="33"/>
  <c r="A21" i="33"/>
  <c r="A20" i="33"/>
  <c r="A19" i="33"/>
  <c r="A18" i="33"/>
  <c r="A17" i="33"/>
  <c r="A16" i="33"/>
  <c r="A15" i="33"/>
  <c r="A14" i="33"/>
  <c r="A13" i="33"/>
  <c r="A12" i="33"/>
  <c r="A5" i="33"/>
  <c r="A4" i="33"/>
  <c r="A73" i="32"/>
  <c r="N13" i="32"/>
  <c r="N14" i="32"/>
  <c r="N15" i="32"/>
  <c r="N16" i="32"/>
  <c r="N17" i="32"/>
  <c r="N19" i="32"/>
  <c r="I51" i="32"/>
  <c r="I13" i="32"/>
  <c r="I14" i="32"/>
  <c r="I15" i="32"/>
  <c r="I16" i="32"/>
  <c r="I17" i="32"/>
  <c r="I19" i="32"/>
  <c r="E51" i="32"/>
  <c r="L51" i="32"/>
  <c r="AO24" i="1"/>
  <c r="N22" i="32"/>
  <c r="I52" i="32"/>
  <c r="I22" i="32"/>
  <c r="E52" i="32"/>
  <c r="L52" i="32"/>
  <c r="K24" i="1"/>
  <c r="N23" i="32"/>
  <c r="I53" i="32"/>
  <c r="G23" i="32"/>
  <c r="I23" i="32"/>
  <c r="E53" i="32"/>
  <c r="L53" i="32"/>
  <c r="AT24" i="1"/>
  <c r="N24" i="32"/>
  <c r="I54" i="32"/>
  <c r="G24" i="32"/>
  <c r="I24" i="32"/>
  <c r="E54" i="32"/>
  <c r="L54" i="32"/>
  <c r="P24" i="1"/>
  <c r="N25" i="32"/>
  <c r="I55" i="32"/>
  <c r="G25" i="32"/>
  <c r="I25" i="32"/>
  <c r="E55" i="32"/>
  <c r="L55" i="32"/>
  <c r="U24" i="1"/>
  <c r="N26" i="32"/>
  <c r="I56" i="32"/>
  <c r="G26" i="32"/>
  <c r="I26" i="32"/>
  <c r="E56" i="32"/>
  <c r="L56" i="32"/>
  <c r="Z24" i="1"/>
  <c r="N27" i="32"/>
  <c r="I57" i="32"/>
  <c r="G27" i="32"/>
  <c r="I27" i="32"/>
  <c r="E57" i="32"/>
  <c r="L57" i="32"/>
  <c r="AY24" i="1"/>
  <c r="N28" i="32"/>
  <c r="I58" i="32"/>
  <c r="G28" i="32"/>
  <c r="I28" i="32"/>
  <c r="E58" i="32"/>
  <c r="L58" i="32"/>
  <c r="G29" i="32"/>
  <c r="N29" i="32"/>
  <c r="I59" i="32"/>
  <c r="I29" i="32"/>
  <c r="E59" i="32"/>
  <c r="L59" i="32"/>
  <c r="AE24" i="1"/>
  <c r="N30" i="32"/>
  <c r="I60" i="32"/>
  <c r="G30" i="32"/>
  <c r="I30" i="32"/>
  <c r="E60" i="32"/>
  <c r="L60" i="32"/>
  <c r="BI24" i="1"/>
  <c r="N31" i="32"/>
  <c r="I61" i="32"/>
  <c r="G31" i="32"/>
  <c r="I31" i="32"/>
  <c r="E61" i="32"/>
  <c r="L61" i="32"/>
  <c r="BN24" i="1"/>
  <c r="N32" i="32"/>
  <c r="I62" i="32"/>
  <c r="G32" i="32"/>
  <c r="I32" i="32"/>
  <c r="E62" i="32"/>
  <c r="L62" i="32"/>
  <c r="BS24" i="1"/>
  <c r="N33" i="32"/>
  <c r="I63" i="32"/>
  <c r="G33" i="32"/>
  <c r="I33" i="32"/>
  <c r="E63" i="32"/>
  <c r="L63" i="32"/>
  <c r="BX24" i="1"/>
  <c r="N34" i="32"/>
  <c r="I64" i="32"/>
  <c r="G34" i="32"/>
  <c r="I34" i="32"/>
  <c r="E64" i="32"/>
  <c r="L64" i="32"/>
  <c r="CC24" i="1"/>
  <c r="N35" i="32"/>
  <c r="I65" i="32"/>
  <c r="G35" i="32"/>
  <c r="I35" i="32"/>
  <c r="E65" i="32"/>
  <c r="L65" i="32"/>
  <c r="AJ24" i="1"/>
  <c r="N36" i="32"/>
  <c r="I66" i="32"/>
  <c r="I36" i="32"/>
  <c r="E66" i="32"/>
  <c r="L66" i="32"/>
  <c r="N39" i="32"/>
  <c r="I68" i="32"/>
  <c r="I39" i="32"/>
  <c r="E68" i="32"/>
  <c r="L68" i="32"/>
  <c r="L40" i="32"/>
  <c r="N40" i="32"/>
  <c r="I69" i="32"/>
  <c r="I40" i="32"/>
  <c r="E69" i="32"/>
  <c r="L69" i="32"/>
  <c r="L41" i="32"/>
  <c r="N41" i="32"/>
  <c r="I70" i="32"/>
  <c r="I41" i="32"/>
  <c r="E70" i="32"/>
  <c r="L70" i="32"/>
  <c r="N42" i="32"/>
  <c r="I71" i="32"/>
  <c r="I42" i="32"/>
  <c r="E71" i="32"/>
  <c r="L71" i="32"/>
  <c r="A72" i="32"/>
  <c r="N71" i="32"/>
  <c r="J71" i="32"/>
  <c r="G71" i="32"/>
  <c r="A71" i="32"/>
  <c r="N70" i="32"/>
  <c r="J70" i="32"/>
  <c r="G70" i="32"/>
  <c r="A70" i="32"/>
  <c r="N69" i="32"/>
  <c r="J69" i="32"/>
  <c r="G69" i="32"/>
  <c r="A69" i="32"/>
  <c r="N68" i="32"/>
  <c r="J68" i="32"/>
  <c r="G68" i="32"/>
  <c r="A68" i="32"/>
  <c r="A67" i="32"/>
  <c r="N66" i="32"/>
  <c r="J66" i="32"/>
  <c r="G66" i="32"/>
  <c r="A66" i="32"/>
  <c r="N65" i="32"/>
  <c r="J65" i="32"/>
  <c r="G65" i="32"/>
  <c r="A65" i="32"/>
  <c r="N64" i="32"/>
  <c r="J64" i="32"/>
  <c r="G64" i="32"/>
  <c r="A64" i="32"/>
  <c r="N63" i="32"/>
  <c r="J63" i="32"/>
  <c r="G63" i="32"/>
  <c r="A63" i="32"/>
  <c r="N62" i="32"/>
  <c r="J62" i="32"/>
  <c r="G62" i="32"/>
  <c r="A62" i="32"/>
  <c r="N61" i="32"/>
  <c r="J61" i="32"/>
  <c r="G61" i="32"/>
  <c r="A61" i="32"/>
  <c r="N60" i="32"/>
  <c r="J60" i="32"/>
  <c r="G60" i="32"/>
  <c r="A60" i="32"/>
  <c r="N59" i="32"/>
  <c r="J59" i="32"/>
  <c r="G59" i="32"/>
  <c r="A59" i="32"/>
  <c r="N58" i="32"/>
  <c r="J58" i="32"/>
  <c r="G58" i="32"/>
  <c r="A58" i="32"/>
  <c r="N57" i="32"/>
  <c r="J57" i="32"/>
  <c r="G57" i="32"/>
  <c r="A57" i="32"/>
  <c r="N56" i="32"/>
  <c r="J56" i="32"/>
  <c r="G56" i="32"/>
  <c r="A56" i="32"/>
  <c r="N55" i="32"/>
  <c r="J55" i="32"/>
  <c r="G55" i="32"/>
  <c r="A55" i="32"/>
  <c r="N54" i="32"/>
  <c r="J54" i="32"/>
  <c r="G54" i="32"/>
  <c r="A54" i="32"/>
  <c r="N53" i="32"/>
  <c r="J53" i="32"/>
  <c r="G53" i="32"/>
  <c r="A53" i="32"/>
  <c r="N52" i="32"/>
  <c r="J52" i="32"/>
  <c r="G52" i="32"/>
  <c r="A52" i="32"/>
  <c r="N51" i="32"/>
  <c r="J51" i="32"/>
  <c r="G51" i="32"/>
  <c r="A51" i="32"/>
  <c r="A50" i="32"/>
  <c r="A49" i="32"/>
  <c r="A48" i="32"/>
  <c r="A47" i="32"/>
  <c r="N37" i="32"/>
  <c r="N38" i="32"/>
  <c r="N44" i="32"/>
  <c r="I37" i="32"/>
  <c r="I38" i="32"/>
  <c r="I44" i="32"/>
  <c r="N46" i="32"/>
  <c r="A46" i="32"/>
  <c r="A45" i="32"/>
  <c r="A44" i="32"/>
  <c r="A43" i="32"/>
  <c r="A42" i="32"/>
  <c r="A41" i="32"/>
  <c r="A40" i="32"/>
  <c r="A39" i="32"/>
  <c r="A38" i="32"/>
  <c r="A37" i="32"/>
  <c r="A36" i="32"/>
  <c r="A35" i="32"/>
  <c r="A34" i="32"/>
  <c r="A33" i="32"/>
  <c r="A32" i="32"/>
  <c r="A31" i="32"/>
  <c r="A30" i="32"/>
  <c r="A29" i="32"/>
  <c r="A28" i="32"/>
  <c r="A27" i="32"/>
  <c r="A26" i="32"/>
  <c r="A25" i="32"/>
  <c r="A24" i="32"/>
  <c r="A23" i="32"/>
  <c r="A22" i="32"/>
  <c r="A21" i="32"/>
  <c r="A20" i="32"/>
  <c r="A19" i="32"/>
  <c r="A18" i="32"/>
  <c r="A17" i="32"/>
  <c r="A16" i="32"/>
  <c r="A15" i="32"/>
  <c r="A14" i="32"/>
  <c r="A13" i="32"/>
  <c r="A12" i="32"/>
  <c r="A5" i="32"/>
  <c r="A4" i="32"/>
  <c r="B78" i="31"/>
  <c r="B77" i="31"/>
  <c r="B76" i="31"/>
  <c r="B75" i="31"/>
  <c r="A73" i="31"/>
  <c r="C51" i="31"/>
  <c r="C13" i="31"/>
  <c r="C14" i="31"/>
  <c r="C15" i="31"/>
  <c r="C16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N13" i="31"/>
  <c r="N14" i="31"/>
  <c r="N15" i="31"/>
  <c r="N17" i="31"/>
  <c r="N18" i="31"/>
  <c r="N20" i="31"/>
  <c r="N23" i="31"/>
  <c r="N24" i="31"/>
  <c r="N25" i="31"/>
  <c r="N26" i="31"/>
  <c r="N27" i="31"/>
  <c r="N28" i="31"/>
  <c r="N29" i="31"/>
  <c r="N30" i="31"/>
  <c r="N31" i="31"/>
  <c r="N32" i="31"/>
  <c r="N33" i="31"/>
  <c r="N34" i="31"/>
  <c r="N35" i="31"/>
  <c r="N36" i="31"/>
  <c r="N37" i="31"/>
  <c r="N38" i="31"/>
  <c r="N39" i="31"/>
  <c r="L40" i="31"/>
  <c r="N40" i="31"/>
  <c r="L41" i="31"/>
  <c r="N41" i="31"/>
  <c r="N42" i="31"/>
  <c r="I51" i="31"/>
  <c r="I13" i="31"/>
  <c r="I14" i="31"/>
  <c r="I15" i="31"/>
  <c r="I17" i="31"/>
  <c r="I18" i="31"/>
  <c r="I20" i="31"/>
  <c r="E51" i="31"/>
  <c r="L51" i="31"/>
  <c r="C52" i="31"/>
  <c r="I52" i="31"/>
  <c r="I23" i="31"/>
  <c r="E52" i="31"/>
  <c r="L52" i="31"/>
  <c r="C53" i="31"/>
  <c r="I53" i="31"/>
  <c r="I24" i="31"/>
  <c r="E53" i="31"/>
  <c r="L53" i="31"/>
  <c r="C54" i="31"/>
  <c r="I54" i="31"/>
  <c r="I25" i="31"/>
  <c r="E54" i="31"/>
  <c r="L54" i="31"/>
  <c r="C55" i="31"/>
  <c r="I55" i="31"/>
  <c r="I26" i="31"/>
  <c r="E55" i="31"/>
  <c r="L55" i="31"/>
  <c r="C56" i="31"/>
  <c r="I56" i="31"/>
  <c r="I27" i="31"/>
  <c r="E56" i="31"/>
  <c r="L56" i="31"/>
  <c r="C57" i="31"/>
  <c r="I57" i="31"/>
  <c r="I28" i="31"/>
  <c r="E57" i="31"/>
  <c r="L57" i="31"/>
  <c r="C58" i="31"/>
  <c r="I58" i="31"/>
  <c r="I29" i="31"/>
  <c r="E58" i="31"/>
  <c r="L58" i="31"/>
  <c r="C59" i="31"/>
  <c r="I59" i="31"/>
  <c r="I30" i="31"/>
  <c r="E59" i="31"/>
  <c r="L59" i="31"/>
  <c r="C60" i="31"/>
  <c r="I60" i="31"/>
  <c r="I31" i="31"/>
  <c r="E60" i="31"/>
  <c r="L60" i="31"/>
  <c r="C61" i="31"/>
  <c r="I61" i="31"/>
  <c r="I32" i="31"/>
  <c r="E61" i="31"/>
  <c r="L61" i="31"/>
  <c r="C62" i="31"/>
  <c r="I62" i="31"/>
  <c r="I33" i="31"/>
  <c r="E62" i="31"/>
  <c r="L62" i="31"/>
  <c r="C63" i="31"/>
  <c r="I63" i="31"/>
  <c r="I34" i="31"/>
  <c r="E63" i="31"/>
  <c r="L63" i="31"/>
  <c r="C64" i="31"/>
  <c r="I64" i="31"/>
  <c r="I35" i="31"/>
  <c r="E64" i="31"/>
  <c r="L64" i="31"/>
  <c r="C65" i="31"/>
  <c r="I65" i="31"/>
  <c r="I36" i="31"/>
  <c r="E65" i="31"/>
  <c r="L65" i="31"/>
  <c r="C66" i="31"/>
  <c r="I66" i="31"/>
  <c r="I37" i="31"/>
  <c r="E66" i="31"/>
  <c r="L66" i="31"/>
  <c r="I67" i="31"/>
  <c r="I38" i="31"/>
  <c r="E67" i="31"/>
  <c r="L67" i="31"/>
  <c r="C68" i="31"/>
  <c r="I68" i="31"/>
  <c r="I39" i="31"/>
  <c r="E68" i="31"/>
  <c r="L68" i="31"/>
  <c r="C69" i="31"/>
  <c r="I69" i="31"/>
  <c r="I40" i="31"/>
  <c r="E69" i="31"/>
  <c r="L69" i="31"/>
  <c r="C70" i="31"/>
  <c r="I70" i="31"/>
  <c r="I41" i="31"/>
  <c r="E70" i="31"/>
  <c r="L70" i="31"/>
  <c r="C71" i="31"/>
  <c r="I71" i="31"/>
  <c r="I42" i="31"/>
  <c r="E71" i="31"/>
  <c r="L71" i="31"/>
  <c r="L72" i="31"/>
  <c r="N72" i="31"/>
  <c r="I72" i="31"/>
  <c r="J72" i="31"/>
  <c r="E72" i="31"/>
  <c r="G72" i="31"/>
  <c r="B72" i="31"/>
  <c r="B13" i="31"/>
  <c r="B14" i="31"/>
  <c r="B15" i="31"/>
  <c r="B16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A72" i="31"/>
  <c r="N71" i="31"/>
  <c r="J71" i="31"/>
  <c r="G71" i="31"/>
  <c r="A71" i="31"/>
  <c r="N70" i="31"/>
  <c r="J70" i="31"/>
  <c r="G70" i="31"/>
  <c r="A70" i="31"/>
  <c r="N69" i="31"/>
  <c r="J69" i="31"/>
  <c r="G69" i="31"/>
  <c r="A69" i="31"/>
  <c r="N68" i="31"/>
  <c r="J68" i="31"/>
  <c r="G68" i="31"/>
  <c r="A68" i="31"/>
  <c r="N67" i="31"/>
  <c r="J67" i="31"/>
  <c r="G67" i="31"/>
  <c r="C67" i="31"/>
  <c r="A67" i="31"/>
  <c r="N66" i="31"/>
  <c r="J66" i="31"/>
  <c r="G66" i="31"/>
  <c r="A66" i="31"/>
  <c r="N65" i="31"/>
  <c r="J65" i="31"/>
  <c r="G65" i="31"/>
  <c r="A65" i="31"/>
  <c r="N64" i="31"/>
  <c r="J64" i="31"/>
  <c r="G64" i="31"/>
  <c r="A64" i="31"/>
  <c r="N63" i="31"/>
  <c r="J63" i="31"/>
  <c r="G63" i="31"/>
  <c r="A63" i="31"/>
  <c r="N62" i="31"/>
  <c r="J62" i="31"/>
  <c r="G62" i="31"/>
  <c r="A62" i="31"/>
  <c r="N61" i="31"/>
  <c r="J61" i="31"/>
  <c r="G61" i="31"/>
  <c r="A61" i="31"/>
  <c r="N60" i="31"/>
  <c r="J60" i="31"/>
  <c r="G60" i="31"/>
  <c r="A60" i="31"/>
  <c r="N59" i="31"/>
  <c r="J59" i="31"/>
  <c r="G59" i="31"/>
  <c r="A59" i="31"/>
  <c r="N58" i="31"/>
  <c r="J58" i="31"/>
  <c r="G58" i="31"/>
  <c r="A58" i="31"/>
  <c r="N57" i="31"/>
  <c r="J57" i="31"/>
  <c r="G57" i="31"/>
  <c r="A57" i="31"/>
  <c r="N56" i="31"/>
  <c r="J56" i="31"/>
  <c r="G56" i="31"/>
  <c r="A56" i="31"/>
  <c r="N55" i="31"/>
  <c r="J55" i="31"/>
  <c r="G55" i="31"/>
  <c r="A55" i="31"/>
  <c r="N54" i="31"/>
  <c r="J54" i="31"/>
  <c r="G54" i="31"/>
  <c r="A54" i="31"/>
  <c r="N53" i="31"/>
  <c r="J53" i="31"/>
  <c r="G53" i="31"/>
  <c r="A53" i="31"/>
  <c r="N52" i="31"/>
  <c r="J52" i="31"/>
  <c r="G52" i="31"/>
  <c r="A52" i="31"/>
  <c r="N51" i="31"/>
  <c r="J51" i="31"/>
  <c r="G51" i="31"/>
  <c r="A51" i="31"/>
  <c r="A50" i="31"/>
  <c r="A49" i="31"/>
  <c r="A48" i="31"/>
  <c r="A47" i="31"/>
  <c r="N44" i="31"/>
  <c r="I44" i="31"/>
  <c r="N46" i="31"/>
  <c r="A46" i="31"/>
  <c r="A45" i="31"/>
  <c r="A44" i="31"/>
  <c r="A43" i="31"/>
  <c r="A42" i="31"/>
  <c r="A41" i="31"/>
  <c r="A40" i="31"/>
  <c r="A39" i="31"/>
  <c r="A38" i="31"/>
  <c r="A37" i="31"/>
  <c r="A36" i="31"/>
  <c r="A35" i="31"/>
  <c r="A34" i="31"/>
  <c r="A33" i="31"/>
  <c r="A32" i="31"/>
  <c r="A31" i="31"/>
  <c r="A30" i="31"/>
  <c r="A29" i="31"/>
  <c r="A28" i="31"/>
  <c r="A27" i="31"/>
  <c r="A26" i="31"/>
  <c r="A25" i="31"/>
  <c r="A24" i="31"/>
  <c r="A23" i="31"/>
  <c r="A22" i="31"/>
  <c r="A21" i="31"/>
  <c r="A20" i="31"/>
  <c r="A19" i="31"/>
  <c r="A18" i="31"/>
  <c r="A17" i="31"/>
  <c r="A16" i="31"/>
  <c r="A15" i="31"/>
  <c r="A14" i="31"/>
  <c r="A13" i="31"/>
  <c r="A12" i="31"/>
  <c r="A5" i="31"/>
  <c r="A4" i="31"/>
  <c r="A80" i="30"/>
  <c r="N13" i="30"/>
  <c r="N14" i="30"/>
  <c r="N15" i="30"/>
  <c r="N17" i="30"/>
  <c r="N18" i="30"/>
  <c r="N20" i="30"/>
  <c r="I58" i="30"/>
  <c r="I13" i="30"/>
  <c r="I14" i="30"/>
  <c r="I15" i="30"/>
  <c r="I17" i="30"/>
  <c r="I18" i="30"/>
  <c r="I20" i="30"/>
  <c r="E58" i="30"/>
  <c r="L58" i="30"/>
  <c r="E27" i="30"/>
  <c r="N30" i="30"/>
  <c r="I59" i="30"/>
  <c r="I30" i="30"/>
  <c r="E59" i="30"/>
  <c r="L59" i="30"/>
  <c r="N31" i="30"/>
  <c r="I60" i="30"/>
  <c r="I31" i="30"/>
  <c r="E60" i="30"/>
  <c r="L60" i="30"/>
  <c r="N32" i="30"/>
  <c r="I61" i="30"/>
  <c r="I32" i="30"/>
  <c r="E61" i="30"/>
  <c r="L61" i="30"/>
  <c r="N33" i="30"/>
  <c r="I62" i="30"/>
  <c r="I33" i="30"/>
  <c r="E62" i="30"/>
  <c r="L62" i="30"/>
  <c r="N34" i="30"/>
  <c r="I63" i="30"/>
  <c r="I34" i="30"/>
  <c r="E63" i="30"/>
  <c r="L63" i="30"/>
  <c r="N35" i="30"/>
  <c r="I64" i="30"/>
  <c r="I35" i="30"/>
  <c r="E64" i="30"/>
  <c r="L64" i="30"/>
  <c r="N36" i="30"/>
  <c r="I65" i="30"/>
  <c r="I36" i="30"/>
  <c r="E65" i="30"/>
  <c r="L65" i="30"/>
  <c r="N37" i="30"/>
  <c r="I66" i="30"/>
  <c r="I37" i="30"/>
  <c r="E66" i="30"/>
  <c r="L66" i="30"/>
  <c r="N38" i="30"/>
  <c r="I67" i="30"/>
  <c r="I38" i="30"/>
  <c r="E67" i="30"/>
  <c r="L67" i="30"/>
  <c r="N39" i="30"/>
  <c r="I68" i="30"/>
  <c r="I39" i="30"/>
  <c r="E68" i="30"/>
  <c r="L68" i="30"/>
  <c r="N40" i="30"/>
  <c r="I69" i="30"/>
  <c r="I40" i="30"/>
  <c r="E69" i="30"/>
  <c r="L69" i="30"/>
  <c r="N41" i="30"/>
  <c r="I70" i="30"/>
  <c r="I41" i="30"/>
  <c r="E70" i="30"/>
  <c r="L70" i="30"/>
  <c r="N42" i="30"/>
  <c r="I71" i="30"/>
  <c r="I42" i="30"/>
  <c r="E71" i="30"/>
  <c r="L71" i="30"/>
  <c r="N43" i="30"/>
  <c r="I72" i="30"/>
  <c r="I43" i="30"/>
  <c r="E72" i="30"/>
  <c r="L72" i="30"/>
  <c r="N44" i="30"/>
  <c r="I73" i="30"/>
  <c r="I44" i="30"/>
  <c r="E73" i="30"/>
  <c r="L73" i="30"/>
  <c r="N45" i="30"/>
  <c r="I74" i="30"/>
  <c r="I45" i="30"/>
  <c r="E74" i="30"/>
  <c r="L74" i="30"/>
  <c r="N46" i="30"/>
  <c r="I75" i="30"/>
  <c r="I46" i="30"/>
  <c r="E75" i="30"/>
  <c r="L75" i="30"/>
  <c r="L47" i="30"/>
  <c r="N47" i="30"/>
  <c r="I76" i="30"/>
  <c r="I47" i="30"/>
  <c r="E76" i="30"/>
  <c r="L76" i="30"/>
  <c r="L48" i="30"/>
  <c r="N48" i="30"/>
  <c r="I77" i="30"/>
  <c r="I48" i="30"/>
  <c r="E77" i="30"/>
  <c r="L77" i="30"/>
  <c r="N49" i="30"/>
  <c r="I78" i="30"/>
  <c r="I49" i="30"/>
  <c r="E78" i="30"/>
  <c r="L78" i="30"/>
  <c r="L79" i="30"/>
  <c r="N79" i="30"/>
  <c r="I79" i="30"/>
  <c r="J79" i="30"/>
  <c r="E79" i="30"/>
  <c r="G79" i="30"/>
  <c r="A79" i="30"/>
  <c r="N78" i="30"/>
  <c r="J78" i="30"/>
  <c r="G78" i="30"/>
  <c r="A78" i="30"/>
  <c r="N77" i="30"/>
  <c r="J77" i="30"/>
  <c r="G77" i="30"/>
  <c r="A77" i="30"/>
  <c r="N76" i="30"/>
  <c r="J76" i="30"/>
  <c r="G76" i="30"/>
  <c r="A76" i="30"/>
  <c r="N75" i="30"/>
  <c r="J75" i="30"/>
  <c r="G75" i="30"/>
  <c r="A75" i="30"/>
  <c r="N74" i="30"/>
  <c r="J74" i="30"/>
  <c r="G74" i="30"/>
  <c r="A74" i="30"/>
  <c r="N73" i="30"/>
  <c r="J73" i="30"/>
  <c r="G73" i="30"/>
  <c r="A73" i="30"/>
  <c r="N72" i="30"/>
  <c r="J72" i="30"/>
  <c r="G72" i="30"/>
  <c r="A72" i="30"/>
  <c r="N71" i="30"/>
  <c r="J71" i="30"/>
  <c r="G71" i="30"/>
  <c r="A71" i="30"/>
  <c r="N70" i="30"/>
  <c r="J70" i="30"/>
  <c r="G70" i="30"/>
  <c r="A70" i="30"/>
  <c r="N69" i="30"/>
  <c r="J69" i="30"/>
  <c r="G69" i="30"/>
  <c r="A69" i="30"/>
  <c r="N68" i="30"/>
  <c r="J68" i="30"/>
  <c r="G68" i="30"/>
  <c r="A68" i="30"/>
  <c r="N67" i="30"/>
  <c r="J67" i="30"/>
  <c r="G67" i="30"/>
  <c r="A67" i="30"/>
  <c r="N66" i="30"/>
  <c r="J66" i="30"/>
  <c r="G66" i="30"/>
  <c r="A66" i="30"/>
  <c r="N65" i="30"/>
  <c r="J65" i="30"/>
  <c r="G65" i="30"/>
  <c r="A65" i="30"/>
  <c r="N64" i="30"/>
  <c r="J64" i="30"/>
  <c r="G64" i="30"/>
  <c r="A64" i="30"/>
  <c r="N63" i="30"/>
  <c r="J63" i="30"/>
  <c r="G63" i="30"/>
  <c r="A63" i="30"/>
  <c r="N62" i="30"/>
  <c r="J62" i="30"/>
  <c r="G62" i="30"/>
  <c r="A62" i="30"/>
  <c r="N61" i="30"/>
  <c r="J61" i="30"/>
  <c r="G61" i="30"/>
  <c r="A61" i="30"/>
  <c r="N60" i="30"/>
  <c r="J60" i="30"/>
  <c r="G60" i="30"/>
  <c r="A60" i="30"/>
  <c r="N59" i="30"/>
  <c r="J59" i="30"/>
  <c r="G59" i="30"/>
  <c r="A59" i="30"/>
  <c r="J58" i="30"/>
  <c r="G58" i="30"/>
  <c r="N58" i="30"/>
  <c r="A58" i="30"/>
  <c r="A57" i="30"/>
  <c r="A56" i="30"/>
  <c r="A55" i="30"/>
  <c r="A54" i="30"/>
  <c r="N51" i="30"/>
  <c r="I51" i="30"/>
  <c r="N53" i="30"/>
  <c r="A53" i="30"/>
  <c r="A52" i="30"/>
  <c r="A51" i="30"/>
  <c r="A50" i="30"/>
  <c r="A49" i="30"/>
  <c r="A48" i="30"/>
  <c r="A47" i="30"/>
  <c r="A46" i="30"/>
  <c r="A45" i="30"/>
  <c r="A44" i="30"/>
  <c r="A43" i="30"/>
  <c r="A42" i="30"/>
  <c r="A41" i="30"/>
  <c r="A40" i="30"/>
  <c r="A39" i="30"/>
  <c r="A38" i="30"/>
  <c r="A37" i="30"/>
  <c r="A36" i="30"/>
  <c r="A35" i="30"/>
  <c r="A34" i="30"/>
  <c r="A33" i="30"/>
  <c r="A32" i="30"/>
  <c r="A31" i="30"/>
  <c r="A30" i="30"/>
  <c r="A29" i="30"/>
  <c r="A28" i="30"/>
  <c r="A27" i="30"/>
  <c r="A26" i="30"/>
  <c r="A25" i="30"/>
  <c r="E24" i="30"/>
  <c r="A24" i="30"/>
  <c r="A23" i="30"/>
  <c r="A22" i="30"/>
  <c r="A21" i="30"/>
  <c r="A20" i="30"/>
  <c r="A19" i="30"/>
  <c r="A18" i="30"/>
  <c r="A17" i="30"/>
  <c r="A16" i="30"/>
  <c r="A15" i="30"/>
  <c r="A14" i="30"/>
  <c r="A13" i="30"/>
  <c r="A12" i="30"/>
  <c r="A5" i="30"/>
  <c r="A4" i="30"/>
  <c r="B79" i="18"/>
  <c r="B76" i="22"/>
  <c r="B77" i="23"/>
  <c r="B77" i="29"/>
  <c r="B78" i="18"/>
  <c r="B75" i="22"/>
  <c r="B76" i="23"/>
  <c r="B76" i="29"/>
  <c r="B77" i="18"/>
  <c r="B74" i="22"/>
  <c r="B75" i="23"/>
  <c r="B75" i="29"/>
  <c r="B76" i="18"/>
  <c r="B73" i="22"/>
  <c r="B74" i="23"/>
  <c r="B74" i="29"/>
  <c r="B73" i="29"/>
  <c r="A71" i="29"/>
  <c r="C52" i="18"/>
  <c r="C49" i="22"/>
  <c r="C50" i="23"/>
  <c r="C50" i="24"/>
  <c r="C49" i="29"/>
  <c r="C24" i="18"/>
  <c r="C21" i="22"/>
  <c r="C21" i="23"/>
  <c r="C21" i="24"/>
  <c r="C20" i="29"/>
  <c r="C25" i="18"/>
  <c r="C22" i="22"/>
  <c r="C22" i="23"/>
  <c r="C22" i="24"/>
  <c r="C21" i="29"/>
  <c r="C26" i="18"/>
  <c r="C23" i="22"/>
  <c r="C23" i="23"/>
  <c r="C23" i="24"/>
  <c r="C22" i="29"/>
  <c r="C27" i="18"/>
  <c r="C24" i="22"/>
  <c r="C24" i="23"/>
  <c r="C24" i="24"/>
  <c r="C23" i="29"/>
  <c r="C28" i="18"/>
  <c r="C25" i="22"/>
  <c r="C25" i="23"/>
  <c r="C25" i="24"/>
  <c r="C24" i="29"/>
  <c r="C29" i="18"/>
  <c r="C26" i="22"/>
  <c r="C26" i="23"/>
  <c r="C26" i="24"/>
  <c r="C25" i="29"/>
  <c r="C30" i="18"/>
  <c r="C27" i="22"/>
  <c r="C27" i="23"/>
  <c r="C27" i="24"/>
  <c r="C26" i="29"/>
  <c r="C31" i="18"/>
  <c r="C28" i="22"/>
  <c r="C28" i="23"/>
  <c r="C28" i="24"/>
  <c r="C27" i="29"/>
  <c r="C32" i="18"/>
  <c r="C29" i="22"/>
  <c r="C29" i="23"/>
  <c r="C29" i="24"/>
  <c r="C28" i="29"/>
  <c r="C33" i="18"/>
  <c r="C30" i="22"/>
  <c r="C30" i="23"/>
  <c r="C30" i="24"/>
  <c r="C29" i="29"/>
  <c r="C34" i="18"/>
  <c r="C31" i="22"/>
  <c r="C31" i="23"/>
  <c r="C31" i="24"/>
  <c r="C30" i="29"/>
  <c r="C35" i="18"/>
  <c r="C32" i="22"/>
  <c r="C32" i="23"/>
  <c r="C32" i="24"/>
  <c r="C31" i="29"/>
  <c r="C36" i="18"/>
  <c r="C33" i="22"/>
  <c r="C33" i="23"/>
  <c r="C33" i="24"/>
  <c r="C32" i="29"/>
  <c r="C37" i="18"/>
  <c r="C34" i="22"/>
  <c r="C34" i="23"/>
  <c r="C34" i="24"/>
  <c r="C33" i="29"/>
  <c r="C38" i="18"/>
  <c r="C35" i="22"/>
  <c r="C35" i="23"/>
  <c r="C35" i="24"/>
  <c r="C34" i="29"/>
  <c r="C36" i="24"/>
  <c r="C35" i="29"/>
  <c r="C37" i="24"/>
  <c r="C36" i="29"/>
  <c r="C40" i="18"/>
  <c r="C37" i="22"/>
  <c r="C38" i="23"/>
  <c r="C38" i="24"/>
  <c r="C37" i="29"/>
  <c r="C41" i="18"/>
  <c r="C38" i="22"/>
  <c r="C39" i="23"/>
  <c r="C39" i="24"/>
  <c r="C38" i="29"/>
  <c r="C42" i="18"/>
  <c r="C39" i="22"/>
  <c r="C40" i="23"/>
  <c r="C40" i="24"/>
  <c r="C39" i="29"/>
  <c r="C43" i="18"/>
  <c r="C40" i="22"/>
  <c r="C41" i="23"/>
  <c r="C41" i="24"/>
  <c r="C40" i="29"/>
  <c r="AO20" i="1"/>
  <c r="N20" i="29"/>
  <c r="K20" i="1"/>
  <c r="N21" i="29"/>
  <c r="AT20" i="1"/>
  <c r="N22" i="29"/>
  <c r="P20" i="1"/>
  <c r="N23" i="29"/>
  <c r="U20" i="1"/>
  <c r="N24" i="29"/>
  <c r="Z20" i="1"/>
  <c r="N25" i="29"/>
  <c r="AY20" i="1"/>
  <c r="N26" i="29"/>
  <c r="G27" i="29"/>
  <c r="N27" i="29"/>
  <c r="AE20" i="1"/>
  <c r="N28" i="29"/>
  <c r="BI20" i="1"/>
  <c r="N29" i="29"/>
  <c r="BN20" i="1"/>
  <c r="N30" i="29"/>
  <c r="BS20" i="1"/>
  <c r="N31" i="29"/>
  <c r="BX20" i="1"/>
  <c r="N32" i="29"/>
  <c r="CC20" i="1"/>
  <c r="N33" i="29"/>
  <c r="AJ20" i="1"/>
  <c r="N34" i="29"/>
  <c r="N35" i="29"/>
  <c r="N36" i="29"/>
  <c r="G37" i="29"/>
  <c r="N37" i="29"/>
  <c r="G38" i="29"/>
  <c r="L38" i="29"/>
  <c r="N38" i="29"/>
  <c r="G39" i="29"/>
  <c r="L39" i="29"/>
  <c r="N39" i="29"/>
  <c r="N40" i="29"/>
  <c r="I49" i="29"/>
  <c r="E49" i="29"/>
  <c r="L49" i="29"/>
  <c r="C53" i="18"/>
  <c r="C50" i="22"/>
  <c r="C51" i="23"/>
  <c r="C51" i="24"/>
  <c r="C50" i="29"/>
  <c r="I50" i="29"/>
  <c r="G20" i="29"/>
  <c r="I20" i="29"/>
  <c r="E50" i="29"/>
  <c r="L50" i="29"/>
  <c r="C54" i="18"/>
  <c r="C51" i="22"/>
  <c r="C52" i="23"/>
  <c r="C52" i="24"/>
  <c r="C51" i="29"/>
  <c r="I51" i="29"/>
  <c r="G21" i="29"/>
  <c r="I21" i="29"/>
  <c r="E51" i="29"/>
  <c r="L51" i="29"/>
  <c r="C55" i="18"/>
  <c r="C52" i="22"/>
  <c r="C53" i="23"/>
  <c r="C53" i="24"/>
  <c r="C52" i="29"/>
  <c r="I52" i="29"/>
  <c r="G22" i="29"/>
  <c r="I22" i="29"/>
  <c r="E52" i="29"/>
  <c r="L52" i="29"/>
  <c r="C56" i="18"/>
  <c r="C53" i="22"/>
  <c r="C54" i="23"/>
  <c r="C54" i="24"/>
  <c r="C53" i="29"/>
  <c r="I53" i="29"/>
  <c r="G23" i="29"/>
  <c r="I23" i="29"/>
  <c r="E53" i="29"/>
  <c r="L53" i="29"/>
  <c r="C57" i="18"/>
  <c r="C54" i="22"/>
  <c r="C55" i="23"/>
  <c r="C55" i="24"/>
  <c r="C54" i="29"/>
  <c r="I54" i="29"/>
  <c r="G24" i="29"/>
  <c r="I24" i="29"/>
  <c r="E54" i="29"/>
  <c r="L54" i="29"/>
  <c r="C58" i="18"/>
  <c r="C55" i="22"/>
  <c r="C56" i="23"/>
  <c r="C56" i="24"/>
  <c r="C55" i="29"/>
  <c r="I55" i="29"/>
  <c r="G25" i="29"/>
  <c r="I25" i="29"/>
  <c r="E55" i="29"/>
  <c r="L55" i="29"/>
  <c r="C59" i="18"/>
  <c r="C56" i="22"/>
  <c r="C57" i="23"/>
  <c r="C57" i="24"/>
  <c r="C56" i="29"/>
  <c r="I56" i="29"/>
  <c r="G26" i="29"/>
  <c r="I26" i="29"/>
  <c r="E56" i="29"/>
  <c r="L56" i="29"/>
  <c r="C60" i="18"/>
  <c r="C57" i="22"/>
  <c r="C58" i="23"/>
  <c r="C58" i="24"/>
  <c r="C57" i="29"/>
  <c r="I57" i="29"/>
  <c r="I27" i="29"/>
  <c r="E57" i="29"/>
  <c r="L57" i="29"/>
  <c r="C61" i="18"/>
  <c r="C58" i="22"/>
  <c r="C59" i="23"/>
  <c r="C59" i="24"/>
  <c r="C58" i="29"/>
  <c r="I58" i="29"/>
  <c r="G28" i="29"/>
  <c r="I28" i="29"/>
  <c r="E58" i="29"/>
  <c r="L58" i="29"/>
  <c r="C62" i="18"/>
  <c r="C59" i="22"/>
  <c r="C60" i="23"/>
  <c r="C60" i="24"/>
  <c r="C59" i="29"/>
  <c r="I59" i="29"/>
  <c r="G29" i="29"/>
  <c r="I29" i="29"/>
  <c r="E59" i="29"/>
  <c r="L59" i="29"/>
  <c r="C63" i="18"/>
  <c r="C60" i="22"/>
  <c r="C61" i="23"/>
  <c r="C61" i="24"/>
  <c r="C60" i="29"/>
  <c r="I60" i="29"/>
  <c r="G30" i="29"/>
  <c r="I30" i="29"/>
  <c r="E60" i="29"/>
  <c r="L60" i="29"/>
  <c r="C64" i="18"/>
  <c r="C61" i="22"/>
  <c r="C62" i="23"/>
  <c r="C62" i="24"/>
  <c r="C61" i="29"/>
  <c r="I61" i="29"/>
  <c r="G31" i="29"/>
  <c r="I31" i="29"/>
  <c r="E61" i="29"/>
  <c r="L61" i="29"/>
  <c r="C65" i="18"/>
  <c r="C62" i="22"/>
  <c r="C63" i="23"/>
  <c r="C63" i="24"/>
  <c r="C62" i="29"/>
  <c r="I62" i="29"/>
  <c r="G32" i="29"/>
  <c r="I32" i="29"/>
  <c r="E62" i="29"/>
  <c r="L62" i="29"/>
  <c r="C66" i="18"/>
  <c r="C63" i="22"/>
  <c r="C64" i="23"/>
  <c r="C64" i="24"/>
  <c r="C63" i="29"/>
  <c r="I63" i="29"/>
  <c r="G33" i="29"/>
  <c r="I33" i="29"/>
  <c r="E63" i="29"/>
  <c r="L63" i="29"/>
  <c r="C67" i="18"/>
  <c r="C64" i="22"/>
  <c r="C65" i="23"/>
  <c r="C65" i="24"/>
  <c r="C64" i="29"/>
  <c r="I64" i="29"/>
  <c r="G34" i="29"/>
  <c r="I34" i="29"/>
  <c r="E64" i="29"/>
  <c r="L64" i="29"/>
  <c r="I65" i="29"/>
  <c r="I35" i="29"/>
  <c r="I36" i="29"/>
  <c r="E65" i="29"/>
  <c r="L65" i="29"/>
  <c r="C69" i="18"/>
  <c r="C66" i="22"/>
  <c r="C67" i="23"/>
  <c r="C67" i="24"/>
  <c r="C66" i="29"/>
  <c r="I66" i="29"/>
  <c r="I37" i="29"/>
  <c r="E66" i="29"/>
  <c r="L66" i="29"/>
  <c r="C70" i="18"/>
  <c r="C67" i="22"/>
  <c r="C68" i="23"/>
  <c r="C68" i="24"/>
  <c r="C67" i="29"/>
  <c r="I67" i="29"/>
  <c r="I38" i="29"/>
  <c r="E67" i="29"/>
  <c r="L67" i="29"/>
  <c r="C71" i="18"/>
  <c r="C68" i="22"/>
  <c r="C69" i="23"/>
  <c r="C69" i="24"/>
  <c r="C68" i="29"/>
  <c r="I68" i="29"/>
  <c r="I39" i="29"/>
  <c r="E68" i="29"/>
  <c r="L68" i="29"/>
  <c r="C72" i="18"/>
  <c r="C69" i="22"/>
  <c r="C70" i="23"/>
  <c r="C70" i="24"/>
  <c r="C69" i="29"/>
  <c r="I69" i="29"/>
  <c r="G40" i="29"/>
  <c r="I40" i="29"/>
  <c r="E69" i="29"/>
  <c r="L69" i="29"/>
  <c r="L70" i="29"/>
  <c r="N70" i="29"/>
  <c r="I70" i="29"/>
  <c r="J70" i="29"/>
  <c r="E70" i="29"/>
  <c r="G70" i="29"/>
  <c r="C70" i="29"/>
  <c r="B73" i="18"/>
  <c r="B70" i="22"/>
  <c r="B71" i="23"/>
  <c r="B71" i="24"/>
  <c r="B70" i="29"/>
  <c r="B24" i="18"/>
  <c r="B21" i="22"/>
  <c r="B21" i="23"/>
  <c r="B21" i="24"/>
  <c r="B20" i="29"/>
  <c r="B25" i="18"/>
  <c r="B22" i="22"/>
  <c r="B22" i="23"/>
  <c r="B22" i="24"/>
  <c r="B21" i="29"/>
  <c r="B26" i="18"/>
  <c r="B23" i="22"/>
  <c r="B23" i="23"/>
  <c r="B23" i="24"/>
  <c r="B22" i="29"/>
  <c r="B27" i="18"/>
  <c r="B24" i="22"/>
  <c r="B24" i="23"/>
  <c r="B24" i="24"/>
  <c r="B23" i="29"/>
  <c r="B28" i="18"/>
  <c r="B25" i="22"/>
  <c r="B25" i="23"/>
  <c r="B25" i="24"/>
  <c r="B24" i="29"/>
  <c r="B29" i="18"/>
  <c r="B26" i="22"/>
  <c r="B26" i="23"/>
  <c r="B26" i="24"/>
  <c r="B25" i="29"/>
  <c r="B30" i="18"/>
  <c r="B27" i="22"/>
  <c r="B27" i="23"/>
  <c r="B27" i="24"/>
  <c r="B26" i="29"/>
  <c r="B31" i="18"/>
  <c r="B28" i="22"/>
  <c r="B28" i="23"/>
  <c r="B28" i="24"/>
  <c r="B27" i="29"/>
  <c r="B32" i="18"/>
  <c r="B29" i="22"/>
  <c r="B29" i="23"/>
  <c r="B29" i="24"/>
  <c r="B28" i="29"/>
  <c r="B33" i="18"/>
  <c r="B30" i="22"/>
  <c r="B30" i="23"/>
  <c r="B30" i="24"/>
  <c r="B29" i="29"/>
  <c r="B34" i="18"/>
  <c r="B31" i="22"/>
  <c r="B31" i="23"/>
  <c r="B31" i="24"/>
  <c r="B30" i="29"/>
  <c r="B35" i="18"/>
  <c r="B32" i="22"/>
  <c r="B32" i="23"/>
  <c r="B32" i="24"/>
  <c r="B31" i="29"/>
  <c r="B36" i="18"/>
  <c r="B33" i="22"/>
  <c r="B33" i="23"/>
  <c r="B33" i="24"/>
  <c r="B32" i="29"/>
  <c r="B37" i="18"/>
  <c r="B34" i="22"/>
  <c r="B34" i="23"/>
  <c r="B34" i="24"/>
  <c r="B33" i="29"/>
  <c r="B38" i="18"/>
  <c r="B35" i="22"/>
  <c r="B35" i="23"/>
  <c r="B35" i="24"/>
  <c r="B34" i="29"/>
  <c r="B40" i="18"/>
  <c r="B37" i="22"/>
  <c r="B38" i="23"/>
  <c r="B38" i="24"/>
  <c r="B37" i="29"/>
  <c r="B41" i="18"/>
  <c r="B38" i="22"/>
  <c r="B39" i="23"/>
  <c r="B39" i="24"/>
  <c r="B38" i="29"/>
  <c r="B42" i="18"/>
  <c r="B39" i="22"/>
  <c r="B40" i="23"/>
  <c r="B40" i="24"/>
  <c r="B39" i="29"/>
  <c r="B43" i="18"/>
  <c r="B40" i="22"/>
  <c r="B41" i="23"/>
  <c r="B41" i="24"/>
  <c r="B40" i="29"/>
  <c r="B52" i="18"/>
  <c r="B49" i="22"/>
  <c r="B50" i="23"/>
  <c r="B50" i="24"/>
  <c r="B49" i="29"/>
  <c r="B53" i="18"/>
  <c r="B50" i="22"/>
  <c r="B51" i="23"/>
  <c r="B51" i="24"/>
  <c r="B50" i="29"/>
  <c r="B54" i="18"/>
  <c r="B51" i="22"/>
  <c r="B52" i="23"/>
  <c r="B52" i="24"/>
  <c r="B51" i="29"/>
  <c r="B55" i="18"/>
  <c r="B52" i="22"/>
  <c r="B53" i="23"/>
  <c r="B53" i="24"/>
  <c r="B52" i="29"/>
  <c r="B56" i="18"/>
  <c r="B53" i="22"/>
  <c r="B54" i="23"/>
  <c r="B54" i="24"/>
  <c r="B53" i="29"/>
  <c r="B57" i="18"/>
  <c r="B54" i="22"/>
  <c r="B55" i="23"/>
  <c r="B55" i="24"/>
  <c r="B54" i="29"/>
  <c r="B58" i="18"/>
  <c r="B55" i="22"/>
  <c r="B56" i="23"/>
  <c r="B56" i="24"/>
  <c r="B55" i="29"/>
  <c r="B59" i="18"/>
  <c r="B56" i="22"/>
  <c r="B57" i="23"/>
  <c r="B57" i="24"/>
  <c r="B56" i="29"/>
  <c r="B60" i="18"/>
  <c r="B57" i="22"/>
  <c r="B58" i="23"/>
  <c r="B58" i="24"/>
  <c r="B57" i="29"/>
  <c r="B61" i="18"/>
  <c r="B58" i="22"/>
  <c r="B59" i="23"/>
  <c r="B59" i="24"/>
  <c r="B58" i="29"/>
  <c r="B62" i="18"/>
  <c r="B59" i="22"/>
  <c r="B60" i="23"/>
  <c r="B60" i="24"/>
  <c r="B59" i="29"/>
  <c r="B63" i="18"/>
  <c r="B60" i="22"/>
  <c r="B61" i="23"/>
  <c r="B61" i="24"/>
  <c r="B60" i="29"/>
  <c r="B64" i="18"/>
  <c r="B61" i="22"/>
  <c r="B62" i="23"/>
  <c r="B62" i="24"/>
  <c r="B61" i="29"/>
  <c r="B65" i="18"/>
  <c r="B62" i="22"/>
  <c r="B63" i="23"/>
  <c r="B63" i="24"/>
  <c r="B62" i="29"/>
  <c r="B66" i="18"/>
  <c r="B63" i="22"/>
  <c r="B64" i="23"/>
  <c r="B64" i="24"/>
  <c r="B63" i="29"/>
  <c r="B67" i="18"/>
  <c r="B64" i="22"/>
  <c r="B65" i="23"/>
  <c r="B65" i="24"/>
  <c r="B64" i="29"/>
  <c r="B68" i="18"/>
  <c r="B65" i="22"/>
  <c r="B66" i="23"/>
  <c r="B66" i="24"/>
  <c r="B65" i="29"/>
  <c r="B69" i="18"/>
  <c r="B66" i="22"/>
  <c r="B67" i="23"/>
  <c r="B67" i="24"/>
  <c r="B66" i="29"/>
  <c r="B70" i="18"/>
  <c r="B67" i="22"/>
  <c r="B68" i="23"/>
  <c r="B68" i="24"/>
  <c r="B67" i="29"/>
  <c r="B71" i="18"/>
  <c r="B68" i="22"/>
  <c r="B69" i="23"/>
  <c r="B69" i="24"/>
  <c r="B68" i="29"/>
  <c r="B72" i="18"/>
  <c r="B69" i="22"/>
  <c r="B70" i="23"/>
  <c r="B70" i="24"/>
  <c r="B69" i="29"/>
  <c r="A70" i="29"/>
  <c r="N69" i="29"/>
  <c r="J69" i="29"/>
  <c r="G69" i="29"/>
  <c r="A69" i="29"/>
  <c r="N68" i="29"/>
  <c r="J68" i="29"/>
  <c r="G68" i="29"/>
  <c r="A68" i="29"/>
  <c r="N67" i="29"/>
  <c r="J67" i="29"/>
  <c r="G67" i="29"/>
  <c r="A67" i="29"/>
  <c r="N66" i="29"/>
  <c r="J66" i="29"/>
  <c r="G66" i="29"/>
  <c r="A66" i="29"/>
  <c r="N65" i="29"/>
  <c r="J65" i="29"/>
  <c r="G65" i="29"/>
  <c r="C68" i="18"/>
  <c r="C65" i="22"/>
  <c r="C66" i="23"/>
  <c r="C66" i="24"/>
  <c r="C65" i="29"/>
  <c r="A65" i="29"/>
  <c r="N64" i="29"/>
  <c r="J64" i="29"/>
  <c r="G64" i="29"/>
  <c r="A64" i="29"/>
  <c r="N63" i="29"/>
  <c r="J63" i="29"/>
  <c r="G63" i="29"/>
  <c r="A63" i="29"/>
  <c r="N62" i="29"/>
  <c r="J62" i="29"/>
  <c r="G62" i="29"/>
  <c r="A62" i="29"/>
  <c r="N61" i="29"/>
  <c r="J61" i="29"/>
  <c r="G61" i="29"/>
  <c r="A61" i="29"/>
  <c r="N60" i="29"/>
  <c r="J60" i="29"/>
  <c r="G60" i="29"/>
  <c r="A60" i="29"/>
  <c r="N59" i="29"/>
  <c r="J59" i="29"/>
  <c r="G59" i="29"/>
  <c r="A59" i="29"/>
  <c r="N58" i="29"/>
  <c r="J58" i="29"/>
  <c r="G58" i="29"/>
  <c r="A58" i="29"/>
  <c r="N57" i="29"/>
  <c r="J57" i="29"/>
  <c r="G57" i="29"/>
  <c r="A57" i="29"/>
  <c r="N56" i="29"/>
  <c r="J56" i="29"/>
  <c r="G56" i="29"/>
  <c r="A56" i="29"/>
  <c r="N55" i="29"/>
  <c r="J55" i="29"/>
  <c r="G55" i="29"/>
  <c r="A55" i="29"/>
  <c r="N54" i="29"/>
  <c r="J54" i="29"/>
  <c r="G54" i="29"/>
  <c r="A54" i="29"/>
  <c r="N53" i="29"/>
  <c r="J53" i="29"/>
  <c r="G53" i="29"/>
  <c r="A53" i="29"/>
  <c r="N52" i="29"/>
  <c r="J52" i="29"/>
  <c r="G52" i="29"/>
  <c r="A52" i="29"/>
  <c r="N51" i="29"/>
  <c r="J51" i="29"/>
  <c r="G51" i="29"/>
  <c r="A51" i="29"/>
  <c r="N50" i="29"/>
  <c r="J50" i="29"/>
  <c r="G50" i="29"/>
  <c r="A50" i="29"/>
  <c r="N49" i="29"/>
  <c r="J49" i="29"/>
  <c r="G49" i="29"/>
  <c r="A49" i="29"/>
  <c r="A48" i="29"/>
  <c r="A47" i="29"/>
  <c r="A46" i="29"/>
  <c r="A45" i="29"/>
  <c r="N42" i="29"/>
  <c r="I42" i="29"/>
  <c r="N44" i="29"/>
  <c r="A44" i="29"/>
  <c r="A43" i="29"/>
  <c r="A42" i="29"/>
  <c r="A40" i="29"/>
  <c r="A39" i="29"/>
  <c r="A38" i="29"/>
  <c r="A37" i="29"/>
  <c r="A36" i="29"/>
  <c r="A35" i="29"/>
  <c r="A34" i="29"/>
  <c r="A33" i="29"/>
  <c r="A32" i="29"/>
  <c r="A31" i="29"/>
  <c r="A30" i="29"/>
  <c r="A29" i="29"/>
  <c r="A28" i="29"/>
  <c r="A27" i="29"/>
  <c r="A26" i="29"/>
  <c r="A25" i="29"/>
  <c r="A24" i="29"/>
  <c r="A23" i="29"/>
  <c r="A22" i="29"/>
  <c r="A21" i="29"/>
  <c r="A20" i="29"/>
  <c r="A19" i="29"/>
  <c r="A18" i="29"/>
  <c r="A16" i="29"/>
  <c r="A15" i="29"/>
  <c r="A14" i="29"/>
  <c r="A13" i="29"/>
  <c r="A12" i="29"/>
  <c r="A5" i="29"/>
  <c r="A4" i="29"/>
  <c r="B77" i="24"/>
  <c r="B86" i="28"/>
  <c r="B76" i="24"/>
  <c r="B85" i="28"/>
  <c r="B75" i="24"/>
  <c r="B84" i="28"/>
  <c r="B74" i="24"/>
  <c r="B83" i="28"/>
  <c r="C59" i="28"/>
  <c r="N13" i="28"/>
  <c r="N14" i="28"/>
  <c r="N15" i="28"/>
  <c r="N16" i="28"/>
  <c r="N17" i="28"/>
  <c r="N19" i="28"/>
  <c r="N20" i="28"/>
  <c r="N22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7" i="28"/>
  <c r="C48" i="28"/>
  <c r="C49" i="28"/>
  <c r="C50" i="28"/>
  <c r="E21" i="28"/>
  <c r="N28" i="28"/>
  <c r="N29" i="28"/>
  <c r="N30" i="28"/>
  <c r="N31" i="28"/>
  <c r="N32" i="28"/>
  <c r="N33" i="28"/>
  <c r="N34" i="28"/>
  <c r="G35" i="28"/>
  <c r="N35" i="28"/>
  <c r="N36" i="28"/>
  <c r="N37" i="28"/>
  <c r="N38" i="28"/>
  <c r="N39" i="28"/>
  <c r="N40" i="28"/>
  <c r="N41" i="28"/>
  <c r="N42" i="28"/>
  <c r="N43" i="28"/>
  <c r="N44" i="28"/>
  <c r="L45" i="28"/>
  <c r="N45" i="28"/>
  <c r="L46" i="28"/>
  <c r="N46" i="28"/>
  <c r="N47" i="28"/>
  <c r="L48" i="28"/>
  <c r="N48" i="28"/>
  <c r="L49" i="28"/>
  <c r="N49" i="28"/>
  <c r="N50" i="28"/>
  <c r="I59" i="28"/>
  <c r="I13" i="28"/>
  <c r="I14" i="28"/>
  <c r="G15" i="28"/>
  <c r="I15" i="28"/>
  <c r="I16" i="28"/>
  <c r="I17" i="28"/>
  <c r="I19" i="28"/>
  <c r="I20" i="28"/>
  <c r="I22" i="28"/>
  <c r="E59" i="28"/>
  <c r="L59" i="28"/>
  <c r="C60" i="28"/>
  <c r="I60" i="28"/>
  <c r="I28" i="28"/>
  <c r="E60" i="28"/>
  <c r="L60" i="28"/>
  <c r="C61" i="28"/>
  <c r="I61" i="28"/>
  <c r="G29" i="28"/>
  <c r="I29" i="28"/>
  <c r="E61" i="28"/>
  <c r="L61" i="28"/>
  <c r="C62" i="28"/>
  <c r="I62" i="28"/>
  <c r="G30" i="28"/>
  <c r="I30" i="28"/>
  <c r="E62" i="28"/>
  <c r="L62" i="28"/>
  <c r="C63" i="28"/>
  <c r="I63" i="28"/>
  <c r="G31" i="28"/>
  <c r="I31" i="28"/>
  <c r="E63" i="28"/>
  <c r="L63" i="28"/>
  <c r="C64" i="28"/>
  <c r="I64" i="28"/>
  <c r="G32" i="28"/>
  <c r="I32" i="28"/>
  <c r="E64" i="28"/>
  <c r="L64" i="28"/>
  <c r="C65" i="28"/>
  <c r="I65" i="28"/>
  <c r="G33" i="28"/>
  <c r="I33" i="28"/>
  <c r="E65" i="28"/>
  <c r="L65" i="28"/>
  <c r="C66" i="28"/>
  <c r="I66" i="28"/>
  <c r="G34" i="28"/>
  <c r="I34" i="28"/>
  <c r="E66" i="28"/>
  <c r="L66" i="28"/>
  <c r="C67" i="28"/>
  <c r="I67" i="28"/>
  <c r="I35" i="28"/>
  <c r="E67" i="28"/>
  <c r="L67" i="28"/>
  <c r="C68" i="28"/>
  <c r="I68" i="28"/>
  <c r="G36" i="28"/>
  <c r="I36" i="28"/>
  <c r="E68" i="28"/>
  <c r="L68" i="28"/>
  <c r="C69" i="28"/>
  <c r="I69" i="28"/>
  <c r="G37" i="28"/>
  <c r="I37" i="28"/>
  <c r="E69" i="28"/>
  <c r="L69" i="28"/>
  <c r="C70" i="28"/>
  <c r="I70" i="28"/>
  <c r="G38" i="28"/>
  <c r="I38" i="28"/>
  <c r="E70" i="28"/>
  <c r="L70" i="28"/>
  <c r="C71" i="28"/>
  <c r="I71" i="28"/>
  <c r="G39" i="28"/>
  <c r="I39" i="28"/>
  <c r="E71" i="28"/>
  <c r="L71" i="28"/>
  <c r="C72" i="28"/>
  <c r="I72" i="28"/>
  <c r="G40" i="28"/>
  <c r="I40" i="28"/>
  <c r="E72" i="28"/>
  <c r="L72" i="28"/>
  <c r="C73" i="28"/>
  <c r="I73" i="28"/>
  <c r="G41" i="28"/>
  <c r="I41" i="28"/>
  <c r="E73" i="28"/>
  <c r="L73" i="28"/>
  <c r="C74" i="28"/>
  <c r="I74" i="28"/>
  <c r="I42" i="28"/>
  <c r="E74" i="28"/>
  <c r="L74" i="28"/>
  <c r="I75" i="28"/>
  <c r="I43" i="28"/>
  <c r="I44" i="28"/>
  <c r="G45" i="28"/>
  <c r="I45" i="28"/>
  <c r="G46" i="28"/>
  <c r="I46" i="28"/>
  <c r="E75" i="28"/>
  <c r="L75" i="28"/>
  <c r="C76" i="28"/>
  <c r="I76" i="28"/>
  <c r="I47" i="28"/>
  <c r="E76" i="28"/>
  <c r="L76" i="28"/>
  <c r="C77" i="28"/>
  <c r="I77" i="28"/>
  <c r="I48" i="28"/>
  <c r="E77" i="28"/>
  <c r="L77" i="28"/>
  <c r="C78" i="28"/>
  <c r="I78" i="28"/>
  <c r="I49" i="28"/>
  <c r="E78" i="28"/>
  <c r="L78" i="28"/>
  <c r="C79" i="28"/>
  <c r="I79" i="28"/>
  <c r="I50" i="28"/>
  <c r="E79" i="28"/>
  <c r="L79" i="28"/>
  <c r="L80" i="28"/>
  <c r="N80" i="28"/>
  <c r="I80" i="28"/>
  <c r="J80" i="28"/>
  <c r="E80" i="28"/>
  <c r="G80" i="28"/>
  <c r="B80" i="28"/>
  <c r="B28" i="28"/>
  <c r="B29" i="28"/>
  <c r="B30" i="28"/>
  <c r="B31" i="28"/>
  <c r="B32" i="28"/>
  <c r="B33" i="28"/>
  <c r="B34" i="28"/>
  <c r="B35" i="28"/>
  <c r="B36" i="28"/>
  <c r="B37" i="28"/>
  <c r="B38" i="28"/>
  <c r="B39" i="28"/>
  <c r="B40" i="28"/>
  <c r="B41" i="28"/>
  <c r="B42" i="28"/>
  <c r="B47" i="28"/>
  <c r="B48" i="28"/>
  <c r="B49" i="28"/>
  <c r="B50" i="28"/>
  <c r="B59" i="28"/>
  <c r="B60" i="28"/>
  <c r="B61" i="28"/>
  <c r="B62" i="28"/>
  <c r="B63" i="28"/>
  <c r="B64" i="28"/>
  <c r="B65" i="28"/>
  <c r="B66" i="28"/>
  <c r="B67" i="28"/>
  <c r="B68" i="28"/>
  <c r="B69" i="28"/>
  <c r="B70" i="28"/>
  <c r="B71" i="28"/>
  <c r="B72" i="28"/>
  <c r="B73" i="28"/>
  <c r="B74" i="28"/>
  <c r="B75" i="28"/>
  <c r="B76" i="28"/>
  <c r="B77" i="28"/>
  <c r="B78" i="28"/>
  <c r="B79" i="28"/>
  <c r="A80" i="28"/>
  <c r="N79" i="28"/>
  <c r="J79" i="28"/>
  <c r="G79" i="28"/>
  <c r="A79" i="28"/>
  <c r="N78" i="28"/>
  <c r="J78" i="28"/>
  <c r="G78" i="28"/>
  <c r="A78" i="28"/>
  <c r="N77" i="28"/>
  <c r="J77" i="28"/>
  <c r="G77" i="28"/>
  <c r="A77" i="28"/>
  <c r="N76" i="28"/>
  <c r="J76" i="28"/>
  <c r="G76" i="28"/>
  <c r="A76" i="28"/>
  <c r="N75" i="28"/>
  <c r="J75" i="28"/>
  <c r="G75" i="28"/>
  <c r="C75" i="28"/>
  <c r="A75" i="28"/>
  <c r="N74" i="28"/>
  <c r="J74" i="28"/>
  <c r="G74" i="28"/>
  <c r="A74" i="28"/>
  <c r="N73" i="28"/>
  <c r="J73" i="28"/>
  <c r="G73" i="28"/>
  <c r="A73" i="28"/>
  <c r="N72" i="28"/>
  <c r="J72" i="28"/>
  <c r="G72" i="28"/>
  <c r="A72" i="28"/>
  <c r="N71" i="28"/>
  <c r="J71" i="28"/>
  <c r="G71" i="28"/>
  <c r="A71" i="28"/>
  <c r="N70" i="28"/>
  <c r="J70" i="28"/>
  <c r="G70" i="28"/>
  <c r="A70" i="28"/>
  <c r="N69" i="28"/>
  <c r="J69" i="28"/>
  <c r="G69" i="28"/>
  <c r="A69" i="28"/>
  <c r="N68" i="28"/>
  <c r="J68" i="28"/>
  <c r="G68" i="28"/>
  <c r="A68" i="28"/>
  <c r="N67" i="28"/>
  <c r="J67" i="28"/>
  <c r="G67" i="28"/>
  <c r="A67" i="28"/>
  <c r="N66" i="28"/>
  <c r="J66" i="28"/>
  <c r="G66" i="28"/>
  <c r="A66" i="28"/>
  <c r="N65" i="28"/>
  <c r="J65" i="28"/>
  <c r="G65" i="28"/>
  <c r="A65" i="28"/>
  <c r="N64" i="28"/>
  <c r="J64" i="28"/>
  <c r="G64" i="28"/>
  <c r="A64" i="28"/>
  <c r="N63" i="28"/>
  <c r="J63" i="28"/>
  <c r="G63" i="28"/>
  <c r="A63" i="28"/>
  <c r="N62" i="28"/>
  <c r="J62" i="28"/>
  <c r="G62" i="28"/>
  <c r="A62" i="28"/>
  <c r="N61" i="28"/>
  <c r="J61" i="28"/>
  <c r="G61" i="28"/>
  <c r="A61" i="28"/>
  <c r="N60" i="28"/>
  <c r="J60" i="28"/>
  <c r="G60" i="28"/>
  <c r="A60" i="28"/>
  <c r="N59" i="28"/>
  <c r="J59" i="28"/>
  <c r="G59" i="28"/>
  <c r="A59" i="28"/>
  <c r="A58" i="28"/>
  <c r="A57" i="28"/>
  <c r="A56" i="28"/>
  <c r="A55" i="28"/>
  <c r="N52" i="28"/>
  <c r="I52" i="28"/>
  <c r="N54" i="28"/>
  <c r="A54" i="28"/>
  <c r="A53" i="28"/>
  <c r="A52" i="28"/>
  <c r="A51" i="28"/>
  <c r="A50" i="28"/>
  <c r="A49" i="28"/>
  <c r="A48" i="28"/>
  <c r="A47" i="28"/>
  <c r="A46" i="28"/>
  <c r="A45" i="28"/>
  <c r="A44" i="28"/>
  <c r="A43" i="28"/>
  <c r="A42" i="28"/>
  <c r="A41" i="28"/>
  <c r="A40" i="28"/>
  <c r="A39" i="28"/>
  <c r="A38" i="28"/>
  <c r="A37" i="28"/>
  <c r="A36" i="28"/>
  <c r="A35" i="28"/>
  <c r="A34" i="28"/>
  <c r="A33" i="28"/>
  <c r="A32" i="28"/>
  <c r="A31" i="28"/>
  <c r="A30" i="28"/>
  <c r="A29" i="28"/>
  <c r="A28" i="28"/>
  <c r="A27" i="28"/>
  <c r="A26" i="28"/>
  <c r="A25" i="28"/>
  <c r="A24" i="28"/>
  <c r="A23" i="28"/>
  <c r="A22" i="28"/>
  <c r="A21" i="28"/>
  <c r="A20" i="28"/>
  <c r="A19" i="28"/>
  <c r="E18" i="28"/>
  <c r="A18" i="28"/>
  <c r="A17" i="28"/>
  <c r="A16" i="28"/>
  <c r="A15" i="28"/>
  <c r="A14" i="28"/>
  <c r="A13" i="28"/>
  <c r="A12" i="28"/>
  <c r="A5" i="28"/>
  <c r="A4" i="28"/>
  <c r="B77" i="27"/>
  <c r="B76" i="27"/>
  <c r="B75" i="27"/>
  <c r="B74" i="27"/>
  <c r="B73" i="27"/>
  <c r="A71" i="27"/>
  <c r="C49" i="27"/>
  <c r="N13" i="27"/>
  <c r="N14" i="27"/>
  <c r="N15" i="27"/>
  <c r="N17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7" i="27"/>
  <c r="C38" i="27"/>
  <c r="C39" i="27"/>
  <c r="C40" i="27"/>
  <c r="AO18" i="1"/>
  <c r="N20" i="27"/>
  <c r="K18" i="1"/>
  <c r="N21" i="27"/>
  <c r="AT18" i="1"/>
  <c r="N22" i="27"/>
  <c r="P18" i="1"/>
  <c r="N23" i="27"/>
  <c r="U18" i="1"/>
  <c r="N24" i="27"/>
  <c r="Z18" i="1"/>
  <c r="N25" i="27"/>
  <c r="AY18" i="1"/>
  <c r="N26" i="27"/>
  <c r="N27" i="27"/>
  <c r="AE18" i="1"/>
  <c r="N28" i="27"/>
  <c r="BI18" i="1"/>
  <c r="N29" i="27"/>
  <c r="BN18" i="1"/>
  <c r="N30" i="27"/>
  <c r="BS18" i="1"/>
  <c r="N31" i="27"/>
  <c r="BX18" i="1"/>
  <c r="N32" i="27"/>
  <c r="CC18" i="1"/>
  <c r="N33" i="27"/>
  <c r="AJ18" i="1"/>
  <c r="N34" i="27"/>
  <c r="N35" i="27"/>
  <c r="N36" i="27"/>
  <c r="N37" i="27"/>
  <c r="L38" i="27"/>
  <c r="N38" i="27"/>
  <c r="L39" i="27"/>
  <c r="N39" i="27"/>
  <c r="N40" i="27"/>
  <c r="I49" i="27"/>
  <c r="I13" i="27"/>
  <c r="I14" i="27"/>
  <c r="I15" i="27"/>
  <c r="I17" i="27"/>
  <c r="E49" i="27"/>
  <c r="L49" i="27"/>
  <c r="C50" i="27"/>
  <c r="I50" i="27"/>
  <c r="I20" i="27"/>
  <c r="E50" i="27"/>
  <c r="L50" i="27"/>
  <c r="C51" i="27"/>
  <c r="I51" i="27"/>
  <c r="I21" i="27"/>
  <c r="E51" i="27"/>
  <c r="L51" i="27"/>
  <c r="C52" i="27"/>
  <c r="I52" i="27"/>
  <c r="I22" i="27"/>
  <c r="E52" i="27"/>
  <c r="L52" i="27"/>
  <c r="C53" i="27"/>
  <c r="I53" i="27"/>
  <c r="I23" i="27"/>
  <c r="E53" i="27"/>
  <c r="L53" i="27"/>
  <c r="C54" i="27"/>
  <c r="I54" i="27"/>
  <c r="I24" i="27"/>
  <c r="E54" i="27"/>
  <c r="L54" i="27"/>
  <c r="C55" i="27"/>
  <c r="I55" i="27"/>
  <c r="I25" i="27"/>
  <c r="E55" i="27"/>
  <c r="L55" i="27"/>
  <c r="C56" i="27"/>
  <c r="I26" i="27"/>
  <c r="L56" i="27"/>
  <c r="C57" i="27"/>
  <c r="I27" i="27"/>
  <c r="L57" i="27"/>
  <c r="C58" i="27"/>
  <c r="I58" i="27"/>
  <c r="I28" i="27"/>
  <c r="E58" i="27"/>
  <c r="L58" i="27"/>
  <c r="C59" i="27"/>
  <c r="I59" i="27"/>
  <c r="I29" i="27"/>
  <c r="E59" i="27"/>
  <c r="L59" i="27"/>
  <c r="C60" i="27"/>
  <c r="I60" i="27"/>
  <c r="I30" i="27"/>
  <c r="E60" i="27"/>
  <c r="L60" i="27"/>
  <c r="C61" i="27"/>
  <c r="I61" i="27"/>
  <c r="I31" i="27"/>
  <c r="E61" i="27"/>
  <c r="L61" i="27"/>
  <c r="C62" i="27"/>
  <c r="I62" i="27"/>
  <c r="I32" i="27"/>
  <c r="E62" i="27"/>
  <c r="L62" i="27"/>
  <c r="C63" i="27"/>
  <c r="I63" i="27"/>
  <c r="I33" i="27"/>
  <c r="E63" i="27"/>
  <c r="L63" i="27"/>
  <c r="C64" i="27"/>
  <c r="I64" i="27"/>
  <c r="I34" i="27"/>
  <c r="E64" i="27"/>
  <c r="L64" i="27"/>
  <c r="I65" i="27"/>
  <c r="I35" i="27"/>
  <c r="I36" i="27"/>
  <c r="E65" i="27"/>
  <c r="L65" i="27"/>
  <c r="C66" i="27"/>
  <c r="I66" i="27"/>
  <c r="I37" i="27"/>
  <c r="E66" i="27"/>
  <c r="L66" i="27"/>
  <c r="C67" i="27"/>
  <c r="I67" i="27"/>
  <c r="I38" i="27"/>
  <c r="E67" i="27"/>
  <c r="L67" i="27"/>
  <c r="C68" i="27"/>
  <c r="I68" i="27"/>
  <c r="I39" i="27"/>
  <c r="E68" i="27"/>
  <c r="L68" i="27"/>
  <c r="C69" i="27"/>
  <c r="I69" i="27"/>
  <c r="I40" i="27"/>
  <c r="E69" i="27"/>
  <c r="L69" i="27"/>
  <c r="L70" i="27"/>
  <c r="N70" i="27"/>
  <c r="I56" i="27"/>
  <c r="I57" i="27"/>
  <c r="I70" i="27"/>
  <c r="J70" i="27"/>
  <c r="E56" i="27"/>
  <c r="E57" i="27"/>
  <c r="E70" i="27"/>
  <c r="G70" i="27"/>
  <c r="B70" i="27"/>
  <c r="B20" i="27"/>
  <c r="B21" i="27"/>
  <c r="B22" i="27"/>
  <c r="B23" i="27"/>
  <c r="B24" i="27"/>
  <c r="B25" i="27"/>
  <c r="B26" i="27"/>
  <c r="B27" i="27"/>
  <c r="B28" i="27"/>
  <c r="B29" i="27"/>
  <c r="B30" i="27"/>
  <c r="B31" i="27"/>
  <c r="B32" i="27"/>
  <c r="B33" i="27"/>
  <c r="B34" i="27"/>
  <c r="B37" i="27"/>
  <c r="B38" i="27"/>
  <c r="B39" i="27"/>
  <c r="B40" i="27"/>
  <c r="B49" i="27"/>
  <c r="B50" i="27"/>
  <c r="B51" i="27"/>
  <c r="B52" i="27"/>
  <c r="B53" i="27"/>
  <c r="B54" i="27"/>
  <c r="B55" i="27"/>
  <c r="B56" i="27"/>
  <c r="B57" i="27"/>
  <c r="B58" i="27"/>
  <c r="B59" i="27"/>
  <c r="B60" i="27"/>
  <c r="B61" i="27"/>
  <c r="B62" i="27"/>
  <c r="B63" i="27"/>
  <c r="B64" i="27"/>
  <c r="B65" i="27"/>
  <c r="B66" i="27"/>
  <c r="B67" i="27"/>
  <c r="B68" i="27"/>
  <c r="B69" i="27"/>
  <c r="A70" i="27"/>
  <c r="N69" i="27"/>
  <c r="J69" i="27"/>
  <c r="G69" i="27"/>
  <c r="A69" i="27"/>
  <c r="N68" i="27"/>
  <c r="J68" i="27"/>
  <c r="G68" i="27"/>
  <c r="A68" i="27"/>
  <c r="N67" i="27"/>
  <c r="J67" i="27"/>
  <c r="G67" i="27"/>
  <c r="A67" i="27"/>
  <c r="N66" i="27"/>
  <c r="J66" i="27"/>
  <c r="G66" i="27"/>
  <c r="A66" i="27"/>
  <c r="N65" i="27"/>
  <c r="J65" i="27"/>
  <c r="G65" i="27"/>
  <c r="C65" i="27"/>
  <c r="A65" i="27"/>
  <c r="N64" i="27"/>
  <c r="J64" i="27"/>
  <c r="G64" i="27"/>
  <c r="A64" i="27"/>
  <c r="N63" i="27"/>
  <c r="J63" i="27"/>
  <c r="G63" i="27"/>
  <c r="A63" i="27"/>
  <c r="N62" i="27"/>
  <c r="J62" i="27"/>
  <c r="G62" i="27"/>
  <c r="A62" i="27"/>
  <c r="N61" i="27"/>
  <c r="J61" i="27"/>
  <c r="G61" i="27"/>
  <c r="A61" i="27"/>
  <c r="N60" i="27"/>
  <c r="J60" i="27"/>
  <c r="G60" i="27"/>
  <c r="A60" i="27"/>
  <c r="N59" i="27"/>
  <c r="J59" i="27"/>
  <c r="G59" i="27"/>
  <c r="A59" i="27"/>
  <c r="N58" i="27"/>
  <c r="J58" i="27"/>
  <c r="G58" i="27"/>
  <c r="A58" i="27"/>
  <c r="N57" i="27"/>
  <c r="M57" i="27"/>
  <c r="K57" i="27"/>
  <c r="J57" i="27"/>
  <c r="H57" i="27"/>
  <c r="G57" i="27"/>
  <c r="F57" i="27"/>
  <c r="A57" i="27"/>
  <c r="N56" i="27"/>
  <c r="M56" i="27"/>
  <c r="K56" i="27"/>
  <c r="J56" i="27"/>
  <c r="H56" i="27"/>
  <c r="G56" i="27"/>
  <c r="F56" i="27"/>
  <c r="A56" i="27"/>
  <c r="N55" i="27"/>
  <c r="J55" i="27"/>
  <c r="G55" i="27"/>
  <c r="A55" i="27"/>
  <c r="N54" i="27"/>
  <c r="J54" i="27"/>
  <c r="G54" i="27"/>
  <c r="A54" i="27"/>
  <c r="N53" i="27"/>
  <c r="J53" i="27"/>
  <c r="G53" i="27"/>
  <c r="A53" i="27"/>
  <c r="N52" i="27"/>
  <c r="J52" i="27"/>
  <c r="G52" i="27"/>
  <c r="A52" i="27"/>
  <c r="N51" i="27"/>
  <c r="J51" i="27"/>
  <c r="G51" i="27"/>
  <c r="A51" i="27"/>
  <c r="N50" i="27"/>
  <c r="J50" i="27"/>
  <c r="G50" i="27"/>
  <c r="A50" i="27"/>
  <c r="N49" i="27"/>
  <c r="J49" i="27"/>
  <c r="G49" i="27"/>
  <c r="A49" i="27"/>
  <c r="A48" i="27"/>
  <c r="A47" i="27"/>
  <c r="A46" i="27"/>
  <c r="A45" i="27"/>
  <c r="N42" i="27"/>
  <c r="I42" i="27"/>
  <c r="N44" i="27"/>
  <c r="A44" i="27"/>
  <c r="A43" i="27"/>
  <c r="A42" i="27"/>
  <c r="A41" i="27"/>
  <c r="A40" i="27"/>
  <c r="A39" i="27"/>
  <c r="A38" i="27"/>
  <c r="A37" i="27"/>
  <c r="A36" i="27"/>
  <c r="A35" i="27"/>
  <c r="A34" i="27"/>
  <c r="A33" i="27"/>
  <c r="A32" i="27"/>
  <c r="A31" i="27"/>
  <c r="A30" i="27"/>
  <c r="A29" i="27"/>
  <c r="A28" i="27"/>
  <c r="A27" i="27"/>
  <c r="A26" i="27"/>
  <c r="A25" i="27"/>
  <c r="A24" i="27"/>
  <c r="A23" i="27"/>
  <c r="A22" i="27"/>
  <c r="A21" i="27"/>
  <c r="A20" i="27"/>
  <c r="A19" i="27"/>
  <c r="A18" i="27"/>
  <c r="A17" i="27"/>
  <c r="A16" i="27"/>
  <c r="A15" i="27"/>
  <c r="A14" i="27"/>
  <c r="A13" i="27"/>
  <c r="A12" i="27"/>
  <c r="A5" i="27"/>
  <c r="A4" i="27"/>
  <c r="B76" i="26"/>
  <c r="B75" i="26"/>
  <c r="B74" i="26"/>
  <c r="B73" i="26"/>
  <c r="A71" i="26"/>
  <c r="C49" i="26"/>
  <c r="N13" i="26"/>
  <c r="N14" i="26"/>
  <c r="N15" i="26"/>
  <c r="N17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7" i="26"/>
  <c r="C38" i="26"/>
  <c r="C39" i="26"/>
  <c r="C40" i="26"/>
  <c r="AO22" i="1"/>
  <c r="N20" i="26"/>
  <c r="K22" i="1"/>
  <c r="N21" i="26"/>
  <c r="AT22" i="1"/>
  <c r="N22" i="26"/>
  <c r="P22" i="1"/>
  <c r="N23" i="26"/>
  <c r="U22" i="1"/>
  <c r="N24" i="26"/>
  <c r="Z22" i="1"/>
  <c r="N25" i="26"/>
  <c r="AY22" i="1"/>
  <c r="N26" i="26"/>
  <c r="N27" i="26"/>
  <c r="AE22" i="1"/>
  <c r="N28" i="26"/>
  <c r="BI22" i="1"/>
  <c r="N29" i="26"/>
  <c r="BN22" i="1"/>
  <c r="N30" i="26"/>
  <c r="BS22" i="1"/>
  <c r="N31" i="26"/>
  <c r="BX22" i="1"/>
  <c r="N32" i="26"/>
  <c r="CC22" i="1"/>
  <c r="N33" i="26"/>
  <c r="AJ22" i="1"/>
  <c r="N34" i="26"/>
  <c r="N35" i="26"/>
  <c r="N36" i="26"/>
  <c r="N37" i="26"/>
  <c r="L38" i="26"/>
  <c r="N38" i="26"/>
  <c r="L39" i="26"/>
  <c r="N39" i="26"/>
  <c r="N40" i="26"/>
  <c r="I49" i="26"/>
  <c r="I13" i="26"/>
  <c r="I14" i="26"/>
  <c r="I15" i="26"/>
  <c r="I17" i="26"/>
  <c r="E49" i="26"/>
  <c r="L49" i="26"/>
  <c r="C50" i="26"/>
  <c r="I50" i="26"/>
  <c r="I20" i="26"/>
  <c r="E50" i="26"/>
  <c r="L50" i="26"/>
  <c r="C51" i="26"/>
  <c r="I51" i="26"/>
  <c r="I21" i="26"/>
  <c r="E51" i="26"/>
  <c r="L51" i="26"/>
  <c r="C52" i="26"/>
  <c r="I52" i="26"/>
  <c r="I22" i="26"/>
  <c r="E52" i="26"/>
  <c r="L52" i="26"/>
  <c r="C53" i="26"/>
  <c r="I53" i="26"/>
  <c r="I23" i="26"/>
  <c r="E53" i="26"/>
  <c r="L53" i="26"/>
  <c r="C54" i="26"/>
  <c r="I54" i="26"/>
  <c r="I24" i="26"/>
  <c r="E54" i="26"/>
  <c r="L54" i="26"/>
  <c r="C55" i="26"/>
  <c r="I55" i="26"/>
  <c r="I25" i="26"/>
  <c r="E55" i="26"/>
  <c r="L55" i="26"/>
  <c r="C56" i="26"/>
  <c r="I56" i="26"/>
  <c r="I26" i="26"/>
  <c r="E56" i="26"/>
  <c r="L56" i="26"/>
  <c r="C57" i="26"/>
  <c r="I57" i="26"/>
  <c r="I27" i="26"/>
  <c r="E57" i="26"/>
  <c r="L57" i="26"/>
  <c r="C58" i="26"/>
  <c r="I58" i="26"/>
  <c r="I28" i="26"/>
  <c r="E58" i="26"/>
  <c r="L58" i="26"/>
  <c r="C59" i="26"/>
  <c r="I59" i="26"/>
  <c r="I29" i="26"/>
  <c r="E59" i="26"/>
  <c r="L59" i="26"/>
  <c r="C60" i="26"/>
  <c r="I60" i="26"/>
  <c r="I30" i="26"/>
  <c r="E60" i="26"/>
  <c r="L60" i="26"/>
  <c r="C61" i="26"/>
  <c r="I61" i="26"/>
  <c r="I31" i="26"/>
  <c r="E61" i="26"/>
  <c r="L61" i="26"/>
  <c r="C62" i="26"/>
  <c r="I62" i="26"/>
  <c r="I32" i="26"/>
  <c r="E62" i="26"/>
  <c r="L62" i="26"/>
  <c r="C63" i="26"/>
  <c r="I63" i="26"/>
  <c r="I33" i="26"/>
  <c r="E63" i="26"/>
  <c r="L63" i="26"/>
  <c r="C64" i="26"/>
  <c r="I64" i="26"/>
  <c r="I34" i="26"/>
  <c r="E64" i="26"/>
  <c r="L64" i="26"/>
  <c r="I65" i="26"/>
  <c r="I35" i="26"/>
  <c r="I36" i="26"/>
  <c r="E65" i="26"/>
  <c r="L65" i="26"/>
  <c r="C66" i="26"/>
  <c r="I66" i="26"/>
  <c r="I37" i="26"/>
  <c r="E66" i="26"/>
  <c r="L66" i="26"/>
  <c r="C67" i="26"/>
  <c r="I67" i="26"/>
  <c r="I38" i="26"/>
  <c r="E67" i="26"/>
  <c r="L67" i="26"/>
  <c r="C68" i="26"/>
  <c r="I68" i="26"/>
  <c r="I39" i="26"/>
  <c r="E68" i="26"/>
  <c r="L68" i="26"/>
  <c r="C69" i="26"/>
  <c r="I69" i="26"/>
  <c r="I40" i="26"/>
  <c r="E69" i="26"/>
  <c r="L69" i="26"/>
  <c r="L70" i="26"/>
  <c r="N70" i="26"/>
  <c r="I70" i="26"/>
  <c r="J70" i="26"/>
  <c r="E70" i="26"/>
  <c r="G70" i="26"/>
  <c r="B70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7" i="26"/>
  <c r="B38" i="26"/>
  <c r="B39" i="26"/>
  <c r="B40" i="26"/>
  <c r="B49" i="26"/>
  <c r="B50" i="26"/>
  <c r="B51" i="26"/>
  <c r="B52" i="26"/>
  <c r="B53" i="26"/>
  <c r="B54" i="26"/>
  <c r="B55" i="26"/>
  <c r="B56" i="26"/>
  <c r="B57" i="26"/>
  <c r="B58" i="26"/>
  <c r="B59" i="26"/>
  <c r="B60" i="26"/>
  <c r="B61" i="26"/>
  <c r="B62" i="26"/>
  <c r="B63" i="26"/>
  <c r="B64" i="26"/>
  <c r="B65" i="26"/>
  <c r="B66" i="26"/>
  <c r="B67" i="26"/>
  <c r="B68" i="26"/>
  <c r="B69" i="26"/>
  <c r="A70" i="26"/>
  <c r="N69" i="26"/>
  <c r="J69" i="26"/>
  <c r="G69" i="26"/>
  <c r="A69" i="26"/>
  <c r="N68" i="26"/>
  <c r="J68" i="26"/>
  <c r="G68" i="26"/>
  <c r="A68" i="26"/>
  <c r="N67" i="26"/>
  <c r="J67" i="26"/>
  <c r="G67" i="26"/>
  <c r="A67" i="26"/>
  <c r="N66" i="26"/>
  <c r="J66" i="26"/>
  <c r="G66" i="26"/>
  <c r="A66" i="26"/>
  <c r="N65" i="26"/>
  <c r="J65" i="26"/>
  <c r="G65" i="26"/>
  <c r="C65" i="26"/>
  <c r="A65" i="26"/>
  <c r="N64" i="26"/>
  <c r="J64" i="26"/>
  <c r="G64" i="26"/>
  <c r="A64" i="26"/>
  <c r="N63" i="26"/>
  <c r="J63" i="26"/>
  <c r="G63" i="26"/>
  <c r="A63" i="26"/>
  <c r="N62" i="26"/>
  <c r="J62" i="26"/>
  <c r="G62" i="26"/>
  <c r="A62" i="26"/>
  <c r="N61" i="26"/>
  <c r="J61" i="26"/>
  <c r="G61" i="26"/>
  <c r="A61" i="26"/>
  <c r="N60" i="26"/>
  <c r="J60" i="26"/>
  <c r="G60" i="26"/>
  <c r="A60" i="26"/>
  <c r="N59" i="26"/>
  <c r="J59" i="26"/>
  <c r="G59" i="26"/>
  <c r="A59" i="26"/>
  <c r="N58" i="26"/>
  <c r="J58" i="26"/>
  <c r="G58" i="26"/>
  <c r="A58" i="26"/>
  <c r="N57" i="26"/>
  <c r="J57" i="26"/>
  <c r="G57" i="26"/>
  <c r="A57" i="26"/>
  <c r="N56" i="26"/>
  <c r="J56" i="26"/>
  <c r="G56" i="26"/>
  <c r="A56" i="26"/>
  <c r="N55" i="26"/>
  <c r="J55" i="26"/>
  <c r="G55" i="26"/>
  <c r="A55" i="26"/>
  <c r="N54" i="26"/>
  <c r="J54" i="26"/>
  <c r="G54" i="26"/>
  <c r="A54" i="26"/>
  <c r="N53" i="26"/>
  <c r="J53" i="26"/>
  <c r="G53" i="26"/>
  <c r="A53" i="26"/>
  <c r="N52" i="26"/>
  <c r="J52" i="26"/>
  <c r="G52" i="26"/>
  <c r="A52" i="26"/>
  <c r="N51" i="26"/>
  <c r="J51" i="26"/>
  <c r="G51" i="26"/>
  <c r="A51" i="26"/>
  <c r="N50" i="26"/>
  <c r="J50" i="26"/>
  <c r="G50" i="26"/>
  <c r="A50" i="26"/>
  <c r="N49" i="26"/>
  <c r="J49" i="26"/>
  <c r="G49" i="26"/>
  <c r="A49" i="26"/>
  <c r="A48" i="26"/>
  <c r="A47" i="26"/>
  <c r="A46" i="26"/>
  <c r="A45" i="26"/>
  <c r="N42" i="26"/>
  <c r="I42" i="26"/>
  <c r="N44" i="26"/>
  <c r="A44" i="26"/>
  <c r="A43" i="26"/>
  <c r="A42" i="26"/>
  <c r="A41" i="26"/>
  <c r="A40" i="26"/>
  <c r="A39" i="26"/>
  <c r="A38" i="26"/>
  <c r="A37" i="26"/>
  <c r="A36" i="26"/>
  <c r="A35" i="26"/>
  <c r="A34" i="26"/>
  <c r="A33" i="26"/>
  <c r="A32" i="26"/>
  <c r="A31" i="26"/>
  <c r="A30" i="26"/>
  <c r="A29" i="26"/>
  <c r="A28" i="26"/>
  <c r="A27" i="26"/>
  <c r="A26" i="26"/>
  <c r="A25" i="26"/>
  <c r="A24" i="26"/>
  <c r="A23" i="26"/>
  <c r="A22" i="26"/>
  <c r="A21" i="26"/>
  <c r="A20" i="26"/>
  <c r="A19" i="26"/>
  <c r="A18" i="26"/>
  <c r="A17" i="26"/>
  <c r="A16" i="26"/>
  <c r="A15" i="26"/>
  <c r="A14" i="26"/>
  <c r="A13" i="26"/>
  <c r="A12" i="26"/>
  <c r="A5" i="26"/>
  <c r="A4" i="26"/>
  <c r="B74" i="25"/>
  <c r="B73" i="25"/>
  <c r="B72" i="25"/>
  <c r="B71" i="25"/>
  <c r="A69" i="25"/>
  <c r="C47" i="25"/>
  <c r="N13" i="25"/>
  <c r="N14" i="25"/>
  <c r="N15" i="25"/>
  <c r="N16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6" i="22"/>
  <c r="C34" i="25"/>
  <c r="C35" i="25"/>
  <c r="C36" i="25"/>
  <c r="C37" i="25"/>
  <c r="C38" i="25"/>
  <c r="AO21" i="1"/>
  <c r="N19" i="25"/>
  <c r="K21" i="1"/>
  <c r="N20" i="25"/>
  <c r="AT21" i="1"/>
  <c r="N21" i="25"/>
  <c r="P21" i="1"/>
  <c r="N22" i="25"/>
  <c r="U21" i="1"/>
  <c r="N23" i="25"/>
  <c r="Z21" i="1"/>
  <c r="N24" i="25"/>
  <c r="AY21" i="1"/>
  <c r="N25" i="25"/>
  <c r="N26" i="25"/>
  <c r="AE21" i="1"/>
  <c r="N27" i="25"/>
  <c r="BI21" i="1"/>
  <c r="N28" i="25"/>
  <c r="BN21" i="1"/>
  <c r="N29" i="25"/>
  <c r="BS21" i="1"/>
  <c r="N30" i="25"/>
  <c r="BX21" i="1"/>
  <c r="N31" i="25"/>
  <c r="CC21" i="1"/>
  <c r="N32" i="25"/>
  <c r="AJ21" i="1"/>
  <c r="N33" i="25"/>
  <c r="N34" i="25"/>
  <c r="N35" i="25"/>
  <c r="L36" i="25"/>
  <c r="N36" i="25"/>
  <c r="L37" i="25"/>
  <c r="N37" i="25"/>
  <c r="N38" i="25"/>
  <c r="I47" i="25"/>
  <c r="I13" i="25"/>
  <c r="I14" i="25"/>
  <c r="I15" i="25"/>
  <c r="I16" i="25"/>
  <c r="E47" i="25"/>
  <c r="L47" i="25"/>
  <c r="C48" i="25"/>
  <c r="I48" i="25"/>
  <c r="I19" i="25"/>
  <c r="E48" i="25"/>
  <c r="L48" i="25"/>
  <c r="C49" i="25"/>
  <c r="I49" i="25"/>
  <c r="I20" i="25"/>
  <c r="E49" i="25"/>
  <c r="L49" i="25"/>
  <c r="C50" i="25"/>
  <c r="I50" i="25"/>
  <c r="I21" i="25"/>
  <c r="E50" i="25"/>
  <c r="L50" i="25"/>
  <c r="C51" i="25"/>
  <c r="I51" i="25"/>
  <c r="I22" i="25"/>
  <c r="E51" i="25"/>
  <c r="L51" i="25"/>
  <c r="C52" i="25"/>
  <c r="I52" i="25"/>
  <c r="I23" i="25"/>
  <c r="E52" i="25"/>
  <c r="L52" i="25"/>
  <c r="C53" i="25"/>
  <c r="I53" i="25"/>
  <c r="I24" i="25"/>
  <c r="E53" i="25"/>
  <c r="L53" i="25"/>
  <c r="C54" i="25"/>
  <c r="I54" i="25"/>
  <c r="I25" i="25"/>
  <c r="E54" i="25"/>
  <c r="L54" i="25"/>
  <c r="C55" i="25"/>
  <c r="I55" i="25"/>
  <c r="I26" i="25"/>
  <c r="E55" i="25"/>
  <c r="L55" i="25"/>
  <c r="C56" i="25"/>
  <c r="I56" i="25"/>
  <c r="I27" i="25"/>
  <c r="E56" i="25"/>
  <c r="L56" i="25"/>
  <c r="C57" i="25"/>
  <c r="I57" i="25"/>
  <c r="I28" i="25"/>
  <c r="E57" i="25"/>
  <c r="L57" i="25"/>
  <c r="C58" i="25"/>
  <c r="I58" i="25"/>
  <c r="I29" i="25"/>
  <c r="E58" i="25"/>
  <c r="L58" i="25"/>
  <c r="C59" i="25"/>
  <c r="I59" i="25"/>
  <c r="I30" i="25"/>
  <c r="E59" i="25"/>
  <c r="L59" i="25"/>
  <c r="C60" i="25"/>
  <c r="I60" i="25"/>
  <c r="I31" i="25"/>
  <c r="E60" i="25"/>
  <c r="L60" i="25"/>
  <c r="C61" i="25"/>
  <c r="I61" i="25"/>
  <c r="I32" i="25"/>
  <c r="E61" i="25"/>
  <c r="L61" i="25"/>
  <c r="C62" i="25"/>
  <c r="I62" i="25"/>
  <c r="I33" i="25"/>
  <c r="E62" i="25"/>
  <c r="L62" i="25"/>
  <c r="I63" i="25"/>
  <c r="I34" i="25"/>
  <c r="E63" i="25"/>
  <c r="L63" i="25"/>
  <c r="C64" i="25"/>
  <c r="I64" i="25"/>
  <c r="I35" i="25"/>
  <c r="E64" i="25"/>
  <c r="L64" i="25"/>
  <c r="C65" i="25"/>
  <c r="I65" i="25"/>
  <c r="I36" i="25"/>
  <c r="E65" i="25"/>
  <c r="L65" i="25"/>
  <c r="C66" i="25"/>
  <c r="I66" i="25"/>
  <c r="I37" i="25"/>
  <c r="E66" i="25"/>
  <c r="L66" i="25"/>
  <c r="C67" i="25"/>
  <c r="I67" i="25"/>
  <c r="I38" i="25"/>
  <c r="E67" i="25"/>
  <c r="L67" i="25"/>
  <c r="L68" i="25"/>
  <c r="N68" i="25"/>
  <c r="I68" i="25"/>
  <c r="J68" i="25"/>
  <c r="E68" i="25"/>
  <c r="G68" i="25"/>
  <c r="B68" i="25"/>
  <c r="B19" i="25"/>
  <c r="B20" i="25"/>
  <c r="B21" i="25"/>
  <c r="B22" i="25"/>
  <c r="B23" i="25"/>
  <c r="B24" i="25"/>
  <c r="B25" i="25"/>
  <c r="B26" i="25"/>
  <c r="B27" i="25"/>
  <c r="B28" i="25"/>
  <c r="B29" i="25"/>
  <c r="B30" i="25"/>
  <c r="B31" i="25"/>
  <c r="B32" i="25"/>
  <c r="B33" i="25"/>
  <c r="B36" i="22"/>
  <c r="B34" i="25"/>
  <c r="B35" i="25"/>
  <c r="B36" i="25"/>
  <c r="B37" i="25"/>
  <c r="B38" i="25"/>
  <c r="B47" i="25"/>
  <c r="B48" i="25"/>
  <c r="B49" i="25"/>
  <c r="B50" i="25"/>
  <c r="B51" i="25"/>
  <c r="B52" i="25"/>
  <c r="B53" i="25"/>
  <c r="B54" i="25"/>
  <c r="B55" i="25"/>
  <c r="B56" i="25"/>
  <c r="B57" i="25"/>
  <c r="B58" i="25"/>
  <c r="B59" i="25"/>
  <c r="B60" i="25"/>
  <c r="B61" i="25"/>
  <c r="B62" i="25"/>
  <c r="B63" i="25"/>
  <c r="B64" i="25"/>
  <c r="B65" i="25"/>
  <c r="B66" i="25"/>
  <c r="B67" i="25"/>
  <c r="A68" i="25"/>
  <c r="N67" i="25"/>
  <c r="J67" i="25"/>
  <c r="G67" i="25"/>
  <c r="A67" i="25"/>
  <c r="N66" i="25"/>
  <c r="J66" i="25"/>
  <c r="G66" i="25"/>
  <c r="A66" i="25"/>
  <c r="N65" i="25"/>
  <c r="J65" i="25"/>
  <c r="G65" i="25"/>
  <c r="A65" i="25"/>
  <c r="N64" i="25"/>
  <c r="J64" i="25"/>
  <c r="G64" i="25"/>
  <c r="A64" i="25"/>
  <c r="N63" i="25"/>
  <c r="J63" i="25"/>
  <c r="G63" i="25"/>
  <c r="C63" i="25"/>
  <c r="A63" i="25"/>
  <c r="N62" i="25"/>
  <c r="J62" i="25"/>
  <c r="G62" i="25"/>
  <c r="A62" i="25"/>
  <c r="N61" i="25"/>
  <c r="J61" i="25"/>
  <c r="G61" i="25"/>
  <c r="A61" i="25"/>
  <c r="N60" i="25"/>
  <c r="J60" i="25"/>
  <c r="G60" i="25"/>
  <c r="A60" i="25"/>
  <c r="N59" i="25"/>
  <c r="J59" i="25"/>
  <c r="G59" i="25"/>
  <c r="A59" i="25"/>
  <c r="N58" i="25"/>
  <c r="J58" i="25"/>
  <c r="G58" i="25"/>
  <c r="A58" i="25"/>
  <c r="N57" i="25"/>
  <c r="J57" i="25"/>
  <c r="G57" i="25"/>
  <c r="A57" i="25"/>
  <c r="N56" i="25"/>
  <c r="J56" i="25"/>
  <c r="G56" i="25"/>
  <c r="A56" i="25"/>
  <c r="N55" i="25"/>
  <c r="J55" i="25"/>
  <c r="G55" i="25"/>
  <c r="A55" i="25"/>
  <c r="N54" i="25"/>
  <c r="J54" i="25"/>
  <c r="G54" i="25"/>
  <c r="A54" i="25"/>
  <c r="N53" i="25"/>
  <c r="J53" i="25"/>
  <c r="G53" i="25"/>
  <c r="A53" i="25"/>
  <c r="N52" i="25"/>
  <c r="J52" i="25"/>
  <c r="G52" i="25"/>
  <c r="A52" i="25"/>
  <c r="N51" i="25"/>
  <c r="J51" i="25"/>
  <c r="G51" i="25"/>
  <c r="A51" i="25"/>
  <c r="N50" i="25"/>
  <c r="J50" i="25"/>
  <c r="G50" i="25"/>
  <c r="A50" i="25"/>
  <c r="N49" i="25"/>
  <c r="J49" i="25"/>
  <c r="G49" i="25"/>
  <c r="A49" i="25"/>
  <c r="N48" i="25"/>
  <c r="J48" i="25"/>
  <c r="G48" i="25"/>
  <c r="A48" i="25"/>
  <c r="N47" i="25"/>
  <c r="J47" i="25"/>
  <c r="G47" i="25"/>
  <c r="A47" i="25"/>
  <c r="A46" i="25"/>
  <c r="A45" i="25"/>
  <c r="A44" i="25"/>
  <c r="A43" i="25"/>
  <c r="N40" i="25"/>
  <c r="I40" i="25"/>
  <c r="N42" i="25"/>
  <c r="A42" i="25"/>
  <c r="A41" i="25"/>
  <c r="A40" i="25"/>
  <c r="A39" i="25"/>
  <c r="A38" i="25"/>
  <c r="A37" i="25"/>
  <c r="A36" i="25"/>
  <c r="A35" i="25"/>
  <c r="A34" i="25"/>
  <c r="A33" i="25"/>
  <c r="A32" i="25"/>
  <c r="A31" i="25"/>
  <c r="A30" i="25"/>
  <c r="A29" i="25"/>
  <c r="A28" i="25"/>
  <c r="A27" i="25"/>
  <c r="A26" i="25"/>
  <c r="A25" i="25"/>
  <c r="A24" i="25"/>
  <c r="A23" i="25"/>
  <c r="A22" i="25"/>
  <c r="A21" i="25"/>
  <c r="A20" i="25"/>
  <c r="A19" i="25"/>
  <c r="A18" i="25"/>
  <c r="A17" i="25"/>
  <c r="A16" i="25"/>
  <c r="A15" i="25"/>
  <c r="A14" i="25"/>
  <c r="A13" i="25"/>
  <c r="A12" i="25"/>
  <c r="A5" i="25"/>
  <c r="A4" i="25"/>
  <c r="B77" i="22"/>
  <c r="B78" i="23"/>
  <c r="B78" i="24"/>
  <c r="B73" i="24"/>
  <c r="A72" i="24"/>
  <c r="C13" i="24"/>
  <c r="C14" i="24"/>
  <c r="C15" i="24"/>
  <c r="C16" i="24"/>
  <c r="C17" i="24"/>
  <c r="C18" i="24"/>
  <c r="N13" i="24"/>
  <c r="N14" i="24"/>
  <c r="N15" i="24"/>
  <c r="N17" i="24"/>
  <c r="N18" i="24"/>
  <c r="N21" i="24"/>
  <c r="N22" i="24"/>
  <c r="N23" i="24"/>
  <c r="N24" i="24"/>
  <c r="N25" i="24"/>
  <c r="N26" i="24"/>
  <c r="N27" i="24"/>
  <c r="N28" i="24"/>
  <c r="N29" i="24"/>
  <c r="N30" i="24"/>
  <c r="N31" i="24"/>
  <c r="N32" i="24"/>
  <c r="N33" i="24"/>
  <c r="N34" i="24"/>
  <c r="N35" i="24"/>
  <c r="N36" i="24"/>
  <c r="N37" i="24"/>
  <c r="N38" i="24"/>
  <c r="L39" i="24"/>
  <c r="N39" i="24"/>
  <c r="L40" i="24"/>
  <c r="N40" i="24"/>
  <c r="N41" i="24"/>
  <c r="I50" i="24"/>
  <c r="I13" i="24"/>
  <c r="I14" i="24"/>
  <c r="I15" i="24"/>
  <c r="I17" i="24"/>
  <c r="I18" i="24"/>
  <c r="E50" i="24"/>
  <c r="L50" i="24"/>
  <c r="I51" i="24"/>
  <c r="I21" i="24"/>
  <c r="E51" i="24"/>
  <c r="L51" i="24"/>
  <c r="I52" i="24"/>
  <c r="I22" i="24"/>
  <c r="E52" i="24"/>
  <c r="L52" i="24"/>
  <c r="I53" i="24"/>
  <c r="I23" i="24"/>
  <c r="E53" i="24"/>
  <c r="L53" i="24"/>
  <c r="I54" i="24"/>
  <c r="I24" i="24"/>
  <c r="E54" i="24"/>
  <c r="L54" i="24"/>
  <c r="I55" i="24"/>
  <c r="I25" i="24"/>
  <c r="E55" i="24"/>
  <c r="L55" i="24"/>
  <c r="I56" i="24"/>
  <c r="I26" i="24"/>
  <c r="E56" i="24"/>
  <c r="L56" i="24"/>
  <c r="I57" i="24"/>
  <c r="I27" i="24"/>
  <c r="E57" i="24"/>
  <c r="L57" i="24"/>
  <c r="I58" i="24"/>
  <c r="I28" i="24"/>
  <c r="E58" i="24"/>
  <c r="L58" i="24"/>
  <c r="I59" i="24"/>
  <c r="I29" i="24"/>
  <c r="E59" i="24"/>
  <c r="L59" i="24"/>
  <c r="I60" i="24"/>
  <c r="I30" i="24"/>
  <c r="E60" i="24"/>
  <c r="L60" i="24"/>
  <c r="I61" i="24"/>
  <c r="I31" i="24"/>
  <c r="E61" i="24"/>
  <c r="L61" i="24"/>
  <c r="I62" i="24"/>
  <c r="I32" i="24"/>
  <c r="E62" i="24"/>
  <c r="L62" i="24"/>
  <c r="I63" i="24"/>
  <c r="I33" i="24"/>
  <c r="E63" i="24"/>
  <c r="L63" i="24"/>
  <c r="I64" i="24"/>
  <c r="I34" i="24"/>
  <c r="E64" i="24"/>
  <c r="L64" i="24"/>
  <c r="I65" i="24"/>
  <c r="I35" i="24"/>
  <c r="E65" i="24"/>
  <c r="L65" i="24"/>
  <c r="I66" i="24"/>
  <c r="I36" i="24"/>
  <c r="I37" i="24"/>
  <c r="E66" i="24"/>
  <c r="L66" i="24"/>
  <c r="I67" i="24"/>
  <c r="I38" i="24"/>
  <c r="E67" i="24"/>
  <c r="L67" i="24"/>
  <c r="I68" i="24"/>
  <c r="I39" i="24"/>
  <c r="E68" i="24"/>
  <c r="L68" i="24"/>
  <c r="I69" i="24"/>
  <c r="I40" i="24"/>
  <c r="E69" i="24"/>
  <c r="L69" i="24"/>
  <c r="I70" i="24"/>
  <c r="I41" i="24"/>
  <c r="E70" i="24"/>
  <c r="L70" i="24"/>
  <c r="L71" i="24"/>
  <c r="N71" i="24"/>
  <c r="I71" i="24"/>
  <c r="J71" i="24"/>
  <c r="E71" i="24"/>
  <c r="G71" i="24"/>
  <c r="B13" i="24"/>
  <c r="B14" i="24"/>
  <c r="B15" i="24"/>
  <c r="B16" i="24"/>
  <c r="B17" i="24"/>
  <c r="B18" i="24"/>
  <c r="B36" i="24"/>
  <c r="B37" i="24"/>
  <c r="A71" i="24"/>
  <c r="N70" i="24"/>
  <c r="J70" i="24"/>
  <c r="G70" i="24"/>
  <c r="A70" i="24"/>
  <c r="N69" i="24"/>
  <c r="J69" i="24"/>
  <c r="G69" i="24"/>
  <c r="A69" i="24"/>
  <c r="N68" i="24"/>
  <c r="J68" i="24"/>
  <c r="G68" i="24"/>
  <c r="A68" i="24"/>
  <c r="N67" i="24"/>
  <c r="J67" i="24"/>
  <c r="G67" i="24"/>
  <c r="A67" i="24"/>
  <c r="N66" i="24"/>
  <c r="J66" i="24"/>
  <c r="G66" i="24"/>
  <c r="A66" i="24"/>
  <c r="N65" i="24"/>
  <c r="J65" i="24"/>
  <c r="G65" i="24"/>
  <c r="A65" i="24"/>
  <c r="N64" i="24"/>
  <c r="J64" i="24"/>
  <c r="G64" i="24"/>
  <c r="A64" i="24"/>
  <c r="N63" i="24"/>
  <c r="J63" i="24"/>
  <c r="G63" i="24"/>
  <c r="A63" i="24"/>
  <c r="N62" i="24"/>
  <c r="J62" i="24"/>
  <c r="G62" i="24"/>
  <c r="A62" i="24"/>
  <c r="N61" i="24"/>
  <c r="J61" i="24"/>
  <c r="G61" i="24"/>
  <c r="A61" i="24"/>
  <c r="N60" i="24"/>
  <c r="J60" i="24"/>
  <c r="G60" i="24"/>
  <c r="A60" i="24"/>
  <c r="N59" i="24"/>
  <c r="J59" i="24"/>
  <c r="G59" i="24"/>
  <c r="A59" i="24"/>
  <c r="N58" i="24"/>
  <c r="J58" i="24"/>
  <c r="G58" i="24"/>
  <c r="A58" i="24"/>
  <c r="N57" i="24"/>
  <c r="J57" i="24"/>
  <c r="G57" i="24"/>
  <c r="A57" i="24"/>
  <c r="N56" i="24"/>
  <c r="J56" i="24"/>
  <c r="G56" i="24"/>
  <c r="A56" i="24"/>
  <c r="N55" i="24"/>
  <c r="J55" i="24"/>
  <c r="G55" i="24"/>
  <c r="A55" i="24"/>
  <c r="N54" i="24"/>
  <c r="J54" i="24"/>
  <c r="G54" i="24"/>
  <c r="A54" i="24"/>
  <c r="N53" i="24"/>
  <c r="J53" i="24"/>
  <c r="G53" i="24"/>
  <c r="A53" i="24"/>
  <c r="N52" i="24"/>
  <c r="J52" i="24"/>
  <c r="G52" i="24"/>
  <c r="A52" i="24"/>
  <c r="N51" i="24"/>
  <c r="J51" i="24"/>
  <c r="G51" i="24"/>
  <c r="A51" i="24"/>
  <c r="N50" i="24"/>
  <c r="J50" i="24"/>
  <c r="G50" i="24"/>
  <c r="A50" i="24"/>
  <c r="A49" i="24"/>
  <c r="A48" i="24"/>
  <c r="A47" i="24"/>
  <c r="A46" i="24"/>
  <c r="N43" i="24"/>
  <c r="I43" i="24"/>
  <c r="N45" i="24"/>
  <c r="A45" i="24"/>
  <c r="A44" i="24"/>
  <c r="A43" i="24"/>
  <c r="A42" i="24"/>
  <c r="A41" i="24"/>
  <c r="A40" i="24"/>
  <c r="A39" i="24"/>
  <c r="A38" i="24"/>
  <c r="A37" i="24"/>
  <c r="A36" i="24"/>
  <c r="A35" i="24"/>
  <c r="A34" i="24"/>
  <c r="A33" i="24"/>
  <c r="A32" i="24"/>
  <c r="A31" i="24"/>
  <c r="A30" i="24"/>
  <c r="A29" i="24"/>
  <c r="A28" i="24"/>
  <c r="A27" i="24"/>
  <c r="A26" i="24"/>
  <c r="A25" i="24"/>
  <c r="A24" i="24"/>
  <c r="A23" i="24"/>
  <c r="A22" i="24"/>
  <c r="A21" i="24"/>
  <c r="A20" i="24"/>
  <c r="A19" i="24"/>
  <c r="A18" i="24"/>
  <c r="A17" i="24"/>
  <c r="A16" i="24"/>
  <c r="A15" i="24"/>
  <c r="A14" i="24"/>
  <c r="A13" i="24"/>
  <c r="A12" i="24"/>
  <c r="A5" i="24"/>
  <c r="A4" i="24"/>
  <c r="A72" i="23"/>
  <c r="N13" i="23"/>
  <c r="N14" i="23"/>
  <c r="N15" i="23"/>
  <c r="N17" i="23"/>
  <c r="N18" i="23"/>
  <c r="I50" i="23"/>
  <c r="I13" i="23"/>
  <c r="I14" i="23"/>
  <c r="I15" i="23"/>
  <c r="I17" i="23"/>
  <c r="I18" i="23"/>
  <c r="E50" i="23"/>
  <c r="L50" i="23"/>
  <c r="AO19" i="1"/>
  <c r="N21" i="23"/>
  <c r="I51" i="23"/>
  <c r="I21" i="23"/>
  <c r="E51" i="23"/>
  <c r="L51" i="23"/>
  <c r="K19" i="1"/>
  <c r="N22" i="23"/>
  <c r="I52" i="23"/>
  <c r="I22" i="23"/>
  <c r="E52" i="23"/>
  <c r="L52" i="23"/>
  <c r="AT19" i="1"/>
  <c r="N23" i="23"/>
  <c r="I53" i="23"/>
  <c r="I23" i="23"/>
  <c r="E53" i="23"/>
  <c r="L53" i="23"/>
  <c r="P19" i="1"/>
  <c r="N24" i="23"/>
  <c r="I54" i="23"/>
  <c r="I24" i="23"/>
  <c r="E54" i="23"/>
  <c r="L54" i="23"/>
  <c r="U19" i="1"/>
  <c r="N25" i="23"/>
  <c r="I55" i="23"/>
  <c r="I25" i="23"/>
  <c r="E55" i="23"/>
  <c r="L55" i="23"/>
  <c r="Z19" i="1"/>
  <c r="N26" i="23"/>
  <c r="I56" i="23"/>
  <c r="I26" i="23"/>
  <c r="E56" i="23"/>
  <c r="L56" i="23"/>
  <c r="AY19" i="1"/>
  <c r="N27" i="23"/>
  <c r="I57" i="23"/>
  <c r="I27" i="23"/>
  <c r="E57" i="23"/>
  <c r="L57" i="23"/>
  <c r="N28" i="23"/>
  <c r="I58" i="23"/>
  <c r="I28" i="23"/>
  <c r="E58" i="23"/>
  <c r="L58" i="23"/>
  <c r="AE19" i="1"/>
  <c r="N29" i="23"/>
  <c r="I59" i="23"/>
  <c r="I29" i="23"/>
  <c r="E59" i="23"/>
  <c r="L59" i="23"/>
  <c r="BI19" i="1"/>
  <c r="N30" i="23"/>
  <c r="I60" i="23"/>
  <c r="I30" i="23"/>
  <c r="E60" i="23"/>
  <c r="L60" i="23"/>
  <c r="BN19" i="1"/>
  <c r="N31" i="23"/>
  <c r="I61" i="23"/>
  <c r="I31" i="23"/>
  <c r="E61" i="23"/>
  <c r="L61" i="23"/>
  <c r="BS19" i="1"/>
  <c r="N32" i="23"/>
  <c r="I62" i="23"/>
  <c r="I32" i="23"/>
  <c r="E62" i="23"/>
  <c r="L62" i="23"/>
  <c r="BX19" i="1"/>
  <c r="N33" i="23"/>
  <c r="I63" i="23"/>
  <c r="I33" i="23"/>
  <c r="E63" i="23"/>
  <c r="L63" i="23"/>
  <c r="CC19" i="1"/>
  <c r="N34" i="23"/>
  <c r="I64" i="23"/>
  <c r="I34" i="23"/>
  <c r="E64" i="23"/>
  <c r="L64" i="23"/>
  <c r="AJ19" i="1"/>
  <c r="N35" i="23"/>
  <c r="I65" i="23"/>
  <c r="I35" i="23"/>
  <c r="E65" i="23"/>
  <c r="L65" i="23"/>
  <c r="N36" i="23"/>
  <c r="N37" i="23"/>
  <c r="I66" i="23"/>
  <c r="I36" i="23"/>
  <c r="I37" i="23"/>
  <c r="E66" i="23"/>
  <c r="L66" i="23"/>
  <c r="N38" i="23"/>
  <c r="I67" i="23"/>
  <c r="I38" i="23"/>
  <c r="E67" i="23"/>
  <c r="L67" i="23"/>
  <c r="L39" i="23"/>
  <c r="N39" i="23"/>
  <c r="I68" i="23"/>
  <c r="I39" i="23"/>
  <c r="E68" i="23"/>
  <c r="L68" i="23"/>
  <c r="L40" i="23"/>
  <c r="N40" i="23"/>
  <c r="I69" i="23"/>
  <c r="I40" i="23"/>
  <c r="E69" i="23"/>
  <c r="L69" i="23"/>
  <c r="N41" i="23"/>
  <c r="I70" i="23"/>
  <c r="I41" i="23"/>
  <c r="E70" i="23"/>
  <c r="L70" i="23"/>
  <c r="L71" i="23"/>
  <c r="N71" i="23"/>
  <c r="I71" i="23"/>
  <c r="J71" i="23"/>
  <c r="E71" i="23"/>
  <c r="G71" i="23"/>
  <c r="A71" i="23"/>
  <c r="N70" i="23"/>
  <c r="J70" i="23"/>
  <c r="G70" i="23"/>
  <c r="A70" i="23"/>
  <c r="N69" i="23"/>
  <c r="J69" i="23"/>
  <c r="G69" i="23"/>
  <c r="A69" i="23"/>
  <c r="N68" i="23"/>
  <c r="J68" i="23"/>
  <c r="G68" i="23"/>
  <c r="A68" i="23"/>
  <c r="N67" i="23"/>
  <c r="J67" i="23"/>
  <c r="G67" i="23"/>
  <c r="A67" i="23"/>
  <c r="N66" i="23"/>
  <c r="J66" i="23"/>
  <c r="G66" i="23"/>
  <c r="A66" i="23"/>
  <c r="N65" i="23"/>
  <c r="J65" i="23"/>
  <c r="G65" i="23"/>
  <c r="A65" i="23"/>
  <c r="N64" i="23"/>
  <c r="J64" i="23"/>
  <c r="G64" i="23"/>
  <c r="A64" i="23"/>
  <c r="N63" i="23"/>
  <c r="J63" i="23"/>
  <c r="G63" i="23"/>
  <c r="A63" i="23"/>
  <c r="N62" i="23"/>
  <c r="J62" i="23"/>
  <c r="G62" i="23"/>
  <c r="A62" i="23"/>
  <c r="N61" i="23"/>
  <c r="J61" i="23"/>
  <c r="G61" i="23"/>
  <c r="A61" i="23"/>
  <c r="N60" i="23"/>
  <c r="J60" i="23"/>
  <c r="G60" i="23"/>
  <c r="A60" i="23"/>
  <c r="N59" i="23"/>
  <c r="J59" i="23"/>
  <c r="G59" i="23"/>
  <c r="A59" i="23"/>
  <c r="N58" i="23"/>
  <c r="J58" i="23"/>
  <c r="G58" i="23"/>
  <c r="A58" i="23"/>
  <c r="N57" i="23"/>
  <c r="J57" i="23"/>
  <c r="G57" i="23"/>
  <c r="A57" i="23"/>
  <c r="N56" i="23"/>
  <c r="J56" i="23"/>
  <c r="G56" i="23"/>
  <c r="A56" i="23"/>
  <c r="N55" i="23"/>
  <c r="J55" i="23"/>
  <c r="G55" i="23"/>
  <c r="A55" i="23"/>
  <c r="N54" i="23"/>
  <c r="J54" i="23"/>
  <c r="G54" i="23"/>
  <c r="A54" i="23"/>
  <c r="N53" i="23"/>
  <c r="J53" i="23"/>
  <c r="G53" i="23"/>
  <c r="A53" i="23"/>
  <c r="N52" i="23"/>
  <c r="J52" i="23"/>
  <c r="G52" i="23"/>
  <c r="A52" i="23"/>
  <c r="N51" i="23"/>
  <c r="J51" i="23"/>
  <c r="G51" i="23"/>
  <c r="A51" i="23"/>
  <c r="N50" i="23"/>
  <c r="J50" i="23"/>
  <c r="G50" i="23"/>
  <c r="A50" i="23"/>
  <c r="A49" i="23"/>
  <c r="A48" i="23"/>
  <c r="A47" i="23"/>
  <c r="A46" i="23"/>
  <c r="N43" i="23"/>
  <c r="I43" i="23"/>
  <c r="N45" i="23"/>
  <c r="A45" i="23"/>
  <c r="A44" i="23"/>
  <c r="A43" i="23"/>
  <c r="A42" i="23"/>
  <c r="A41" i="23"/>
  <c r="A40" i="23"/>
  <c r="A39" i="23"/>
  <c r="A38" i="23"/>
  <c r="A37" i="23"/>
  <c r="A36" i="23"/>
  <c r="A35" i="23"/>
  <c r="A34" i="23"/>
  <c r="A33" i="23"/>
  <c r="A32" i="23"/>
  <c r="A31" i="23"/>
  <c r="A30" i="23"/>
  <c r="A29" i="23"/>
  <c r="A28" i="23"/>
  <c r="A27" i="23"/>
  <c r="A26" i="23"/>
  <c r="A25" i="23"/>
  <c r="A24" i="23"/>
  <c r="A23" i="23"/>
  <c r="A22" i="23"/>
  <c r="A21" i="23"/>
  <c r="A20" i="23"/>
  <c r="A19" i="23"/>
  <c r="A18" i="23"/>
  <c r="A17" i="23"/>
  <c r="A16" i="23"/>
  <c r="A15" i="23"/>
  <c r="A14" i="23"/>
  <c r="A13" i="23"/>
  <c r="A12" i="23"/>
  <c r="A5" i="23"/>
  <c r="A4" i="23"/>
  <c r="A71" i="22"/>
  <c r="N13" i="22"/>
  <c r="N14" i="22"/>
  <c r="N15" i="22"/>
  <c r="N17" i="22"/>
  <c r="N18" i="22"/>
  <c r="I49" i="22"/>
  <c r="I13" i="22"/>
  <c r="I14" i="22"/>
  <c r="I15" i="22"/>
  <c r="I17" i="22"/>
  <c r="I18" i="22"/>
  <c r="E49" i="22"/>
  <c r="L49" i="22"/>
  <c r="N21" i="22"/>
  <c r="I50" i="22"/>
  <c r="I21" i="22"/>
  <c r="E50" i="22"/>
  <c r="L50" i="22"/>
  <c r="N22" i="22"/>
  <c r="I51" i="22"/>
  <c r="I22" i="22"/>
  <c r="E51" i="22"/>
  <c r="L51" i="22"/>
  <c r="N23" i="22"/>
  <c r="I52" i="22"/>
  <c r="I23" i="22"/>
  <c r="E52" i="22"/>
  <c r="L52" i="22"/>
  <c r="N24" i="22"/>
  <c r="I53" i="22"/>
  <c r="I24" i="22"/>
  <c r="E53" i="22"/>
  <c r="L53" i="22"/>
  <c r="N25" i="22"/>
  <c r="I54" i="22"/>
  <c r="I25" i="22"/>
  <c r="E54" i="22"/>
  <c r="L54" i="22"/>
  <c r="N26" i="22"/>
  <c r="I55" i="22"/>
  <c r="I26" i="22"/>
  <c r="E55" i="22"/>
  <c r="L55" i="22"/>
  <c r="N27" i="22"/>
  <c r="I56" i="22"/>
  <c r="I27" i="22"/>
  <c r="E56" i="22"/>
  <c r="L56" i="22"/>
  <c r="N28" i="22"/>
  <c r="I57" i="22"/>
  <c r="I28" i="22"/>
  <c r="E57" i="22"/>
  <c r="L57" i="22"/>
  <c r="N29" i="22"/>
  <c r="I58" i="22"/>
  <c r="I29" i="22"/>
  <c r="E58" i="22"/>
  <c r="L58" i="22"/>
  <c r="N30" i="22"/>
  <c r="I59" i="22"/>
  <c r="I30" i="22"/>
  <c r="E59" i="22"/>
  <c r="L59" i="22"/>
  <c r="N31" i="22"/>
  <c r="I60" i="22"/>
  <c r="I31" i="22"/>
  <c r="E60" i="22"/>
  <c r="L60" i="22"/>
  <c r="N32" i="22"/>
  <c r="I61" i="22"/>
  <c r="I32" i="22"/>
  <c r="E61" i="22"/>
  <c r="L61" i="22"/>
  <c r="N33" i="22"/>
  <c r="I62" i="22"/>
  <c r="I33" i="22"/>
  <c r="E62" i="22"/>
  <c r="L62" i="22"/>
  <c r="N34" i="22"/>
  <c r="I63" i="22"/>
  <c r="I34" i="22"/>
  <c r="E63" i="22"/>
  <c r="L63" i="22"/>
  <c r="N35" i="22"/>
  <c r="I64" i="22"/>
  <c r="I35" i="22"/>
  <c r="E64" i="22"/>
  <c r="L64" i="22"/>
  <c r="N36" i="22"/>
  <c r="I65" i="22"/>
  <c r="I36" i="22"/>
  <c r="E65" i="22"/>
  <c r="L65" i="22"/>
  <c r="N37" i="22"/>
  <c r="I66" i="22"/>
  <c r="I37" i="22"/>
  <c r="E66" i="22"/>
  <c r="L66" i="22"/>
  <c r="L38" i="22"/>
  <c r="N38" i="22"/>
  <c r="I67" i="22"/>
  <c r="I38" i="22"/>
  <c r="E67" i="22"/>
  <c r="L67" i="22"/>
  <c r="L39" i="22"/>
  <c r="N39" i="22"/>
  <c r="I68" i="22"/>
  <c r="I39" i="22"/>
  <c r="E68" i="22"/>
  <c r="L68" i="22"/>
  <c r="N40" i="22"/>
  <c r="I69" i="22"/>
  <c r="I40" i="22"/>
  <c r="E69" i="22"/>
  <c r="L69" i="22"/>
  <c r="L70" i="22"/>
  <c r="N70" i="22"/>
  <c r="I70" i="22"/>
  <c r="J70" i="22"/>
  <c r="E70" i="22"/>
  <c r="G70" i="22"/>
  <c r="A70" i="22"/>
  <c r="N69" i="22"/>
  <c r="J69" i="22"/>
  <c r="G69" i="22"/>
  <c r="A69" i="22"/>
  <c r="N68" i="22"/>
  <c r="J68" i="22"/>
  <c r="G68" i="22"/>
  <c r="A68" i="22"/>
  <c r="N67" i="22"/>
  <c r="J67" i="22"/>
  <c r="G67" i="22"/>
  <c r="A67" i="22"/>
  <c r="N66" i="22"/>
  <c r="J66" i="22"/>
  <c r="G66" i="22"/>
  <c r="A66" i="22"/>
  <c r="N65" i="22"/>
  <c r="J65" i="22"/>
  <c r="G65" i="22"/>
  <c r="A65" i="22"/>
  <c r="N64" i="22"/>
  <c r="J64" i="22"/>
  <c r="G64" i="22"/>
  <c r="A64" i="22"/>
  <c r="N63" i="22"/>
  <c r="J63" i="22"/>
  <c r="G63" i="22"/>
  <c r="A63" i="22"/>
  <c r="N62" i="22"/>
  <c r="J62" i="22"/>
  <c r="G62" i="22"/>
  <c r="A62" i="22"/>
  <c r="N61" i="22"/>
  <c r="J61" i="22"/>
  <c r="G61" i="22"/>
  <c r="A61" i="22"/>
  <c r="N60" i="22"/>
  <c r="J60" i="22"/>
  <c r="G60" i="22"/>
  <c r="A60" i="22"/>
  <c r="N59" i="22"/>
  <c r="J59" i="22"/>
  <c r="G59" i="22"/>
  <c r="A59" i="22"/>
  <c r="N58" i="22"/>
  <c r="J58" i="22"/>
  <c r="G58" i="22"/>
  <c r="A58" i="22"/>
  <c r="N57" i="22"/>
  <c r="J57" i="22"/>
  <c r="G57" i="22"/>
  <c r="A57" i="22"/>
  <c r="N56" i="22"/>
  <c r="J56" i="22"/>
  <c r="G56" i="22"/>
  <c r="A56" i="22"/>
  <c r="N55" i="22"/>
  <c r="J55" i="22"/>
  <c r="G55" i="22"/>
  <c r="A55" i="22"/>
  <c r="N54" i="22"/>
  <c r="J54" i="22"/>
  <c r="G54" i="22"/>
  <c r="A54" i="22"/>
  <c r="N53" i="22"/>
  <c r="J53" i="22"/>
  <c r="G53" i="22"/>
  <c r="A53" i="22"/>
  <c r="N52" i="22"/>
  <c r="J52" i="22"/>
  <c r="G52" i="22"/>
  <c r="A52" i="22"/>
  <c r="N51" i="22"/>
  <c r="J51" i="22"/>
  <c r="G51" i="22"/>
  <c r="A51" i="22"/>
  <c r="N50" i="22"/>
  <c r="J50" i="22"/>
  <c r="G50" i="22"/>
  <c r="A50" i="22"/>
  <c r="N49" i="22"/>
  <c r="J49" i="22"/>
  <c r="G49" i="22"/>
  <c r="A49" i="22"/>
  <c r="A48" i="22"/>
  <c r="A47" i="22"/>
  <c r="A46" i="22"/>
  <c r="A45" i="22"/>
  <c r="N42" i="22"/>
  <c r="I42" i="22"/>
  <c r="N44" i="22"/>
  <c r="A44" i="22"/>
  <c r="A43" i="22"/>
  <c r="A42" i="22"/>
  <c r="A41" i="22"/>
  <c r="A40" i="22"/>
  <c r="A39" i="22"/>
  <c r="A38" i="22"/>
  <c r="A37" i="22"/>
  <c r="A36" i="22"/>
  <c r="A35" i="22"/>
  <c r="A34" i="22"/>
  <c r="A33" i="22"/>
  <c r="A32" i="22"/>
  <c r="A31" i="22"/>
  <c r="A30" i="22"/>
  <c r="A29" i="22"/>
  <c r="A28" i="22"/>
  <c r="A27" i="22"/>
  <c r="A26" i="22"/>
  <c r="A25" i="22"/>
  <c r="A24" i="22"/>
  <c r="A23" i="22"/>
  <c r="A22" i="22"/>
  <c r="A21" i="22"/>
  <c r="A20" i="22"/>
  <c r="A19" i="22"/>
  <c r="A18" i="22"/>
  <c r="A17" i="22"/>
  <c r="A16" i="22"/>
  <c r="A15" i="22"/>
  <c r="A14" i="22"/>
  <c r="A13" i="22"/>
  <c r="A12" i="22"/>
  <c r="A5" i="22"/>
  <c r="A4" i="22"/>
  <c r="A68" i="21"/>
  <c r="N13" i="21"/>
  <c r="N14" i="21"/>
  <c r="N15" i="21"/>
  <c r="I46" i="21"/>
  <c r="I13" i="21"/>
  <c r="I14" i="21"/>
  <c r="I15" i="21"/>
  <c r="E46" i="21"/>
  <c r="L46" i="21"/>
  <c r="N18" i="21"/>
  <c r="I47" i="21"/>
  <c r="I18" i="21"/>
  <c r="E47" i="21"/>
  <c r="L47" i="21"/>
  <c r="N19" i="21"/>
  <c r="I48" i="21"/>
  <c r="I19" i="21"/>
  <c r="E48" i="21"/>
  <c r="L48" i="21"/>
  <c r="N20" i="21"/>
  <c r="I49" i="21"/>
  <c r="I20" i="21"/>
  <c r="E49" i="21"/>
  <c r="L49" i="21"/>
  <c r="N21" i="21"/>
  <c r="I50" i="21"/>
  <c r="I21" i="21"/>
  <c r="E50" i="21"/>
  <c r="L50" i="21"/>
  <c r="N22" i="21"/>
  <c r="I51" i="21"/>
  <c r="I22" i="21"/>
  <c r="E51" i="21"/>
  <c r="L51" i="21"/>
  <c r="N23" i="21"/>
  <c r="I52" i="21"/>
  <c r="I23" i="21"/>
  <c r="E52" i="21"/>
  <c r="L52" i="21"/>
  <c r="N24" i="21"/>
  <c r="I53" i="21"/>
  <c r="I24" i="21"/>
  <c r="E53" i="21"/>
  <c r="L53" i="21"/>
  <c r="N25" i="21"/>
  <c r="I54" i="21"/>
  <c r="I25" i="21"/>
  <c r="E54" i="21"/>
  <c r="L54" i="21"/>
  <c r="N26" i="21"/>
  <c r="I55" i="21"/>
  <c r="I26" i="21"/>
  <c r="E55" i="21"/>
  <c r="L55" i="21"/>
  <c r="N27" i="21"/>
  <c r="I56" i="21"/>
  <c r="I27" i="21"/>
  <c r="E56" i="21"/>
  <c r="L56" i="21"/>
  <c r="N28" i="21"/>
  <c r="I57" i="21"/>
  <c r="I28" i="21"/>
  <c r="E57" i="21"/>
  <c r="L57" i="21"/>
  <c r="N29" i="21"/>
  <c r="I58" i="21"/>
  <c r="I29" i="21"/>
  <c r="E58" i="21"/>
  <c r="L58" i="21"/>
  <c r="N30" i="21"/>
  <c r="I59" i="21"/>
  <c r="I30" i="21"/>
  <c r="E59" i="21"/>
  <c r="L59" i="21"/>
  <c r="N31" i="21"/>
  <c r="I60" i="21"/>
  <c r="I31" i="21"/>
  <c r="E60" i="21"/>
  <c r="L60" i="21"/>
  <c r="N32" i="21"/>
  <c r="I61" i="21"/>
  <c r="I32" i="21"/>
  <c r="E61" i="21"/>
  <c r="L61" i="21"/>
  <c r="N33" i="21"/>
  <c r="I62" i="21"/>
  <c r="I33" i="21"/>
  <c r="E62" i="21"/>
  <c r="L62" i="21"/>
  <c r="N34" i="21"/>
  <c r="I63" i="21"/>
  <c r="I34" i="21"/>
  <c r="E63" i="21"/>
  <c r="L63" i="21"/>
  <c r="L35" i="21"/>
  <c r="N35" i="21"/>
  <c r="I64" i="21"/>
  <c r="I35" i="21"/>
  <c r="E64" i="21"/>
  <c r="L64" i="21"/>
  <c r="L36" i="21"/>
  <c r="N36" i="21"/>
  <c r="I65" i="21"/>
  <c r="I36" i="21"/>
  <c r="E65" i="21"/>
  <c r="L65" i="21"/>
  <c r="N37" i="21"/>
  <c r="I66" i="21"/>
  <c r="I37" i="21"/>
  <c r="E66" i="21"/>
  <c r="L66" i="21"/>
  <c r="L67" i="21"/>
  <c r="N67" i="21"/>
  <c r="I67" i="21"/>
  <c r="J67" i="21"/>
  <c r="E67" i="21"/>
  <c r="G67" i="21"/>
  <c r="A67" i="21"/>
  <c r="N66" i="21"/>
  <c r="J66" i="21"/>
  <c r="G66" i="21"/>
  <c r="A66" i="21"/>
  <c r="N65" i="21"/>
  <c r="J65" i="21"/>
  <c r="G65" i="21"/>
  <c r="A65" i="21"/>
  <c r="N64" i="21"/>
  <c r="J64" i="21"/>
  <c r="G64" i="21"/>
  <c r="A64" i="21"/>
  <c r="N63" i="21"/>
  <c r="J63" i="21"/>
  <c r="G63" i="21"/>
  <c r="A63" i="21"/>
  <c r="N62" i="21"/>
  <c r="J62" i="21"/>
  <c r="G62" i="21"/>
  <c r="A62" i="21"/>
  <c r="N61" i="21"/>
  <c r="J61" i="21"/>
  <c r="G61" i="21"/>
  <c r="A61" i="21"/>
  <c r="N60" i="21"/>
  <c r="J60" i="21"/>
  <c r="G60" i="21"/>
  <c r="A60" i="21"/>
  <c r="N59" i="21"/>
  <c r="J59" i="21"/>
  <c r="G59" i="21"/>
  <c r="A59" i="21"/>
  <c r="N58" i="21"/>
  <c r="J58" i="21"/>
  <c r="G58" i="21"/>
  <c r="A58" i="21"/>
  <c r="N57" i="21"/>
  <c r="J57" i="21"/>
  <c r="G57" i="21"/>
  <c r="A57" i="21"/>
  <c r="N56" i="21"/>
  <c r="J56" i="21"/>
  <c r="G56" i="21"/>
  <c r="A56" i="21"/>
  <c r="N55" i="21"/>
  <c r="J55" i="21"/>
  <c r="G55" i="21"/>
  <c r="A55" i="21"/>
  <c r="N54" i="21"/>
  <c r="J54" i="21"/>
  <c r="G54" i="21"/>
  <c r="A54" i="21"/>
  <c r="N53" i="21"/>
  <c r="J53" i="21"/>
  <c r="G53" i="21"/>
  <c r="A53" i="21"/>
  <c r="N52" i="21"/>
  <c r="J52" i="21"/>
  <c r="G52" i="21"/>
  <c r="A52" i="21"/>
  <c r="N51" i="21"/>
  <c r="J51" i="21"/>
  <c r="G51" i="21"/>
  <c r="A51" i="21"/>
  <c r="N50" i="21"/>
  <c r="J50" i="21"/>
  <c r="G50" i="21"/>
  <c r="A50" i="21"/>
  <c r="N49" i="21"/>
  <c r="J49" i="21"/>
  <c r="G49" i="21"/>
  <c r="A49" i="21"/>
  <c r="N48" i="21"/>
  <c r="J48" i="21"/>
  <c r="G48" i="21"/>
  <c r="A48" i="21"/>
  <c r="N47" i="21"/>
  <c r="J47" i="21"/>
  <c r="G47" i="21"/>
  <c r="A47" i="21"/>
  <c r="N46" i="21"/>
  <c r="J46" i="21"/>
  <c r="G46" i="21"/>
  <c r="A46" i="21"/>
  <c r="A45" i="21"/>
  <c r="A44" i="21"/>
  <c r="A43" i="21"/>
  <c r="A42" i="21"/>
  <c r="N39" i="21"/>
  <c r="I39" i="21"/>
  <c r="N41" i="21"/>
  <c r="A41" i="21"/>
  <c r="A40" i="21"/>
  <c r="A39" i="21"/>
  <c r="A38" i="21"/>
  <c r="A37" i="21"/>
  <c r="A36" i="21"/>
  <c r="A35" i="21"/>
  <c r="A34" i="21"/>
  <c r="A33" i="21"/>
  <c r="A32" i="21"/>
  <c r="A31" i="21"/>
  <c r="A30" i="21"/>
  <c r="A29" i="21"/>
  <c r="A28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2" i="21"/>
  <c r="A5" i="21"/>
  <c r="A4" i="21"/>
  <c r="B77" i="20"/>
  <c r="B76" i="20"/>
  <c r="B75" i="20"/>
  <c r="B74" i="20"/>
  <c r="A72" i="20"/>
  <c r="C50" i="20"/>
  <c r="N13" i="20"/>
  <c r="N15" i="20"/>
  <c r="N16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AO17" i="1"/>
  <c r="N22" i="20"/>
  <c r="K17" i="1"/>
  <c r="N23" i="20"/>
  <c r="AT17" i="1"/>
  <c r="N24" i="20"/>
  <c r="P17" i="1"/>
  <c r="N25" i="20"/>
  <c r="U17" i="1"/>
  <c r="N26" i="20"/>
  <c r="Z17" i="1"/>
  <c r="N27" i="20"/>
  <c r="AY17" i="1"/>
  <c r="N28" i="20"/>
  <c r="N29" i="20"/>
  <c r="AE17" i="1"/>
  <c r="N30" i="20"/>
  <c r="BI17" i="1"/>
  <c r="N31" i="20"/>
  <c r="BN17" i="1"/>
  <c r="N32" i="20"/>
  <c r="BS17" i="1"/>
  <c r="N33" i="20"/>
  <c r="BX17" i="1"/>
  <c r="N34" i="20"/>
  <c r="CC17" i="1"/>
  <c r="N35" i="20"/>
  <c r="AJ17" i="1"/>
  <c r="N36" i="20"/>
  <c r="N37" i="20"/>
  <c r="N38" i="20"/>
  <c r="L39" i="20"/>
  <c r="N39" i="20"/>
  <c r="L40" i="20"/>
  <c r="N40" i="20"/>
  <c r="N41" i="20"/>
  <c r="I50" i="20"/>
  <c r="I13" i="20"/>
  <c r="I15" i="20"/>
  <c r="I16" i="20"/>
  <c r="E50" i="20"/>
  <c r="L50" i="20"/>
  <c r="C51" i="20"/>
  <c r="I51" i="20"/>
  <c r="I22" i="20"/>
  <c r="E51" i="20"/>
  <c r="L51" i="20"/>
  <c r="C52" i="20"/>
  <c r="I52" i="20"/>
  <c r="I23" i="20"/>
  <c r="E52" i="20"/>
  <c r="L52" i="20"/>
  <c r="C53" i="20"/>
  <c r="I53" i="20"/>
  <c r="I24" i="20"/>
  <c r="E53" i="20"/>
  <c r="L53" i="20"/>
  <c r="C54" i="20"/>
  <c r="I54" i="20"/>
  <c r="I25" i="20"/>
  <c r="E54" i="20"/>
  <c r="L54" i="20"/>
  <c r="C55" i="20"/>
  <c r="I55" i="20"/>
  <c r="I26" i="20"/>
  <c r="E55" i="20"/>
  <c r="L55" i="20"/>
  <c r="C56" i="20"/>
  <c r="I56" i="20"/>
  <c r="I27" i="20"/>
  <c r="E56" i="20"/>
  <c r="L56" i="20"/>
  <c r="C57" i="20"/>
  <c r="I57" i="20"/>
  <c r="I28" i="20"/>
  <c r="E57" i="20"/>
  <c r="L57" i="20"/>
  <c r="C58" i="20"/>
  <c r="I58" i="20"/>
  <c r="I29" i="20"/>
  <c r="E58" i="20"/>
  <c r="L58" i="20"/>
  <c r="C59" i="20"/>
  <c r="I59" i="20"/>
  <c r="I30" i="20"/>
  <c r="E59" i="20"/>
  <c r="L59" i="20"/>
  <c r="C60" i="20"/>
  <c r="I60" i="20"/>
  <c r="I31" i="20"/>
  <c r="E60" i="20"/>
  <c r="L60" i="20"/>
  <c r="C61" i="20"/>
  <c r="I61" i="20"/>
  <c r="I32" i="20"/>
  <c r="E61" i="20"/>
  <c r="L61" i="20"/>
  <c r="C62" i="20"/>
  <c r="I62" i="20"/>
  <c r="I33" i="20"/>
  <c r="E62" i="20"/>
  <c r="L62" i="20"/>
  <c r="C63" i="20"/>
  <c r="I63" i="20"/>
  <c r="I34" i="20"/>
  <c r="E63" i="20"/>
  <c r="L63" i="20"/>
  <c r="C64" i="20"/>
  <c r="I64" i="20"/>
  <c r="I35" i="20"/>
  <c r="E64" i="20"/>
  <c r="L64" i="20"/>
  <c r="C65" i="20"/>
  <c r="I65" i="20"/>
  <c r="I36" i="20"/>
  <c r="E65" i="20"/>
  <c r="L65" i="20"/>
  <c r="I66" i="20"/>
  <c r="I37" i="20"/>
  <c r="E66" i="20"/>
  <c r="L66" i="20"/>
  <c r="C67" i="20"/>
  <c r="I67" i="20"/>
  <c r="I38" i="20"/>
  <c r="E67" i="20"/>
  <c r="L67" i="20"/>
  <c r="C68" i="20"/>
  <c r="I68" i="20"/>
  <c r="I39" i="20"/>
  <c r="E68" i="20"/>
  <c r="L68" i="20"/>
  <c r="C69" i="20"/>
  <c r="I69" i="20"/>
  <c r="I40" i="20"/>
  <c r="E69" i="20"/>
  <c r="L69" i="20"/>
  <c r="C70" i="20"/>
  <c r="I70" i="20"/>
  <c r="I41" i="20"/>
  <c r="E70" i="20"/>
  <c r="L70" i="20"/>
  <c r="L71" i="20"/>
  <c r="N71" i="20"/>
  <c r="I71" i="20"/>
  <c r="J71" i="20"/>
  <c r="E71" i="20"/>
  <c r="G71" i="20"/>
  <c r="B7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A71" i="20"/>
  <c r="N70" i="20"/>
  <c r="J70" i="20"/>
  <c r="G70" i="20"/>
  <c r="A70" i="20"/>
  <c r="N69" i="20"/>
  <c r="J69" i="20"/>
  <c r="G69" i="20"/>
  <c r="A69" i="20"/>
  <c r="N68" i="20"/>
  <c r="J68" i="20"/>
  <c r="G68" i="20"/>
  <c r="A68" i="20"/>
  <c r="N67" i="20"/>
  <c r="J67" i="20"/>
  <c r="G67" i="20"/>
  <c r="A67" i="20"/>
  <c r="N66" i="20"/>
  <c r="J66" i="20"/>
  <c r="G66" i="20"/>
  <c r="C66" i="20"/>
  <c r="A66" i="20"/>
  <c r="N65" i="20"/>
  <c r="J65" i="20"/>
  <c r="G65" i="20"/>
  <c r="A65" i="20"/>
  <c r="N64" i="20"/>
  <c r="J64" i="20"/>
  <c r="G64" i="20"/>
  <c r="A64" i="20"/>
  <c r="N63" i="20"/>
  <c r="J63" i="20"/>
  <c r="G63" i="20"/>
  <c r="A63" i="20"/>
  <c r="N62" i="20"/>
  <c r="J62" i="20"/>
  <c r="G62" i="20"/>
  <c r="A62" i="20"/>
  <c r="N61" i="20"/>
  <c r="J61" i="20"/>
  <c r="G61" i="20"/>
  <c r="A61" i="20"/>
  <c r="N60" i="20"/>
  <c r="J60" i="20"/>
  <c r="G60" i="20"/>
  <c r="A60" i="20"/>
  <c r="N59" i="20"/>
  <c r="J59" i="20"/>
  <c r="G59" i="20"/>
  <c r="A59" i="20"/>
  <c r="N58" i="20"/>
  <c r="J58" i="20"/>
  <c r="G58" i="20"/>
  <c r="A58" i="20"/>
  <c r="N57" i="20"/>
  <c r="J57" i="20"/>
  <c r="G57" i="20"/>
  <c r="A57" i="20"/>
  <c r="N56" i="20"/>
  <c r="J56" i="20"/>
  <c r="G56" i="20"/>
  <c r="A56" i="20"/>
  <c r="N55" i="20"/>
  <c r="J55" i="20"/>
  <c r="G55" i="20"/>
  <c r="A55" i="20"/>
  <c r="N54" i="20"/>
  <c r="J54" i="20"/>
  <c r="G54" i="20"/>
  <c r="A54" i="20"/>
  <c r="N53" i="20"/>
  <c r="J53" i="20"/>
  <c r="G53" i="20"/>
  <c r="A53" i="20"/>
  <c r="N52" i="20"/>
  <c r="J52" i="20"/>
  <c r="G52" i="20"/>
  <c r="A52" i="20"/>
  <c r="N51" i="20"/>
  <c r="J51" i="20"/>
  <c r="G51" i="20"/>
  <c r="A51" i="20"/>
  <c r="J50" i="20"/>
  <c r="G50" i="20"/>
  <c r="N50" i="20"/>
  <c r="A50" i="20"/>
  <c r="A49" i="20"/>
  <c r="A48" i="20"/>
  <c r="A47" i="20"/>
  <c r="A46" i="20"/>
  <c r="N43" i="20"/>
  <c r="I43" i="20"/>
  <c r="N45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5" i="20"/>
  <c r="A4" i="20"/>
  <c r="B83" i="19"/>
  <c r="B82" i="19"/>
  <c r="B81" i="19"/>
  <c r="B80" i="19"/>
  <c r="A78" i="19"/>
  <c r="C56" i="19"/>
  <c r="N13" i="19"/>
  <c r="N14" i="19"/>
  <c r="N15" i="19"/>
  <c r="N16" i="19"/>
  <c r="N18" i="19"/>
  <c r="N19" i="19"/>
  <c r="N21" i="19"/>
  <c r="N22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AO16" i="1"/>
  <c r="N28" i="19"/>
  <c r="K16" i="1"/>
  <c r="N29" i="19"/>
  <c r="AT16" i="1"/>
  <c r="N30" i="19"/>
  <c r="P16" i="1"/>
  <c r="N31" i="19"/>
  <c r="U16" i="1"/>
  <c r="N32" i="19"/>
  <c r="Z16" i="1"/>
  <c r="N33" i="19"/>
  <c r="AY16" i="1"/>
  <c r="N34" i="19"/>
  <c r="G35" i="19"/>
  <c r="N35" i="19"/>
  <c r="AE16" i="1"/>
  <c r="N36" i="19"/>
  <c r="BI16" i="1"/>
  <c r="N37" i="19"/>
  <c r="BN16" i="1"/>
  <c r="N38" i="19"/>
  <c r="BS16" i="1"/>
  <c r="N39" i="19"/>
  <c r="BX16" i="1"/>
  <c r="N40" i="19"/>
  <c r="CC16" i="1"/>
  <c r="N41" i="19"/>
  <c r="AJ16" i="1"/>
  <c r="N42" i="19"/>
  <c r="N43" i="19"/>
  <c r="N44" i="19"/>
  <c r="L45" i="19"/>
  <c r="N45" i="19"/>
  <c r="L46" i="19"/>
  <c r="N46" i="19"/>
  <c r="N47" i="19"/>
  <c r="I56" i="19"/>
  <c r="I13" i="19"/>
  <c r="I14" i="19"/>
  <c r="I15" i="19"/>
  <c r="I16" i="19"/>
  <c r="I18" i="19"/>
  <c r="I19" i="19"/>
  <c r="I21" i="19"/>
  <c r="I22" i="19"/>
  <c r="E56" i="19"/>
  <c r="L56" i="19"/>
  <c r="C57" i="19"/>
  <c r="I57" i="19"/>
  <c r="I28" i="19"/>
  <c r="E57" i="19"/>
  <c r="L57" i="19"/>
  <c r="C58" i="19"/>
  <c r="I58" i="19"/>
  <c r="G29" i="19"/>
  <c r="I29" i="19"/>
  <c r="E58" i="19"/>
  <c r="L58" i="19"/>
  <c r="C59" i="19"/>
  <c r="I59" i="19"/>
  <c r="G30" i="19"/>
  <c r="I30" i="19"/>
  <c r="E59" i="19"/>
  <c r="L59" i="19"/>
  <c r="C60" i="19"/>
  <c r="I60" i="19"/>
  <c r="G31" i="19"/>
  <c r="I31" i="19"/>
  <c r="E60" i="19"/>
  <c r="L60" i="19"/>
  <c r="C61" i="19"/>
  <c r="I61" i="19"/>
  <c r="G32" i="19"/>
  <c r="I32" i="19"/>
  <c r="E61" i="19"/>
  <c r="L61" i="19"/>
  <c r="C62" i="19"/>
  <c r="I62" i="19"/>
  <c r="G33" i="19"/>
  <c r="I33" i="19"/>
  <c r="E62" i="19"/>
  <c r="L62" i="19"/>
  <c r="C63" i="19"/>
  <c r="I63" i="19"/>
  <c r="G34" i="19"/>
  <c r="I34" i="19"/>
  <c r="E63" i="19"/>
  <c r="L63" i="19"/>
  <c r="C64" i="19"/>
  <c r="I64" i="19"/>
  <c r="I35" i="19"/>
  <c r="E64" i="19"/>
  <c r="L64" i="19"/>
  <c r="C65" i="19"/>
  <c r="I65" i="19"/>
  <c r="G36" i="19"/>
  <c r="I36" i="19"/>
  <c r="E65" i="19"/>
  <c r="L65" i="19"/>
  <c r="C66" i="19"/>
  <c r="I66" i="19"/>
  <c r="G37" i="19"/>
  <c r="I37" i="19"/>
  <c r="E66" i="19"/>
  <c r="L66" i="19"/>
  <c r="C67" i="19"/>
  <c r="I67" i="19"/>
  <c r="G38" i="19"/>
  <c r="I38" i="19"/>
  <c r="E67" i="19"/>
  <c r="L67" i="19"/>
  <c r="C68" i="19"/>
  <c r="I68" i="19"/>
  <c r="G39" i="19"/>
  <c r="I39" i="19"/>
  <c r="E68" i="19"/>
  <c r="L68" i="19"/>
  <c r="C69" i="19"/>
  <c r="I69" i="19"/>
  <c r="G40" i="19"/>
  <c r="I40" i="19"/>
  <c r="E69" i="19"/>
  <c r="L69" i="19"/>
  <c r="C70" i="19"/>
  <c r="I70" i="19"/>
  <c r="G41" i="19"/>
  <c r="I41" i="19"/>
  <c r="E70" i="19"/>
  <c r="L70" i="19"/>
  <c r="C71" i="19"/>
  <c r="I71" i="19"/>
  <c r="I42" i="19"/>
  <c r="E71" i="19"/>
  <c r="L71" i="19"/>
  <c r="I72" i="19"/>
  <c r="I43" i="19"/>
  <c r="E72" i="19"/>
  <c r="L72" i="19"/>
  <c r="C73" i="19"/>
  <c r="I73" i="19"/>
  <c r="I44" i="19"/>
  <c r="E73" i="19"/>
  <c r="L73" i="19"/>
  <c r="C74" i="19"/>
  <c r="I74" i="19"/>
  <c r="I45" i="19"/>
  <c r="E74" i="19"/>
  <c r="L74" i="19"/>
  <c r="C75" i="19"/>
  <c r="I75" i="19"/>
  <c r="I46" i="19"/>
  <c r="E75" i="19"/>
  <c r="L75" i="19"/>
  <c r="C76" i="19"/>
  <c r="I76" i="19"/>
  <c r="I47" i="19"/>
  <c r="E76" i="19"/>
  <c r="L76" i="19"/>
  <c r="L77" i="19"/>
  <c r="N77" i="19"/>
  <c r="I77" i="19"/>
  <c r="J77" i="19"/>
  <c r="E77" i="19"/>
  <c r="G77" i="19"/>
  <c r="B7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A77" i="19"/>
  <c r="N76" i="19"/>
  <c r="J76" i="19"/>
  <c r="G76" i="19"/>
  <c r="A76" i="19"/>
  <c r="N75" i="19"/>
  <c r="J75" i="19"/>
  <c r="G75" i="19"/>
  <c r="A75" i="19"/>
  <c r="N74" i="19"/>
  <c r="J74" i="19"/>
  <c r="G74" i="19"/>
  <c r="A74" i="19"/>
  <c r="N73" i="19"/>
  <c r="J73" i="19"/>
  <c r="G73" i="19"/>
  <c r="A73" i="19"/>
  <c r="N72" i="19"/>
  <c r="J72" i="19"/>
  <c r="G72" i="19"/>
  <c r="C72" i="19"/>
  <c r="A72" i="19"/>
  <c r="N71" i="19"/>
  <c r="J71" i="19"/>
  <c r="G71" i="19"/>
  <c r="A71" i="19"/>
  <c r="N70" i="19"/>
  <c r="J70" i="19"/>
  <c r="G70" i="19"/>
  <c r="A70" i="19"/>
  <c r="N69" i="19"/>
  <c r="J69" i="19"/>
  <c r="G69" i="19"/>
  <c r="A69" i="19"/>
  <c r="N68" i="19"/>
  <c r="J68" i="19"/>
  <c r="G68" i="19"/>
  <c r="A68" i="19"/>
  <c r="N67" i="19"/>
  <c r="J67" i="19"/>
  <c r="G67" i="19"/>
  <c r="A67" i="19"/>
  <c r="N66" i="19"/>
  <c r="J66" i="19"/>
  <c r="G66" i="19"/>
  <c r="A66" i="19"/>
  <c r="N65" i="19"/>
  <c r="J65" i="19"/>
  <c r="G65" i="19"/>
  <c r="A65" i="19"/>
  <c r="N64" i="19"/>
  <c r="J64" i="19"/>
  <c r="G64" i="19"/>
  <c r="A64" i="19"/>
  <c r="N63" i="19"/>
  <c r="J63" i="19"/>
  <c r="G63" i="19"/>
  <c r="A63" i="19"/>
  <c r="N62" i="19"/>
  <c r="J62" i="19"/>
  <c r="G62" i="19"/>
  <c r="A62" i="19"/>
  <c r="N61" i="19"/>
  <c r="J61" i="19"/>
  <c r="G61" i="19"/>
  <c r="A61" i="19"/>
  <c r="N60" i="19"/>
  <c r="J60" i="19"/>
  <c r="G60" i="19"/>
  <c r="A60" i="19"/>
  <c r="N59" i="19"/>
  <c r="J59" i="19"/>
  <c r="G59" i="19"/>
  <c r="A59" i="19"/>
  <c r="N58" i="19"/>
  <c r="J58" i="19"/>
  <c r="G58" i="19"/>
  <c r="A58" i="19"/>
  <c r="N57" i="19"/>
  <c r="J57" i="19"/>
  <c r="G57" i="19"/>
  <c r="A57" i="19"/>
  <c r="N56" i="19"/>
  <c r="J56" i="19"/>
  <c r="G56" i="19"/>
  <c r="A56" i="19"/>
  <c r="A55" i="19"/>
  <c r="A54" i="19"/>
  <c r="A53" i="19"/>
  <c r="A52" i="19"/>
  <c r="N49" i="19"/>
  <c r="I49" i="19"/>
  <c r="N51" i="19"/>
  <c r="A51" i="19"/>
  <c r="A50" i="19"/>
  <c r="A49" i="19"/>
  <c r="A48" i="19"/>
  <c r="A47" i="19"/>
  <c r="A46" i="19"/>
  <c r="A45" i="19"/>
  <c r="A44" i="19"/>
  <c r="A43" i="19"/>
  <c r="A42" i="19"/>
  <c r="A41" i="19"/>
  <c r="A40" i="19"/>
  <c r="A39" i="19"/>
  <c r="A38" i="19"/>
  <c r="A37" i="19"/>
  <c r="A36" i="19"/>
  <c r="A35" i="19"/>
  <c r="A34" i="19"/>
  <c r="A33" i="19"/>
  <c r="A32" i="19"/>
  <c r="A31" i="19"/>
  <c r="A30" i="19"/>
  <c r="A29" i="19"/>
  <c r="A28" i="19"/>
  <c r="A27" i="19"/>
  <c r="A26" i="19"/>
  <c r="A25" i="19"/>
  <c r="A24" i="19"/>
  <c r="A23" i="19"/>
  <c r="A22" i="19"/>
  <c r="A21" i="19"/>
  <c r="A20" i="19"/>
  <c r="A19" i="19"/>
  <c r="A18" i="19"/>
  <c r="A17" i="19"/>
  <c r="A16" i="19"/>
  <c r="A15" i="19"/>
  <c r="A14" i="19"/>
  <c r="A13" i="19"/>
  <c r="A12" i="19"/>
  <c r="A5" i="19"/>
  <c r="A4" i="19"/>
  <c r="A74" i="18"/>
  <c r="N13" i="18"/>
  <c r="N14" i="18"/>
  <c r="N15" i="18"/>
  <c r="N17" i="18"/>
  <c r="N18" i="18"/>
  <c r="I52" i="18"/>
  <c r="I13" i="18"/>
  <c r="I14" i="18"/>
  <c r="I15" i="18"/>
  <c r="I17" i="18"/>
  <c r="I18" i="18"/>
  <c r="E52" i="18"/>
  <c r="L52" i="18"/>
  <c r="N24" i="18"/>
  <c r="I53" i="18"/>
  <c r="I24" i="18"/>
  <c r="E53" i="18"/>
  <c r="L53" i="18"/>
  <c r="N25" i="18"/>
  <c r="I54" i="18"/>
  <c r="I25" i="18"/>
  <c r="E54" i="18"/>
  <c r="L54" i="18"/>
  <c r="N26" i="18"/>
  <c r="I55" i="18"/>
  <c r="I26" i="18"/>
  <c r="E55" i="18"/>
  <c r="L55" i="18"/>
  <c r="N27" i="18"/>
  <c r="I56" i="18"/>
  <c r="I27" i="18"/>
  <c r="E56" i="18"/>
  <c r="L56" i="18"/>
  <c r="N28" i="18"/>
  <c r="I57" i="18"/>
  <c r="I28" i="18"/>
  <c r="E57" i="18"/>
  <c r="L57" i="18"/>
  <c r="N29" i="18"/>
  <c r="I58" i="18"/>
  <c r="I29" i="18"/>
  <c r="E58" i="18"/>
  <c r="L58" i="18"/>
  <c r="N30" i="18"/>
  <c r="I59" i="18"/>
  <c r="I30" i="18"/>
  <c r="E59" i="18"/>
  <c r="L59" i="18"/>
  <c r="N31" i="18"/>
  <c r="I60" i="18"/>
  <c r="I31" i="18"/>
  <c r="E60" i="18"/>
  <c r="L60" i="18"/>
  <c r="N32" i="18"/>
  <c r="I61" i="18"/>
  <c r="I32" i="18"/>
  <c r="E61" i="18"/>
  <c r="L61" i="18"/>
  <c r="N33" i="18"/>
  <c r="I62" i="18"/>
  <c r="I33" i="18"/>
  <c r="E62" i="18"/>
  <c r="L62" i="18"/>
  <c r="N34" i="18"/>
  <c r="I63" i="18"/>
  <c r="I34" i="18"/>
  <c r="E63" i="18"/>
  <c r="L63" i="18"/>
  <c r="N35" i="18"/>
  <c r="I64" i="18"/>
  <c r="I35" i="18"/>
  <c r="E64" i="18"/>
  <c r="L64" i="18"/>
  <c r="N36" i="18"/>
  <c r="I65" i="18"/>
  <c r="I36" i="18"/>
  <c r="E65" i="18"/>
  <c r="L65" i="18"/>
  <c r="N37" i="18"/>
  <c r="I66" i="18"/>
  <c r="I37" i="18"/>
  <c r="E66" i="18"/>
  <c r="L66" i="18"/>
  <c r="N38" i="18"/>
  <c r="I67" i="18"/>
  <c r="I38" i="18"/>
  <c r="E67" i="18"/>
  <c r="L67" i="18"/>
  <c r="N39" i="18"/>
  <c r="I68" i="18"/>
  <c r="I39" i="18"/>
  <c r="E68" i="18"/>
  <c r="L68" i="18"/>
  <c r="N40" i="18"/>
  <c r="I69" i="18"/>
  <c r="I40" i="18"/>
  <c r="E69" i="18"/>
  <c r="L69" i="18"/>
  <c r="L41" i="18"/>
  <c r="N41" i="18"/>
  <c r="I70" i="18"/>
  <c r="I41" i="18"/>
  <c r="E70" i="18"/>
  <c r="L70" i="18"/>
  <c r="L42" i="18"/>
  <c r="N42" i="18"/>
  <c r="I71" i="18"/>
  <c r="I42" i="18"/>
  <c r="E71" i="18"/>
  <c r="L71" i="18"/>
  <c r="N43" i="18"/>
  <c r="I72" i="18"/>
  <c r="I43" i="18"/>
  <c r="E72" i="18"/>
  <c r="L72" i="18"/>
  <c r="L73" i="18"/>
  <c r="N73" i="18"/>
  <c r="I73" i="18"/>
  <c r="J73" i="18"/>
  <c r="E73" i="18"/>
  <c r="G73" i="18"/>
  <c r="A73" i="18"/>
  <c r="N72" i="18"/>
  <c r="J72" i="18"/>
  <c r="G72" i="18"/>
  <c r="A72" i="18"/>
  <c r="N71" i="18"/>
  <c r="J71" i="18"/>
  <c r="G71" i="18"/>
  <c r="A71" i="18"/>
  <c r="N70" i="18"/>
  <c r="J70" i="18"/>
  <c r="G70" i="18"/>
  <c r="A70" i="18"/>
  <c r="N69" i="18"/>
  <c r="J69" i="18"/>
  <c r="G69" i="18"/>
  <c r="A69" i="18"/>
  <c r="N68" i="18"/>
  <c r="J68" i="18"/>
  <c r="G68" i="18"/>
  <c r="A68" i="18"/>
  <c r="N67" i="18"/>
  <c r="J67" i="18"/>
  <c r="G67" i="18"/>
  <c r="A67" i="18"/>
  <c r="N66" i="18"/>
  <c r="J66" i="18"/>
  <c r="G66" i="18"/>
  <c r="A66" i="18"/>
  <c r="N65" i="18"/>
  <c r="J65" i="18"/>
  <c r="G65" i="18"/>
  <c r="A65" i="18"/>
  <c r="N64" i="18"/>
  <c r="J64" i="18"/>
  <c r="G64" i="18"/>
  <c r="A64" i="18"/>
  <c r="N63" i="18"/>
  <c r="J63" i="18"/>
  <c r="G63" i="18"/>
  <c r="A63" i="18"/>
  <c r="N62" i="18"/>
  <c r="J62" i="18"/>
  <c r="G62" i="18"/>
  <c r="A62" i="18"/>
  <c r="N61" i="18"/>
  <c r="J61" i="18"/>
  <c r="G61" i="18"/>
  <c r="A61" i="18"/>
  <c r="N60" i="18"/>
  <c r="J60" i="18"/>
  <c r="G60" i="18"/>
  <c r="A60" i="18"/>
  <c r="N59" i="18"/>
  <c r="J59" i="18"/>
  <c r="G59" i="18"/>
  <c r="A59" i="18"/>
  <c r="N58" i="18"/>
  <c r="J58" i="18"/>
  <c r="G58" i="18"/>
  <c r="A58" i="18"/>
  <c r="N57" i="18"/>
  <c r="J57" i="18"/>
  <c r="G57" i="18"/>
  <c r="A57" i="18"/>
  <c r="N56" i="18"/>
  <c r="J56" i="18"/>
  <c r="G56" i="18"/>
  <c r="A56" i="18"/>
  <c r="N55" i="18"/>
  <c r="J55" i="18"/>
  <c r="G55" i="18"/>
  <c r="A55" i="18"/>
  <c r="N54" i="18"/>
  <c r="J54" i="18"/>
  <c r="G54" i="18"/>
  <c r="A54" i="18"/>
  <c r="N53" i="18"/>
  <c r="J53" i="18"/>
  <c r="G53" i="18"/>
  <c r="A53" i="18"/>
  <c r="N52" i="18"/>
  <c r="J52" i="18"/>
  <c r="G52" i="18"/>
  <c r="A52" i="18"/>
  <c r="A51" i="18"/>
  <c r="A50" i="18"/>
  <c r="A49" i="18"/>
  <c r="A48" i="18"/>
  <c r="N45" i="18"/>
  <c r="I45" i="18"/>
  <c r="N47" i="18"/>
  <c r="A47" i="18"/>
  <c r="A46" i="18"/>
  <c r="A45" i="18"/>
  <c r="A44" i="18"/>
  <c r="A43" i="18"/>
  <c r="A42" i="18"/>
  <c r="A41" i="18"/>
  <c r="A40" i="18"/>
  <c r="A39" i="18"/>
  <c r="A38" i="18"/>
  <c r="A37" i="18"/>
  <c r="A36" i="18"/>
  <c r="A35" i="18"/>
  <c r="A34" i="18"/>
  <c r="A33" i="18"/>
  <c r="A32" i="18"/>
  <c r="A31" i="18"/>
  <c r="A30" i="18"/>
  <c r="A29" i="18"/>
  <c r="A28" i="18"/>
  <c r="A27" i="18"/>
  <c r="A26" i="18"/>
  <c r="A25" i="18"/>
  <c r="A24" i="18"/>
  <c r="A23" i="18"/>
  <c r="A22" i="18"/>
  <c r="A21" i="18"/>
  <c r="A20" i="18"/>
  <c r="A19" i="18"/>
  <c r="A18" i="18"/>
  <c r="A17" i="18"/>
  <c r="A16" i="18"/>
  <c r="A15" i="18"/>
  <c r="A14" i="18"/>
  <c r="A13" i="18"/>
  <c r="A12" i="18"/>
  <c r="A5" i="18"/>
  <c r="A4" i="18"/>
  <c r="B83" i="16"/>
  <c r="B103" i="17"/>
  <c r="B82" i="16"/>
  <c r="B102" i="17"/>
  <c r="B81" i="16"/>
  <c r="B101" i="17"/>
  <c r="B80" i="16"/>
  <c r="B100" i="17"/>
  <c r="A98" i="17"/>
  <c r="C76" i="17"/>
  <c r="N13" i="17"/>
  <c r="N14" i="17"/>
  <c r="N15" i="17"/>
  <c r="N16" i="17"/>
  <c r="N17" i="17"/>
  <c r="N19" i="17"/>
  <c r="N20" i="17"/>
  <c r="N21" i="17"/>
  <c r="N22" i="17"/>
  <c r="N23" i="17"/>
  <c r="N24" i="17"/>
  <c r="L28" i="17"/>
  <c r="N28" i="17"/>
  <c r="N29" i="17"/>
  <c r="L30" i="17"/>
  <c r="N30" i="17"/>
  <c r="N31" i="17"/>
  <c r="L32" i="17"/>
  <c r="N32" i="17"/>
  <c r="L34" i="17"/>
  <c r="N34" i="17"/>
  <c r="L35" i="17"/>
  <c r="N35" i="17"/>
  <c r="L36" i="17"/>
  <c r="N36" i="17"/>
  <c r="L37" i="17"/>
  <c r="N37" i="17"/>
  <c r="L38" i="17"/>
  <c r="N38" i="17"/>
  <c r="L39" i="17"/>
  <c r="N39" i="17"/>
  <c r="N42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4" i="17"/>
  <c r="C65" i="17"/>
  <c r="C66" i="17"/>
  <c r="C67" i="17"/>
  <c r="E25" i="17"/>
  <c r="E40" i="17"/>
  <c r="N45" i="17"/>
  <c r="N46" i="17"/>
  <c r="N47" i="17"/>
  <c r="N48" i="17"/>
  <c r="N49" i="17"/>
  <c r="N50" i="17"/>
  <c r="N51" i="17"/>
  <c r="N52" i="17"/>
  <c r="N53" i="17"/>
  <c r="N54" i="17"/>
  <c r="N55" i="17"/>
  <c r="N56" i="17"/>
  <c r="N57" i="17"/>
  <c r="N58" i="17"/>
  <c r="N59" i="17"/>
  <c r="N60" i="17"/>
  <c r="N61" i="17"/>
  <c r="N62" i="17"/>
  <c r="N63" i="17"/>
  <c r="N64" i="17"/>
  <c r="L65" i="17"/>
  <c r="N65" i="17"/>
  <c r="L66" i="17"/>
  <c r="N66" i="17"/>
  <c r="N67" i="17"/>
  <c r="I76" i="17"/>
  <c r="I13" i="17"/>
  <c r="I14" i="17"/>
  <c r="I15" i="17"/>
  <c r="I16" i="17"/>
  <c r="I17" i="17"/>
  <c r="I19" i="17"/>
  <c r="I20" i="17"/>
  <c r="I21" i="17"/>
  <c r="I22" i="17"/>
  <c r="I23" i="17"/>
  <c r="I24" i="17"/>
  <c r="G28" i="17"/>
  <c r="I28" i="17"/>
  <c r="I29" i="17"/>
  <c r="G30" i="17"/>
  <c r="I30" i="17"/>
  <c r="I31" i="17"/>
  <c r="G32" i="17"/>
  <c r="I32" i="17"/>
  <c r="G34" i="17"/>
  <c r="I34" i="17"/>
  <c r="G35" i="17"/>
  <c r="I35" i="17"/>
  <c r="G36" i="17"/>
  <c r="I36" i="17"/>
  <c r="G37" i="17"/>
  <c r="I37" i="17"/>
  <c r="G38" i="17"/>
  <c r="I38" i="17"/>
  <c r="G39" i="17"/>
  <c r="I39" i="17"/>
  <c r="I42" i="17"/>
  <c r="E76" i="17"/>
  <c r="L76" i="17"/>
  <c r="C77" i="17"/>
  <c r="I77" i="17"/>
  <c r="I45" i="17"/>
  <c r="E77" i="17"/>
  <c r="L77" i="17"/>
  <c r="C78" i="17"/>
  <c r="I78" i="17"/>
  <c r="I46" i="17"/>
  <c r="E78" i="17"/>
  <c r="L78" i="17"/>
  <c r="C79" i="17"/>
  <c r="I79" i="17"/>
  <c r="I47" i="17"/>
  <c r="E79" i="17"/>
  <c r="L79" i="17"/>
  <c r="C80" i="17"/>
  <c r="I80" i="17"/>
  <c r="I48" i="17"/>
  <c r="E80" i="17"/>
  <c r="L80" i="17"/>
  <c r="C81" i="17"/>
  <c r="I81" i="17"/>
  <c r="I49" i="17"/>
  <c r="E81" i="17"/>
  <c r="L81" i="17"/>
  <c r="C82" i="17"/>
  <c r="I82" i="17"/>
  <c r="I50" i="17"/>
  <c r="E82" i="17"/>
  <c r="L82" i="17"/>
  <c r="C83" i="17"/>
  <c r="I83" i="17"/>
  <c r="I51" i="17"/>
  <c r="E83" i="17"/>
  <c r="L83" i="17"/>
  <c r="C84" i="17"/>
  <c r="I84" i="17"/>
  <c r="I52" i="17"/>
  <c r="E84" i="17"/>
  <c r="L84" i="17"/>
  <c r="C85" i="17"/>
  <c r="I85" i="17"/>
  <c r="I53" i="17"/>
  <c r="E85" i="17"/>
  <c r="L85" i="17"/>
  <c r="C86" i="17"/>
  <c r="I86" i="17"/>
  <c r="I54" i="17"/>
  <c r="E86" i="17"/>
  <c r="L86" i="17"/>
  <c r="C87" i="17"/>
  <c r="I87" i="17"/>
  <c r="I55" i="17"/>
  <c r="E87" i="17"/>
  <c r="L87" i="17"/>
  <c r="C88" i="17"/>
  <c r="I88" i="17"/>
  <c r="I56" i="17"/>
  <c r="E88" i="17"/>
  <c r="L88" i="17"/>
  <c r="C89" i="17"/>
  <c r="I89" i="17"/>
  <c r="I57" i="17"/>
  <c r="E89" i="17"/>
  <c r="L89" i="17"/>
  <c r="C90" i="17"/>
  <c r="I90" i="17"/>
  <c r="I58" i="17"/>
  <c r="E90" i="17"/>
  <c r="L90" i="17"/>
  <c r="C91" i="17"/>
  <c r="I91" i="17"/>
  <c r="I59" i="17"/>
  <c r="E91" i="17"/>
  <c r="L91" i="17"/>
  <c r="I92" i="17"/>
  <c r="I60" i="17"/>
  <c r="I61" i="17"/>
  <c r="G62" i="17"/>
  <c r="I62" i="17"/>
  <c r="G63" i="17"/>
  <c r="I63" i="17"/>
  <c r="E92" i="17"/>
  <c r="L92" i="17"/>
  <c r="C93" i="17"/>
  <c r="I93" i="17"/>
  <c r="I64" i="17"/>
  <c r="E93" i="17"/>
  <c r="L93" i="17"/>
  <c r="C94" i="17"/>
  <c r="I94" i="17"/>
  <c r="I65" i="17"/>
  <c r="E94" i="17"/>
  <c r="L94" i="17"/>
  <c r="C95" i="17"/>
  <c r="I95" i="17"/>
  <c r="I66" i="17"/>
  <c r="E95" i="17"/>
  <c r="L95" i="17"/>
  <c r="C96" i="17"/>
  <c r="I96" i="17"/>
  <c r="I67" i="17"/>
  <c r="E96" i="17"/>
  <c r="L96" i="17"/>
  <c r="L97" i="17"/>
  <c r="N97" i="17"/>
  <c r="I97" i="17"/>
  <c r="J97" i="17"/>
  <c r="E97" i="17"/>
  <c r="G97" i="17"/>
  <c r="B97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4" i="17"/>
  <c r="B65" i="17"/>
  <c r="B66" i="17"/>
  <c r="B67" i="17"/>
  <c r="B76" i="17"/>
  <c r="B77" i="17"/>
  <c r="B78" i="17"/>
  <c r="B79" i="17"/>
  <c r="B80" i="17"/>
  <c r="B81" i="17"/>
  <c r="B82" i="17"/>
  <c r="B83" i="17"/>
  <c r="B84" i="17"/>
  <c r="B85" i="17"/>
  <c r="B86" i="17"/>
  <c r="B87" i="17"/>
  <c r="B88" i="17"/>
  <c r="B89" i="17"/>
  <c r="B90" i="17"/>
  <c r="B91" i="17"/>
  <c r="B92" i="17"/>
  <c r="B93" i="17"/>
  <c r="B94" i="17"/>
  <c r="B95" i="17"/>
  <c r="B96" i="17"/>
  <c r="A97" i="17"/>
  <c r="N96" i="17"/>
  <c r="J96" i="17"/>
  <c r="G96" i="17"/>
  <c r="A96" i="17"/>
  <c r="N95" i="17"/>
  <c r="J95" i="17"/>
  <c r="G95" i="17"/>
  <c r="A95" i="17"/>
  <c r="N94" i="17"/>
  <c r="J94" i="17"/>
  <c r="G94" i="17"/>
  <c r="A94" i="17"/>
  <c r="N93" i="17"/>
  <c r="J93" i="17"/>
  <c r="G93" i="17"/>
  <c r="A93" i="17"/>
  <c r="N92" i="17"/>
  <c r="J92" i="17"/>
  <c r="G92" i="17"/>
  <c r="C92" i="17"/>
  <c r="A92" i="17"/>
  <c r="N91" i="17"/>
  <c r="J91" i="17"/>
  <c r="G91" i="17"/>
  <c r="A91" i="17"/>
  <c r="N90" i="17"/>
  <c r="J90" i="17"/>
  <c r="G90" i="17"/>
  <c r="A90" i="17"/>
  <c r="N89" i="17"/>
  <c r="J89" i="17"/>
  <c r="G89" i="17"/>
  <c r="A89" i="17"/>
  <c r="N88" i="17"/>
  <c r="J88" i="17"/>
  <c r="G88" i="17"/>
  <c r="A88" i="17"/>
  <c r="N87" i="17"/>
  <c r="J87" i="17"/>
  <c r="G87" i="17"/>
  <c r="A87" i="17"/>
  <c r="N86" i="17"/>
  <c r="J86" i="17"/>
  <c r="G86" i="17"/>
  <c r="A86" i="17"/>
  <c r="N85" i="17"/>
  <c r="J85" i="17"/>
  <c r="G85" i="17"/>
  <c r="A85" i="17"/>
  <c r="N84" i="17"/>
  <c r="J84" i="17"/>
  <c r="G84" i="17"/>
  <c r="A84" i="17"/>
  <c r="N83" i="17"/>
  <c r="J83" i="17"/>
  <c r="G83" i="17"/>
  <c r="A83" i="17"/>
  <c r="N82" i="17"/>
  <c r="J82" i="17"/>
  <c r="G82" i="17"/>
  <c r="A82" i="17"/>
  <c r="N81" i="17"/>
  <c r="J81" i="17"/>
  <c r="G81" i="17"/>
  <c r="A81" i="17"/>
  <c r="N80" i="17"/>
  <c r="J80" i="17"/>
  <c r="G80" i="17"/>
  <c r="A80" i="17"/>
  <c r="N79" i="17"/>
  <c r="J79" i="17"/>
  <c r="G79" i="17"/>
  <c r="A79" i="17"/>
  <c r="N78" i="17"/>
  <c r="J78" i="17"/>
  <c r="G78" i="17"/>
  <c r="A78" i="17"/>
  <c r="N77" i="17"/>
  <c r="J77" i="17"/>
  <c r="G77" i="17"/>
  <c r="A77" i="17"/>
  <c r="N76" i="17"/>
  <c r="J76" i="17"/>
  <c r="G76" i="17"/>
  <c r="A76" i="17"/>
  <c r="A75" i="17"/>
  <c r="A74" i="17"/>
  <c r="A73" i="17"/>
  <c r="A72" i="17"/>
  <c r="N69" i="17"/>
  <c r="I69" i="17"/>
  <c r="N71" i="17"/>
  <c r="A71" i="17"/>
  <c r="A70" i="17"/>
  <c r="A69" i="17"/>
  <c r="A68" i="17"/>
  <c r="A67" i="17"/>
  <c r="A66" i="17"/>
  <c r="A65" i="17"/>
  <c r="A64" i="17"/>
  <c r="A63" i="17"/>
  <c r="A62" i="17"/>
  <c r="A61" i="17"/>
  <c r="A60" i="17"/>
  <c r="A59" i="17"/>
  <c r="A58" i="17"/>
  <c r="A57" i="17"/>
  <c r="A56" i="17"/>
  <c r="A55" i="17"/>
  <c r="A54" i="17"/>
  <c r="A53" i="17"/>
  <c r="A52" i="17"/>
  <c r="A51" i="17"/>
  <c r="A50" i="17"/>
  <c r="A49" i="17"/>
  <c r="A48" i="17"/>
  <c r="A47" i="17"/>
  <c r="A46" i="17"/>
  <c r="A45" i="17"/>
  <c r="A44" i="17"/>
  <c r="A43" i="17"/>
  <c r="A42" i="17"/>
  <c r="A41" i="17"/>
  <c r="A40" i="17"/>
  <c r="A39" i="17"/>
  <c r="A38" i="17"/>
  <c r="A37" i="17"/>
  <c r="A36" i="17"/>
  <c r="A35" i="17"/>
  <c r="A34" i="17"/>
  <c r="A33" i="17"/>
  <c r="A32" i="17"/>
  <c r="A31" i="17"/>
  <c r="A30" i="17"/>
  <c r="A29" i="17"/>
  <c r="A28" i="17"/>
  <c r="A27" i="17"/>
  <c r="A26" i="17"/>
  <c r="A25" i="17"/>
  <c r="A24" i="17"/>
  <c r="A23" i="17"/>
  <c r="A22" i="17"/>
  <c r="A21" i="17"/>
  <c r="A20" i="17"/>
  <c r="A19" i="17"/>
  <c r="E18" i="17"/>
  <c r="A18" i="17"/>
  <c r="A17" i="17"/>
  <c r="A16" i="17"/>
  <c r="A15" i="17"/>
  <c r="A14" i="17"/>
  <c r="A13" i="17"/>
  <c r="A12" i="17"/>
  <c r="A5" i="17"/>
  <c r="A4" i="17"/>
  <c r="A78" i="16"/>
  <c r="C56" i="16"/>
  <c r="N13" i="16"/>
  <c r="N14" i="16"/>
  <c r="N15" i="16"/>
  <c r="N16" i="16"/>
  <c r="N17" i="16"/>
  <c r="N19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4" i="16"/>
  <c r="C45" i="16"/>
  <c r="C46" i="16"/>
  <c r="C47" i="16"/>
  <c r="AO15" i="1"/>
  <c r="N25" i="16"/>
  <c r="K15" i="1"/>
  <c r="N26" i="16"/>
  <c r="AT15" i="1"/>
  <c r="N27" i="16"/>
  <c r="P15" i="1"/>
  <c r="N28" i="16"/>
  <c r="U15" i="1"/>
  <c r="N29" i="16"/>
  <c r="Z15" i="1"/>
  <c r="N30" i="16"/>
  <c r="AY15" i="1"/>
  <c r="N31" i="16"/>
  <c r="G32" i="16"/>
  <c r="N32" i="16"/>
  <c r="AE15" i="1"/>
  <c r="N33" i="16"/>
  <c r="BI15" i="1"/>
  <c r="N34" i="16"/>
  <c r="BN15" i="1"/>
  <c r="N35" i="16"/>
  <c r="BS15" i="1"/>
  <c r="N36" i="16"/>
  <c r="BX15" i="1"/>
  <c r="N37" i="16"/>
  <c r="CC15" i="1"/>
  <c r="N38" i="16"/>
  <c r="AJ15" i="1"/>
  <c r="N39" i="16"/>
  <c r="N40" i="16"/>
  <c r="N41" i="16"/>
  <c r="N42" i="16"/>
  <c r="N43" i="16"/>
  <c r="N44" i="16"/>
  <c r="L45" i="16"/>
  <c r="N45" i="16"/>
  <c r="L46" i="16"/>
  <c r="N46" i="16"/>
  <c r="N47" i="16"/>
  <c r="I56" i="16"/>
  <c r="I13" i="16"/>
  <c r="I14" i="16"/>
  <c r="I15" i="16"/>
  <c r="I16" i="16"/>
  <c r="I17" i="16"/>
  <c r="I19" i="16"/>
  <c r="E56" i="16"/>
  <c r="L56" i="16"/>
  <c r="C57" i="16"/>
  <c r="I57" i="16"/>
  <c r="I25" i="16"/>
  <c r="E57" i="16"/>
  <c r="L57" i="16"/>
  <c r="C58" i="16"/>
  <c r="I58" i="16"/>
  <c r="G26" i="16"/>
  <c r="I26" i="16"/>
  <c r="E58" i="16"/>
  <c r="L58" i="16"/>
  <c r="C59" i="16"/>
  <c r="I59" i="16"/>
  <c r="G27" i="16"/>
  <c r="I27" i="16"/>
  <c r="E59" i="16"/>
  <c r="L59" i="16"/>
  <c r="C60" i="16"/>
  <c r="I60" i="16"/>
  <c r="G28" i="16"/>
  <c r="I28" i="16"/>
  <c r="E60" i="16"/>
  <c r="L60" i="16"/>
  <c r="C61" i="16"/>
  <c r="I61" i="16"/>
  <c r="G29" i="16"/>
  <c r="I29" i="16"/>
  <c r="E61" i="16"/>
  <c r="L61" i="16"/>
  <c r="C62" i="16"/>
  <c r="I62" i="16"/>
  <c r="G30" i="16"/>
  <c r="I30" i="16"/>
  <c r="E62" i="16"/>
  <c r="L62" i="16"/>
  <c r="C63" i="16"/>
  <c r="I63" i="16"/>
  <c r="G31" i="16"/>
  <c r="I31" i="16"/>
  <c r="E63" i="16"/>
  <c r="L63" i="16"/>
  <c r="C64" i="16"/>
  <c r="I64" i="16"/>
  <c r="I32" i="16"/>
  <c r="E64" i="16"/>
  <c r="L64" i="16"/>
  <c r="C65" i="16"/>
  <c r="I65" i="16"/>
  <c r="G33" i="16"/>
  <c r="I33" i="16"/>
  <c r="E65" i="16"/>
  <c r="L65" i="16"/>
  <c r="C66" i="16"/>
  <c r="I66" i="16"/>
  <c r="G34" i="16"/>
  <c r="I34" i="16"/>
  <c r="E66" i="16"/>
  <c r="L66" i="16"/>
  <c r="C67" i="16"/>
  <c r="I67" i="16"/>
  <c r="G35" i="16"/>
  <c r="I35" i="16"/>
  <c r="E67" i="16"/>
  <c r="L67" i="16"/>
  <c r="C68" i="16"/>
  <c r="I68" i="16"/>
  <c r="G36" i="16"/>
  <c r="I36" i="16"/>
  <c r="E68" i="16"/>
  <c r="L68" i="16"/>
  <c r="C69" i="16"/>
  <c r="I69" i="16"/>
  <c r="G37" i="16"/>
  <c r="I37" i="16"/>
  <c r="E69" i="16"/>
  <c r="L69" i="16"/>
  <c r="C70" i="16"/>
  <c r="I70" i="16"/>
  <c r="G38" i="16"/>
  <c r="I38" i="16"/>
  <c r="E70" i="16"/>
  <c r="L70" i="16"/>
  <c r="C71" i="16"/>
  <c r="I71" i="16"/>
  <c r="I39" i="16"/>
  <c r="E71" i="16"/>
  <c r="L71" i="16"/>
  <c r="I72" i="16"/>
  <c r="I40" i="16"/>
  <c r="I41" i="16"/>
  <c r="I42" i="16"/>
  <c r="I43" i="16"/>
  <c r="E72" i="16"/>
  <c r="L72" i="16"/>
  <c r="C73" i="16"/>
  <c r="I73" i="16"/>
  <c r="I44" i="16"/>
  <c r="E73" i="16"/>
  <c r="L73" i="16"/>
  <c r="C74" i="16"/>
  <c r="I74" i="16"/>
  <c r="I45" i="16"/>
  <c r="E74" i="16"/>
  <c r="L74" i="16"/>
  <c r="C75" i="16"/>
  <c r="I75" i="16"/>
  <c r="I46" i="16"/>
  <c r="E75" i="16"/>
  <c r="L75" i="16"/>
  <c r="C76" i="16"/>
  <c r="I76" i="16"/>
  <c r="I47" i="16"/>
  <c r="E76" i="16"/>
  <c r="L76" i="16"/>
  <c r="L77" i="16"/>
  <c r="N77" i="16"/>
  <c r="I77" i="16"/>
  <c r="J77" i="16"/>
  <c r="E77" i="16"/>
  <c r="G77" i="16"/>
  <c r="B77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4" i="16"/>
  <c r="B45" i="16"/>
  <c r="B46" i="16"/>
  <c r="B47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A77" i="16"/>
  <c r="N76" i="16"/>
  <c r="J76" i="16"/>
  <c r="G76" i="16"/>
  <c r="A76" i="16"/>
  <c r="N75" i="16"/>
  <c r="J75" i="16"/>
  <c r="G75" i="16"/>
  <c r="A75" i="16"/>
  <c r="N74" i="16"/>
  <c r="J74" i="16"/>
  <c r="G74" i="16"/>
  <c r="A74" i="16"/>
  <c r="N73" i="16"/>
  <c r="J73" i="16"/>
  <c r="G73" i="16"/>
  <c r="A73" i="16"/>
  <c r="N72" i="16"/>
  <c r="J72" i="16"/>
  <c r="G72" i="16"/>
  <c r="C72" i="16"/>
  <c r="A72" i="16"/>
  <c r="N71" i="16"/>
  <c r="J71" i="16"/>
  <c r="G71" i="16"/>
  <c r="A71" i="16"/>
  <c r="N70" i="16"/>
  <c r="J70" i="16"/>
  <c r="G70" i="16"/>
  <c r="A70" i="16"/>
  <c r="N69" i="16"/>
  <c r="J69" i="16"/>
  <c r="G69" i="16"/>
  <c r="A69" i="16"/>
  <c r="N68" i="16"/>
  <c r="J68" i="16"/>
  <c r="G68" i="16"/>
  <c r="A68" i="16"/>
  <c r="N67" i="16"/>
  <c r="J67" i="16"/>
  <c r="G67" i="16"/>
  <c r="A67" i="16"/>
  <c r="N66" i="16"/>
  <c r="J66" i="16"/>
  <c r="G66" i="16"/>
  <c r="A66" i="16"/>
  <c r="N65" i="16"/>
  <c r="J65" i="16"/>
  <c r="G65" i="16"/>
  <c r="A65" i="16"/>
  <c r="N64" i="16"/>
  <c r="J64" i="16"/>
  <c r="G64" i="16"/>
  <c r="A64" i="16"/>
  <c r="N63" i="16"/>
  <c r="J63" i="16"/>
  <c r="G63" i="16"/>
  <c r="A63" i="16"/>
  <c r="N62" i="16"/>
  <c r="J62" i="16"/>
  <c r="G62" i="16"/>
  <c r="A62" i="16"/>
  <c r="N61" i="16"/>
  <c r="J61" i="16"/>
  <c r="G61" i="16"/>
  <c r="A61" i="16"/>
  <c r="N60" i="16"/>
  <c r="J60" i="16"/>
  <c r="G60" i="16"/>
  <c r="A60" i="16"/>
  <c r="N59" i="16"/>
  <c r="J59" i="16"/>
  <c r="G59" i="16"/>
  <c r="A59" i="16"/>
  <c r="N58" i="16"/>
  <c r="J58" i="16"/>
  <c r="G58" i="16"/>
  <c r="A58" i="16"/>
  <c r="N57" i="16"/>
  <c r="J57" i="16"/>
  <c r="G57" i="16"/>
  <c r="A57" i="16"/>
  <c r="N56" i="16"/>
  <c r="J56" i="16"/>
  <c r="G56" i="16"/>
  <c r="A56" i="16"/>
  <c r="A55" i="16"/>
  <c r="A54" i="16"/>
  <c r="A53" i="16"/>
  <c r="A52" i="16"/>
  <c r="N49" i="16"/>
  <c r="I49" i="16"/>
  <c r="N51" i="16"/>
  <c r="A51" i="16"/>
  <c r="A50" i="16"/>
  <c r="A49" i="16"/>
  <c r="A48" i="16"/>
  <c r="A47" i="16"/>
  <c r="A46" i="16"/>
  <c r="A45" i="16"/>
  <c r="A44" i="16"/>
  <c r="A43" i="16"/>
  <c r="A42" i="16"/>
  <c r="A41" i="16"/>
  <c r="A40" i="16"/>
  <c r="A39" i="16"/>
  <c r="A38" i="16"/>
  <c r="A37" i="16"/>
  <c r="A36" i="16"/>
  <c r="A35" i="16"/>
  <c r="A34" i="16"/>
  <c r="A33" i="16"/>
  <c r="A32" i="16"/>
  <c r="A31" i="16"/>
  <c r="A30" i="16"/>
  <c r="A29" i="16"/>
  <c r="A28" i="16"/>
  <c r="A27" i="16"/>
  <c r="A26" i="16"/>
  <c r="A25" i="16"/>
  <c r="A24" i="16"/>
  <c r="A23" i="16"/>
  <c r="A22" i="16"/>
  <c r="A21" i="16"/>
  <c r="A20" i="16"/>
  <c r="A19" i="16"/>
  <c r="A18" i="16"/>
  <c r="A17" i="16"/>
  <c r="A16" i="16"/>
  <c r="A15" i="16"/>
  <c r="A14" i="16"/>
  <c r="A13" i="16"/>
  <c r="A12" i="16"/>
  <c r="A5" i="16"/>
  <c r="A4" i="16"/>
  <c r="B91" i="15"/>
  <c r="B90" i="15"/>
  <c r="B89" i="15"/>
  <c r="B88" i="15"/>
  <c r="A86" i="15"/>
  <c r="C64" i="15"/>
  <c r="N13" i="15"/>
  <c r="N14" i="15"/>
  <c r="N15" i="15"/>
  <c r="N16" i="15"/>
  <c r="N17" i="15"/>
  <c r="N19" i="15"/>
  <c r="N20" i="15"/>
  <c r="N21" i="15"/>
  <c r="N22" i="15"/>
  <c r="N23" i="15"/>
  <c r="N24" i="15"/>
  <c r="N26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52" i="15"/>
  <c r="C53" i="15"/>
  <c r="C54" i="15"/>
  <c r="C55" i="15"/>
  <c r="N32" i="15"/>
  <c r="N33" i="15"/>
  <c r="N34" i="15"/>
  <c r="N35" i="15"/>
  <c r="N36" i="15"/>
  <c r="N37" i="15"/>
  <c r="N38" i="15"/>
  <c r="G39" i="15"/>
  <c r="N39" i="15"/>
  <c r="N40" i="15"/>
  <c r="N41" i="15"/>
  <c r="N42" i="15"/>
  <c r="N43" i="15"/>
  <c r="N44" i="15"/>
  <c r="N45" i="15"/>
  <c r="N46" i="15"/>
  <c r="N47" i="15"/>
  <c r="N48" i="15"/>
  <c r="N49" i="15"/>
  <c r="N50" i="15"/>
  <c r="N51" i="15"/>
  <c r="N52" i="15"/>
  <c r="L53" i="15"/>
  <c r="N53" i="15"/>
  <c r="L54" i="15"/>
  <c r="N54" i="15"/>
  <c r="N55" i="15"/>
  <c r="I64" i="15"/>
  <c r="I13" i="15"/>
  <c r="I14" i="15"/>
  <c r="I15" i="15"/>
  <c r="I16" i="15"/>
  <c r="I17" i="15"/>
  <c r="I19" i="15"/>
  <c r="I20" i="15"/>
  <c r="I21" i="15"/>
  <c r="I22" i="15"/>
  <c r="I23" i="15"/>
  <c r="I24" i="15"/>
  <c r="I26" i="15"/>
  <c r="E64" i="15"/>
  <c r="L64" i="15"/>
  <c r="C65" i="15"/>
  <c r="I65" i="15"/>
  <c r="I32" i="15"/>
  <c r="E65" i="15"/>
  <c r="L65" i="15"/>
  <c r="C66" i="15"/>
  <c r="I66" i="15"/>
  <c r="G33" i="15"/>
  <c r="I33" i="15"/>
  <c r="E66" i="15"/>
  <c r="L66" i="15"/>
  <c r="C67" i="15"/>
  <c r="I67" i="15"/>
  <c r="G34" i="15"/>
  <c r="I34" i="15"/>
  <c r="E67" i="15"/>
  <c r="L67" i="15"/>
  <c r="C68" i="15"/>
  <c r="I68" i="15"/>
  <c r="G35" i="15"/>
  <c r="I35" i="15"/>
  <c r="E68" i="15"/>
  <c r="L68" i="15"/>
  <c r="C69" i="15"/>
  <c r="I69" i="15"/>
  <c r="G36" i="15"/>
  <c r="I36" i="15"/>
  <c r="E69" i="15"/>
  <c r="L69" i="15"/>
  <c r="C70" i="15"/>
  <c r="I70" i="15"/>
  <c r="G37" i="15"/>
  <c r="I37" i="15"/>
  <c r="E70" i="15"/>
  <c r="L70" i="15"/>
  <c r="C71" i="15"/>
  <c r="I71" i="15"/>
  <c r="G38" i="15"/>
  <c r="I38" i="15"/>
  <c r="E71" i="15"/>
  <c r="L71" i="15"/>
  <c r="C72" i="15"/>
  <c r="I72" i="15"/>
  <c r="I39" i="15"/>
  <c r="E72" i="15"/>
  <c r="L72" i="15"/>
  <c r="C73" i="15"/>
  <c r="I73" i="15"/>
  <c r="G40" i="15"/>
  <c r="I40" i="15"/>
  <c r="E73" i="15"/>
  <c r="L73" i="15"/>
  <c r="C74" i="15"/>
  <c r="I74" i="15"/>
  <c r="G41" i="15"/>
  <c r="I41" i="15"/>
  <c r="E74" i="15"/>
  <c r="L74" i="15"/>
  <c r="C75" i="15"/>
  <c r="I75" i="15"/>
  <c r="G42" i="15"/>
  <c r="I42" i="15"/>
  <c r="E75" i="15"/>
  <c r="L75" i="15"/>
  <c r="C76" i="15"/>
  <c r="I76" i="15"/>
  <c r="G43" i="15"/>
  <c r="I43" i="15"/>
  <c r="E76" i="15"/>
  <c r="L76" i="15"/>
  <c r="C77" i="15"/>
  <c r="I77" i="15"/>
  <c r="G44" i="15"/>
  <c r="I44" i="15"/>
  <c r="E77" i="15"/>
  <c r="L77" i="15"/>
  <c r="C78" i="15"/>
  <c r="I78" i="15"/>
  <c r="G45" i="15"/>
  <c r="I45" i="15"/>
  <c r="E78" i="15"/>
  <c r="L78" i="15"/>
  <c r="C79" i="15"/>
  <c r="I79" i="15"/>
  <c r="I46" i="15"/>
  <c r="E79" i="15"/>
  <c r="L79" i="15"/>
  <c r="I80" i="15"/>
  <c r="C81" i="15"/>
  <c r="I81" i="15"/>
  <c r="I52" i="15"/>
  <c r="E81" i="15"/>
  <c r="L81" i="15"/>
  <c r="C82" i="15"/>
  <c r="I82" i="15"/>
  <c r="I53" i="15"/>
  <c r="E82" i="15"/>
  <c r="L82" i="15"/>
  <c r="C83" i="15"/>
  <c r="I83" i="15"/>
  <c r="I54" i="15"/>
  <c r="E83" i="15"/>
  <c r="L83" i="15"/>
  <c r="C84" i="15"/>
  <c r="I84" i="15"/>
  <c r="I55" i="15"/>
  <c r="E84" i="15"/>
  <c r="L84" i="15"/>
  <c r="I85" i="15"/>
  <c r="J85" i="15"/>
  <c r="B85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52" i="15"/>
  <c r="B53" i="15"/>
  <c r="B54" i="15"/>
  <c r="B55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78" i="15"/>
  <c r="B79" i="15"/>
  <c r="B80" i="15"/>
  <c r="B81" i="15"/>
  <c r="B82" i="15"/>
  <c r="B83" i="15"/>
  <c r="B84" i="15"/>
  <c r="A85" i="15"/>
  <c r="N84" i="15"/>
  <c r="J84" i="15"/>
  <c r="G84" i="15"/>
  <c r="A84" i="15"/>
  <c r="N83" i="15"/>
  <c r="J83" i="15"/>
  <c r="G83" i="15"/>
  <c r="A83" i="15"/>
  <c r="N82" i="15"/>
  <c r="J82" i="15"/>
  <c r="G82" i="15"/>
  <c r="A82" i="15"/>
  <c r="N81" i="15"/>
  <c r="J81" i="15"/>
  <c r="G81" i="15"/>
  <c r="A81" i="15"/>
  <c r="J80" i="15"/>
  <c r="C80" i="15"/>
  <c r="A80" i="15"/>
  <c r="N79" i="15"/>
  <c r="J79" i="15"/>
  <c r="G79" i="15"/>
  <c r="A79" i="15"/>
  <c r="N78" i="15"/>
  <c r="J78" i="15"/>
  <c r="G78" i="15"/>
  <c r="A78" i="15"/>
  <c r="N77" i="15"/>
  <c r="J77" i="15"/>
  <c r="G77" i="15"/>
  <c r="A77" i="15"/>
  <c r="N76" i="15"/>
  <c r="J76" i="15"/>
  <c r="G76" i="15"/>
  <c r="A76" i="15"/>
  <c r="N75" i="15"/>
  <c r="J75" i="15"/>
  <c r="G75" i="15"/>
  <c r="A75" i="15"/>
  <c r="N74" i="15"/>
  <c r="J74" i="15"/>
  <c r="G74" i="15"/>
  <c r="A74" i="15"/>
  <c r="N73" i="15"/>
  <c r="J73" i="15"/>
  <c r="G73" i="15"/>
  <c r="A73" i="15"/>
  <c r="N72" i="15"/>
  <c r="J72" i="15"/>
  <c r="G72" i="15"/>
  <c r="A72" i="15"/>
  <c r="N71" i="15"/>
  <c r="J71" i="15"/>
  <c r="G71" i="15"/>
  <c r="A71" i="15"/>
  <c r="N70" i="15"/>
  <c r="J70" i="15"/>
  <c r="G70" i="15"/>
  <c r="A70" i="15"/>
  <c r="N69" i="15"/>
  <c r="J69" i="15"/>
  <c r="G69" i="15"/>
  <c r="A69" i="15"/>
  <c r="N68" i="15"/>
  <c r="J68" i="15"/>
  <c r="G68" i="15"/>
  <c r="A68" i="15"/>
  <c r="N67" i="15"/>
  <c r="J67" i="15"/>
  <c r="G67" i="15"/>
  <c r="A67" i="15"/>
  <c r="N66" i="15"/>
  <c r="J66" i="15"/>
  <c r="G66" i="15"/>
  <c r="A66" i="15"/>
  <c r="N65" i="15"/>
  <c r="J65" i="15"/>
  <c r="G65" i="15"/>
  <c r="A65" i="15"/>
  <c r="N64" i="15"/>
  <c r="J64" i="15"/>
  <c r="G64" i="15"/>
  <c r="A64" i="15"/>
  <c r="A63" i="15"/>
  <c r="A62" i="15"/>
  <c r="A61" i="15"/>
  <c r="A60" i="15"/>
  <c r="N57" i="15"/>
  <c r="I47" i="15"/>
  <c r="I48" i="15"/>
  <c r="I49" i="15"/>
  <c r="I50" i="15"/>
  <c r="I51" i="15"/>
  <c r="I57" i="15"/>
  <c r="N59" i="15"/>
  <c r="A59" i="15"/>
  <c r="A58" i="15"/>
  <c r="A57" i="15"/>
  <c r="A56" i="15"/>
  <c r="A55" i="15"/>
  <c r="A54" i="15"/>
  <c r="A53" i="15"/>
  <c r="A52" i="15"/>
  <c r="A51" i="15"/>
  <c r="A50" i="15"/>
  <c r="A49" i="15"/>
  <c r="A48" i="15"/>
  <c r="A47" i="15"/>
  <c r="A46" i="15"/>
  <c r="A45" i="15"/>
  <c r="A44" i="15"/>
  <c r="A43" i="15"/>
  <c r="A42" i="15"/>
  <c r="A41" i="15"/>
  <c r="A40" i="15"/>
  <c r="A39" i="15"/>
  <c r="A38" i="15"/>
  <c r="A37" i="15"/>
  <c r="A36" i="15"/>
  <c r="A35" i="15"/>
  <c r="A34" i="15"/>
  <c r="A33" i="15"/>
  <c r="A32" i="15"/>
  <c r="A31" i="15"/>
  <c r="A30" i="15"/>
  <c r="A29" i="15"/>
  <c r="A28" i="15"/>
  <c r="A27" i="15"/>
  <c r="A26" i="15"/>
  <c r="A25" i="15"/>
  <c r="A24" i="15"/>
  <c r="A23" i="15"/>
  <c r="A22" i="15"/>
  <c r="A21" i="15"/>
  <c r="A20" i="15"/>
  <c r="A19" i="15"/>
  <c r="A18" i="15"/>
  <c r="A17" i="15"/>
  <c r="A16" i="15"/>
  <c r="A15" i="15"/>
  <c r="A14" i="15"/>
  <c r="A13" i="15"/>
  <c r="A12" i="15"/>
  <c r="A5" i="15"/>
  <c r="A4" i="15"/>
  <c r="B71" i="14"/>
  <c r="A70" i="14"/>
  <c r="N13" i="14"/>
  <c r="N14" i="14"/>
  <c r="N15" i="14"/>
  <c r="N17" i="14"/>
  <c r="I48" i="14"/>
  <c r="I13" i="14"/>
  <c r="I14" i="14"/>
  <c r="I15" i="14"/>
  <c r="I17" i="14"/>
  <c r="E48" i="14"/>
  <c r="L48" i="14"/>
  <c r="N20" i="14"/>
  <c r="I49" i="14"/>
  <c r="I20" i="14"/>
  <c r="E49" i="14"/>
  <c r="L49" i="14"/>
  <c r="N21" i="14"/>
  <c r="I50" i="14"/>
  <c r="I21" i="14"/>
  <c r="E50" i="14"/>
  <c r="L50" i="14"/>
  <c r="N22" i="14"/>
  <c r="I51" i="14"/>
  <c r="I22" i="14"/>
  <c r="E51" i="14"/>
  <c r="L51" i="14"/>
  <c r="N23" i="14"/>
  <c r="I52" i="14"/>
  <c r="I23" i="14"/>
  <c r="E52" i="14"/>
  <c r="L52" i="14"/>
  <c r="N24" i="14"/>
  <c r="I53" i="14"/>
  <c r="I24" i="14"/>
  <c r="E53" i="14"/>
  <c r="L53" i="14"/>
  <c r="N25" i="14"/>
  <c r="I54" i="14"/>
  <c r="I25" i="14"/>
  <c r="E54" i="14"/>
  <c r="L54" i="14"/>
  <c r="N26" i="14"/>
  <c r="I55" i="14"/>
  <c r="I26" i="14"/>
  <c r="E55" i="14"/>
  <c r="L55" i="14"/>
  <c r="N27" i="14"/>
  <c r="I56" i="14"/>
  <c r="I27" i="14"/>
  <c r="E56" i="14"/>
  <c r="L56" i="14"/>
  <c r="N28" i="14"/>
  <c r="I57" i="14"/>
  <c r="I28" i="14"/>
  <c r="E57" i="14"/>
  <c r="L57" i="14"/>
  <c r="N29" i="14"/>
  <c r="I58" i="14"/>
  <c r="I29" i="14"/>
  <c r="E58" i="14"/>
  <c r="L58" i="14"/>
  <c r="N30" i="14"/>
  <c r="I59" i="14"/>
  <c r="I30" i="14"/>
  <c r="E59" i="14"/>
  <c r="L59" i="14"/>
  <c r="N31" i="14"/>
  <c r="I60" i="14"/>
  <c r="I31" i="14"/>
  <c r="E60" i="14"/>
  <c r="L60" i="14"/>
  <c r="N32" i="14"/>
  <c r="I61" i="14"/>
  <c r="I32" i="14"/>
  <c r="E61" i="14"/>
  <c r="L61" i="14"/>
  <c r="N33" i="14"/>
  <c r="I62" i="14"/>
  <c r="I33" i="14"/>
  <c r="E62" i="14"/>
  <c r="L62" i="14"/>
  <c r="N34" i="14"/>
  <c r="I63" i="14"/>
  <c r="I34" i="14"/>
  <c r="E63" i="14"/>
  <c r="L63" i="14"/>
  <c r="N35" i="14"/>
  <c r="I64" i="14"/>
  <c r="I35" i="14"/>
  <c r="E64" i="14"/>
  <c r="L64" i="14"/>
  <c r="N36" i="14"/>
  <c r="I65" i="14"/>
  <c r="I36" i="14"/>
  <c r="E65" i="14"/>
  <c r="L65" i="14"/>
  <c r="N37" i="14"/>
  <c r="I66" i="14"/>
  <c r="I37" i="14"/>
  <c r="E66" i="14"/>
  <c r="L66" i="14"/>
  <c r="N38" i="14"/>
  <c r="I67" i="14"/>
  <c r="I38" i="14"/>
  <c r="E67" i="14"/>
  <c r="L67" i="14"/>
  <c r="N39" i="14"/>
  <c r="I68" i="14"/>
  <c r="I39" i="14"/>
  <c r="E68" i="14"/>
  <c r="L68" i="14"/>
  <c r="L69" i="14"/>
  <c r="N69" i="14"/>
  <c r="I69" i="14"/>
  <c r="J69" i="14"/>
  <c r="E69" i="14"/>
  <c r="G69" i="14"/>
  <c r="A69" i="14"/>
  <c r="N68" i="14"/>
  <c r="J68" i="14"/>
  <c r="G68" i="14"/>
  <c r="A68" i="14"/>
  <c r="N67" i="14"/>
  <c r="J67" i="14"/>
  <c r="G67" i="14"/>
  <c r="A67" i="14"/>
  <c r="N66" i="14"/>
  <c r="J66" i="14"/>
  <c r="G66" i="14"/>
  <c r="A66" i="14"/>
  <c r="N65" i="14"/>
  <c r="J65" i="14"/>
  <c r="G65" i="14"/>
  <c r="A65" i="14"/>
  <c r="N64" i="14"/>
  <c r="J64" i="14"/>
  <c r="G64" i="14"/>
  <c r="A64" i="14"/>
  <c r="N63" i="14"/>
  <c r="J63" i="14"/>
  <c r="G63" i="14"/>
  <c r="A63" i="14"/>
  <c r="N62" i="14"/>
  <c r="J62" i="14"/>
  <c r="G62" i="14"/>
  <c r="A62" i="14"/>
  <c r="N61" i="14"/>
  <c r="J61" i="14"/>
  <c r="G61" i="14"/>
  <c r="A61" i="14"/>
  <c r="N60" i="14"/>
  <c r="J60" i="14"/>
  <c r="G60" i="14"/>
  <c r="A60" i="14"/>
  <c r="N59" i="14"/>
  <c r="J59" i="14"/>
  <c r="G59" i="14"/>
  <c r="A59" i="14"/>
  <c r="N58" i="14"/>
  <c r="J58" i="14"/>
  <c r="G58" i="14"/>
  <c r="A58" i="14"/>
  <c r="N57" i="14"/>
  <c r="J57" i="14"/>
  <c r="G57" i="14"/>
  <c r="A57" i="14"/>
  <c r="N56" i="14"/>
  <c r="J56" i="14"/>
  <c r="G56" i="14"/>
  <c r="A56" i="14"/>
  <c r="N55" i="14"/>
  <c r="J55" i="14"/>
  <c r="G55" i="14"/>
  <c r="A55" i="14"/>
  <c r="N54" i="14"/>
  <c r="J54" i="14"/>
  <c r="G54" i="14"/>
  <c r="A54" i="14"/>
  <c r="N53" i="14"/>
  <c r="J53" i="14"/>
  <c r="G53" i="14"/>
  <c r="A53" i="14"/>
  <c r="N52" i="14"/>
  <c r="J52" i="14"/>
  <c r="G52" i="14"/>
  <c r="A52" i="14"/>
  <c r="N51" i="14"/>
  <c r="J51" i="14"/>
  <c r="G51" i="14"/>
  <c r="A51" i="14"/>
  <c r="N50" i="14"/>
  <c r="J50" i="14"/>
  <c r="G50" i="14"/>
  <c r="A50" i="14"/>
  <c r="N49" i="14"/>
  <c r="J49" i="14"/>
  <c r="G49" i="14"/>
  <c r="A49" i="14"/>
  <c r="N48" i="14"/>
  <c r="J48" i="14"/>
  <c r="G48" i="14"/>
  <c r="A48" i="14"/>
  <c r="A47" i="14"/>
  <c r="A46" i="14"/>
  <c r="A45" i="14"/>
  <c r="A44" i="14"/>
  <c r="N41" i="14"/>
  <c r="I41" i="14"/>
  <c r="N43" i="14"/>
  <c r="A43" i="14"/>
  <c r="A42" i="14"/>
  <c r="A41" i="14"/>
  <c r="A40" i="14"/>
  <c r="A39" i="14"/>
  <c r="A38" i="14"/>
  <c r="A37" i="14"/>
  <c r="A36" i="14"/>
  <c r="A35" i="14"/>
  <c r="A34" i="14"/>
  <c r="A33" i="14"/>
  <c r="A32" i="14"/>
  <c r="A31" i="14"/>
  <c r="A30" i="14"/>
  <c r="A29" i="14"/>
  <c r="A28" i="14"/>
  <c r="A27" i="14"/>
  <c r="A26" i="14"/>
  <c r="A25" i="14"/>
  <c r="A24" i="14"/>
  <c r="A23" i="14"/>
  <c r="A22" i="14"/>
  <c r="A21" i="14"/>
  <c r="A20" i="14"/>
  <c r="A19" i="14"/>
  <c r="A18" i="14"/>
  <c r="A17" i="14"/>
  <c r="A16" i="14"/>
  <c r="A15" i="14"/>
  <c r="A14" i="14"/>
  <c r="A13" i="14"/>
  <c r="A12" i="14"/>
  <c r="A5" i="14"/>
  <c r="A4" i="14"/>
  <c r="B76" i="13"/>
  <c r="B75" i="7"/>
  <c r="B75" i="13"/>
  <c r="B74" i="7"/>
  <c r="B74" i="13"/>
  <c r="B73" i="7"/>
  <c r="B73" i="13"/>
  <c r="B72" i="7"/>
  <c r="B72" i="13"/>
  <c r="B71" i="7"/>
  <c r="B71" i="13"/>
  <c r="B70" i="13"/>
  <c r="A69" i="13"/>
  <c r="C45" i="10"/>
  <c r="C47" i="13"/>
  <c r="C12" i="10"/>
  <c r="C12" i="13"/>
  <c r="C13" i="10"/>
  <c r="C13" i="13"/>
  <c r="C14" i="10"/>
  <c r="C14" i="13"/>
  <c r="C17" i="10"/>
  <c r="C17" i="13"/>
  <c r="C18" i="10"/>
  <c r="C18" i="13"/>
  <c r="C19" i="10"/>
  <c r="C19" i="13"/>
  <c r="C20" i="10"/>
  <c r="C20" i="13"/>
  <c r="C21" i="10"/>
  <c r="C21" i="13"/>
  <c r="C22" i="10"/>
  <c r="C22" i="13"/>
  <c r="C23" i="10"/>
  <c r="C23" i="13"/>
  <c r="C24" i="10"/>
  <c r="C24" i="13"/>
  <c r="C25" i="10"/>
  <c r="C25" i="13"/>
  <c r="C26" i="10"/>
  <c r="C26" i="13"/>
  <c r="C27" i="10"/>
  <c r="C27" i="13"/>
  <c r="C28" i="10"/>
  <c r="C28" i="13"/>
  <c r="C29" i="10"/>
  <c r="C29" i="13"/>
  <c r="C30" i="10"/>
  <c r="C30" i="13"/>
  <c r="C31" i="10"/>
  <c r="C31" i="13"/>
  <c r="C32" i="10"/>
  <c r="C32" i="13"/>
  <c r="C33" i="10"/>
  <c r="C33" i="13"/>
  <c r="C34" i="10"/>
  <c r="C34" i="13"/>
  <c r="C35" i="10"/>
  <c r="C35" i="13"/>
  <c r="C36" i="10"/>
  <c r="C36" i="13"/>
  <c r="N12" i="13"/>
  <c r="N13" i="13"/>
  <c r="N14" i="13"/>
  <c r="AO12" i="1"/>
  <c r="AO14" i="1"/>
  <c r="N17" i="13"/>
  <c r="K12" i="1"/>
  <c r="K14" i="1"/>
  <c r="N18" i="13"/>
  <c r="AT12" i="1"/>
  <c r="AT14" i="1"/>
  <c r="N19" i="13"/>
  <c r="P12" i="1"/>
  <c r="P14" i="1"/>
  <c r="N20" i="13"/>
  <c r="U12" i="1"/>
  <c r="U14" i="1"/>
  <c r="N21" i="13"/>
  <c r="Z12" i="1"/>
  <c r="Z14" i="1"/>
  <c r="N22" i="13"/>
  <c r="AY14" i="1"/>
  <c r="N23" i="13"/>
  <c r="N24" i="13"/>
  <c r="AE12" i="1"/>
  <c r="AE14" i="1"/>
  <c r="N25" i="13"/>
  <c r="BI12" i="1"/>
  <c r="BI14" i="1"/>
  <c r="N26" i="13"/>
  <c r="BN14" i="1"/>
  <c r="N27" i="13"/>
  <c r="BS12" i="1"/>
  <c r="BS14" i="1"/>
  <c r="N28" i="13"/>
  <c r="BX14" i="1"/>
  <c r="N29" i="13"/>
  <c r="CC14" i="1"/>
  <c r="N30" i="13"/>
  <c r="AJ12" i="1"/>
  <c r="AJ14" i="1"/>
  <c r="N31" i="13"/>
  <c r="N32" i="13"/>
  <c r="N33" i="13"/>
  <c r="L34" i="13"/>
  <c r="N34" i="13"/>
  <c r="L35" i="13"/>
  <c r="N35" i="13"/>
  <c r="N36" i="13"/>
  <c r="N38" i="13"/>
  <c r="N39" i="13"/>
  <c r="I47" i="13"/>
  <c r="I12" i="13"/>
  <c r="I13" i="13"/>
  <c r="I14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8" i="13"/>
  <c r="I39" i="13"/>
  <c r="E47" i="13"/>
  <c r="L47" i="13"/>
  <c r="C46" i="10"/>
  <c r="C48" i="13"/>
  <c r="I48" i="13"/>
  <c r="E48" i="13"/>
  <c r="L48" i="13"/>
  <c r="C47" i="10"/>
  <c r="C49" i="13"/>
  <c r="I49" i="13"/>
  <c r="E49" i="13"/>
  <c r="L49" i="13"/>
  <c r="C48" i="10"/>
  <c r="C50" i="13"/>
  <c r="I50" i="13"/>
  <c r="E50" i="13"/>
  <c r="L50" i="13"/>
  <c r="C49" i="10"/>
  <c r="C51" i="13"/>
  <c r="I51" i="13"/>
  <c r="E51" i="13"/>
  <c r="L51" i="13"/>
  <c r="C50" i="10"/>
  <c r="C52" i="13"/>
  <c r="I52" i="13"/>
  <c r="E52" i="13"/>
  <c r="L52" i="13"/>
  <c r="C51" i="10"/>
  <c r="C53" i="13"/>
  <c r="I53" i="13"/>
  <c r="E53" i="13"/>
  <c r="L53" i="13"/>
  <c r="C52" i="10"/>
  <c r="C54" i="13"/>
  <c r="I54" i="13"/>
  <c r="E54" i="13"/>
  <c r="L54" i="13"/>
  <c r="I55" i="13"/>
  <c r="E55" i="13"/>
  <c r="L55" i="13"/>
  <c r="C54" i="10"/>
  <c r="C56" i="13"/>
  <c r="I56" i="13"/>
  <c r="E56" i="13"/>
  <c r="L56" i="13"/>
  <c r="C55" i="10"/>
  <c r="C57" i="13"/>
  <c r="I57" i="13"/>
  <c r="E57" i="13"/>
  <c r="L57" i="13"/>
  <c r="C56" i="10"/>
  <c r="C58" i="13"/>
  <c r="I58" i="13"/>
  <c r="E58" i="13"/>
  <c r="L58" i="13"/>
  <c r="C57" i="10"/>
  <c r="C59" i="13"/>
  <c r="I59" i="13"/>
  <c r="E59" i="13"/>
  <c r="L59" i="13"/>
  <c r="C58" i="10"/>
  <c r="C60" i="13"/>
  <c r="I60" i="13"/>
  <c r="E60" i="13"/>
  <c r="L60" i="13"/>
  <c r="C59" i="10"/>
  <c r="C61" i="13"/>
  <c r="I61" i="13"/>
  <c r="E61" i="13"/>
  <c r="L61" i="13"/>
  <c r="C60" i="10"/>
  <c r="C62" i="13"/>
  <c r="I62" i="13"/>
  <c r="E62" i="13"/>
  <c r="L62" i="13"/>
  <c r="I63" i="13"/>
  <c r="E63" i="13"/>
  <c r="L63" i="13"/>
  <c r="C62" i="10"/>
  <c r="C64" i="13"/>
  <c r="I64" i="13"/>
  <c r="E64" i="13"/>
  <c r="L64" i="13"/>
  <c r="C63" i="10"/>
  <c r="C65" i="13"/>
  <c r="I65" i="13"/>
  <c r="E65" i="13"/>
  <c r="L65" i="13"/>
  <c r="C64" i="10"/>
  <c r="C66" i="13"/>
  <c r="I66" i="13"/>
  <c r="E66" i="13"/>
  <c r="L66" i="13"/>
  <c r="C65" i="10"/>
  <c r="C67" i="13"/>
  <c r="I67" i="13"/>
  <c r="E67" i="13"/>
  <c r="L67" i="13"/>
  <c r="L68" i="13"/>
  <c r="N68" i="13"/>
  <c r="I68" i="13"/>
  <c r="J68" i="13"/>
  <c r="E68" i="13"/>
  <c r="G68" i="13"/>
  <c r="B66" i="10"/>
  <c r="B68" i="13"/>
  <c r="B12" i="10"/>
  <c r="B12" i="13"/>
  <c r="B13" i="10"/>
  <c r="B13" i="13"/>
  <c r="B14" i="10"/>
  <c r="B14" i="13"/>
  <c r="B17" i="10"/>
  <c r="B17" i="13"/>
  <c r="B18" i="10"/>
  <c r="B18" i="13"/>
  <c r="B19" i="10"/>
  <c r="B19" i="13"/>
  <c r="B20" i="10"/>
  <c r="B20" i="13"/>
  <c r="B21" i="10"/>
  <c r="B21" i="13"/>
  <c r="B22" i="10"/>
  <c r="B22" i="13"/>
  <c r="B23" i="10"/>
  <c r="B23" i="13"/>
  <c r="B24" i="10"/>
  <c r="B24" i="13"/>
  <c r="B25" i="10"/>
  <c r="B25" i="13"/>
  <c r="B26" i="10"/>
  <c r="B26" i="13"/>
  <c r="B27" i="10"/>
  <c r="B27" i="13"/>
  <c r="B28" i="10"/>
  <c r="B28" i="13"/>
  <c r="B29" i="10"/>
  <c r="B29" i="13"/>
  <c r="B30" i="10"/>
  <c r="B30" i="13"/>
  <c r="B31" i="10"/>
  <c r="B31" i="13"/>
  <c r="B32" i="10"/>
  <c r="B32" i="13"/>
  <c r="B33" i="10"/>
  <c r="B33" i="13"/>
  <c r="B34" i="10"/>
  <c r="B34" i="13"/>
  <c r="B35" i="10"/>
  <c r="B35" i="13"/>
  <c r="B36" i="10"/>
  <c r="B36" i="13"/>
  <c r="B45" i="10"/>
  <c r="B47" i="13"/>
  <c r="B46" i="10"/>
  <c r="B48" i="13"/>
  <c r="B47" i="10"/>
  <c r="B49" i="13"/>
  <c r="B48" i="10"/>
  <c r="B50" i="13"/>
  <c r="B49" i="10"/>
  <c r="B51" i="13"/>
  <c r="B50" i="10"/>
  <c r="B52" i="13"/>
  <c r="B51" i="10"/>
  <c r="B53" i="13"/>
  <c r="B52" i="10"/>
  <c r="B54" i="13"/>
  <c r="B54" i="10"/>
  <c r="B56" i="13"/>
  <c r="B55" i="10"/>
  <c r="B57" i="13"/>
  <c r="B56" i="10"/>
  <c r="B58" i="13"/>
  <c r="B57" i="10"/>
  <c r="B59" i="13"/>
  <c r="B58" i="10"/>
  <c r="B60" i="13"/>
  <c r="B59" i="10"/>
  <c r="B61" i="13"/>
  <c r="B60" i="10"/>
  <c r="B62" i="13"/>
  <c r="B61" i="10"/>
  <c r="B63" i="13"/>
  <c r="B62" i="10"/>
  <c r="B64" i="13"/>
  <c r="B63" i="10"/>
  <c r="B65" i="13"/>
  <c r="B64" i="10"/>
  <c r="B66" i="13"/>
  <c r="B65" i="10"/>
  <c r="B67" i="13"/>
  <c r="A68" i="13"/>
  <c r="N67" i="13"/>
  <c r="J67" i="13"/>
  <c r="G67" i="13"/>
  <c r="A67" i="13"/>
  <c r="N66" i="13"/>
  <c r="J66" i="13"/>
  <c r="G66" i="13"/>
  <c r="A66" i="13"/>
  <c r="N65" i="13"/>
  <c r="J65" i="13"/>
  <c r="G65" i="13"/>
  <c r="A65" i="13"/>
  <c r="N64" i="13"/>
  <c r="J64" i="13"/>
  <c r="G64" i="13"/>
  <c r="A64" i="13"/>
  <c r="N63" i="13"/>
  <c r="J63" i="13"/>
  <c r="G63" i="13"/>
  <c r="C61" i="10"/>
  <c r="C63" i="13"/>
  <c r="A63" i="13"/>
  <c r="N62" i="13"/>
  <c r="J62" i="13"/>
  <c r="G62" i="13"/>
  <c r="A62" i="13"/>
  <c r="N61" i="13"/>
  <c r="J61" i="13"/>
  <c r="G61" i="13"/>
  <c r="A61" i="13"/>
  <c r="N60" i="13"/>
  <c r="J60" i="13"/>
  <c r="G60" i="13"/>
  <c r="A60" i="13"/>
  <c r="N59" i="13"/>
  <c r="J59" i="13"/>
  <c r="G59" i="13"/>
  <c r="A59" i="13"/>
  <c r="N58" i="13"/>
  <c r="J58" i="13"/>
  <c r="G58" i="13"/>
  <c r="A58" i="13"/>
  <c r="N57" i="13"/>
  <c r="J57" i="13"/>
  <c r="G57" i="13"/>
  <c r="A57" i="13"/>
  <c r="N56" i="13"/>
  <c r="J56" i="13"/>
  <c r="G56" i="13"/>
  <c r="A56" i="13"/>
  <c r="N55" i="13"/>
  <c r="J55" i="13"/>
  <c r="G55" i="13"/>
  <c r="A55" i="13"/>
  <c r="N54" i="13"/>
  <c r="J54" i="13"/>
  <c r="G54" i="13"/>
  <c r="A54" i="13"/>
  <c r="N53" i="13"/>
  <c r="J53" i="13"/>
  <c r="G53" i="13"/>
  <c r="A53" i="13"/>
  <c r="N52" i="13"/>
  <c r="J52" i="13"/>
  <c r="G52" i="13"/>
  <c r="A52" i="13"/>
  <c r="N51" i="13"/>
  <c r="J51" i="13"/>
  <c r="G51" i="13"/>
  <c r="A51" i="13"/>
  <c r="N50" i="13"/>
  <c r="J50" i="13"/>
  <c r="G50" i="13"/>
  <c r="A50" i="13"/>
  <c r="N49" i="13"/>
  <c r="J49" i="13"/>
  <c r="G49" i="13"/>
  <c r="A49" i="13"/>
  <c r="N48" i="13"/>
  <c r="J48" i="13"/>
  <c r="G48" i="13"/>
  <c r="A48" i="13"/>
  <c r="N47" i="13"/>
  <c r="J47" i="13"/>
  <c r="G47" i="13"/>
  <c r="A47" i="13"/>
  <c r="A46" i="13"/>
  <c r="A45" i="13"/>
  <c r="A44" i="13"/>
  <c r="N40" i="13"/>
  <c r="I40" i="13"/>
  <c r="N43" i="13"/>
  <c r="A43" i="13"/>
  <c r="N42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5" i="9"/>
  <c r="A5" i="13"/>
  <c r="B73" i="12"/>
  <c r="B72" i="12"/>
  <c r="B71" i="12"/>
  <c r="B70" i="12"/>
  <c r="B69" i="12"/>
  <c r="B68" i="10"/>
  <c r="B68" i="12"/>
  <c r="A67" i="12"/>
  <c r="C45" i="12"/>
  <c r="C12" i="12"/>
  <c r="C13" i="12"/>
  <c r="C14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N12" i="12"/>
  <c r="N13" i="12"/>
  <c r="N14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L34" i="12"/>
  <c r="N34" i="12"/>
  <c r="L35" i="12"/>
  <c r="N35" i="12"/>
  <c r="N36" i="12"/>
  <c r="I45" i="12"/>
  <c r="I12" i="12"/>
  <c r="I13" i="12"/>
  <c r="I14" i="12"/>
  <c r="E45" i="12"/>
  <c r="L45" i="12"/>
  <c r="C46" i="12"/>
  <c r="I46" i="12"/>
  <c r="I17" i="12"/>
  <c r="E46" i="12"/>
  <c r="L46" i="12"/>
  <c r="C47" i="12"/>
  <c r="I47" i="12"/>
  <c r="I18" i="12"/>
  <c r="E47" i="12"/>
  <c r="L47" i="12"/>
  <c r="C48" i="12"/>
  <c r="I48" i="12"/>
  <c r="I19" i="12"/>
  <c r="E48" i="12"/>
  <c r="L48" i="12"/>
  <c r="C49" i="12"/>
  <c r="I49" i="12"/>
  <c r="I20" i="12"/>
  <c r="E49" i="12"/>
  <c r="L49" i="12"/>
  <c r="C50" i="12"/>
  <c r="I50" i="12"/>
  <c r="I21" i="12"/>
  <c r="E50" i="12"/>
  <c r="L50" i="12"/>
  <c r="C51" i="12"/>
  <c r="I51" i="12"/>
  <c r="I22" i="12"/>
  <c r="E51" i="12"/>
  <c r="L51" i="12"/>
  <c r="C52" i="12"/>
  <c r="I52" i="12"/>
  <c r="I23" i="12"/>
  <c r="E52" i="12"/>
  <c r="L52" i="12"/>
  <c r="I53" i="12"/>
  <c r="I24" i="12"/>
  <c r="E53" i="12"/>
  <c r="L53" i="12"/>
  <c r="C54" i="12"/>
  <c r="I54" i="12"/>
  <c r="I25" i="12"/>
  <c r="E54" i="12"/>
  <c r="L54" i="12"/>
  <c r="C55" i="12"/>
  <c r="I55" i="12"/>
  <c r="I26" i="12"/>
  <c r="E55" i="12"/>
  <c r="L55" i="12"/>
  <c r="C56" i="12"/>
  <c r="I56" i="12"/>
  <c r="I27" i="12"/>
  <c r="E56" i="12"/>
  <c r="L56" i="12"/>
  <c r="C57" i="12"/>
  <c r="I57" i="12"/>
  <c r="I28" i="12"/>
  <c r="E57" i="12"/>
  <c r="L57" i="12"/>
  <c r="C58" i="12"/>
  <c r="I58" i="12"/>
  <c r="I29" i="12"/>
  <c r="E58" i="12"/>
  <c r="L58" i="12"/>
  <c r="C59" i="12"/>
  <c r="I59" i="12"/>
  <c r="I30" i="12"/>
  <c r="E59" i="12"/>
  <c r="L59" i="12"/>
  <c r="C60" i="12"/>
  <c r="I60" i="12"/>
  <c r="I31" i="12"/>
  <c r="E60" i="12"/>
  <c r="L60" i="12"/>
  <c r="I61" i="12"/>
  <c r="I32" i="12"/>
  <c r="E61" i="12"/>
  <c r="L61" i="12"/>
  <c r="C62" i="12"/>
  <c r="I62" i="12"/>
  <c r="I33" i="12"/>
  <c r="E62" i="12"/>
  <c r="L62" i="12"/>
  <c r="C63" i="12"/>
  <c r="I63" i="12"/>
  <c r="I34" i="12"/>
  <c r="E63" i="12"/>
  <c r="L63" i="12"/>
  <c r="C64" i="12"/>
  <c r="I64" i="12"/>
  <c r="I35" i="12"/>
  <c r="E64" i="12"/>
  <c r="L64" i="12"/>
  <c r="C65" i="12"/>
  <c r="I65" i="12"/>
  <c r="I36" i="12"/>
  <c r="E65" i="12"/>
  <c r="L65" i="12"/>
  <c r="L66" i="12"/>
  <c r="N66" i="12"/>
  <c r="I66" i="12"/>
  <c r="J66" i="12"/>
  <c r="E66" i="12"/>
  <c r="G66" i="12"/>
  <c r="B66" i="12"/>
  <c r="B12" i="12"/>
  <c r="B13" i="12"/>
  <c r="B14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45" i="12"/>
  <c r="B46" i="12"/>
  <c r="B47" i="12"/>
  <c r="B48" i="12"/>
  <c r="B49" i="12"/>
  <c r="B50" i="12"/>
  <c r="B51" i="12"/>
  <c r="B52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A66" i="12"/>
  <c r="N65" i="12"/>
  <c r="J65" i="12"/>
  <c r="G65" i="12"/>
  <c r="A65" i="12"/>
  <c r="N64" i="12"/>
  <c r="J64" i="12"/>
  <c r="G64" i="12"/>
  <c r="A64" i="12"/>
  <c r="N63" i="12"/>
  <c r="J63" i="12"/>
  <c r="G63" i="12"/>
  <c r="A63" i="12"/>
  <c r="N62" i="12"/>
  <c r="J62" i="12"/>
  <c r="G62" i="12"/>
  <c r="A62" i="12"/>
  <c r="N61" i="12"/>
  <c r="J61" i="12"/>
  <c r="G61" i="12"/>
  <c r="C61" i="12"/>
  <c r="A61" i="12"/>
  <c r="N60" i="12"/>
  <c r="J60" i="12"/>
  <c r="G60" i="12"/>
  <c r="A60" i="12"/>
  <c r="N59" i="12"/>
  <c r="J59" i="12"/>
  <c r="G59" i="12"/>
  <c r="A59" i="12"/>
  <c r="N58" i="12"/>
  <c r="J58" i="12"/>
  <c r="G58" i="12"/>
  <c r="A58" i="12"/>
  <c r="N57" i="12"/>
  <c r="J57" i="12"/>
  <c r="G57" i="12"/>
  <c r="A57" i="12"/>
  <c r="N56" i="12"/>
  <c r="J56" i="12"/>
  <c r="G56" i="12"/>
  <c r="A56" i="12"/>
  <c r="N55" i="12"/>
  <c r="J55" i="12"/>
  <c r="G55" i="12"/>
  <c r="A55" i="12"/>
  <c r="N54" i="12"/>
  <c r="J54" i="12"/>
  <c r="G54" i="12"/>
  <c r="A54" i="12"/>
  <c r="N53" i="12"/>
  <c r="J53" i="12"/>
  <c r="G53" i="12"/>
  <c r="A53" i="12"/>
  <c r="N52" i="12"/>
  <c r="J52" i="12"/>
  <c r="G52" i="12"/>
  <c r="A52" i="12"/>
  <c r="N51" i="12"/>
  <c r="J51" i="12"/>
  <c r="G51" i="12"/>
  <c r="A51" i="12"/>
  <c r="N50" i="12"/>
  <c r="J50" i="12"/>
  <c r="G50" i="12"/>
  <c r="A50" i="12"/>
  <c r="N49" i="12"/>
  <c r="J49" i="12"/>
  <c r="G49" i="12"/>
  <c r="A49" i="12"/>
  <c r="N48" i="12"/>
  <c r="J48" i="12"/>
  <c r="G48" i="12"/>
  <c r="A48" i="12"/>
  <c r="N47" i="12"/>
  <c r="J47" i="12"/>
  <c r="G47" i="12"/>
  <c r="A47" i="12"/>
  <c r="N46" i="12"/>
  <c r="J46" i="12"/>
  <c r="G46" i="12"/>
  <c r="A46" i="12"/>
  <c r="N45" i="12"/>
  <c r="J45" i="12"/>
  <c r="G45" i="12"/>
  <c r="A45" i="12"/>
  <c r="A44" i="12"/>
  <c r="A43" i="12"/>
  <c r="A42" i="12"/>
  <c r="A41" i="12"/>
  <c r="N38" i="12"/>
  <c r="I38" i="12"/>
  <c r="N40" i="12"/>
  <c r="A40" i="12"/>
  <c r="A39" i="12"/>
  <c r="A38" i="12"/>
  <c r="A37" i="12"/>
  <c r="A36" i="12"/>
  <c r="A35" i="12"/>
  <c r="A34" i="12"/>
  <c r="A33" i="12"/>
  <c r="A32" i="12"/>
  <c r="A31" i="12"/>
  <c r="A30" i="12"/>
  <c r="A29" i="12"/>
  <c r="A28" i="12"/>
  <c r="A27" i="12"/>
  <c r="A26" i="12"/>
  <c r="A25" i="12"/>
  <c r="A24" i="12"/>
  <c r="A23" i="12"/>
  <c r="A22" i="12"/>
  <c r="A21" i="12"/>
  <c r="A20" i="12"/>
  <c r="A19" i="12"/>
  <c r="A18" i="12"/>
  <c r="A17" i="12"/>
  <c r="A16" i="12"/>
  <c r="A15" i="12"/>
  <c r="A14" i="12"/>
  <c r="A13" i="12"/>
  <c r="A12" i="12"/>
  <c r="A11" i="12"/>
  <c r="A5" i="8"/>
  <c r="A5" i="12"/>
  <c r="B76" i="11"/>
  <c r="B75" i="11"/>
  <c r="B74" i="11"/>
  <c r="B73" i="11"/>
  <c r="B72" i="11"/>
  <c r="B71" i="11"/>
  <c r="A69" i="11"/>
  <c r="C47" i="11"/>
  <c r="C12" i="11"/>
  <c r="C13" i="11"/>
  <c r="C14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N12" i="11"/>
  <c r="N13" i="11"/>
  <c r="N14" i="11"/>
  <c r="AO11" i="1"/>
  <c r="AO13" i="1"/>
  <c r="N17" i="11"/>
  <c r="K11" i="1"/>
  <c r="K13" i="1"/>
  <c r="N18" i="11"/>
  <c r="AT11" i="1"/>
  <c r="AT13" i="1"/>
  <c r="N19" i="11"/>
  <c r="P11" i="1"/>
  <c r="P13" i="1"/>
  <c r="N20" i="11"/>
  <c r="U11" i="1"/>
  <c r="U13" i="1"/>
  <c r="N21" i="11"/>
  <c r="Z11" i="1"/>
  <c r="Z13" i="1"/>
  <c r="N22" i="11"/>
  <c r="AY13" i="1"/>
  <c r="N23" i="11"/>
  <c r="N24" i="11"/>
  <c r="AE11" i="1"/>
  <c r="AE13" i="1"/>
  <c r="N25" i="11"/>
  <c r="BI11" i="1"/>
  <c r="BI13" i="1"/>
  <c r="N26" i="11"/>
  <c r="BN13" i="1"/>
  <c r="N27" i="11"/>
  <c r="BS11" i="1"/>
  <c r="BS13" i="1"/>
  <c r="N28" i="11"/>
  <c r="BX13" i="1"/>
  <c r="N29" i="11"/>
  <c r="CC13" i="1"/>
  <c r="N30" i="11"/>
  <c r="AJ11" i="1"/>
  <c r="AJ13" i="1"/>
  <c r="N31" i="11"/>
  <c r="N32" i="11"/>
  <c r="N33" i="11"/>
  <c r="L34" i="11"/>
  <c r="N34" i="11"/>
  <c r="L35" i="11"/>
  <c r="N35" i="11"/>
  <c r="N36" i="11"/>
  <c r="N38" i="11"/>
  <c r="N39" i="11"/>
  <c r="I47" i="11"/>
  <c r="I12" i="11"/>
  <c r="I13" i="11"/>
  <c r="I14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8" i="11"/>
  <c r="I39" i="11"/>
  <c r="E47" i="11"/>
  <c r="L47" i="11"/>
  <c r="C48" i="11"/>
  <c r="I48" i="11"/>
  <c r="E48" i="11"/>
  <c r="L48" i="11"/>
  <c r="C49" i="11"/>
  <c r="I49" i="11"/>
  <c r="E49" i="11"/>
  <c r="L49" i="11"/>
  <c r="C50" i="11"/>
  <c r="I50" i="11"/>
  <c r="E50" i="11"/>
  <c r="L50" i="11"/>
  <c r="C51" i="11"/>
  <c r="I51" i="11"/>
  <c r="E51" i="11"/>
  <c r="L51" i="11"/>
  <c r="C52" i="11"/>
  <c r="I52" i="11"/>
  <c r="E52" i="11"/>
  <c r="L52" i="11"/>
  <c r="C53" i="11"/>
  <c r="I53" i="11"/>
  <c r="E53" i="11"/>
  <c r="L53" i="11"/>
  <c r="C54" i="11"/>
  <c r="I54" i="11"/>
  <c r="E54" i="11"/>
  <c r="L54" i="11"/>
  <c r="I55" i="11"/>
  <c r="E55" i="11"/>
  <c r="L55" i="11"/>
  <c r="C56" i="11"/>
  <c r="I56" i="11"/>
  <c r="E56" i="11"/>
  <c r="L56" i="11"/>
  <c r="C57" i="11"/>
  <c r="I57" i="11"/>
  <c r="E57" i="11"/>
  <c r="L57" i="11"/>
  <c r="C58" i="11"/>
  <c r="I58" i="11"/>
  <c r="E58" i="11"/>
  <c r="L58" i="11"/>
  <c r="C59" i="11"/>
  <c r="I59" i="11"/>
  <c r="E59" i="11"/>
  <c r="L59" i="11"/>
  <c r="C60" i="11"/>
  <c r="I60" i="11"/>
  <c r="E60" i="11"/>
  <c r="L60" i="11"/>
  <c r="C61" i="11"/>
  <c r="I61" i="11"/>
  <c r="E61" i="11"/>
  <c r="L61" i="11"/>
  <c r="C62" i="11"/>
  <c r="I62" i="11"/>
  <c r="E62" i="11"/>
  <c r="L62" i="11"/>
  <c r="I63" i="11"/>
  <c r="E63" i="11"/>
  <c r="L63" i="11"/>
  <c r="C64" i="11"/>
  <c r="I64" i="11"/>
  <c r="E64" i="11"/>
  <c r="L64" i="11"/>
  <c r="C65" i="11"/>
  <c r="I65" i="11"/>
  <c r="E65" i="11"/>
  <c r="L65" i="11"/>
  <c r="C66" i="11"/>
  <c r="I66" i="11"/>
  <c r="E66" i="11"/>
  <c r="L66" i="11"/>
  <c r="C67" i="11"/>
  <c r="I67" i="11"/>
  <c r="E67" i="11"/>
  <c r="L67" i="11"/>
  <c r="L68" i="11"/>
  <c r="N68" i="11"/>
  <c r="I68" i="11"/>
  <c r="J68" i="11"/>
  <c r="E68" i="11"/>
  <c r="G68" i="11"/>
  <c r="B68" i="11"/>
  <c r="B12" i="11"/>
  <c r="B13" i="11"/>
  <c r="B14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47" i="11"/>
  <c r="B48" i="11"/>
  <c r="B49" i="11"/>
  <c r="B50" i="11"/>
  <c r="B51" i="11"/>
  <c r="B52" i="11"/>
  <c r="B53" i="11"/>
  <c r="B54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A68" i="11"/>
  <c r="N67" i="11"/>
  <c r="J67" i="11"/>
  <c r="G67" i="11"/>
  <c r="A67" i="11"/>
  <c r="N66" i="11"/>
  <c r="J66" i="11"/>
  <c r="G66" i="11"/>
  <c r="A66" i="11"/>
  <c r="N65" i="11"/>
  <c r="J65" i="11"/>
  <c r="G65" i="11"/>
  <c r="A65" i="11"/>
  <c r="N64" i="11"/>
  <c r="J64" i="11"/>
  <c r="G64" i="11"/>
  <c r="A64" i="11"/>
  <c r="N63" i="11"/>
  <c r="J63" i="11"/>
  <c r="G63" i="11"/>
  <c r="C63" i="11"/>
  <c r="A63" i="11"/>
  <c r="N62" i="11"/>
  <c r="J62" i="11"/>
  <c r="G62" i="11"/>
  <c r="A62" i="11"/>
  <c r="N61" i="11"/>
  <c r="J61" i="11"/>
  <c r="G61" i="11"/>
  <c r="A61" i="11"/>
  <c r="N60" i="11"/>
  <c r="J60" i="11"/>
  <c r="G60" i="11"/>
  <c r="A60" i="11"/>
  <c r="N59" i="11"/>
  <c r="J59" i="11"/>
  <c r="G59" i="11"/>
  <c r="A59" i="11"/>
  <c r="N58" i="11"/>
  <c r="J58" i="11"/>
  <c r="G58" i="11"/>
  <c r="A58" i="11"/>
  <c r="N57" i="11"/>
  <c r="J57" i="11"/>
  <c r="G57" i="11"/>
  <c r="A57" i="11"/>
  <c r="N56" i="11"/>
  <c r="J56" i="11"/>
  <c r="G56" i="11"/>
  <c r="A56" i="11"/>
  <c r="N55" i="11"/>
  <c r="J55" i="11"/>
  <c r="G55" i="11"/>
  <c r="A55" i="11"/>
  <c r="N54" i="11"/>
  <c r="J54" i="11"/>
  <c r="G54" i="11"/>
  <c r="A54" i="11"/>
  <c r="N53" i="11"/>
  <c r="J53" i="11"/>
  <c r="G53" i="11"/>
  <c r="A53" i="11"/>
  <c r="N52" i="11"/>
  <c r="J52" i="11"/>
  <c r="G52" i="11"/>
  <c r="A52" i="11"/>
  <c r="N51" i="11"/>
  <c r="J51" i="11"/>
  <c r="G51" i="11"/>
  <c r="A51" i="11"/>
  <c r="N50" i="11"/>
  <c r="J50" i="11"/>
  <c r="G50" i="11"/>
  <c r="A50" i="11"/>
  <c r="N49" i="11"/>
  <c r="J49" i="11"/>
  <c r="G49" i="11"/>
  <c r="A49" i="11"/>
  <c r="N48" i="11"/>
  <c r="J48" i="11"/>
  <c r="G48" i="11"/>
  <c r="A48" i="11"/>
  <c r="N47" i="11"/>
  <c r="J47" i="11"/>
  <c r="G47" i="11"/>
  <c r="A47" i="11"/>
  <c r="A46" i="11"/>
  <c r="A45" i="11"/>
  <c r="A44" i="11"/>
  <c r="N40" i="11"/>
  <c r="I40" i="11"/>
  <c r="N43" i="11"/>
  <c r="A43" i="11"/>
  <c r="N42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5" i="7"/>
  <c r="A5" i="11"/>
  <c r="B72" i="10"/>
  <c r="B71" i="10"/>
  <c r="B70" i="10"/>
  <c r="B69" i="10"/>
  <c r="N12" i="10"/>
  <c r="N13" i="10"/>
  <c r="N14" i="10"/>
  <c r="I45" i="10"/>
  <c r="I12" i="10"/>
  <c r="I13" i="10"/>
  <c r="I14" i="10"/>
  <c r="E45" i="10"/>
  <c r="L45" i="10"/>
  <c r="N17" i="10"/>
  <c r="I46" i="10"/>
  <c r="I17" i="10"/>
  <c r="E46" i="10"/>
  <c r="L46" i="10"/>
  <c r="N18" i="10"/>
  <c r="I47" i="10"/>
  <c r="I18" i="10"/>
  <c r="E47" i="10"/>
  <c r="L47" i="10"/>
  <c r="N19" i="10"/>
  <c r="I48" i="10"/>
  <c r="I19" i="10"/>
  <c r="E48" i="10"/>
  <c r="L48" i="10"/>
  <c r="N20" i="10"/>
  <c r="I49" i="10"/>
  <c r="I20" i="10"/>
  <c r="E49" i="10"/>
  <c r="L49" i="10"/>
  <c r="N21" i="10"/>
  <c r="I50" i="10"/>
  <c r="I21" i="10"/>
  <c r="E50" i="10"/>
  <c r="L50" i="10"/>
  <c r="N22" i="10"/>
  <c r="I51" i="10"/>
  <c r="I22" i="10"/>
  <c r="E51" i="10"/>
  <c r="L51" i="10"/>
  <c r="N23" i="10"/>
  <c r="I52" i="10"/>
  <c r="I23" i="10"/>
  <c r="E52" i="10"/>
  <c r="L52" i="10"/>
  <c r="C53" i="10"/>
  <c r="N24" i="10"/>
  <c r="I53" i="10"/>
  <c r="I24" i="10"/>
  <c r="E53" i="10"/>
  <c r="L53" i="10"/>
  <c r="N25" i="10"/>
  <c r="I54" i="10"/>
  <c r="I25" i="10"/>
  <c r="E54" i="10"/>
  <c r="L54" i="10"/>
  <c r="N26" i="10"/>
  <c r="I55" i="10"/>
  <c r="I26" i="10"/>
  <c r="E55" i="10"/>
  <c r="L55" i="10"/>
  <c r="N27" i="10"/>
  <c r="I56" i="10"/>
  <c r="I27" i="10"/>
  <c r="E56" i="10"/>
  <c r="L56" i="10"/>
  <c r="N28" i="10"/>
  <c r="I57" i="10"/>
  <c r="I28" i="10"/>
  <c r="E57" i="10"/>
  <c r="L57" i="10"/>
  <c r="N29" i="10"/>
  <c r="I58" i="10"/>
  <c r="I29" i="10"/>
  <c r="E58" i="10"/>
  <c r="L58" i="10"/>
  <c r="N30" i="10"/>
  <c r="I59" i="10"/>
  <c r="I30" i="10"/>
  <c r="E59" i="10"/>
  <c r="L59" i="10"/>
  <c r="N31" i="10"/>
  <c r="I60" i="10"/>
  <c r="I31" i="10"/>
  <c r="E60" i="10"/>
  <c r="L60" i="10"/>
  <c r="N32" i="10"/>
  <c r="I61" i="10"/>
  <c r="I32" i="10"/>
  <c r="E61" i="10"/>
  <c r="L61" i="10"/>
  <c r="N33" i="10"/>
  <c r="I62" i="10"/>
  <c r="I33" i="10"/>
  <c r="E62" i="10"/>
  <c r="L62" i="10"/>
  <c r="L34" i="10"/>
  <c r="N34" i="10"/>
  <c r="I63" i="10"/>
  <c r="I34" i="10"/>
  <c r="E63" i="10"/>
  <c r="L63" i="10"/>
  <c r="L35" i="10"/>
  <c r="N35" i="10"/>
  <c r="I64" i="10"/>
  <c r="I35" i="10"/>
  <c r="E64" i="10"/>
  <c r="L64" i="10"/>
  <c r="N36" i="10"/>
  <c r="I65" i="10"/>
  <c r="I36" i="10"/>
  <c r="E65" i="10"/>
  <c r="L65" i="10"/>
  <c r="L66" i="10"/>
  <c r="N66" i="10"/>
  <c r="I66" i="10"/>
  <c r="J66" i="10"/>
  <c r="E66" i="10"/>
  <c r="G66" i="10"/>
  <c r="B53" i="10"/>
  <c r="A66" i="10"/>
  <c r="N65" i="10"/>
  <c r="J65" i="10"/>
  <c r="G65" i="10"/>
  <c r="A65" i="10"/>
  <c r="N64" i="10"/>
  <c r="J64" i="10"/>
  <c r="G64" i="10"/>
  <c r="A64" i="10"/>
  <c r="N63" i="10"/>
  <c r="J63" i="10"/>
  <c r="G63" i="10"/>
  <c r="A63" i="10"/>
  <c r="N62" i="10"/>
  <c r="J62" i="10"/>
  <c r="G62" i="10"/>
  <c r="A62" i="10"/>
  <c r="N61" i="10"/>
  <c r="J61" i="10"/>
  <c r="G61" i="10"/>
  <c r="A61" i="10"/>
  <c r="N60" i="10"/>
  <c r="J60" i="10"/>
  <c r="G60" i="10"/>
  <c r="A60" i="10"/>
  <c r="N59" i="10"/>
  <c r="J59" i="10"/>
  <c r="G59" i="10"/>
  <c r="A59" i="10"/>
  <c r="N58" i="10"/>
  <c r="J58" i="10"/>
  <c r="G58" i="10"/>
  <c r="A58" i="10"/>
  <c r="N57" i="10"/>
  <c r="J57" i="10"/>
  <c r="G57" i="10"/>
  <c r="A57" i="10"/>
  <c r="N56" i="10"/>
  <c r="J56" i="10"/>
  <c r="G56" i="10"/>
  <c r="A56" i="10"/>
  <c r="N55" i="10"/>
  <c r="J55" i="10"/>
  <c r="G55" i="10"/>
  <c r="A55" i="10"/>
  <c r="N54" i="10"/>
  <c r="J54" i="10"/>
  <c r="G54" i="10"/>
  <c r="A54" i="10"/>
  <c r="N53" i="10"/>
  <c r="J53" i="10"/>
  <c r="G53" i="10"/>
  <c r="A53" i="10"/>
  <c r="N52" i="10"/>
  <c r="J52" i="10"/>
  <c r="G52" i="10"/>
  <c r="A52" i="10"/>
  <c r="N51" i="10"/>
  <c r="J51" i="10"/>
  <c r="G51" i="10"/>
  <c r="A51" i="10"/>
  <c r="N50" i="10"/>
  <c r="J50" i="10"/>
  <c r="G50" i="10"/>
  <c r="A50" i="10"/>
  <c r="N49" i="10"/>
  <c r="J49" i="10"/>
  <c r="G49" i="10"/>
  <c r="A49" i="10"/>
  <c r="N48" i="10"/>
  <c r="J48" i="10"/>
  <c r="G48" i="10"/>
  <c r="A48" i="10"/>
  <c r="N47" i="10"/>
  <c r="J47" i="10"/>
  <c r="G47" i="10"/>
  <c r="A47" i="10"/>
  <c r="N46" i="10"/>
  <c r="J46" i="10"/>
  <c r="G46" i="10"/>
  <c r="A46" i="10"/>
  <c r="N45" i="10"/>
  <c r="J45" i="10"/>
  <c r="G45" i="10"/>
  <c r="A45" i="10"/>
  <c r="A44" i="10"/>
  <c r="A43" i="10"/>
  <c r="A42" i="10"/>
  <c r="A41" i="10"/>
  <c r="N38" i="10"/>
  <c r="I38" i="10"/>
  <c r="N40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B76" i="9"/>
  <c r="B75" i="9"/>
  <c r="B74" i="9"/>
  <c r="B73" i="9"/>
  <c r="B72" i="9"/>
  <c r="B71" i="9"/>
  <c r="A69" i="9"/>
  <c r="C47" i="9"/>
  <c r="C12" i="9"/>
  <c r="C13" i="9"/>
  <c r="C14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N12" i="9"/>
  <c r="N13" i="9"/>
  <c r="N14" i="9"/>
  <c r="N17" i="9"/>
  <c r="N18" i="9"/>
  <c r="N19" i="9"/>
  <c r="N20" i="9"/>
  <c r="N21" i="9"/>
  <c r="N22" i="9"/>
  <c r="AY12" i="1"/>
  <c r="N23" i="9"/>
  <c r="N24" i="9"/>
  <c r="N25" i="9"/>
  <c r="N26" i="9"/>
  <c r="BN12" i="1"/>
  <c r="N27" i="9"/>
  <c r="N28" i="9"/>
  <c r="BX12" i="1"/>
  <c r="N29" i="9"/>
  <c r="CC12" i="1"/>
  <c r="N30" i="9"/>
  <c r="N31" i="9"/>
  <c r="N32" i="9"/>
  <c r="N33" i="9"/>
  <c r="L34" i="9"/>
  <c r="N34" i="9"/>
  <c r="L35" i="9"/>
  <c r="N35" i="9"/>
  <c r="N36" i="9"/>
  <c r="N38" i="9"/>
  <c r="N39" i="9"/>
  <c r="I47" i="9"/>
  <c r="I12" i="9"/>
  <c r="I13" i="9"/>
  <c r="I14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8" i="9"/>
  <c r="I39" i="9"/>
  <c r="E47" i="9"/>
  <c r="L47" i="9"/>
  <c r="C48" i="9"/>
  <c r="I48" i="9"/>
  <c r="E48" i="9"/>
  <c r="L48" i="9"/>
  <c r="C49" i="9"/>
  <c r="I49" i="9"/>
  <c r="E49" i="9"/>
  <c r="L49" i="9"/>
  <c r="C50" i="9"/>
  <c r="I50" i="9"/>
  <c r="E50" i="9"/>
  <c r="L50" i="9"/>
  <c r="C51" i="9"/>
  <c r="I51" i="9"/>
  <c r="E51" i="9"/>
  <c r="L51" i="9"/>
  <c r="C52" i="9"/>
  <c r="I52" i="9"/>
  <c r="E52" i="9"/>
  <c r="L52" i="9"/>
  <c r="C53" i="9"/>
  <c r="I53" i="9"/>
  <c r="E53" i="9"/>
  <c r="L53" i="9"/>
  <c r="C54" i="9"/>
  <c r="I54" i="9"/>
  <c r="E54" i="9"/>
  <c r="L54" i="9"/>
  <c r="C55" i="9"/>
  <c r="I55" i="9"/>
  <c r="E55" i="9"/>
  <c r="L55" i="9"/>
  <c r="C56" i="9"/>
  <c r="I56" i="9"/>
  <c r="E56" i="9"/>
  <c r="L56" i="9"/>
  <c r="C57" i="9"/>
  <c r="I57" i="9"/>
  <c r="E57" i="9"/>
  <c r="L57" i="9"/>
  <c r="C58" i="9"/>
  <c r="I58" i="9"/>
  <c r="E58" i="9"/>
  <c r="L58" i="9"/>
  <c r="C59" i="9"/>
  <c r="I59" i="9"/>
  <c r="E59" i="9"/>
  <c r="L59" i="9"/>
  <c r="C60" i="9"/>
  <c r="I60" i="9"/>
  <c r="E60" i="9"/>
  <c r="L60" i="9"/>
  <c r="C61" i="9"/>
  <c r="I61" i="9"/>
  <c r="E61" i="9"/>
  <c r="L61" i="9"/>
  <c r="C62" i="9"/>
  <c r="I62" i="9"/>
  <c r="E62" i="9"/>
  <c r="L62" i="9"/>
  <c r="I63" i="9"/>
  <c r="E63" i="9"/>
  <c r="L63" i="9"/>
  <c r="C64" i="9"/>
  <c r="I64" i="9"/>
  <c r="E64" i="9"/>
  <c r="L64" i="9"/>
  <c r="C65" i="9"/>
  <c r="I65" i="9"/>
  <c r="E65" i="9"/>
  <c r="L65" i="9"/>
  <c r="C66" i="9"/>
  <c r="I66" i="9"/>
  <c r="E66" i="9"/>
  <c r="L66" i="9"/>
  <c r="C67" i="9"/>
  <c r="I67" i="9"/>
  <c r="E67" i="9"/>
  <c r="L67" i="9"/>
  <c r="L68" i="9"/>
  <c r="N68" i="9"/>
  <c r="I68" i="9"/>
  <c r="J68" i="9"/>
  <c r="E68" i="9"/>
  <c r="G68" i="9"/>
  <c r="B68" i="9"/>
  <c r="B12" i="9"/>
  <c r="B13" i="9"/>
  <c r="B14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A68" i="9"/>
  <c r="N67" i="9"/>
  <c r="J67" i="9"/>
  <c r="G67" i="9"/>
  <c r="A67" i="9"/>
  <c r="N66" i="9"/>
  <c r="J66" i="9"/>
  <c r="G66" i="9"/>
  <c r="A66" i="9"/>
  <c r="N65" i="9"/>
  <c r="J65" i="9"/>
  <c r="G65" i="9"/>
  <c r="A65" i="9"/>
  <c r="N64" i="9"/>
  <c r="J64" i="9"/>
  <c r="G64" i="9"/>
  <c r="A64" i="9"/>
  <c r="N63" i="9"/>
  <c r="J63" i="9"/>
  <c r="G63" i="9"/>
  <c r="C63" i="9"/>
  <c r="A63" i="9"/>
  <c r="N62" i="9"/>
  <c r="J62" i="9"/>
  <c r="G62" i="9"/>
  <c r="A62" i="9"/>
  <c r="N61" i="9"/>
  <c r="J61" i="9"/>
  <c r="G61" i="9"/>
  <c r="A61" i="9"/>
  <c r="N60" i="9"/>
  <c r="J60" i="9"/>
  <c r="G60" i="9"/>
  <c r="A60" i="9"/>
  <c r="N59" i="9"/>
  <c r="J59" i="9"/>
  <c r="G59" i="9"/>
  <c r="A59" i="9"/>
  <c r="N58" i="9"/>
  <c r="J58" i="9"/>
  <c r="G58" i="9"/>
  <c r="A58" i="9"/>
  <c r="N57" i="9"/>
  <c r="J57" i="9"/>
  <c r="G57" i="9"/>
  <c r="A57" i="9"/>
  <c r="N56" i="9"/>
  <c r="J56" i="9"/>
  <c r="G56" i="9"/>
  <c r="A56" i="9"/>
  <c r="N55" i="9"/>
  <c r="J55" i="9"/>
  <c r="G55" i="9"/>
  <c r="A55" i="9"/>
  <c r="N54" i="9"/>
  <c r="J54" i="9"/>
  <c r="G54" i="9"/>
  <c r="A54" i="9"/>
  <c r="N53" i="9"/>
  <c r="J53" i="9"/>
  <c r="G53" i="9"/>
  <c r="A53" i="9"/>
  <c r="N52" i="9"/>
  <c r="J52" i="9"/>
  <c r="G52" i="9"/>
  <c r="A52" i="9"/>
  <c r="N51" i="9"/>
  <c r="J51" i="9"/>
  <c r="G51" i="9"/>
  <c r="A51" i="9"/>
  <c r="N50" i="9"/>
  <c r="J50" i="9"/>
  <c r="G50" i="9"/>
  <c r="A50" i="9"/>
  <c r="N49" i="9"/>
  <c r="J49" i="9"/>
  <c r="G49" i="9"/>
  <c r="A49" i="9"/>
  <c r="N48" i="9"/>
  <c r="J48" i="9"/>
  <c r="G48" i="9"/>
  <c r="A48" i="9"/>
  <c r="N47" i="9"/>
  <c r="J47" i="9"/>
  <c r="G47" i="9"/>
  <c r="A47" i="9"/>
  <c r="A46" i="9"/>
  <c r="A45" i="9"/>
  <c r="A44" i="9"/>
  <c r="N40" i="9"/>
  <c r="I40" i="9"/>
  <c r="N43" i="9"/>
  <c r="A43" i="9"/>
  <c r="N42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4" i="9"/>
  <c r="B73" i="8"/>
  <c r="B72" i="8"/>
  <c r="B71" i="8"/>
  <c r="B70" i="8"/>
  <c r="B69" i="8"/>
  <c r="A67" i="8"/>
  <c r="C45" i="8"/>
  <c r="C12" i="8"/>
  <c r="C13" i="8"/>
  <c r="C14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N12" i="8"/>
  <c r="N13" i="8"/>
  <c r="N14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L34" i="8"/>
  <c r="N34" i="8"/>
  <c r="L35" i="8"/>
  <c r="N35" i="8"/>
  <c r="N36" i="8"/>
  <c r="I45" i="8"/>
  <c r="I12" i="8"/>
  <c r="I13" i="8"/>
  <c r="I14" i="8"/>
  <c r="E45" i="8"/>
  <c r="L45" i="8"/>
  <c r="C46" i="8"/>
  <c r="I46" i="8"/>
  <c r="I17" i="8"/>
  <c r="E46" i="8"/>
  <c r="L46" i="8"/>
  <c r="C47" i="8"/>
  <c r="I47" i="8"/>
  <c r="I18" i="8"/>
  <c r="E47" i="8"/>
  <c r="L47" i="8"/>
  <c r="C48" i="8"/>
  <c r="I48" i="8"/>
  <c r="I19" i="8"/>
  <c r="E48" i="8"/>
  <c r="L48" i="8"/>
  <c r="C49" i="8"/>
  <c r="I49" i="8"/>
  <c r="I20" i="8"/>
  <c r="E49" i="8"/>
  <c r="L49" i="8"/>
  <c r="C50" i="8"/>
  <c r="I50" i="8"/>
  <c r="I21" i="8"/>
  <c r="E50" i="8"/>
  <c r="L50" i="8"/>
  <c r="C51" i="8"/>
  <c r="I51" i="8"/>
  <c r="I22" i="8"/>
  <c r="E51" i="8"/>
  <c r="L51" i="8"/>
  <c r="C52" i="8"/>
  <c r="I52" i="8"/>
  <c r="I23" i="8"/>
  <c r="E52" i="8"/>
  <c r="L52" i="8"/>
  <c r="C53" i="8"/>
  <c r="I53" i="8"/>
  <c r="I24" i="8"/>
  <c r="E53" i="8"/>
  <c r="L53" i="8"/>
  <c r="C54" i="8"/>
  <c r="I54" i="8"/>
  <c r="I25" i="8"/>
  <c r="E54" i="8"/>
  <c r="L54" i="8"/>
  <c r="C55" i="8"/>
  <c r="I55" i="8"/>
  <c r="I26" i="8"/>
  <c r="E55" i="8"/>
  <c r="L55" i="8"/>
  <c r="C56" i="8"/>
  <c r="I56" i="8"/>
  <c r="I27" i="8"/>
  <c r="E56" i="8"/>
  <c r="L56" i="8"/>
  <c r="C57" i="8"/>
  <c r="I57" i="8"/>
  <c r="I28" i="8"/>
  <c r="E57" i="8"/>
  <c r="L57" i="8"/>
  <c r="C58" i="8"/>
  <c r="I58" i="8"/>
  <c r="I29" i="8"/>
  <c r="E58" i="8"/>
  <c r="L58" i="8"/>
  <c r="C59" i="8"/>
  <c r="I59" i="8"/>
  <c r="I30" i="8"/>
  <c r="E59" i="8"/>
  <c r="L59" i="8"/>
  <c r="C60" i="8"/>
  <c r="I60" i="8"/>
  <c r="I31" i="8"/>
  <c r="E60" i="8"/>
  <c r="L60" i="8"/>
  <c r="I61" i="8"/>
  <c r="I32" i="8"/>
  <c r="E61" i="8"/>
  <c r="L61" i="8"/>
  <c r="C62" i="8"/>
  <c r="I62" i="8"/>
  <c r="I33" i="8"/>
  <c r="E62" i="8"/>
  <c r="L62" i="8"/>
  <c r="C63" i="8"/>
  <c r="I63" i="8"/>
  <c r="I34" i="8"/>
  <c r="E63" i="8"/>
  <c r="L63" i="8"/>
  <c r="C64" i="8"/>
  <c r="I64" i="8"/>
  <c r="I35" i="8"/>
  <c r="E64" i="8"/>
  <c r="L64" i="8"/>
  <c r="C65" i="8"/>
  <c r="I65" i="8"/>
  <c r="I36" i="8"/>
  <c r="E65" i="8"/>
  <c r="L65" i="8"/>
  <c r="L66" i="8"/>
  <c r="N66" i="8"/>
  <c r="I66" i="8"/>
  <c r="J66" i="8"/>
  <c r="E66" i="8"/>
  <c r="G66" i="8"/>
  <c r="B66" i="8"/>
  <c r="B12" i="8"/>
  <c r="B13" i="8"/>
  <c r="B14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A66" i="8"/>
  <c r="N65" i="8"/>
  <c r="J65" i="8"/>
  <c r="G65" i="8"/>
  <c r="A65" i="8"/>
  <c r="N64" i="8"/>
  <c r="J64" i="8"/>
  <c r="G64" i="8"/>
  <c r="A64" i="8"/>
  <c r="N63" i="8"/>
  <c r="J63" i="8"/>
  <c r="G63" i="8"/>
  <c r="A63" i="8"/>
  <c r="N62" i="8"/>
  <c r="J62" i="8"/>
  <c r="G62" i="8"/>
  <c r="A62" i="8"/>
  <c r="N61" i="8"/>
  <c r="J61" i="8"/>
  <c r="G61" i="8"/>
  <c r="C61" i="8"/>
  <c r="A61" i="8"/>
  <c r="N60" i="8"/>
  <c r="J60" i="8"/>
  <c r="G60" i="8"/>
  <c r="A60" i="8"/>
  <c r="N59" i="8"/>
  <c r="J59" i="8"/>
  <c r="G59" i="8"/>
  <c r="A59" i="8"/>
  <c r="N58" i="8"/>
  <c r="J58" i="8"/>
  <c r="G58" i="8"/>
  <c r="A58" i="8"/>
  <c r="N57" i="8"/>
  <c r="J57" i="8"/>
  <c r="G57" i="8"/>
  <c r="A57" i="8"/>
  <c r="N56" i="8"/>
  <c r="J56" i="8"/>
  <c r="G56" i="8"/>
  <c r="A56" i="8"/>
  <c r="N55" i="8"/>
  <c r="J55" i="8"/>
  <c r="G55" i="8"/>
  <c r="A55" i="8"/>
  <c r="N54" i="8"/>
  <c r="J54" i="8"/>
  <c r="G54" i="8"/>
  <c r="A54" i="8"/>
  <c r="N53" i="8"/>
  <c r="J53" i="8"/>
  <c r="G53" i="8"/>
  <c r="A53" i="8"/>
  <c r="N52" i="8"/>
  <c r="J52" i="8"/>
  <c r="G52" i="8"/>
  <c r="A52" i="8"/>
  <c r="N51" i="8"/>
  <c r="J51" i="8"/>
  <c r="G51" i="8"/>
  <c r="A51" i="8"/>
  <c r="N50" i="8"/>
  <c r="J50" i="8"/>
  <c r="G50" i="8"/>
  <c r="A50" i="8"/>
  <c r="N49" i="8"/>
  <c r="J49" i="8"/>
  <c r="G49" i="8"/>
  <c r="A49" i="8"/>
  <c r="N48" i="8"/>
  <c r="J48" i="8"/>
  <c r="G48" i="8"/>
  <c r="A48" i="8"/>
  <c r="N47" i="8"/>
  <c r="J47" i="8"/>
  <c r="G47" i="8"/>
  <c r="A47" i="8"/>
  <c r="N46" i="8"/>
  <c r="J46" i="8"/>
  <c r="G46" i="8"/>
  <c r="A46" i="8"/>
  <c r="N45" i="8"/>
  <c r="J45" i="8"/>
  <c r="G45" i="8"/>
  <c r="A45" i="8"/>
  <c r="A44" i="8"/>
  <c r="A43" i="8"/>
  <c r="A42" i="8"/>
  <c r="A41" i="8"/>
  <c r="N38" i="8"/>
  <c r="I38" i="8"/>
  <c r="N40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4" i="8"/>
  <c r="A69" i="7"/>
  <c r="C47" i="7"/>
  <c r="C12" i="7"/>
  <c r="C13" i="7"/>
  <c r="C14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N12" i="7"/>
  <c r="N13" i="7"/>
  <c r="N14" i="7"/>
  <c r="N17" i="7"/>
  <c r="N18" i="7"/>
  <c r="N19" i="7"/>
  <c r="N20" i="7"/>
  <c r="N21" i="7"/>
  <c r="N22" i="7"/>
  <c r="AY11" i="1"/>
  <c r="N23" i="7"/>
  <c r="N24" i="7"/>
  <c r="N25" i="7"/>
  <c r="N26" i="7"/>
  <c r="BN11" i="1"/>
  <c r="N27" i="7"/>
  <c r="N28" i="7"/>
  <c r="BX11" i="1"/>
  <c r="N29" i="7"/>
  <c r="CC11" i="1"/>
  <c r="N30" i="7"/>
  <c r="N31" i="7"/>
  <c r="N32" i="7"/>
  <c r="N33" i="7"/>
  <c r="L34" i="7"/>
  <c r="N34" i="7"/>
  <c r="L35" i="7"/>
  <c r="N35" i="7"/>
  <c r="N36" i="7"/>
  <c r="N38" i="7"/>
  <c r="N39" i="7"/>
  <c r="I47" i="7"/>
  <c r="I12" i="7"/>
  <c r="I13" i="7"/>
  <c r="I14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8" i="7"/>
  <c r="I39" i="7"/>
  <c r="E47" i="7"/>
  <c r="L47" i="7"/>
  <c r="C48" i="7"/>
  <c r="I48" i="7"/>
  <c r="E48" i="7"/>
  <c r="L48" i="7"/>
  <c r="C49" i="7"/>
  <c r="I49" i="7"/>
  <c r="E49" i="7"/>
  <c r="L49" i="7"/>
  <c r="C50" i="7"/>
  <c r="I50" i="7"/>
  <c r="E50" i="7"/>
  <c r="L50" i="7"/>
  <c r="C51" i="7"/>
  <c r="I51" i="7"/>
  <c r="E51" i="7"/>
  <c r="L51" i="7"/>
  <c r="C52" i="7"/>
  <c r="I52" i="7"/>
  <c r="E52" i="7"/>
  <c r="L52" i="7"/>
  <c r="C53" i="7"/>
  <c r="I53" i="7"/>
  <c r="E53" i="7"/>
  <c r="L53" i="7"/>
  <c r="C54" i="7"/>
  <c r="I54" i="7"/>
  <c r="E54" i="7"/>
  <c r="L54" i="7"/>
  <c r="C55" i="7"/>
  <c r="I55" i="7"/>
  <c r="E55" i="7"/>
  <c r="L55" i="7"/>
  <c r="C56" i="7"/>
  <c r="I56" i="7"/>
  <c r="E56" i="7"/>
  <c r="L56" i="7"/>
  <c r="C57" i="7"/>
  <c r="I57" i="7"/>
  <c r="E57" i="7"/>
  <c r="L57" i="7"/>
  <c r="C58" i="7"/>
  <c r="I58" i="7"/>
  <c r="E58" i="7"/>
  <c r="L58" i="7"/>
  <c r="C59" i="7"/>
  <c r="I59" i="7"/>
  <c r="E59" i="7"/>
  <c r="L59" i="7"/>
  <c r="C60" i="7"/>
  <c r="I60" i="7"/>
  <c r="E60" i="7"/>
  <c r="L60" i="7"/>
  <c r="C61" i="7"/>
  <c r="I61" i="7"/>
  <c r="E61" i="7"/>
  <c r="L61" i="7"/>
  <c r="C62" i="7"/>
  <c r="I62" i="7"/>
  <c r="E62" i="7"/>
  <c r="L62" i="7"/>
  <c r="I63" i="7"/>
  <c r="E63" i="7"/>
  <c r="L63" i="7"/>
  <c r="C64" i="7"/>
  <c r="I64" i="7"/>
  <c r="E64" i="7"/>
  <c r="L64" i="7"/>
  <c r="C65" i="7"/>
  <c r="I65" i="7"/>
  <c r="E65" i="7"/>
  <c r="L65" i="7"/>
  <c r="C66" i="7"/>
  <c r="I66" i="7"/>
  <c r="E66" i="7"/>
  <c r="L66" i="7"/>
  <c r="C67" i="7"/>
  <c r="I67" i="7"/>
  <c r="E67" i="7"/>
  <c r="L67" i="7"/>
  <c r="L68" i="7"/>
  <c r="N68" i="7"/>
  <c r="I68" i="7"/>
  <c r="J68" i="7"/>
  <c r="E68" i="7"/>
  <c r="G68" i="7"/>
  <c r="B68" i="7"/>
  <c r="B12" i="7"/>
  <c r="B13" i="7"/>
  <c r="B14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A68" i="7"/>
  <c r="N67" i="7"/>
  <c r="J67" i="7"/>
  <c r="G67" i="7"/>
  <c r="A67" i="7"/>
  <c r="N66" i="7"/>
  <c r="J66" i="7"/>
  <c r="G66" i="7"/>
  <c r="A66" i="7"/>
  <c r="N65" i="7"/>
  <c r="J65" i="7"/>
  <c r="G65" i="7"/>
  <c r="A65" i="7"/>
  <c r="N64" i="7"/>
  <c r="J64" i="7"/>
  <c r="G64" i="7"/>
  <c r="A64" i="7"/>
  <c r="N63" i="7"/>
  <c r="J63" i="7"/>
  <c r="G63" i="7"/>
  <c r="C63" i="7"/>
  <c r="A63" i="7"/>
  <c r="N62" i="7"/>
  <c r="J62" i="7"/>
  <c r="G62" i="7"/>
  <c r="A62" i="7"/>
  <c r="N61" i="7"/>
  <c r="J61" i="7"/>
  <c r="G61" i="7"/>
  <c r="A61" i="7"/>
  <c r="N60" i="7"/>
  <c r="J60" i="7"/>
  <c r="G60" i="7"/>
  <c r="A60" i="7"/>
  <c r="N59" i="7"/>
  <c r="J59" i="7"/>
  <c r="G59" i="7"/>
  <c r="A59" i="7"/>
  <c r="N58" i="7"/>
  <c r="J58" i="7"/>
  <c r="G58" i="7"/>
  <c r="A58" i="7"/>
  <c r="N57" i="7"/>
  <c r="J57" i="7"/>
  <c r="G57" i="7"/>
  <c r="A57" i="7"/>
  <c r="N56" i="7"/>
  <c r="J56" i="7"/>
  <c r="G56" i="7"/>
  <c r="A56" i="7"/>
  <c r="N55" i="7"/>
  <c r="J55" i="7"/>
  <c r="G55" i="7"/>
  <c r="A55" i="7"/>
  <c r="N54" i="7"/>
  <c r="J54" i="7"/>
  <c r="G54" i="7"/>
  <c r="A54" i="7"/>
  <c r="N53" i="7"/>
  <c r="J53" i="7"/>
  <c r="G53" i="7"/>
  <c r="A53" i="7"/>
  <c r="N52" i="7"/>
  <c r="J52" i="7"/>
  <c r="G52" i="7"/>
  <c r="A52" i="7"/>
  <c r="N51" i="7"/>
  <c r="J51" i="7"/>
  <c r="G51" i="7"/>
  <c r="A51" i="7"/>
  <c r="N50" i="7"/>
  <c r="J50" i="7"/>
  <c r="G50" i="7"/>
  <c r="A50" i="7"/>
  <c r="N49" i="7"/>
  <c r="J49" i="7"/>
  <c r="G49" i="7"/>
  <c r="A49" i="7"/>
  <c r="N48" i="7"/>
  <c r="J48" i="7"/>
  <c r="G48" i="7"/>
  <c r="A48" i="7"/>
  <c r="N47" i="7"/>
  <c r="J47" i="7"/>
  <c r="G47" i="7"/>
  <c r="A47" i="7"/>
  <c r="A46" i="7"/>
  <c r="A45" i="7"/>
  <c r="A44" i="7"/>
  <c r="N40" i="7"/>
  <c r="I40" i="7"/>
  <c r="N43" i="7"/>
  <c r="A43" i="7"/>
  <c r="N42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4" i="7"/>
  <c r="A67" i="6"/>
  <c r="N12" i="6"/>
  <c r="N13" i="6"/>
  <c r="N14" i="6"/>
  <c r="I45" i="6"/>
  <c r="I12" i="6"/>
  <c r="I13" i="6"/>
  <c r="I14" i="6"/>
  <c r="E45" i="6"/>
  <c r="L45" i="6"/>
  <c r="N17" i="6"/>
  <c r="I46" i="6"/>
  <c r="I17" i="6"/>
  <c r="E46" i="6"/>
  <c r="L46" i="6"/>
  <c r="N18" i="6"/>
  <c r="I47" i="6"/>
  <c r="I18" i="6"/>
  <c r="E47" i="6"/>
  <c r="L47" i="6"/>
  <c r="N19" i="6"/>
  <c r="I48" i="6"/>
  <c r="I19" i="6"/>
  <c r="E48" i="6"/>
  <c r="L48" i="6"/>
  <c r="N20" i="6"/>
  <c r="I49" i="6"/>
  <c r="I20" i="6"/>
  <c r="E49" i="6"/>
  <c r="L49" i="6"/>
  <c r="N21" i="6"/>
  <c r="I50" i="6"/>
  <c r="I21" i="6"/>
  <c r="E50" i="6"/>
  <c r="L50" i="6"/>
  <c r="N22" i="6"/>
  <c r="I51" i="6"/>
  <c r="I22" i="6"/>
  <c r="E51" i="6"/>
  <c r="L51" i="6"/>
  <c r="N23" i="6"/>
  <c r="I52" i="6"/>
  <c r="I23" i="6"/>
  <c r="E52" i="6"/>
  <c r="L52" i="6"/>
  <c r="N24" i="6"/>
  <c r="I53" i="6"/>
  <c r="I24" i="6"/>
  <c r="E53" i="6"/>
  <c r="L53" i="6"/>
  <c r="N25" i="6"/>
  <c r="I54" i="6"/>
  <c r="I25" i="6"/>
  <c r="E54" i="6"/>
  <c r="L54" i="6"/>
  <c r="N26" i="6"/>
  <c r="I55" i="6"/>
  <c r="I26" i="6"/>
  <c r="E55" i="6"/>
  <c r="L55" i="6"/>
  <c r="N27" i="6"/>
  <c r="I56" i="6"/>
  <c r="I27" i="6"/>
  <c r="E56" i="6"/>
  <c r="L56" i="6"/>
  <c r="N28" i="6"/>
  <c r="I57" i="6"/>
  <c r="I28" i="6"/>
  <c r="E57" i="6"/>
  <c r="L57" i="6"/>
  <c r="N29" i="6"/>
  <c r="I58" i="6"/>
  <c r="I29" i="6"/>
  <c r="E58" i="6"/>
  <c r="L58" i="6"/>
  <c r="N30" i="6"/>
  <c r="I59" i="6"/>
  <c r="I30" i="6"/>
  <c r="E59" i="6"/>
  <c r="L59" i="6"/>
  <c r="N32" i="6"/>
  <c r="I61" i="6"/>
  <c r="I32" i="6"/>
  <c r="E61" i="6"/>
  <c r="L61" i="6"/>
  <c r="N33" i="6"/>
  <c r="I62" i="6"/>
  <c r="I33" i="6"/>
  <c r="E62" i="6"/>
  <c r="L62" i="6"/>
  <c r="L34" i="6"/>
  <c r="N34" i="6"/>
  <c r="I63" i="6"/>
  <c r="I34" i="6"/>
  <c r="E63" i="6"/>
  <c r="L63" i="6"/>
  <c r="L35" i="6"/>
  <c r="N35" i="6"/>
  <c r="I64" i="6"/>
  <c r="I35" i="6"/>
  <c r="E64" i="6"/>
  <c r="L64" i="6"/>
  <c r="N36" i="6"/>
  <c r="I65" i="6"/>
  <c r="I36" i="6"/>
  <c r="E65" i="6"/>
  <c r="L65" i="6"/>
  <c r="A66" i="6"/>
  <c r="N65" i="6"/>
  <c r="J65" i="6"/>
  <c r="G65" i="6"/>
  <c r="A65" i="6"/>
  <c r="N64" i="6"/>
  <c r="J64" i="6"/>
  <c r="G64" i="6"/>
  <c r="A64" i="6"/>
  <c r="N63" i="6"/>
  <c r="J63" i="6"/>
  <c r="G63" i="6"/>
  <c r="A63" i="6"/>
  <c r="N62" i="6"/>
  <c r="J62" i="6"/>
  <c r="G62" i="6"/>
  <c r="A62" i="6"/>
  <c r="N61" i="6"/>
  <c r="J61" i="6"/>
  <c r="G61" i="6"/>
  <c r="A61" i="6"/>
  <c r="A60" i="6"/>
  <c r="N59" i="6"/>
  <c r="J59" i="6"/>
  <c r="G59" i="6"/>
  <c r="A59" i="6"/>
  <c r="N58" i="6"/>
  <c r="J58" i="6"/>
  <c r="G58" i="6"/>
  <c r="A58" i="6"/>
  <c r="N57" i="6"/>
  <c r="J57" i="6"/>
  <c r="G57" i="6"/>
  <c r="A57" i="6"/>
  <c r="N56" i="6"/>
  <c r="J56" i="6"/>
  <c r="G56" i="6"/>
  <c r="A56" i="6"/>
  <c r="N55" i="6"/>
  <c r="J55" i="6"/>
  <c r="G55" i="6"/>
  <c r="A55" i="6"/>
  <c r="N54" i="6"/>
  <c r="J54" i="6"/>
  <c r="G54" i="6"/>
  <c r="A54" i="6"/>
  <c r="N53" i="6"/>
  <c r="J53" i="6"/>
  <c r="G53" i="6"/>
  <c r="A53" i="6"/>
  <c r="N52" i="6"/>
  <c r="J52" i="6"/>
  <c r="G52" i="6"/>
  <c r="A52" i="6"/>
  <c r="N51" i="6"/>
  <c r="J51" i="6"/>
  <c r="G51" i="6"/>
  <c r="A51" i="6"/>
  <c r="N50" i="6"/>
  <c r="J50" i="6"/>
  <c r="G50" i="6"/>
  <c r="A50" i="6"/>
  <c r="N49" i="6"/>
  <c r="J49" i="6"/>
  <c r="G49" i="6"/>
  <c r="A49" i="6"/>
  <c r="N48" i="6"/>
  <c r="J48" i="6"/>
  <c r="G48" i="6"/>
  <c r="A48" i="6"/>
  <c r="N47" i="6"/>
  <c r="J47" i="6"/>
  <c r="G47" i="6"/>
  <c r="A47" i="6"/>
  <c r="N46" i="6"/>
  <c r="J46" i="6"/>
  <c r="G46" i="6"/>
  <c r="A46" i="6"/>
  <c r="N45" i="6"/>
  <c r="J45" i="6"/>
  <c r="G45" i="6"/>
  <c r="A45" i="6"/>
  <c r="A44" i="6"/>
  <c r="A43" i="6"/>
  <c r="A42" i="6"/>
  <c r="A41" i="6"/>
  <c r="N31" i="6"/>
  <c r="N38" i="6"/>
  <c r="I31" i="6"/>
  <c r="I38" i="6"/>
  <c r="N40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L11" i="5"/>
  <c r="I11" i="5"/>
  <c r="O11" i="5"/>
  <c r="U11" i="5"/>
  <c r="AG11" i="5"/>
  <c r="R11" i="5"/>
  <c r="X11" i="5"/>
  <c r="AD11" i="5"/>
  <c r="F11" i="5"/>
  <c r="AJ11" i="5"/>
  <c r="AM11" i="5"/>
  <c r="AA11" i="5"/>
  <c r="AP11" i="5"/>
  <c r="AS11" i="5"/>
  <c r="AV11" i="5"/>
  <c r="L13" i="5"/>
  <c r="I13" i="5"/>
  <c r="O13" i="5"/>
  <c r="U13" i="5"/>
  <c r="AG13" i="5"/>
  <c r="R13" i="5"/>
  <c r="X13" i="5"/>
  <c r="AD13" i="5"/>
  <c r="F13" i="5"/>
  <c r="AJ13" i="5"/>
  <c r="AM13" i="5"/>
  <c r="AA13" i="5"/>
  <c r="AP13" i="5"/>
  <c r="AS13" i="5"/>
  <c r="AV13" i="5"/>
  <c r="L15" i="5"/>
  <c r="I15" i="5"/>
  <c r="O15" i="5"/>
  <c r="U15" i="5"/>
  <c r="AG15" i="5"/>
  <c r="R15" i="5"/>
  <c r="X15" i="5"/>
  <c r="AD15" i="5"/>
  <c r="F15" i="5"/>
  <c r="AJ15" i="5"/>
  <c r="AM15" i="5"/>
  <c r="AA15" i="5"/>
  <c r="AP15" i="5"/>
  <c r="AS15" i="5"/>
  <c r="AV15" i="5"/>
  <c r="L17" i="5"/>
  <c r="I17" i="5"/>
  <c r="O17" i="5"/>
  <c r="U17" i="5"/>
  <c r="AG17" i="5"/>
  <c r="R17" i="5"/>
  <c r="X17" i="5"/>
  <c r="AD17" i="5"/>
  <c r="F17" i="5"/>
  <c r="AJ17" i="5"/>
  <c r="AM17" i="5"/>
  <c r="AA17" i="5"/>
  <c r="AP17" i="5"/>
  <c r="AS17" i="5"/>
  <c r="AV17" i="5"/>
  <c r="L19" i="5"/>
  <c r="I19" i="5"/>
  <c r="O19" i="5"/>
  <c r="U19" i="5"/>
  <c r="AG19" i="5"/>
  <c r="R19" i="5"/>
  <c r="X19" i="5"/>
  <c r="AD19" i="5"/>
  <c r="F19" i="5"/>
  <c r="AJ19" i="5"/>
  <c r="AM19" i="5"/>
  <c r="AA19" i="5"/>
  <c r="AP19" i="5"/>
  <c r="AS19" i="5"/>
  <c r="AV19" i="5"/>
  <c r="L21" i="5"/>
  <c r="I21" i="5"/>
  <c r="O21" i="5"/>
  <c r="U21" i="5"/>
  <c r="AG21" i="5"/>
  <c r="R21" i="5"/>
  <c r="X21" i="5"/>
  <c r="AD21" i="5"/>
  <c r="F21" i="5"/>
  <c r="AJ21" i="5"/>
  <c r="AM21" i="5"/>
  <c r="AA21" i="5"/>
  <c r="AP21" i="5"/>
  <c r="AS21" i="5"/>
  <c r="AV21" i="5"/>
  <c r="L23" i="5"/>
  <c r="I23" i="5"/>
  <c r="O23" i="5"/>
  <c r="U23" i="5"/>
  <c r="AG23" i="5"/>
  <c r="R23" i="5"/>
  <c r="X23" i="5"/>
  <c r="AD23" i="5"/>
  <c r="F23" i="5"/>
  <c r="AJ23" i="5"/>
  <c r="AM23" i="5"/>
  <c r="AA23" i="5"/>
  <c r="AP23" i="5"/>
  <c r="AS23" i="5"/>
  <c r="AV23" i="5"/>
  <c r="L25" i="5"/>
  <c r="I25" i="5"/>
  <c r="O25" i="5"/>
  <c r="U25" i="5"/>
  <c r="AG25" i="5"/>
  <c r="R25" i="5"/>
  <c r="X25" i="5"/>
  <c r="AD25" i="5"/>
  <c r="F25" i="5"/>
  <c r="AJ25" i="5"/>
  <c r="AM25" i="5"/>
  <c r="AA25" i="5"/>
  <c r="AP25" i="5"/>
  <c r="AS25" i="5"/>
  <c r="AV25" i="5"/>
  <c r="L27" i="5"/>
  <c r="I27" i="5"/>
  <c r="O27" i="5"/>
  <c r="U27" i="5"/>
  <c r="AG27" i="5"/>
  <c r="R27" i="5"/>
  <c r="X27" i="5"/>
  <c r="AD27" i="5"/>
  <c r="F27" i="5"/>
  <c r="AJ27" i="5"/>
  <c r="AM27" i="5"/>
  <c r="AA27" i="5"/>
  <c r="AP27" i="5"/>
  <c r="AS27" i="5"/>
  <c r="AV27" i="5"/>
  <c r="L29" i="5"/>
  <c r="I29" i="5"/>
  <c r="O29" i="5"/>
  <c r="U29" i="5"/>
  <c r="AG29" i="5"/>
  <c r="R29" i="5"/>
  <c r="X29" i="5"/>
  <c r="AD29" i="5"/>
  <c r="F29" i="5"/>
  <c r="AJ29" i="5"/>
  <c r="AM29" i="5"/>
  <c r="AA29" i="5"/>
  <c r="AP29" i="5"/>
  <c r="AS29" i="5"/>
  <c r="AV29" i="5"/>
  <c r="L31" i="5"/>
  <c r="I31" i="5"/>
  <c r="O31" i="5"/>
  <c r="U31" i="5"/>
  <c r="AG31" i="5"/>
  <c r="R31" i="5"/>
  <c r="X31" i="5"/>
  <c r="AD31" i="5"/>
  <c r="F31" i="5"/>
  <c r="AJ31" i="5"/>
  <c r="AM31" i="5"/>
  <c r="AA31" i="5"/>
  <c r="AP31" i="5"/>
  <c r="AS31" i="5"/>
  <c r="AV31" i="5"/>
  <c r="L33" i="5"/>
  <c r="I33" i="5"/>
  <c r="O33" i="5"/>
  <c r="U33" i="5"/>
  <c r="AG33" i="5"/>
  <c r="R33" i="5"/>
  <c r="X33" i="5"/>
  <c r="AD33" i="5"/>
  <c r="F33" i="5"/>
  <c r="AJ33" i="5"/>
  <c r="AM33" i="5"/>
  <c r="AA33" i="5"/>
  <c r="AP33" i="5"/>
  <c r="AS33" i="5"/>
  <c r="AV33" i="5"/>
  <c r="L35" i="5"/>
  <c r="I35" i="5"/>
  <c r="O35" i="5"/>
  <c r="U35" i="5"/>
  <c r="AG35" i="5"/>
  <c r="R35" i="5"/>
  <c r="X35" i="5"/>
  <c r="AD35" i="5"/>
  <c r="F35" i="5"/>
  <c r="AJ35" i="5"/>
  <c r="AM35" i="5"/>
  <c r="AA35" i="5"/>
  <c r="AP35" i="5"/>
  <c r="AS35" i="5"/>
  <c r="AV35" i="5"/>
  <c r="L37" i="5"/>
  <c r="I37" i="5"/>
  <c r="O37" i="5"/>
  <c r="U37" i="5"/>
  <c r="AG37" i="5"/>
  <c r="R37" i="5"/>
  <c r="X37" i="5"/>
  <c r="AD37" i="5"/>
  <c r="F37" i="5"/>
  <c r="AJ37" i="5"/>
  <c r="AM37" i="5"/>
  <c r="AA37" i="5"/>
  <c r="AP37" i="5"/>
  <c r="AS37" i="5"/>
  <c r="AV37" i="5"/>
  <c r="L39" i="5"/>
  <c r="I39" i="5"/>
  <c r="O39" i="5"/>
  <c r="U39" i="5"/>
  <c r="AG39" i="5"/>
  <c r="R39" i="5"/>
  <c r="X39" i="5"/>
  <c r="AD39" i="5"/>
  <c r="F39" i="5"/>
  <c r="AJ39" i="5"/>
  <c r="AM39" i="5"/>
  <c r="AA39" i="5"/>
  <c r="AP39" i="5"/>
  <c r="AS39" i="5"/>
  <c r="AV39" i="5"/>
  <c r="L41" i="5"/>
  <c r="I41" i="5"/>
  <c r="O41" i="5"/>
  <c r="U41" i="5"/>
  <c r="AG41" i="5"/>
  <c r="R41" i="5"/>
  <c r="X41" i="5"/>
  <c r="AD41" i="5"/>
  <c r="F41" i="5"/>
  <c r="AJ41" i="5"/>
  <c r="AM41" i="5"/>
  <c r="AA41" i="5"/>
  <c r="AP41" i="5"/>
  <c r="AS41" i="5"/>
  <c r="AV41" i="5"/>
  <c r="L43" i="5"/>
  <c r="I43" i="5"/>
  <c r="O43" i="5"/>
  <c r="U43" i="5"/>
  <c r="AG43" i="5"/>
  <c r="R43" i="5"/>
  <c r="X43" i="5"/>
  <c r="AD43" i="5"/>
  <c r="F43" i="5"/>
  <c r="AJ43" i="5"/>
  <c r="AM43" i="5"/>
  <c r="AA43" i="5"/>
  <c r="AP43" i="5"/>
  <c r="AS43" i="5"/>
  <c r="AV43" i="5"/>
  <c r="L45" i="5"/>
  <c r="I45" i="5"/>
  <c r="O45" i="5"/>
  <c r="U45" i="5"/>
  <c r="AG45" i="5"/>
  <c r="R45" i="5"/>
  <c r="X45" i="5"/>
  <c r="AD45" i="5"/>
  <c r="F45" i="5"/>
  <c r="AJ45" i="5"/>
  <c r="AM45" i="5"/>
  <c r="AA45" i="5"/>
  <c r="AP45" i="5"/>
  <c r="AS45" i="5"/>
  <c r="AV45" i="5"/>
  <c r="L47" i="5"/>
  <c r="I47" i="5"/>
  <c r="O47" i="5"/>
  <c r="U47" i="5"/>
  <c r="AG47" i="5"/>
  <c r="R47" i="5"/>
  <c r="X47" i="5"/>
  <c r="AD47" i="5"/>
  <c r="F47" i="5"/>
  <c r="AJ47" i="5"/>
  <c r="AM47" i="5"/>
  <c r="AA47" i="5"/>
  <c r="AP47" i="5"/>
  <c r="AS47" i="5"/>
  <c r="AV47" i="5"/>
  <c r="L49" i="5"/>
  <c r="I49" i="5"/>
  <c r="O49" i="5"/>
  <c r="U49" i="5"/>
  <c r="AG49" i="5"/>
  <c r="R49" i="5"/>
  <c r="X49" i="5"/>
  <c r="AD49" i="5"/>
  <c r="F49" i="5"/>
  <c r="AJ49" i="5"/>
  <c r="AM49" i="5"/>
  <c r="AA49" i="5"/>
  <c r="AP49" i="5"/>
  <c r="AS49" i="5"/>
  <c r="AV49" i="5"/>
  <c r="L51" i="5"/>
  <c r="I51" i="5"/>
  <c r="O51" i="5"/>
  <c r="U51" i="5"/>
  <c r="AG51" i="5"/>
  <c r="R51" i="5"/>
  <c r="X51" i="5"/>
  <c r="AD51" i="5"/>
  <c r="F51" i="5"/>
  <c r="AJ51" i="5"/>
  <c r="AM51" i="5"/>
  <c r="AA51" i="5"/>
  <c r="AP51" i="5"/>
  <c r="AS51" i="5"/>
  <c r="AV51" i="5"/>
  <c r="L53" i="5"/>
  <c r="I53" i="5"/>
  <c r="O53" i="5"/>
  <c r="U53" i="5"/>
  <c r="AG53" i="5"/>
  <c r="R53" i="5"/>
  <c r="X53" i="5"/>
  <c r="AD53" i="5"/>
  <c r="F53" i="5"/>
  <c r="AJ53" i="5"/>
  <c r="AM53" i="5"/>
  <c r="AA53" i="5"/>
  <c r="AP53" i="5"/>
  <c r="AS53" i="5"/>
  <c r="AV53" i="5"/>
  <c r="L55" i="5"/>
  <c r="I55" i="5"/>
  <c r="O55" i="5"/>
  <c r="U55" i="5"/>
  <c r="AG55" i="5"/>
  <c r="R55" i="5"/>
  <c r="X55" i="5"/>
  <c r="AD55" i="5"/>
  <c r="F55" i="5"/>
  <c r="AJ55" i="5"/>
  <c r="AM55" i="5"/>
  <c r="AA55" i="5"/>
  <c r="AP55" i="5"/>
  <c r="AS55" i="5"/>
  <c r="AV55" i="5"/>
  <c r="L57" i="5"/>
  <c r="I57" i="5"/>
  <c r="O57" i="5"/>
  <c r="U57" i="5"/>
  <c r="AG57" i="5"/>
  <c r="R57" i="5"/>
  <c r="X57" i="5"/>
  <c r="AD57" i="5"/>
  <c r="F57" i="5"/>
  <c r="AJ57" i="5"/>
  <c r="AM57" i="5"/>
  <c r="AA57" i="5"/>
  <c r="AP57" i="5"/>
  <c r="AS57" i="5"/>
  <c r="AV57" i="5"/>
  <c r="L59" i="5"/>
  <c r="I59" i="5"/>
  <c r="O59" i="5"/>
  <c r="U59" i="5"/>
  <c r="AG59" i="5"/>
  <c r="R59" i="5"/>
  <c r="X59" i="5"/>
  <c r="AD59" i="5"/>
  <c r="F59" i="5"/>
  <c r="AJ59" i="5"/>
  <c r="AM59" i="5"/>
  <c r="AA59" i="5"/>
  <c r="AP59" i="5"/>
  <c r="AS59" i="5"/>
  <c r="AV59" i="5"/>
  <c r="L61" i="5"/>
  <c r="I61" i="5"/>
  <c r="O61" i="5"/>
  <c r="U61" i="5"/>
  <c r="AG61" i="5"/>
  <c r="R61" i="5"/>
  <c r="X61" i="5"/>
  <c r="AD61" i="5"/>
  <c r="F61" i="5"/>
  <c r="AJ61" i="5"/>
  <c r="AM61" i="5"/>
  <c r="AA61" i="5"/>
  <c r="AP61" i="5"/>
  <c r="AS61" i="5"/>
  <c r="AV61" i="5"/>
  <c r="L63" i="5"/>
  <c r="I63" i="5"/>
  <c r="O63" i="5"/>
  <c r="U63" i="5"/>
  <c r="AG63" i="5"/>
  <c r="R63" i="5"/>
  <c r="X63" i="5"/>
  <c r="AD63" i="5"/>
  <c r="F63" i="5"/>
  <c r="AJ63" i="5"/>
  <c r="AM63" i="5"/>
  <c r="AA63" i="5"/>
  <c r="AP63" i="5"/>
  <c r="AS63" i="5"/>
  <c r="AV63" i="5"/>
  <c r="L65" i="5"/>
  <c r="I65" i="5"/>
  <c r="O65" i="5"/>
  <c r="U65" i="5"/>
  <c r="AG65" i="5"/>
  <c r="R65" i="5"/>
  <c r="X65" i="5"/>
  <c r="AD65" i="5"/>
  <c r="F65" i="5"/>
  <c r="AJ65" i="5"/>
  <c r="AM65" i="5"/>
  <c r="AA65" i="5"/>
  <c r="AP65" i="5"/>
  <c r="AS65" i="5"/>
  <c r="AV65" i="5"/>
  <c r="L67" i="5"/>
  <c r="I67" i="5"/>
  <c r="O67" i="5"/>
  <c r="U67" i="5"/>
  <c r="AG67" i="5"/>
  <c r="R67" i="5"/>
  <c r="X67" i="5"/>
  <c r="AD67" i="5"/>
  <c r="F67" i="5"/>
  <c r="AJ67" i="5"/>
  <c r="AM67" i="5"/>
  <c r="AA67" i="5"/>
  <c r="AP67" i="5"/>
  <c r="AS67" i="5"/>
  <c r="AV67" i="5"/>
  <c r="L69" i="5"/>
  <c r="I69" i="5"/>
  <c r="O69" i="5"/>
  <c r="U69" i="5"/>
  <c r="AG69" i="5"/>
  <c r="R69" i="5"/>
  <c r="X69" i="5"/>
  <c r="AD69" i="5"/>
  <c r="F69" i="5"/>
  <c r="AJ69" i="5"/>
  <c r="AM69" i="5"/>
  <c r="AA69" i="5"/>
  <c r="AP69" i="5"/>
  <c r="AS69" i="5"/>
  <c r="AV69" i="5"/>
  <c r="L71" i="5"/>
  <c r="I71" i="5"/>
  <c r="O71" i="5"/>
  <c r="U71" i="5"/>
  <c r="AG71" i="5"/>
  <c r="R71" i="5"/>
  <c r="X71" i="5"/>
  <c r="AD71" i="5"/>
  <c r="F71" i="5"/>
  <c r="AJ71" i="5"/>
  <c r="AM71" i="5"/>
  <c r="AA71" i="5"/>
  <c r="AP71" i="5"/>
  <c r="AS71" i="5"/>
  <c r="AV71" i="5"/>
  <c r="L73" i="5"/>
  <c r="I73" i="5"/>
  <c r="O73" i="5"/>
  <c r="U73" i="5"/>
  <c r="AG73" i="5"/>
  <c r="R73" i="5"/>
  <c r="X73" i="5"/>
  <c r="AD73" i="5"/>
  <c r="F73" i="5"/>
  <c r="AJ73" i="5"/>
  <c r="AM73" i="5"/>
  <c r="AA73" i="5"/>
  <c r="AP73" i="5"/>
  <c r="AS73" i="5"/>
  <c r="AV73" i="5"/>
  <c r="L75" i="5"/>
  <c r="I75" i="5"/>
  <c r="O75" i="5"/>
  <c r="U75" i="5"/>
  <c r="AG75" i="5"/>
  <c r="R75" i="5"/>
  <c r="X75" i="5"/>
  <c r="AD75" i="5"/>
  <c r="F75" i="5"/>
  <c r="AJ75" i="5"/>
  <c r="AM75" i="5"/>
  <c r="AA75" i="5"/>
  <c r="AP75" i="5"/>
  <c r="AS75" i="5"/>
  <c r="AV75" i="5"/>
  <c r="L77" i="5"/>
  <c r="I77" i="5"/>
  <c r="O77" i="5"/>
  <c r="U77" i="5"/>
  <c r="AG77" i="5"/>
  <c r="R77" i="5"/>
  <c r="X77" i="5"/>
  <c r="AD77" i="5"/>
  <c r="F77" i="5"/>
  <c r="AJ77" i="5"/>
  <c r="AM77" i="5"/>
  <c r="AA77" i="5"/>
  <c r="AP77" i="5"/>
  <c r="AS77" i="5"/>
  <c r="AV77" i="5"/>
  <c r="L79" i="5"/>
  <c r="I79" i="5"/>
  <c r="O79" i="5"/>
  <c r="U79" i="5"/>
  <c r="AG79" i="5"/>
  <c r="R79" i="5"/>
  <c r="X79" i="5"/>
  <c r="AD79" i="5"/>
  <c r="F79" i="5"/>
  <c r="AJ79" i="5"/>
  <c r="AM79" i="5"/>
  <c r="AA79" i="5"/>
  <c r="AP79" i="5"/>
  <c r="AS79" i="5"/>
  <c r="AV79" i="5"/>
  <c r="L81" i="5"/>
  <c r="I81" i="5"/>
  <c r="O81" i="5"/>
  <c r="U81" i="5"/>
  <c r="AG81" i="5"/>
  <c r="R81" i="5"/>
  <c r="X81" i="5"/>
  <c r="AD81" i="5"/>
  <c r="F81" i="5"/>
  <c r="AJ81" i="5"/>
  <c r="AM81" i="5"/>
  <c r="AA81" i="5"/>
  <c r="AP81" i="5"/>
  <c r="AS81" i="5"/>
  <c r="AV81" i="5"/>
  <c r="L83" i="5"/>
  <c r="I83" i="5"/>
  <c r="O83" i="5"/>
  <c r="U83" i="5"/>
  <c r="AG83" i="5"/>
  <c r="R83" i="5"/>
  <c r="X83" i="5"/>
  <c r="AD83" i="5"/>
  <c r="F83" i="5"/>
  <c r="AJ83" i="5"/>
  <c r="AM83" i="5"/>
  <c r="AA83" i="5"/>
  <c r="AP83" i="5"/>
  <c r="AS83" i="5"/>
  <c r="AV83" i="5"/>
  <c r="L85" i="5"/>
  <c r="I85" i="5"/>
  <c r="O85" i="5"/>
  <c r="U85" i="5"/>
  <c r="AG85" i="5"/>
  <c r="R85" i="5"/>
  <c r="X85" i="5"/>
  <c r="AD85" i="5"/>
  <c r="F85" i="5"/>
  <c r="AJ85" i="5"/>
  <c r="AM85" i="5"/>
  <c r="AA85" i="5"/>
  <c r="AP85" i="5"/>
  <c r="AS85" i="5"/>
  <c r="AV85" i="5"/>
  <c r="L87" i="5"/>
  <c r="I87" i="5"/>
  <c r="O87" i="5"/>
  <c r="U87" i="5"/>
  <c r="AG87" i="5"/>
  <c r="R87" i="5"/>
  <c r="X87" i="5"/>
  <c r="AD87" i="5"/>
  <c r="F87" i="5"/>
  <c r="AJ87" i="5"/>
  <c r="AM87" i="5"/>
  <c r="AA87" i="5"/>
  <c r="AP87" i="5"/>
  <c r="AS87" i="5"/>
  <c r="AV87" i="5"/>
  <c r="AV90" i="5"/>
  <c r="D11" i="5"/>
  <c r="D13" i="5"/>
  <c r="D15" i="5"/>
  <c r="D17" i="5"/>
  <c r="D19" i="5"/>
  <c r="D21" i="5"/>
  <c r="D23" i="5"/>
  <c r="D25" i="5"/>
  <c r="D27" i="5"/>
  <c r="D29" i="5"/>
  <c r="D31" i="5"/>
  <c r="D33" i="5"/>
  <c r="D35" i="5"/>
  <c r="D37" i="5"/>
  <c r="D39" i="5"/>
  <c r="D41" i="5"/>
  <c r="D43" i="5"/>
  <c r="D45" i="5"/>
  <c r="D47" i="5"/>
  <c r="D49" i="5"/>
  <c r="D51" i="5"/>
  <c r="D53" i="5"/>
  <c r="D55" i="5"/>
  <c r="D57" i="5"/>
  <c r="D59" i="5"/>
  <c r="D61" i="5"/>
  <c r="D63" i="5"/>
  <c r="D65" i="5"/>
  <c r="D67" i="5"/>
  <c r="D69" i="5"/>
  <c r="D71" i="5"/>
  <c r="D73" i="5"/>
  <c r="D75" i="5"/>
  <c r="D77" i="5"/>
  <c r="D79" i="5"/>
  <c r="D81" i="5"/>
  <c r="D83" i="5"/>
  <c r="D85" i="5"/>
  <c r="D87" i="5"/>
  <c r="D90" i="5"/>
  <c r="AW90" i="5"/>
  <c r="AS90" i="5"/>
  <c r="AT90" i="5"/>
  <c r="AP90" i="5"/>
  <c r="AQ90" i="5"/>
  <c r="AV34" i="2"/>
  <c r="AM90" i="5"/>
  <c r="AN90" i="5"/>
  <c r="AP34" i="2"/>
  <c r="AJ90" i="5"/>
  <c r="AK90" i="5"/>
  <c r="AM34" i="2"/>
  <c r="AG90" i="5"/>
  <c r="AH90" i="5"/>
  <c r="AJ34" i="2"/>
  <c r="AD90" i="5"/>
  <c r="AE90" i="5"/>
  <c r="U34" i="2"/>
  <c r="AA90" i="5"/>
  <c r="AB90" i="5"/>
  <c r="X90" i="5"/>
  <c r="Y90" i="5"/>
  <c r="U90" i="5"/>
  <c r="V90" i="5"/>
  <c r="R34" i="2"/>
  <c r="R90" i="5"/>
  <c r="S90" i="5"/>
  <c r="O90" i="5"/>
  <c r="P90" i="5"/>
  <c r="L34" i="2"/>
  <c r="L90" i="5"/>
  <c r="M90" i="5"/>
  <c r="AD34" i="2"/>
  <c r="I90" i="5"/>
  <c r="J90" i="5"/>
  <c r="I34" i="2"/>
  <c r="F90" i="5"/>
  <c r="G90" i="5"/>
  <c r="AA34" i="2"/>
  <c r="E90" i="5"/>
  <c r="A90" i="5"/>
  <c r="A89" i="5"/>
  <c r="A88" i="5"/>
  <c r="AW87" i="5"/>
  <c r="AT87" i="5"/>
  <c r="AQ87" i="5"/>
  <c r="AN87" i="5"/>
  <c r="AK87" i="5"/>
  <c r="AH87" i="5"/>
  <c r="AE87" i="5"/>
  <c r="AB87" i="5"/>
  <c r="Y87" i="5"/>
  <c r="V87" i="5"/>
  <c r="S87" i="5"/>
  <c r="P87" i="5"/>
  <c r="M87" i="5"/>
  <c r="J87" i="5"/>
  <c r="G87" i="5"/>
  <c r="A87" i="5"/>
  <c r="A86" i="5"/>
  <c r="AW85" i="5"/>
  <c r="AT85" i="5"/>
  <c r="AQ85" i="5"/>
  <c r="AN85" i="5"/>
  <c r="AK85" i="5"/>
  <c r="AH85" i="5"/>
  <c r="AE85" i="5"/>
  <c r="AB85" i="5"/>
  <c r="Y85" i="5"/>
  <c r="V85" i="5"/>
  <c r="S85" i="5"/>
  <c r="P85" i="5"/>
  <c r="M85" i="5"/>
  <c r="J85" i="5"/>
  <c r="G85" i="5"/>
  <c r="A85" i="5"/>
  <c r="A84" i="5"/>
  <c r="AW83" i="5"/>
  <c r="AT83" i="5"/>
  <c r="AQ83" i="5"/>
  <c r="AN83" i="5"/>
  <c r="AK83" i="5"/>
  <c r="AH83" i="5"/>
  <c r="AE83" i="5"/>
  <c r="AB83" i="5"/>
  <c r="Y83" i="5"/>
  <c r="V83" i="5"/>
  <c r="S83" i="5"/>
  <c r="P83" i="5"/>
  <c r="M83" i="5"/>
  <c r="J83" i="5"/>
  <c r="G83" i="5"/>
  <c r="A83" i="5"/>
  <c r="A82" i="5"/>
  <c r="AW81" i="5"/>
  <c r="AT81" i="5"/>
  <c r="AQ81" i="5"/>
  <c r="AN81" i="5"/>
  <c r="AK81" i="5"/>
  <c r="AH81" i="5"/>
  <c r="AE81" i="5"/>
  <c r="AB81" i="5"/>
  <c r="Y81" i="5"/>
  <c r="V81" i="5"/>
  <c r="S81" i="5"/>
  <c r="P81" i="5"/>
  <c r="M81" i="5"/>
  <c r="J81" i="5"/>
  <c r="G81" i="5"/>
  <c r="A81" i="5"/>
  <c r="A80" i="5"/>
  <c r="AW79" i="5"/>
  <c r="AT79" i="5"/>
  <c r="AQ79" i="5"/>
  <c r="AN79" i="5"/>
  <c r="AK79" i="5"/>
  <c r="AH79" i="5"/>
  <c r="AE79" i="5"/>
  <c r="AB79" i="5"/>
  <c r="Y79" i="5"/>
  <c r="V79" i="5"/>
  <c r="S79" i="5"/>
  <c r="P79" i="5"/>
  <c r="M79" i="5"/>
  <c r="J79" i="5"/>
  <c r="G79" i="5"/>
  <c r="A79" i="5"/>
  <c r="A78" i="5"/>
  <c r="AW77" i="5"/>
  <c r="AT77" i="5"/>
  <c r="AQ77" i="5"/>
  <c r="AN77" i="5"/>
  <c r="AK77" i="5"/>
  <c r="AH77" i="5"/>
  <c r="AE77" i="5"/>
  <c r="AB77" i="5"/>
  <c r="Y77" i="5"/>
  <c r="V77" i="5"/>
  <c r="S77" i="5"/>
  <c r="P77" i="5"/>
  <c r="M77" i="5"/>
  <c r="J77" i="5"/>
  <c r="G77" i="5"/>
  <c r="A77" i="5"/>
  <c r="A76" i="5"/>
  <c r="AW75" i="5"/>
  <c r="AT75" i="5"/>
  <c r="AQ75" i="5"/>
  <c r="AN75" i="5"/>
  <c r="AK75" i="5"/>
  <c r="AH75" i="5"/>
  <c r="AE75" i="5"/>
  <c r="AB75" i="5"/>
  <c r="Y75" i="5"/>
  <c r="V75" i="5"/>
  <c r="S75" i="5"/>
  <c r="P75" i="5"/>
  <c r="M75" i="5"/>
  <c r="J75" i="5"/>
  <c r="G75" i="5"/>
  <c r="A75" i="5"/>
  <c r="A74" i="5"/>
  <c r="AW73" i="5"/>
  <c r="AT73" i="5"/>
  <c r="AQ73" i="5"/>
  <c r="AN73" i="5"/>
  <c r="AK73" i="5"/>
  <c r="AH73" i="5"/>
  <c r="AE73" i="5"/>
  <c r="AB73" i="5"/>
  <c r="Y73" i="5"/>
  <c r="V73" i="5"/>
  <c r="S73" i="5"/>
  <c r="P73" i="5"/>
  <c r="M73" i="5"/>
  <c r="J73" i="5"/>
  <c r="G73" i="5"/>
  <c r="A73" i="5"/>
  <c r="A72" i="5"/>
  <c r="AW71" i="5"/>
  <c r="AT71" i="5"/>
  <c r="AQ71" i="5"/>
  <c r="AN71" i="5"/>
  <c r="AK71" i="5"/>
  <c r="AH71" i="5"/>
  <c r="AE71" i="5"/>
  <c r="AB71" i="5"/>
  <c r="Y71" i="5"/>
  <c r="V71" i="5"/>
  <c r="S71" i="5"/>
  <c r="P71" i="5"/>
  <c r="M71" i="5"/>
  <c r="J71" i="5"/>
  <c r="G71" i="5"/>
  <c r="A71" i="5"/>
  <c r="A70" i="5"/>
  <c r="AW69" i="5"/>
  <c r="AT69" i="5"/>
  <c r="AQ69" i="5"/>
  <c r="AN69" i="5"/>
  <c r="AK69" i="5"/>
  <c r="AH69" i="5"/>
  <c r="AE69" i="5"/>
  <c r="AB69" i="5"/>
  <c r="Y69" i="5"/>
  <c r="V69" i="5"/>
  <c r="S69" i="5"/>
  <c r="P69" i="5"/>
  <c r="M69" i="5"/>
  <c r="J69" i="5"/>
  <c r="G69" i="5"/>
  <c r="A69" i="5"/>
  <c r="A68" i="5"/>
  <c r="AW67" i="5"/>
  <c r="AT67" i="5"/>
  <c r="AQ67" i="5"/>
  <c r="AN67" i="5"/>
  <c r="AK67" i="5"/>
  <c r="AH67" i="5"/>
  <c r="AE67" i="5"/>
  <c r="AB67" i="5"/>
  <c r="Y67" i="5"/>
  <c r="V67" i="5"/>
  <c r="S67" i="5"/>
  <c r="P67" i="5"/>
  <c r="M67" i="5"/>
  <c r="J67" i="5"/>
  <c r="G67" i="5"/>
  <c r="A67" i="5"/>
  <c r="AW65" i="5"/>
  <c r="AT65" i="5"/>
  <c r="AQ65" i="5"/>
  <c r="AN65" i="5"/>
  <c r="AK65" i="5"/>
  <c r="AH65" i="5"/>
  <c r="AE65" i="5"/>
  <c r="AB65" i="5"/>
  <c r="Y65" i="5"/>
  <c r="V65" i="5"/>
  <c r="S65" i="5"/>
  <c r="P65" i="5"/>
  <c r="M65" i="5"/>
  <c r="J65" i="5"/>
  <c r="G65" i="5"/>
  <c r="A65" i="5"/>
  <c r="A64" i="5"/>
  <c r="AW63" i="5"/>
  <c r="AT63" i="5"/>
  <c r="AQ63" i="5"/>
  <c r="AN63" i="5"/>
  <c r="AK63" i="5"/>
  <c r="AH63" i="5"/>
  <c r="AE63" i="5"/>
  <c r="AB63" i="5"/>
  <c r="Y63" i="5"/>
  <c r="V63" i="5"/>
  <c r="S63" i="5"/>
  <c r="P63" i="5"/>
  <c r="M63" i="5"/>
  <c r="J63" i="5"/>
  <c r="G63" i="5"/>
  <c r="A63" i="5"/>
  <c r="A62" i="5"/>
  <c r="AW61" i="5"/>
  <c r="AT61" i="5"/>
  <c r="AQ61" i="5"/>
  <c r="AN61" i="5"/>
  <c r="AK61" i="5"/>
  <c r="AH61" i="5"/>
  <c r="AE61" i="5"/>
  <c r="AB61" i="5"/>
  <c r="Y61" i="5"/>
  <c r="V61" i="5"/>
  <c r="S61" i="5"/>
  <c r="P61" i="5"/>
  <c r="M61" i="5"/>
  <c r="J61" i="5"/>
  <c r="G61" i="5"/>
  <c r="A61" i="5"/>
  <c r="A60" i="5"/>
  <c r="AW59" i="5"/>
  <c r="AT59" i="5"/>
  <c r="AQ59" i="5"/>
  <c r="AN59" i="5"/>
  <c r="AK59" i="5"/>
  <c r="AH59" i="5"/>
  <c r="AE59" i="5"/>
  <c r="AB59" i="5"/>
  <c r="Y59" i="5"/>
  <c r="V59" i="5"/>
  <c r="S59" i="5"/>
  <c r="P59" i="5"/>
  <c r="M59" i="5"/>
  <c r="J59" i="5"/>
  <c r="G59" i="5"/>
  <c r="A59" i="5"/>
  <c r="A58" i="5"/>
  <c r="AW57" i="5"/>
  <c r="AT57" i="5"/>
  <c r="AQ57" i="5"/>
  <c r="AN57" i="5"/>
  <c r="AK57" i="5"/>
  <c r="AH57" i="5"/>
  <c r="AE57" i="5"/>
  <c r="AB57" i="5"/>
  <c r="Y57" i="5"/>
  <c r="V57" i="5"/>
  <c r="S57" i="5"/>
  <c r="P57" i="5"/>
  <c r="M57" i="5"/>
  <c r="J57" i="5"/>
  <c r="G57" i="5"/>
  <c r="A57" i="5"/>
  <c r="A56" i="5"/>
  <c r="AW55" i="5"/>
  <c r="AT55" i="5"/>
  <c r="AQ55" i="5"/>
  <c r="AN55" i="5"/>
  <c r="AK55" i="5"/>
  <c r="AH55" i="5"/>
  <c r="AE55" i="5"/>
  <c r="AB55" i="5"/>
  <c r="Y55" i="5"/>
  <c r="V55" i="5"/>
  <c r="S55" i="5"/>
  <c r="P55" i="5"/>
  <c r="M55" i="5"/>
  <c r="J55" i="5"/>
  <c r="G55" i="5"/>
  <c r="A55" i="5"/>
  <c r="A54" i="5"/>
  <c r="AW53" i="5"/>
  <c r="AT53" i="5"/>
  <c r="AQ53" i="5"/>
  <c r="AN53" i="5"/>
  <c r="AK53" i="5"/>
  <c r="AH53" i="5"/>
  <c r="AE53" i="5"/>
  <c r="AB53" i="5"/>
  <c r="Y53" i="5"/>
  <c r="V53" i="5"/>
  <c r="S53" i="5"/>
  <c r="P53" i="5"/>
  <c r="M53" i="5"/>
  <c r="J53" i="5"/>
  <c r="G53" i="5"/>
  <c r="A53" i="5"/>
  <c r="AW51" i="5"/>
  <c r="AT51" i="5"/>
  <c r="AQ51" i="5"/>
  <c r="AN51" i="5"/>
  <c r="AK51" i="5"/>
  <c r="AH51" i="5"/>
  <c r="AE51" i="5"/>
  <c r="AB51" i="5"/>
  <c r="Y51" i="5"/>
  <c r="V51" i="5"/>
  <c r="S51" i="5"/>
  <c r="P51" i="5"/>
  <c r="M51" i="5"/>
  <c r="J51" i="5"/>
  <c r="G51" i="5"/>
  <c r="A51" i="5"/>
  <c r="AW49" i="5"/>
  <c r="AT49" i="5"/>
  <c r="AQ49" i="5"/>
  <c r="AN49" i="5"/>
  <c r="AK49" i="5"/>
  <c r="AH49" i="5"/>
  <c r="AE49" i="5"/>
  <c r="AB49" i="5"/>
  <c r="Y49" i="5"/>
  <c r="V49" i="5"/>
  <c r="S49" i="5"/>
  <c r="P49" i="5"/>
  <c r="M49" i="5"/>
  <c r="J49" i="5"/>
  <c r="G49" i="5"/>
  <c r="A49" i="5"/>
  <c r="A48" i="5"/>
  <c r="AW47" i="5"/>
  <c r="AT47" i="5"/>
  <c r="AQ47" i="5"/>
  <c r="AN47" i="5"/>
  <c r="AK47" i="5"/>
  <c r="AH47" i="5"/>
  <c r="AE47" i="5"/>
  <c r="AB47" i="5"/>
  <c r="Y47" i="5"/>
  <c r="V47" i="5"/>
  <c r="S47" i="5"/>
  <c r="P47" i="5"/>
  <c r="M47" i="5"/>
  <c r="J47" i="5"/>
  <c r="G47" i="5"/>
  <c r="A47" i="5"/>
  <c r="A46" i="5"/>
  <c r="AW45" i="5"/>
  <c r="AT45" i="5"/>
  <c r="AQ45" i="5"/>
  <c r="AN45" i="5"/>
  <c r="AK45" i="5"/>
  <c r="AH45" i="5"/>
  <c r="AE45" i="5"/>
  <c r="AB45" i="5"/>
  <c r="Y45" i="5"/>
  <c r="V45" i="5"/>
  <c r="S45" i="5"/>
  <c r="P45" i="5"/>
  <c r="M45" i="5"/>
  <c r="J45" i="5"/>
  <c r="G45" i="5"/>
  <c r="A45" i="5"/>
  <c r="A44" i="5"/>
  <c r="AW43" i="5"/>
  <c r="AT43" i="5"/>
  <c r="AQ43" i="5"/>
  <c r="AN43" i="5"/>
  <c r="AK43" i="5"/>
  <c r="AH43" i="5"/>
  <c r="AE43" i="5"/>
  <c r="AB43" i="5"/>
  <c r="Y43" i="5"/>
  <c r="V43" i="5"/>
  <c r="S43" i="5"/>
  <c r="P43" i="5"/>
  <c r="M43" i="5"/>
  <c r="J43" i="5"/>
  <c r="G43" i="5"/>
  <c r="A43" i="5"/>
  <c r="A42" i="5"/>
  <c r="AW41" i="5"/>
  <c r="AT41" i="5"/>
  <c r="AQ41" i="5"/>
  <c r="AN41" i="5"/>
  <c r="AK41" i="5"/>
  <c r="AH41" i="5"/>
  <c r="AE41" i="5"/>
  <c r="AB41" i="5"/>
  <c r="Y41" i="5"/>
  <c r="V41" i="5"/>
  <c r="S41" i="5"/>
  <c r="P41" i="5"/>
  <c r="M41" i="5"/>
  <c r="J41" i="5"/>
  <c r="G41" i="5"/>
  <c r="A41" i="5"/>
  <c r="A40" i="5"/>
  <c r="AW39" i="5"/>
  <c r="AT39" i="5"/>
  <c r="AQ39" i="5"/>
  <c r="AN39" i="5"/>
  <c r="AK39" i="5"/>
  <c r="AH39" i="5"/>
  <c r="AE39" i="5"/>
  <c r="AB39" i="5"/>
  <c r="Y39" i="5"/>
  <c r="V39" i="5"/>
  <c r="S39" i="5"/>
  <c r="P39" i="5"/>
  <c r="M39" i="5"/>
  <c r="J39" i="5"/>
  <c r="G39" i="5"/>
  <c r="A39" i="5"/>
  <c r="A38" i="5"/>
  <c r="AW37" i="5"/>
  <c r="AT37" i="5"/>
  <c r="AQ37" i="5"/>
  <c r="AN37" i="5"/>
  <c r="AK37" i="5"/>
  <c r="AH37" i="5"/>
  <c r="AE37" i="5"/>
  <c r="AB37" i="5"/>
  <c r="Y37" i="5"/>
  <c r="V37" i="5"/>
  <c r="S37" i="5"/>
  <c r="P37" i="5"/>
  <c r="M37" i="5"/>
  <c r="J37" i="5"/>
  <c r="G37" i="5"/>
  <c r="A37" i="5"/>
  <c r="A36" i="5"/>
  <c r="AW35" i="5"/>
  <c r="AT35" i="5"/>
  <c r="AQ35" i="5"/>
  <c r="AN35" i="5"/>
  <c r="AK35" i="5"/>
  <c r="AH35" i="5"/>
  <c r="AE35" i="5"/>
  <c r="AB35" i="5"/>
  <c r="Y35" i="5"/>
  <c r="V35" i="5"/>
  <c r="S35" i="5"/>
  <c r="P35" i="5"/>
  <c r="M35" i="5"/>
  <c r="J35" i="5"/>
  <c r="G35" i="5"/>
  <c r="A35" i="5"/>
  <c r="A34" i="5"/>
  <c r="AW33" i="5"/>
  <c r="AT33" i="5"/>
  <c r="AQ33" i="5"/>
  <c r="AN33" i="5"/>
  <c r="AK33" i="5"/>
  <c r="AH33" i="5"/>
  <c r="AE33" i="5"/>
  <c r="AB33" i="5"/>
  <c r="Y33" i="5"/>
  <c r="V33" i="5"/>
  <c r="S33" i="5"/>
  <c r="P33" i="5"/>
  <c r="M33" i="5"/>
  <c r="J33" i="5"/>
  <c r="G33" i="5"/>
  <c r="A33" i="5"/>
  <c r="A32" i="5"/>
  <c r="AW31" i="5"/>
  <c r="AT31" i="5"/>
  <c r="AQ31" i="5"/>
  <c r="AN31" i="5"/>
  <c r="AK31" i="5"/>
  <c r="AH31" i="5"/>
  <c r="AE31" i="5"/>
  <c r="AB31" i="5"/>
  <c r="Y31" i="5"/>
  <c r="V31" i="5"/>
  <c r="S31" i="5"/>
  <c r="P31" i="5"/>
  <c r="M31" i="5"/>
  <c r="J31" i="5"/>
  <c r="G31" i="5"/>
  <c r="A31" i="5"/>
  <c r="A30" i="5"/>
  <c r="AW29" i="5"/>
  <c r="AT29" i="5"/>
  <c r="AQ29" i="5"/>
  <c r="AN29" i="5"/>
  <c r="AK29" i="5"/>
  <c r="AH29" i="5"/>
  <c r="AE29" i="5"/>
  <c r="AB29" i="5"/>
  <c r="Y29" i="5"/>
  <c r="V29" i="5"/>
  <c r="S29" i="5"/>
  <c r="P29" i="5"/>
  <c r="M29" i="5"/>
  <c r="J29" i="5"/>
  <c r="G29" i="5"/>
  <c r="A29" i="5"/>
  <c r="A28" i="5"/>
  <c r="AW27" i="5"/>
  <c r="AT27" i="5"/>
  <c r="AQ27" i="5"/>
  <c r="AN27" i="5"/>
  <c r="AK27" i="5"/>
  <c r="AH27" i="5"/>
  <c r="AE27" i="5"/>
  <c r="AB27" i="5"/>
  <c r="Y27" i="5"/>
  <c r="V27" i="5"/>
  <c r="S27" i="5"/>
  <c r="P27" i="5"/>
  <c r="M27" i="5"/>
  <c r="J27" i="5"/>
  <c r="G27" i="5"/>
  <c r="A27" i="5"/>
  <c r="A26" i="5"/>
  <c r="AW25" i="5"/>
  <c r="AT25" i="5"/>
  <c r="AQ25" i="5"/>
  <c r="AN25" i="5"/>
  <c r="AK25" i="5"/>
  <c r="AH25" i="5"/>
  <c r="AE25" i="5"/>
  <c r="AB25" i="5"/>
  <c r="Y25" i="5"/>
  <c r="V25" i="5"/>
  <c r="S25" i="5"/>
  <c r="P25" i="5"/>
  <c r="M25" i="5"/>
  <c r="J25" i="5"/>
  <c r="G25" i="5"/>
  <c r="A25" i="5"/>
  <c r="A24" i="5"/>
  <c r="AW23" i="5"/>
  <c r="AT23" i="5"/>
  <c r="AQ23" i="5"/>
  <c r="AN23" i="5"/>
  <c r="AK23" i="5"/>
  <c r="AH23" i="5"/>
  <c r="AE23" i="5"/>
  <c r="AB23" i="5"/>
  <c r="Y23" i="5"/>
  <c r="V23" i="5"/>
  <c r="S23" i="5"/>
  <c r="P23" i="5"/>
  <c r="M23" i="5"/>
  <c r="J23" i="5"/>
  <c r="G23" i="5"/>
  <c r="A23" i="5"/>
  <c r="A22" i="5"/>
  <c r="AW21" i="5"/>
  <c r="AT21" i="5"/>
  <c r="AQ21" i="5"/>
  <c r="AN21" i="5"/>
  <c r="AK21" i="5"/>
  <c r="AH21" i="5"/>
  <c r="AE21" i="5"/>
  <c r="AB21" i="5"/>
  <c r="Y21" i="5"/>
  <c r="V21" i="5"/>
  <c r="S21" i="5"/>
  <c r="P21" i="5"/>
  <c r="M21" i="5"/>
  <c r="J21" i="5"/>
  <c r="G21" i="5"/>
  <c r="A21" i="5"/>
  <c r="AW19" i="5"/>
  <c r="AT19" i="5"/>
  <c r="AQ19" i="5"/>
  <c r="AN19" i="5"/>
  <c r="AK19" i="5"/>
  <c r="AH19" i="5"/>
  <c r="AE19" i="5"/>
  <c r="AB19" i="5"/>
  <c r="Y19" i="5"/>
  <c r="V19" i="5"/>
  <c r="S19" i="5"/>
  <c r="P19" i="5"/>
  <c r="M19" i="5"/>
  <c r="J19" i="5"/>
  <c r="G19" i="5"/>
  <c r="A19" i="5"/>
  <c r="AW17" i="5"/>
  <c r="AT17" i="5"/>
  <c r="AQ17" i="5"/>
  <c r="AN17" i="5"/>
  <c r="AK17" i="5"/>
  <c r="AH17" i="5"/>
  <c r="AE17" i="5"/>
  <c r="AB17" i="5"/>
  <c r="Y17" i="5"/>
  <c r="V17" i="5"/>
  <c r="S17" i="5"/>
  <c r="P17" i="5"/>
  <c r="M17" i="5"/>
  <c r="J17" i="5"/>
  <c r="G17" i="5"/>
  <c r="A17" i="5"/>
  <c r="A16" i="5"/>
  <c r="AW15" i="5"/>
  <c r="AT15" i="5"/>
  <c r="AQ15" i="5"/>
  <c r="AN15" i="5"/>
  <c r="AK15" i="5"/>
  <c r="AH15" i="5"/>
  <c r="AE15" i="5"/>
  <c r="AB15" i="5"/>
  <c r="Y15" i="5"/>
  <c r="V15" i="5"/>
  <c r="S15" i="5"/>
  <c r="P15" i="5"/>
  <c r="M15" i="5"/>
  <c r="J15" i="5"/>
  <c r="G15" i="5"/>
  <c r="A15" i="5"/>
  <c r="A14" i="5"/>
  <c r="AW13" i="5"/>
  <c r="AT13" i="5"/>
  <c r="AQ13" i="5"/>
  <c r="AN13" i="5"/>
  <c r="AK13" i="5"/>
  <c r="AH13" i="5"/>
  <c r="AE13" i="5"/>
  <c r="AB13" i="5"/>
  <c r="Y13" i="5"/>
  <c r="V13" i="5"/>
  <c r="S13" i="5"/>
  <c r="P13" i="5"/>
  <c r="M13" i="5"/>
  <c r="J13" i="5"/>
  <c r="G13" i="5"/>
  <c r="A13" i="5"/>
  <c r="A12" i="5"/>
  <c r="AW11" i="5"/>
  <c r="AT11" i="5"/>
  <c r="AQ11" i="5"/>
  <c r="AN11" i="5"/>
  <c r="AK11" i="5"/>
  <c r="AH11" i="5"/>
  <c r="AE11" i="5"/>
  <c r="AB11" i="5"/>
  <c r="Y11" i="5"/>
  <c r="V11" i="5"/>
  <c r="S11" i="5"/>
  <c r="P11" i="5"/>
  <c r="M11" i="5"/>
  <c r="J11" i="5"/>
  <c r="G11" i="5"/>
  <c r="A11" i="5"/>
  <c r="D90" i="4"/>
  <c r="W11" i="4"/>
  <c r="W13" i="4"/>
  <c r="W15" i="4"/>
  <c r="W17" i="4"/>
  <c r="W19" i="4"/>
  <c r="W21" i="4"/>
  <c r="W23" i="4"/>
  <c r="W25" i="4"/>
  <c r="W27" i="4"/>
  <c r="W29" i="4"/>
  <c r="W31" i="4"/>
  <c r="W33" i="4"/>
  <c r="W35" i="4"/>
  <c r="W37" i="4"/>
  <c r="W39" i="4"/>
  <c r="W41" i="4"/>
  <c r="W43" i="4"/>
  <c r="W45" i="4"/>
  <c r="W47" i="4"/>
  <c r="W49" i="4"/>
  <c r="W51" i="4"/>
  <c r="W53" i="4"/>
  <c r="W57" i="4"/>
  <c r="W59" i="4"/>
  <c r="W61" i="4"/>
  <c r="W63" i="4"/>
  <c r="W67" i="4"/>
  <c r="W69" i="4"/>
  <c r="W71" i="4"/>
  <c r="W73" i="4"/>
  <c r="W75" i="4"/>
  <c r="W77" i="4"/>
  <c r="W79" i="4"/>
  <c r="W81" i="4"/>
  <c r="W83" i="4"/>
  <c r="W85" i="4"/>
  <c r="W87" i="4"/>
  <c r="N11" i="4"/>
  <c r="N13" i="4"/>
  <c r="N15" i="4"/>
  <c r="N17" i="4"/>
  <c r="N19" i="4"/>
  <c r="N21" i="4"/>
  <c r="N23" i="4"/>
  <c r="N25" i="4"/>
  <c r="N27" i="4"/>
  <c r="N29" i="4"/>
  <c r="N31" i="4"/>
  <c r="N33" i="4"/>
  <c r="N35" i="4"/>
  <c r="N37" i="4"/>
  <c r="N39" i="4"/>
  <c r="N41" i="4"/>
  <c r="N43" i="4"/>
  <c r="N45" i="4"/>
  <c r="N47" i="4"/>
  <c r="N49" i="4"/>
  <c r="N51" i="4"/>
  <c r="N53" i="4"/>
  <c r="N55" i="4"/>
  <c r="N57" i="4"/>
  <c r="N59" i="4"/>
  <c r="N61" i="4"/>
  <c r="N63" i="4"/>
  <c r="N65" i="4"/>
  <c r="N67" i="4"/>
  <c r="N69" i="4"/>
  <c r="N71" i="4"/>
  <c r="N73" i="4"/>
  <c r="N75" i="4"/>
  <c r="N77" i="4"/>
  <c r="N79" i="4"/>
  <c r="N81" i="4"/>
  <c r="N83" i="4"/>
  <c r="N85" i="4"/>
  <c r="N87" i="4"/>
  <c r="N90" i="4"/>
  <c r="H11" i="4"/>
  <c r="H13" i="4"/>
  <c r="H15" i="4"/>
  <c r="H17" i="4"/>
  <c r="H19" i="4"/>
  <c r="H21" i="4"/>
  <c r="H23" i="4"/>
  <c r="H25" i="4"/>
  <c r="H27" i="4"/>
  <c r="H29" i="4"/>
  <c r="H31" i="4"/>
  <c r="H33" i="4"/>
  <c r="H35" i="4"/>
  <c r="H37" i="4"/>
  <c r="H39" i="4"/>
  <c r="H41" i="4"/>
  <c r="H43" i="4"/>
  <c r="H45" i="4"/>
  <c r="H47" i="4"/>
  <c r="H49" i="4"/>
  <c r="H51" i="4"/>
  <c r="H53" i="4"/>
  <c r="H55" i="4"/>
  <c r="H57" i="4"/>
  <c r="H59" i="4"/>
  <c r="H61" i="4"/>
  <c r="H63" i="4"/>
  <c r="H65" i="4"/>
  <c r="H67" i="4"/>
  <c r="H69" i="4"/>
  <c r="H71" i="4"/>
  <c r="H73" i="4"/>
  <c r="H75" i="4"/>
  <c r="H77" i="4"/>
  <c r="H79" i="4"/>
  <c r="H81" i="4"/>
  <c r="H83" i="4"/>
  <c r="H85" i="4"/>
  <c r="H87" i="4"/>
  <c r="H90" i="4"/>
  <c r="K11" i="4"/>
  <c r="Q11" i="4"/>
  <c r="T11" i="4"/>
  <c r="AC11" i="4"/>
  <c r="AC13" i="4"/>
  <c r="AC15" i="4"/>
  <c r="AC17" i="4"/>
  <c r="AC19" i="4"/>
  <c r="AC21" i="4"/>
  <c r="AC23" i="4"/>
  <c r="AC25" i="4"/>
  <c r="AC27" i="4"/>
  <c r="AC29" i="4"/>
  <c r="AC31" i="4"/>
  <c r="AC33" i="4"/>
  <c r="AC35" i="4"/>
  <c r="AC37" i="4"/>
  <c r="AC39" i="4"/>
  <c r="AC41" i="4"/>
  <c r="AC43" i="4"/>
  <c r="AC45" i="4"/>
  <c r="AC47" i="4"/>
  <c r="AC49" i="4"/>
  <c r="AC51" i="4"/>
  <c r="AC53" i="4"/>
  <c r="AC55" i="4"/>
  <c r="AC57" i="4"/>
  <c r="AC59" i="4"/>
  <c r="AC61" i="4"/>
  <c r="AC63" i="4"/>
  <c r="AC65" i="4"/>
  <c r="AC67" i="4"/>
  <c r="AC69" i="4"/>
  <c r="AC71" i="4"/>
  <c r="AC73" i="4"/>
  <c r="AC75" i="4"/>
  <c r="AC77" i="4"/>
  <c r="AC79" i="4"/>
  <c r="AC81" i="4"/>
  <c r="AC83" i="4"/>
  <c r="AC85" i="4"/>
  <c r="AC87" i="4"/>
  <c r="AC90" i="4"/>
  <c r="AD90" i="4"/>
  <c r="T13" i="4"/>
  <c r="T15" i="4"/>
  <c r="T17" i="4"/>
  <c r="T19" i="4"/>
  <c r="T21" i="4"/>
  <c r="T23" i="4"/>
  <c r="T25" i="4"/>
  <c r="T27" i="4"/>
  <c r="T29" i="4"/>
  <c r="T31" i="4"/>
  <c r="T33" i="4"/>
  <c r="T35" i="4"/>
  <c r="T37" i="4"/>
  <c r="T39" i="4"/>
  <c r="T41" i="4"/>
  <c r="T43" i="4"/>
  <c r="T45" i="4"/>
  <c r="T47" i="4"/>
  <c r="T49" i="4"/>
  <c r="T51" i="4"/>
  <c r="T53" i="4"/>
  <c r="T55" i="4"/>
  <c r="T57" i="4"/>
  <c r="T59" i="4"/>
  <c r="T61" i="4"/>
  <c r="T63" i="4"/>
  <c r="T65" i="4"/>
  <c r="T67" i="4"/>
  <c r="T69" i="4"/>
  <c r="T71" i="4"/>
  <c r="T73" i="4"/>
  <c r="T75" i="4"/>
  <c r="T77" i="4"/>
  <c r="T79" i="4"/>
  <c r="T81" i="4"/>
  <c r="T83" i="4"/>
  <c r="T85" i="4"/>
  <c r="T87" i="4"/>
  <c r="T90" i="4"/>
  <c r="U90" i="4"/>
  <c r="Q13" i="4"/>
  <c r="Q15" i="4"/>
  <c r="Q17" i="4"/>
  <c r="Q19" i="4"/>
  <c r="Q21" i="4"/>
  <c r="Q23" i="4"/>
  <c r="Q25" i="4"/>
  <c r="Q27" i="4"/>
  <c r="Q29" i="4"/>
  <c r="Q31" i="4"/>
  <c r="Q33" i="4"/>
  <c r="Q35" i="4"/>
  <c r="Q37" i="4"/>
  <c r="Q39" i="4"/>
  <c r="Q41" i="4"/>
  <c r="Q43" i="4"/>
  <c r="Q45" i="4"/>
  <c r="Q47" i="4"/>
  <c r="Q49" i="4"/>
  <c r="Q51" i="4"/>
  <c r="Q53" i="4"/>
  <c r="Q55" i="4"/>
  <c r="Q57" i="4"/>
  <c r="Q59" i="4"/>
  <c r="Q61" i="4"/>
  <c r="Q63" i="4"/>
  <c r="Q65" i="4"/>
  <c r="Q67" i="4"/>
  <c r="Q69" i="4"/>
  <c r="Q71" i="4"/>
  <c r="Q73" i="4"/>
  <c r="Q75" i="4"/>
  <c r="Q77" i="4"/>
  <c r="Q79" i="4"/>
  <c r="Q81" i="4"/>
  <c r="Q83" i="4"/>
  <c r="Q85" i="4"/>
  <c r="Q87" i="4"/>
  <c r="Q90" i="4"/>
  <c r="R90" i="4"/>
  <c r="O90" i="4"/>
  <c r="K13" i="4"/>
  <c r="K15" i="4"/>
  <c r="K17" i="4"/>
  <c r="K19" i="4"/>
  <c r="K21" i="4"/>
  <c r="K23" i="4"/>
  <c r="K25" i="4"/>
  <c r="K27" i="4"/>
  <c r="K29" i="4"/>
  <c r="K31" i="4"/>
  <c r="K33" i="4"/>
  <c r="K35" i="4"/>
  <c r="K37" i="4"/>
  <c r="K39" i="4"/>
  <c r="K41" i="4"/>
  <c r="K43" i="4"/>
  <c r="K45" i="4"/>
  <c r="K47" i="4"/>
  <c r="K49" i="4"/>
  <c r="K51" i="4"/>
  <c r="K53" i="4"/>
  <c r="K55" i="4"/>
  <c r="K57" i="4"/>
  <c r="K59" i="4"/>
  <c r="K61" i="4"/>
  <c r="K63" i="4"/>
  <c r="K65" i="4"/>
  <c r="K67" i="4"/>
  <c r="K69" i="4"/>
  <c r="K71" i="4"/>
  <c r="K73" i="4"/>
  <c r="K75" i="4"/>
  <c r="K77" i="4"/>
  <c r="K79" i="4"/>
  <c r="K81" i="4"/>
  <c r="K83" i="4"/>
  <c r="K85" i="4"/>
  <c r="K87" i="4"/>
  <c r="K90" i="4"/>
  <c r="L90" i="4"/>
  <c r="I90" i="4"/>
  <c r="F90" i="4"/>
  <c r="E90" i="4"/>
  <c r="A90" i="4"/>
  <c r="A89" i="4"/>
  <c r="A88" i="4"/>
  <c r="Z87" i="4"/>
  <c r="AF87" i="4"/>
  <c r="AG87" i="4"/>
  <c r="AD87" i="4"/>
  <c r="AA87" i="4"/>
  <c r="X87" i="4"/>
  <c r="U87" i="4"/>
  <c r="R87" i="4"/>
  <c r="O87" i="4"/>
  <c r="L87" i="4"/>
  <c r="I87" i="4"/>
  <c r="A87" i="4"/>
  <c r="A86" i="4"/>
  <c r="Z85" i="4"/>
  <c r="AF85" i="4"/>
  <c r="AG85" i="4"/>
  <c r="AD85" i="4"/>
  <c r="AA85" i="4"/>
  <c r="X85" i="4"/>
  <c r="U85" i="4"/>
  <c r="R85" i="4"/>
  <c r="O85" i="4"/>
  <c r="L85" i="4"/>
  <c r="I85" i="4"/>
  <c r="A85" i="4"/>
  <c r="A84" i="4"/>
  <c r="Z83" i="4"/>
  <c r="AF83" i="4"/>
  <c r="AG83" i="4"/>
  <c r="AD83" i="4"/>
  <c r="AA83" i="4"/>
  <c r="X83" i="4"/>
  <c r="U83" i="4"/>
  <c r="R83" i="4"/>
  <c r="O83" i="4"/>
  <c r="L83" i="4"/>
  <c r="I83" i="4"/>
  <c r="A83" i="4"/>
  <c r="A82" i="4"/>
  <c r="Z81" i="4"/>
  <c r="AF81" i="4"/>
  <c r="AG81" i="4"/>
  <c r="AD81" i="4"/>
  <c r="AA81" i="4"/>
  <c r="X81" i="4"/>
  <c r="U81" i="4"/>
  <c r="R81" i="4"/>
  <c r="O81" i="4"/>
  <c r="L81" i="4"/>
  <c r="I81" i="4"/>
  <c r="A81" i="4"/>
  <c r="A80" i="4"/>
  <c r="Z79" i="4"/>
  <c r="AF79" i="4"/>
  <c r="AG79" i="4"/>
  <c r="AD79" i="4"/>
  <c r="AA79" i="4"/>
  <c r="X79" i="4"/>
  <c r="U79" i="4"/>
  <c r="R79" i="4"/>
  <c r="O79" i="4"/>
  <c r="L79" i="4"/>
  <c r="I79" i="4"/>
  <c r="A79" i="4"/>
  <c r="A78" i="4"/>
  <c r="Z77" i="4"/>
  <c r="AF77" i="4"/>
  <c r="AG77" i="4"/>
  <c r="AD77" i="4"/>
  <c r="AA77" i="4"/>
  <c r="X77" i="4"/>
  <c r="U77" i="4"/>
  <c r="R77" i="4"/>
  <c r="O77" i="4"/>
  <c r="L77" i="4"/>
  <c r="I77" i="4"/>
  <c r="A77" i="4"/>
  <c r="A76" i="4"/>
  <c r="Z75" i="4"/>
  <c r="AF75" i="4"/>
  <c r="AG75" i="4"/>
  <c r="AD75" i="4"/>
  <c r="AA75" i="4"/>
  <c r="X75" i="4"/>
  <c r="U75" i="4"/>
  <c r="R75" i="4"/>
  <c r="O75" i="4"/>
  <c r="L75" i="4"/>
  <c r="I75" i="4"/>
  <c r="A75" i="4"/>
  <c r="A74" i="4"/>
  <c r="Z73" i="4"/>
  <c r="AF73" i="4"/>
  <c r="AG73" i="4"/>
  <c r="AD73" i="4"/>
  <c r="AA73" i="4"/>
  <c r="X73" i="4"/>
  <c r="U73" i="4"/>
  <c r="R73" i="4"/>
  <c r="O73" i="4"/>
  <c r="L73" i="4"/>
  <c r="I73" i="4"/>
  <c r="A73" i="4"/>
  <c r="A72" i="4"/>
  <c r="Z71" i="4"/>
  <c r="AF71" i="4"/>
  <c r="AG71" i="4"/>
  <c r="AD71" i="4"/>
  <c r="AA71" i="4"/>
  <c r="X71" i="4"/>
  <c r="U71" i="4"/>
  <c r="R71" i="4"/>
  <c r="O71" i="4"/>
  <c r="L71" i="4"/>
  <c r="I71" i="4"/>
  <c r="A71" i="4"/>
  <c r="A70" i="4"/>
  <c r="Z69" i="4"/>
  <c r="AF69" i="4"/>
  <c r="AG69" i="4"/>
  <c r="AD69" i="4"/>
  <c r="AA69" i="4"/>
  <c r="X69" i="4"/>
  <c r="U69" i="4"/>
  <c r="R69" i="4"/>
  <c r="O69" i="4"/>
  <c r="L69" i="4"/>
  <c r="I69" i="4"/>
  <c r="A69" i="4"/>
  <c r="A68" i="4"/>
  <c r="Z67" i="4"/>
  <c r="AF67" i="4"/>
  <c r="AG67" i="4"/>
  <c r="AD67" i="4"/>
  <c r="AA67" i="4"/>
  <c r="X67" i="4"/>
  <c r="U67" i="4"/>
  <c r="R67" i="4"/>
  <c r="O67" i="4"/>
  <c r="L67" i="4"/>
  <c r="I67" i="4"/>
  <c r="A67" i="4"/>
  <c r="AD65" i="4"/>
  <c r="Z65" i="4"/>
  <c r="AA65" i="4"/>
  <c r="U65" i="4"/>
  <c r="R65" i="4"/>
  <c r="O65" i="4"/>
  <c r="L65" i="4"/>
  <c r="I65" i="4"/>
  <c r="A65" i="4"/>
  <c r="A64" i="4"/>
  <c r="Z63" i="4"/>
  <c r="AF63" i="4"/>
  <c r="AG63" i="4"/>
  <c r="AD63" i="4"/>
  <c r="AA63" i="4"/>
  <c r="X63" i="4"/>
  <c r="U63" i="4"/>
  <c r="R63" i="4"/>
  <c r="O63" i="4"/>
  <c r="L63" i="4"/>
  <c r="I63" i="4"/>
  <c r="A63" i="4"/>
  <c r="A62" i="4"/>
  <c r="Z61" i="4"/>
  <c r="AF61" i="4"/>
  <c r="AG61" i="4"/>
  <c r="AD61" i="4"/>
  <c r="AA61" i="4"/>
  <c r="X61" i="4"/>
  <c r="U61" i="4"/>
  <c r="R61" i="4"/>
  <c r="O61" i="4"/>
  <c r="L61" i="4"/>
  <c r="I61" i="4"/>
  <c r="A61" i="4"/>
  <c r="A60" i="4"/>
  <c r="Z59" i="4"/>
  <c r="AF59" i="4"/>
  <c r="AG59" i="4"/>
  <c r="AD59" i="4"/>
  <c r="AA59" i="4"/>
  <c r="X59" i="4"/>
  <c r="U59" i="4"/>
  <c r="R59" i="4"/>
  <c r="O59" i="4"/>
  <c r="L59" i="4"/>
  <c r="I59" i="4"/>
  <c r="A59" i="4"/>
  <c r="A58" i="4"/>
  <c r="Z57" i="4"/>
  <c r="AF57" i="4"/>
  <c r="AG57" i="4"/>
  <c r="AD57" i="4"/>
  <c r="AA57" i="4"/>
  <c r="X57" i="4"/>
  <c r="U57" i="4"/>
  <c r="R57" i="4"/>
  <c r="O57" i="4"/>
  <c r="L57" i="4"/>
  <c r="I57" i="4"/>
  <c r="A57" i="4"/>
  <c r="A56" i="4"/>
  <c r="AD55" i="4"/>
  <c r="Z55" i="4"/>
  <c r="AA55" i="4"/>
  <c r="U55" i="4"/>
  <c r="R55" i="4"/>
  <c r="O55" i="4"/>
  <c r="L55" i="4"/>
  <c r="I55" i="4"/>
  <c r="A55" i="4"/>
  <c r="A54" i="4"/>
  <c r="Z53" i="4"/>
  <c r="AF53" i="4"/>
  <c r="AG53" i="4"/>
  <c r="AD53" i="4"/>
  <c r="AA53" i="4"/>
  <c r="X53" i="4"/>
  <c r="U53" i="4"/>
  <c r="R53" i="4"/>
  <c r="O53" i="4"/>
  <c r="L53" i="4"/>
  <c r="I53" i="4"/>
  <c r="A53" i="4"/>
  <c r="Z51" i="4"/>
  <c r="AF51" i="4"/>
  <c r="AG51" i="4"/>
  <c r="AD51" i="4"/>
  <c r="AA51" i="4"/>
  <c r="X51" i="4"/>
  <c r="U51" i="4"/>
  <c r="R51" i="4"/>
  <c r="O51" i="4"/>
  <c r="L51" i="4"/>
  <c r="I51" i="4"/>
  <c r="A51" i="4"/>
  <c r="Z49" i="4"/>
  <c r="AF49" i="4"/>
  <c r="AG49" i="4"/>
  <c r="AD49" i="4"/>
  <c r="AA49" i="4"/>
  <c r="X49" i="4"/>
  <c r="U49" i="4"/>
  <c r="R49" i="4"/>
  <c r="O49" i="4"/>
  <c r="L49" i="4"/>
  <c r="I49" i="4"/>
  <c r="A49" i="4"/>
  <c r="A48" i="4"/>
  <c r="Z47" i="4"/>
  <c r="AF47" i="4"/>
  <c r="AG47" i="4"/>
  <c r="AD47" i="4"/>
  <c r="AA47" i="4"/>
  <c r="X47" i="4"/>
  <c r="U47" i="4"/>
  <c r="R47" i="4"/>
  <c r="O47" i="4"/>
  <c r="L47" i="4"/>
  <c r="I47" i="4"/>
  <c r="A47" i="4"/>
  <c r="A46" i="4"/>
  <c r="Z45" i="4"/>
  <c r="AF45" i="4"/>
  <c r="AD45" i="4"/>
  <c r="AA45" i="4"/>
  <c r="X45" i="4"/>
  <c r="U45" i="4"/>
  <c r="R45" i="4"/>
  <c r="O45" i="4"/>
  <c r="L45" i="4"/>
  <c r="A45" i="4"/>
  <c r="A44" i="4"/>
  <c r="Z43" i="4"/>
  <c r="AF43" i="4"/>
  <c r="AG43" i="4"/>
  <c r="AD43" i="4"/>
  <c r="AA43" i="4"/>
  <c r="X43" i="4"/>
  <c r="U43" i="4"/>
  <c r="R43" i="4"/>
  <c r="O43" i="4"/>
  <c r="L43" i="4"/>
  <c r="I43" i="4"/>
  <c r="A43" i="4"/>
  <c r="A42" i="4"/>
  <c r="Z41" i="4"/>
  <c r="AF41" i="4"/>
  <c r="AG41" i="4"/>
  <c r="AD41" i="4"/>
  <c r="AA41" i="4"/>
  <c r="X41" i="4"/>
  <c r="U41" i="4"/>
  <c r="R41" i="4"/>
  <c r="O41" i="4"/>
  <c r="L41" i="4"/>
  <c r="I41" i="4"/>
  <c r="A41" i="4"/>
  <c r="A40" i="4"/>
  <c r="Z39" i="4"/>
  <c r="AF39" i="4"/>
  <c r="AG39" i="4"/>
  <c r="AD39" i="4"/>
  <c r="AA39" i="4"/>
  <c r="X39" i="4"/>
  <c r="U39" i="4"/>
  <c r="R39" i="4"/>
  <c r="O39" i="4"/>
  <c r="L39" i="4"/>
  <c r="I39" i="4"/>
  <c r="A39" i="4"/>
  <c r="A38" i="4"/>
  <c r="Z37" i="4"/>
  <c r="AF37" i="4"/>
  <c r="AG37" i="4"/>
  <c r="AD37" i="4"/>
  <c r="AA37" i="4"/>
  <c r="X37" i="4"/>
  <c r="U37" i="4"/>
  <c r="R37" i="4"/>
  <c r="O37" i="4"/>
  <c r="L37" i="4"/>
  <c r="I37" i="4"/>
  <c r="A37" i="4"/>
  <c r="A36" i="4"/>
  <c r="Z35" i="4"/>
  <c r="AF35" i="4"/>
  <c r="AG35" i="4"/>
  <c r="AD35" i="4"/>
  <c r="AA35" i="4"/>
  <c r="X35" i="4"/>
  <c r="U35" i="4"/>
  <c r="R35" i="4"/>
  <c r="O35" i="4"/>
  <c r="L35" i="4"/>
  <c r="I35" i="4"/>
  <c r="A35" i="4"/>
  <c r="A34" i="4"/>
  <c r="Z33" i="4"/>
  <c r="AF33" i="4"/>
  <c r="AG33" i="4"/>
  <c r="AD33" i="4"/>
  <c r="AA33" i="4"/>
  <c r="X33" i="4"/>
  <c r="U33" i="4"/>
  <c r="R33" i="4"/>
  <c r="O33" i="4"/>
  <c r="L33" i="4"/>
  <c r="I33" i="4"/>
  <c r="A33" i="4"/>
  <c r="A32" i="4"/>
  <c r="Z31" i="4"/>
  <c r="AF31" i="4"/>
  <c r="AG31" i="4"/>
  <c r="AD31" i="4"/>
  <c r="AA31" i="4"/>
  <c r="X31" i="4"/>
  <c r="U31" i="4"/>
  <c r="R31" i="4"/>
  <c r="O31" i="4"/>
  <c r="L31" i="4"/>
  <c r="A31" i="4"/>
  <c r="A30" i="4"/>
  <c r="Z29" i="4"/>
  <c r="AF29" i="4"/>
  <c r="AG29" i="4"/>
  <c r="AD29" i="4"/>
  <c r="AA29" i="4"/>
  <c r="X29" i="4"/>
  <c r="U29" i="4"/>
  <c r="R29" i="4"/>
  <c r="O29" i="4"/>
  <c r="L29" i="4"/>
  <c r="I29" i="4"/>
  <c r="A29" i="4"/>
  <c r="A28" i="4"/>
  <c r="Z27" i="4"/>
  <c r="AF27" i="4"/>
  <c r="AG27" i="4"/>
  <c r="AD27" i="4"/>
  <c r="AA27" i="4"/>
  <c r="X27" i="4"/>
  <c r="U27" i="4"/>
  <c r="R27" i="4"/>
  <c r="O27" i="4"/>
  <c r="L27" i="4"/>
  <c r="I27" i="4"/>
  <c r="A27" i="4"/>
  <c r="A26" i="4"/>
  <c r="Z25" i="4"/>
  <c r="AF25" i="4"/>
  <c r="AG25" i="4"/>
  <c r="AD25" i="4"/>
  <c r="AA25" i="4"/>
  <c r="X25" i="4"/>
  <c r="U25" i="4"/>
  <c r="R25" i="4"/>
  <c r="O25" i="4"/>
  <c r="L25" i="4"/>
  <c r="I25" i="4"/>
  <c r="A25" i="4"/>
  <c r="A24" i="4"/>
  <c r="Z23" i="4"/>
  <c r="AF23" i="4"/>
  <c r="AG23" i="4"/>
  <c r="AD23" i="4"/>
  <c r="AA23" i="4"/>
  <c r="X23" i="4"/>
  <c r="U23" i="4"/>
  <c r="R23" i="4"/>
  <c r="O23" i="4"/>
  <c r="L23" i="4"/>
  <c r="I23" i="4"/>
  <c r="A23" i="4"/>
  <c r="A22" i="4"/>
  <c r="Z21" i="4"/>
  <c r="AF21" i="4"/>
  <c r="AG21" i="4"/>
  <c r="AD21" i="4"/>
  <c r="AA21" i="4"/>
  <c r="X21" i="4"/>
  <c r="U21" i="4"/>
  <c r="R21" i="4"/>
  <c r="O21" i="4"/>
  <c r="L21" i="4"/>
  <c r="I21" i="4"/>
  <c r="A21" i="4"/>
  <c r="A20" i="4"/>
  <c r="Z19" i="4"/>
  <c r="AF19" i="4"/>
  <c r="AG19" i="4"/>
  <c r="AD19" i="4"/>
  <c r="AA19" i="4"/>
  <c r="X19" i="4"/>
  <c r="U19" i="4"/>
  <c r="R19" i="4"/>
  <c r="O19" i="4"/>
  <c r="L19" i="4"/>
  <c r="I19" i="4"/>
  <c r="A19" i="4"/>
  <c r="Z17" i="4"/>
  <c r="AF17" i="4"/>
  <c r="AG17" i="4"/>
  <c r="AD17" i="4"/>
  <c r="AA17" i="4"/>
  <c r="X17" i="4"/>
  <c r="U17" i="4"/>
  <c r="R17" i="4"/>
  <c r="O17" i="4"/>
  <c r="L17" i="4"/>
  <c r="I17" i="4"/>
  <c r="A17" i="4"/>
  <c r="A16" i="4"/>
  <c r="Z15" i="4"/>
  <c r="AF15" i="4"/>
  <c r="AG15" i="4"/>
  <c r="AD15" i="4"/>
  <c r="AA15" i="4"/>
  <c r="X15" i="4"/>
  <c r="U15" i="4"/>
  <c r="R15" i="4"/>
  <c r="O15" i="4"/>
  <c r="L15" i="4"/>
  <c r="I15" i="4"/>
  <c r="A15" i="4"/>
  <c r="A14" i="4"/>
  <c r="Z13" i="4"/>
  <c r="AF13" i="4"/>
  <c r="AG13" i="4"/>
  <c r="AD13" i="4"/>
  <c r="AA13" i="4"/>
  <c r="X13" i="4"/>
  <c r="U13" i="4"/>
  <c r="R13" i="4"/>
  <c r="O13" i="4"/>
  <c r="L13" i="4"/>
  <c r="I13" i="4"/>
  <c r="A13" i="4"/>
  <c r="A12" i="4"/>
  <c r="AD11" i="4"/>
  <c r="X11" i="4"/>
  <c r="U11" i="4"/>
  <c r="R11" i="4"/>
  <c r="O11" i="4"/>
  <c r="L11" i="4"/>
  <c r="I11" i="4"/>
  <c r="A11" i="4"/>
  <c r="O61" i="3"/>
  <c r="O62" i="3"/>
  <c r="K61" i="3"/>
  <c r="K62" i="3"/>
  <c r="G61" i="3"/>
  <c r="G62" i="3"/>
  <c r="T38" i="3"/>
  <c r="T39" i="3"/>
  <c r="T40" i="3"/>
  <c r="D40" i="3"/>
  <c r="R40" i="3"/>
  <c r="P40" i="3"/>
  <c r="N40" i="3"/>
  <c r="L40" i="3"/>
  <c r="J40" i="3"/>
  <c r="H40" i="3"/>
  <c r="F40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4" i="3"/>
  <c r="AF12" i="2"/>
  <c r="AF13" i="2"/>
  <c r="AF14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AS34" i="2"/>
  <c r="AG34" i="2"/>
  <c r="G32" i="2"/>
  <c r="G33" i="2"/>
  <c r="G34" i="2"/>
  <c r="E34" i="2"/>
  <c r="D34" i="2"/>
  <c r="A34" i="2"/>
  <c r="AG33" i="2"/>
  <c r="A33" i="2"/>
  <c r="AG32" i="2"/>
  <c r="A32" i="2"/>
  <c r="AG31" i="2"/>
  <c r="A31" i="2"/>
  <c r="AG30" i="2"/>
  <c r="A30" i="2"/>
  <c r="AG29" i="2"/>
  <c r="A29" i="2"/>
  <c r="AG28" i="2"/>
  <c r="A28" i="2"/>
  <c r="AG27" i="2"/>
  <c r="A27" i="2"/>
  <c r="AG26" i="2"/>
  <c r="A26" i="2"/>
  <c r="AG25" i="2"/>
  <c r="A25" i="2"/>
  <c r="AG24" i="2"/>
  <c r="A24" i="2"/>
  <c r="AG23" i="2"/>
  <c r="A23" i="2"/>
  <c r="AG22" i="2"/>
  <c r="A22" i="2"/>
  <c r="AG21" i="2"/>
  <c r="A21" i="2"/>
  <c r="AG20" i="2"/>
  <c r="A20" i="2"/>
  <c r="AG19" i="2"/>
  <c r="A19" i="2"/>
  <c r="AG18" i="2"/>
  <c r="A18" i="2"/>
  <c r="AG17" i="2"/>
  <c r="A17" i="2"/>
  <c r="AG16" i="2"/>
  <c r="A16" i="2"/>
  <c r="A15" i="2"/>
  <c r="AG14" i="2"/>
  <c r="A14" i="2"/>
  <c r="AG13" i="2"/>
  <c r="A13" i="2"/>
  <c r="AG12" i="2"/>
  <c r="A12" i="2"/>
  <c r="A4" i="2"/>
  <c r="CC35" i="1"/>
  <c r="CD35" i="1"/>
  <c r="BX35" i="1"/>
  <c r="BY35" i="1"/>
  <c r="BS35" i="1"/>
  <c r="BT35" i="1"/>
  <c r="BN35" i="1"/>
  <c r="BO35" i="1"/>
  <c r="BI35" i="1"/>
  <c r="BJ35" i="1"/>
  <c r="BD35" i="1"/>
  <c r="BE35" i="1"/>
  <c r="AY35" i="1"/>
  <c r="AZ35" i="1"/>
  <c r="AT35" i="1"/>
  <c r="AU35" i="1"/>
  <c r="AO35" i="1"/>
  <c r="AP35" i="1"/>
  <c r="AJ35" i="1"/>
  <c r="AK35" i="1"/>
  <c r="AE35" i="1"/>
  <c r="AF35" i="1"/>
  <c r="Z35" i="1"/>
  <c r="AA35" i="1"/>
  <c r="U35" i="1"/>
  <c r="V35" i="1"/>
  <c r="P35" i="1"/>
  <c r="Q35" i="1"/>
  <c r="K35" i="1"/>
  <c r="L35" i="1"/>
  <c r="F35" i="1"/>
  <c r="E35" i="1"/>
  <c r="G35" i="1"/>
  <c r="A35" i="1"/>
  <c r="CD34" i="1"/>
  <c r="BY34" i="1"/>
  <c r="BT34" i="1"/>
  <c r="BO34" i="1"/>
  <c r="BJ34" i="1"/>
  <c r="BD34" i="1"/>
  <c r="BE34" i="1"/>
  <c r="AZ34" i="1"/>
  <c r="AU34" i="1"/>
  <c r="AP34" i="1"/>
  <c r="AK34" i="1"/>
  <c r="AF34" i="1"/>
  <c r="AA34" i="1"/>
  <c r="V34" i="1"/>
  <c r="Q34" i="1"/>
  <c r="L34" i="1"/>
  <c r="F34" i="1"/>
  <c r="E34" i="1"/>
  <c r="G34" i="1"/>
  <c r="A34" i="1"/>
  <c r="CD33" i="1"/>
  <c r="BY33" i="1"/>
  <c r="BT33" i="1"/>
  <c r="BO33" i="1"/>
  <c r="BJ33" i="1"/>
  <c r="BD33" i="1"/>
  <c r="BE33" i="1"/>
  <c r="AZ33" i="1"/>
  <c r="AU33" i="1"/>
  <c r="AP33" i="1"/>
  <c r="AK33" i="1"/>
  <c r="AF33" i="1"/>
  <c r="AA33" i="1"/>
  <c r="V33" i="1"/>
  <c r="Q33" i="1"/>
  <c r="L33" i="1"/>
  <c r="F33" i="1"/>
  <c r="E33" i="1"/>
  <c r="G33" i="1"/>
  <c r="A33" i="1"/>
  <c r="CD32" i="1"/>
  <c r="BY32" i="1"/>
  <c r="BT32" i="1"/>
  <c r="BO32" i="1"/>
  <c r="BJ32" i="1"/>
  <c r="BD32" i="1"/>
  <c r="BE32" i="1"/>
  <c r="AZ32" i="1"/>
  <c r="AU32" i="1"/>
  <c r="AP32" i="1"/>
  <c r="AK32" i="1"/>
  <c r="AF32" i="1"/>
  <c r="AA32" i="1"/>
  <c r="V32" i="1"/>
  <c r="Q32" i="1"/>
  <c r="L32" i="1"/>
  <c r="F32" i="1"/>
  <c r="E32" i="1"/>
  <c r="G32" i="1"/>
  <c r="A32" i="1"/>
  <c r="CD31" i="1"/>
  <c r="BY31" i="1"/>
  <c r="BT31" i="1"/>
  <c r="BO31" i="1"/>
  <c r="BJ31" i="1"/>
  <c r="BD31" i="1"/>
  <c r="BE31" i="1"/>
  <c r="AZ31" i="1"/>
  <c r="AU31" i="1"/>
  <c r="AP31" i="1"/>
  <c r="AK31" i="1"/>
  <c r="AF31" i="1"/>
  <c r="AA31" i="1"/>
  <c r="V31" i="1"/>
  <c r="Q31" i="1"/>
  <c r="L31" i="1"/>
  <c r="F31" i="1"/>
  <c r="E31" i="1"/>
  <c r="G31" i="1"/>
  <c r="A31" i="1"/>
  <c r="CD30" i="1"/>
  <c r="BY30" i="1"/>
  <c r="BT30" i="1"/>
  <c r="BO30" i="1"/>
  <c r="BJ30" i="1"/>
  <c r="BD30" i="1"/>
  <c r="BE30" i="1"/>
  <c r="AZ30" i="1"/>
  <c r="AU30" i="1"/>
  <c r="AP30" i="1"/>
  <c r="AK30" i="1"/>
  <c r="AF30" i="1"/>
  <c r="AA30" i="1"/>
  <c r="V30" i="1"/>
  <c r="Q30" i="1"/>
  <c r="L30" i="1"/>
  <c r="F30" i="1"/>
  <c r="E30" i="1"/>
  <c r="G30" i="1"/>
  <c r="A30" i="1"/>
  <c r="CD29" i="1"/>
  <c r="BY29" i="1"/>
  <c r="BT29" i="1"/>
  <c r="BO29" i="1"/>
  <c r="BJ29" i="1"/>
  <c r="BD29" i="1"/>
  <c r="BE29" i="1"/>
  <c r="AZ29" i="1"/>
  <c r="AU29" i="1"/>
  <c r="AP29" i="1"/>
  <c r="AK29" i="1"/>
  <c r="AF29" i="1"/>
  <c r="AA29" i="1"/>
  <c r="V29" i="1"/>
  <c r="Q29" i="1"/>
  <c r="L29" i="1"/>
  <c r="F29" i="1"/>
  <c r="E29" i="1"/>
  <c r="G29" i="1"/>
  <c r="A29" i="1"/>
  <c r="CD28" i="1"/>
  <c r="BY28" i="1"/>
  <c r="BT28" i="1"/>
  <c r="BO28" i="1"/>
  <c r="BJ28" i="1"/>
  <c r="BD28" i="1"/>
  <c r="BE28" i="1"/>
  <c r="AZ28" i="1"/>
  <c r="AU28" i="1"/>
  <c r="AP28" i="1"/>
  <c r="AK28" i="1"/>
  <c r="AF28" i="1"/>
  <c r="AA28" i="1"/>
  <c r="V28" i="1"/>
  <c r="Q28" i="1"/>
  <c r="L28" i="1"/>
  <c r="F28" i="1"/>
  <c r="E28" i="1"/>
  <c r="G28" i="1"/>
  <c r="A28" i="1"/>
  <c r="CD27" i="1"/>
  <c r="BY27" i="1"/>
  <c r="BT27" i="1"/>
  <c r="BO27" i="1"/>
  <c r="BJ27" i="1"/>
  <c r="BD27" i="1"/>
  <c r="BE27" i="1"/>
  <c r="AZ27" i="1"/>
  <c r="AU27" i="1"/>
  <c r="AP27" i="1"/>
  <c r="AK27" i="1"/>
  <c r="AF27" i="1"/>
  <c r="AA27" i="1"/>
  <c r="V27" i="1"/>
  <c r="Q27" i="1"/>
  <c r="L27" i="1"/>
  <c r="F27" i="1"/>
  <c r="E27" i="1"/>
  <c r="G27" i="1"/>
  <c r="A27" i="1"/>
  <c r="CD26" i="1"/>
  <c r="BY26" i="1"/>
  <c r="BT26" i="1"/>
  <c r="BO26" i="1"/>
  <c r="BJ26" i="1"/>
  <c r="BD26" i="1"/>
  <c r="BE26" i="1"/>
  <c r="AZ26" i="1"/>
  <c r="AU26" i="1"/>
  <c r="AP26" i="1"/>
  <c r="AK26" i="1"/>
  <c r="AF26" i="1"/>
  <c r="AA26" i="1"/>
  <c r="V26" i="1"/>
  <c r="Q26" i="1"/>
  <c r="L26" i="1"/>
  <c r="F26" i="1"/>
  <c r="E26" i="1"/>
  <c r="G26" i="1"/>
  <c r="A26" i="1"/>
  <c r="CD25" i="1"/>
  <c r="BY25" i="1"/>
  <c r="BT25" i="1"/>
  <c r="BO25" i="1"/>
  <c r="BJ25" i="1"/>
  <c r="BD25" i="1"/>
  <c r="BE25" i="1"/>
  <c r="AZ25" i="1"/>
  <c r="AU25" i="1"/>
  <c r="AP25" i="1"/>
  <c r="AK25" i="1"/>
  <c r="AF25" i="1"/>
  <c r="AA25" i="1"/>
  <c r="V25" i="1"/>
  <c r="Q25" i="1"/>
  <c r="L25" i="1"/>
  <c r="F25" i="1"/>
  <c r="E25" i="1"/>
  <c r="G25" i="1"/>
  <c r="A25" i="1"/>
  <c r="CD24" i="1"/>
  <c r="BY24" i="1"/>
  <c r="BT24" i="1"/>
  <c r="BO24" i="1"/>
  <c r="BJ24" i="1"/>
  <c r="BD24" i="1"/>
  <c r="BE24" i="1"/>
  <c r="AZ24" i="1"/>
  <c r="AU24" i="1"/>
  <c r="AP24" i="1"/>
  <c r="AK24" i="1"/>
  <c r="AF24" i="1"/>
  <c r="AA24" i="1"/>
  <c r="V24" i="1"/>
  <c r="Q24" i="1"/>
  <c r="L24" i="1"/>
  <c r="F24" i="1"/>
  <c r="E24" i="1"/>
  <c r="G24" i="1"/>
  <c r="A24" i="1"/>
  <c r="CD23" i="1"/>
  <c r="BY23" i="1"/>
  <c r="BT23" i="1"/>
  <c r="BO23" i="1"/>
  <c r="BJ23" i="1"/>
  <c r="BD23" i="1"/>
  <c r="BE23" i="1"/>
  <c r="AZ23" i="1"/>
  <c r="AU23" i="1"/>
  <c r="AP23" i="1"/>
  <c r="AK23" i="1"/>
  <c r="AF23" i="1"/>
  <c r="AA23" i="1"/>
  <c r="V23" i="1"/>
  <c r="Q23" i="1"/>
  <c r="L23" i="1"/>
  <c r="F23" i="1"/>
  <c r="E23" i="1"/>
  <c r="G23" i="1"/>
  <c r="A23" i="1"/>
  <c r="CD22" i="1"/>
  <c r="BY22" i="1"/>
  <c r="BT22" i="1"/>
  <c r="BO22" i="1"/>
  <c r="BJ22" i="1"/>
  <c r="BD22" i="1"/>
  <c r="BE22" i="1"/>
  <c r="AZ22" i="1"/>
  <c r="AU22" i="1"/>
  <c r="AP22" i="1"/>
  <c r="AK22" i="1"/>
  <c r="AF22" i="1"/>
  <c r="AA22" i="1"/>
  <c r="V22" i="1"/>
  <c r="Q22" i="1"/>
  <c r="L22" i="1"/>
  <c r="F22" i="1"/>
  <c r="E22" i="1"/>
  <c r="G22" i="1"/>
  <c r="A22" i="1"/>
  <c r="CD21" i="1"/>
  <c r="BY21" i="1"/>
  <c r="BT21" i="1"/>
  <c r="BO21" i="1"/>
  <c r="BJ21" i="1"/>
  <c r="BD21" i="1"/>
  <c r="BE21" i="1"/>
  <c r="AZ21" i="1"/>
  <c r="AU21" i="1"/>
  <c r="AP21" i="1"/>
  <c r="AK21" i="1"/>
  <c r="AF21" i="1"/>
  <c r="AA21" i="1"/>
  <c r="V21" i="1"/>
  <c r="Q21" i="1"/>
  <c r="L21" i="1"/>
  <c r="F21" i="1"/>
  <c r="E21" i="1"/>
  <c r="G21" i="1"/>
  <c r="A21" i="1"/>
  <c r="CD20" i="1"/>
  <c r="BY20" i="1"/>
  <c r="BT20" i="1"/>
  <c r="BO20" i="1"/>
  <c r="BJ20" i="1"/>
  <c r="BD20" i="1"/>
  <c r="BE20" i="1"/>
  <c r="AZ20" i="1"/>
  <c r="AU20" i="1"/>
  <c r="AP20" i="1"/>
  <c r="AK20" i="1"/>
  <c r="AF20" i="1"/>
  <c r="AA20" i="1"/>
  <c r="V20" i="1"/>
  <c r="Q20" i="1"/>
  <c r="L20" i="1"/>
  <c r="F20" i="1"/>
  <c r="E20" i="1"/>
  <c r="G20" i="1"/>
  <c r="A20" i="1"/>
  <c r="CD19" i="1"/>
  <c r="BY19" i="1"/>
  <c r="BT19" i="1"/>
  <c r="BO19" i="1"/>
  <c r="BJ19" i="1"/>
  <c r="BD19" i="1"/>
  <c r="BE19" i="1"/>
  <c r="AZ19" i="1"/>
  <c r="AU19" i="1"/>
  <c r="AP19" i="1"/>
  <c r="AK19" i="1"/>
  <c r="AF19" i="1"/>
  <c r="AA19" i="1"/>
  <c r="V19" i="1"/>
  <c r="Q19" i="1"/>
  <c r="L19" i="1"/>
  <c r="F19" i="1"/>
  <c r="E19" i="1"/>
  <c r="G19" i="1"/>
  <c r="A19" i="1"/>
  <c r="CD18" i="1"/>
  <c r="BY18" i="1"/>
  <c r="BT18" i="1"/>
  <c r="BO18" i="1"/>
  <c r="BJ18" i="1"/>
  <c r="BD18" i="1"/>
  <c r="BE18" i="1"/>
  <c r="AZ18" i="1"/>
  <c r="AU18" i="1"/>
  <c r="AP18" i="1"/>
  <c r="AK18" i="1"/>
  <c r="AF18" i="1"/>
  <c r="AA18" i="1"/>
  <c r="V18" i="1"/>
  <c r="Q18" i="1"/>
  <c r="L18" i="1"/>
  <c r="F18" i="1"/>
  <c r="E18" i="1"/>
  <c r="G18" i="1"/>
  <c r="A18" i="1"/>
  <c r="CD17" i="1"/>
  <c r="BY17" i="1"/>
  <c r="BT17" i="1"/>
  <c r="BO17" i="1"/>
  <c r="BJ17" i="1"/>
  <c r="BD17" i="1"/>
  <c r="BE17" i="1"/>
  <c r="AZ17" i="1"/>
  <c r="AU17" i="1"/>
  <c r="AP17" i="1"/>
  <c r="AK17" i="1"/>
  <c r="AF17" i="1"/>
  <c r="AA17" i="1"/>
  <c r="V17" i="1"/>
  <c r="Q17" i="1"/>
  <c r="L17" i="1"/>
  <c r="F17" i="1"/>
  <c r="E17" i="1"/>
  <c r="G17" i="1"/>
  <c r="A17" i="1"/>
  <c r="CD16" i="1"/>
  <c r="BY16" i="1"/>
  <c r="BT16" i="1"/>
  <c r="BO16" i="1"/>
  <c r="BJ16" i="1"/>
  <c r="BD16" i="1"/>
  <c r="BE16" i="1"/>
  <c r="AZ16" i="1"/>
  <c r="AU16" i="1"/>
  <c r="AP16" i="1"/>
  <c r="AK16" i="1"/>
  <c r="AF16" i="1"/>
  <c r="AA16" i="1"/>
  <c r="V16" i="1"/>
  <c r="Q16" i="1"/>
  <c r="L16" i="1"/>
  <c r="F16" i="1"/>
  <c r="E16" i="1"/>
  <c r="G16" i="1"/>
  <c r="A16" i="1"/>
  <c r="CD15" i="1"/>
  <c r="BY15" i="1"/>
  <c r="BT15" i="1"/>
  <c r="BO15" i="1"/>
  <c r="BJ15" i="1"/>
  <c r="BD15" i="1"/>
  <c r="BE15" i="1"/>
  <c r="AZ15" i="1"/>
  <c r="AU15" i="1"/>
  <c r="AP15" i="1"/>
  <c r="AK15" i="1"/>
  <c r="AF15" i="1"/>
  <c r="AA15" i="1"/>
  <c r="V15" i="1"/>
  <c r="Q15" i="1"/>
  <c r="L15" i="1"/>
  <c r="F15" i="1"/>
  <c r="E15" i="1"/>
  <c r="G15" i="1"/>
  <c r="A15" i="1"/>
  <c r="CD14" i="1"/>
  <c r="BY14" i="1"/>
  <c r="BT14" i="1"/>
  <c r="BO14" i="1"/>
  <c r="BJ14" i="1"/>
  <c r="BD12" i="1"/>
  <c r="BD14" i="1"/>
  <c r="BE14" i="1"/>
  <c r="AZ14" i="1"/>
  <c r="AU14" i="1"/>
  <c r="AP14" i="1"/>
  <c r="AK14" i="1"/>
  <c r="AF14" i="1"/>
  <c r="AA14" i="1"/>
  <c r="V14" i="1"/>
  <c r="Q14" i="1"/>
  <c r="L14" i="1"/>
  <c r="F14" i="1"/>
  <c r="E14" i="1"/>
  <c r="G14" i="1"/>
  <c r="A14" i="1"/>
  <c r="CD13" i="1"/>
  <c r="BY13" i="1"/>
  <c r="BT13" i="1"/>
  <c r="BO13" i="1"/>
  <c r="BJ13" i="1"/>
  <c r="BD11" i="1"/>
  <c r="BD13" i="1"/>
  <c r="BE13" i="1"/>
  <c r="AZ13" i="1"/>
  <c r="AU13" i="1"/>
  <c r="AP13" i="1"/>
  <c r="AK13" i="1"/>
  <c r="AF13" i="1"/>
  <c r="AA13" i="1"/>
  <c r="V13" i="1"/>
  <c r="Q13" i="1"/>
  <c r="L13" i="1"/>
  <c r="F13" i="1"/>
  <c r="E13" i="1"/>
  <c r="G13" i="1"/>
  <c r="A13" i="1"/>
  <c r="CD12" i="1"/>
  <c r="BY12" i="1"/>
  <c r="BT12" i="1"/>
  <c r="BO12" i="1"/>
  <c r="BJ12" i="1"/>
  <c r="BE12" i="1"/>
  <c r="AZ12" i="1"/>
  <c r="AU12" i="1"/>
  <c r="AP12" i="1"/>
  <c r="AK12" i="1"/>
  <c r="AF12" i="1"/>
  <c r="AA12" i="1"/>
  <c r="V12" i="1"/>
  <c r="Q12" i="1"/>
  <c r="L12" i="1"/>
  <c r="F12" i="1"/>
  <c r="E12" i="1"/>
  <c r="G12" i="1"/>
  <c r="A12" i="1"/>
  <c r="CD11" i="1"/>
  <c r="BY11" i="1"/>
  <c r="BT11" i="1"/>
  <c r="BO11" i="1"/>
  <c r="BJ11" i="1"/>
  <c r="BE11" i="1"/>
  <c r="AZ11" i="1"/>
  <c r="AU11" i="1"/>
  <c r="AP11" i="1"/>
  <c r="AK11" i="1"/>
  <c r="AF11" i="1"/>
  <c r="AA11" i="1"/>
  <c r="V11" i="1"/>
  <c r="Q11" i="1"/>
  <c r="L11" i="1"/>
  <c r="F11" i="1"/>
  <c r="E11" i="1"/>
  <c r="G11" i="1"/>
  <c r="A11" i="1"/>
  <c r="I60" i="6"/>
  <c r="Z11" i="4"/>
  <c r="AA11" i="4"/>
  <c r="AF11" i="4"/>
  <c r="AG11" i="4"/>
  <c r="I67" i="32"/>
  <c r="W55" i="4"/>
  <c r="X55" i="4"/>
  <c r="AF55" i="4"/>
  <c r="AG55" i="4"/>
  <c r="I66" i="37"/>
  <c r="W65" i="4"/>
  <c r="X65" i="4"/>
  <c r="AF65" i="4"/>
  <c r="AG65" i="4"/>
  <c r="W90" i="4"/>
  <c r="X90" i="4"/>
  <c r="Z90" i="4"/>
  <c r="AA90" i="4"/>
  <c r="AF90" i="4"/>
  <c r="AG90" i="4"/>
  <c r="E60" i="6"/>
  <c r="G60" i="6"/>
  <c r="J60" i="6"/>
  <c r="L60" i="6"/>
  <c r="N60" i="6"/>
  <c r="E66" i="6"/>
  <c r="G66" i="6"/>
  <c r="I66" i="6"/>
  <c r="J66" i="6"/>
  <c r="L66" i="6"/>
  <c r="N66" i="6"/>
  <c r="E80" i="15"/>
  <c r="G80" i="15"/>
  <c r="L80" i="15"/>
  <c r="N80" i="15"/>
  <c r="E85" i="15"/>
  <c r="G85" i="15"/>
  <c r="L85" i="15"/>
  <c r="N85" i="15"/>
  <c r="E67" i="32"/>
  <c r="G67" i="32"/>
  <c r="J67" i="32"/>
  <c r="L67" i="32"/>
  <c r="N67" i="32"/>
  <c r="E72" i="32"/>
  <c r="G72" i="32"/>
  <c r="I72" i="32"/>
  <c r="J72" i="32"/>
  <c r="L72" i="32"/>
  <c r="N72" i="32"/>
  <c r="E70" i="33"/>
  <c r="G70" i="33"/>
  <c r="L70" i="33"/>
  <c r="N70" i="33"/>
  <c r="E75" i="33"/>
  <c r="G75" i="33"/>
  <c r="L75" i="33"/>
  <c r="N75" i="33"/>
  <c r="E64" i="34"/>
  <c r="G64" i="34"/>
  <c r="L64" i="34"/>
  <c r="N64" i="34"/>
  <c r="E69" i="34"/>
  <c r="G69" i="34"/>
  <c r="L69" i="34"/>
  <c r="N69" i="34"/>
  <c r="E66" i="37"/>
  <c r="G66" i="37"/>
  <c r="J66" i="37"/>
  <c r="L66" i="37"/>
  <c r="N66" i="37"/>
  <c r="E71" i="37"/>
  <c r="G71" i="37"/>
  <c r="I71" i="37"/>
  <c r="J71" i="37"/>
  <c r="L71" i="37"/>
  <c r="N71" i="37"/>
  <c r="E66" i="38"/>
  <c r="G66" i="38"/>
  <c r="L66" i="38"/>
  <c r="N66" i="38"/>
  <c r="E71" i="38"/>
  <c r="G71" i="38"/>
  <c r="L71" i="38"/>
  <c r="N71" i="38"/>
</calcChain>
</file>

<file path=xl/sharedStrings.xml><?xml version="1.0" encoding="utf-8"?>
<sst xmlns="http://schemas.openxmlformats.org/spreadsheetml/2006/main" count="4619" uniqueCount="641">
  <si>
    <t>Current and Proposed Reconciling Rates</t>
  </si>
  <si>
    <t>RAAFC</t>
  </si>
  <si>
    <t>RAAFP</t>
  </si>
  <si>
    <t>NMRSC</t>
  </si>
  <si>
    <t>NMRSP</t>
  </si>
  <si>
    <t>LTRCAC</t>
  </si>
  <si>
    <t>LTRCAP</t>
  </si>
  <si>
    <t>AGCEC</t>
  </si>
  <si>
    <t>AGCEP</t>
  </si>
  <si>
    <t>BSTFC</t>
  </si>
  <si>
    <t>BSTFP</t>
  </si>
  <si>
    <t>TRNSNC</t>
  </si>
  <si>
    <t>TRNSNP</t>
  </si>
  <si>
    <t>RDAFC</t>
  </si>
  <si>
    <t>RDAFP</t>
  </si>
  <si>
    <t>PAFC</t>
  </si>
  <si>
    <t>PAFP</t>
  </si>
  <si>
    <t>SCRAC</t>
  </si>
  <si>
    <t>SCRAP</t>
  </si>
  <si>
    <t>SRAC</t>
  </si>
  <si>
    <t>SRAP</t>
  </si>
  <si>
    <t>SPCAC</t>
  </si>
  <si>
    <t>SPCAP</t>
  </si>
  <si>
    <t>SECRFC</t>
  </si>
  <si>
    <t>SECRFP</t>
  </si>
  <si>
    <t>RTWFC</t>
  </si>
  <si>
    <t>RTWFP</t>
  </si>
  <si>
    <t>SMARTC</t>
  </si>
  <si>
    <t>SMARTP</t>
  </si>
  <si>
    <t>TACFC</t>
  </si>
  <si>
    <t>TACFP</t>
  </si>
  <si>
    <t>Residential Assistance</t>
  </si>
  <si>
    <t>Net Metering</t>
  </si>
  <si>
    <t>Long Term Renewable</t>
  </si>
  <si>
    <t>Attorney General</t>
  </si>
  <si>
    <t>Basic Service</t>
  </si>
  <si>
    <t>Revenue Decoupling</t>
  </si>
  <si>
    <t>Pension Adjustment</t>
  </si>
  <si>
    <t>Storm Cost Recovery</t>
  </si>
  <si>
    <t xml:space="preserve">Storm Reserve </t>
  </si>
  <si>
    <t>Solar Program</t>
  </si>
  <si>
    <t>Solar Expansion</t>
  </si>
  <si>
    <t>Vegetation Mangement</t>
  </si>
  <si>
    <t>Solar Mass</t>
  </si>
  <si>
    <t>Line</t>
  </si>
  <si>
    <t>Service Area/</t>
  </si>
  <si>
    <t xml:space="preserve"> </t>
  </si>
  <si>
    <t>Total</t>
  </si>
  <si>
    <t>Adjustment Factor</t>
  </si>
  <si>
    <t>Recovery Surcharge</t>
  </si>
  <si>
    <t>Contract Adjustment</t>
  </si>
  <si>
    <t>Consulting Expense</t>
  </si>
  <si>
    <t>Cost True-Up</t>
  </si>
  <si>
    <t>Transition</t>
  </si>
  <si>
    <t>Factor</t>
  </si>
  <si>
    <t>Cost Adjustment</t>
  </si>
  <si>
    <t>Cost Recovery Factor</t>
  </si>
  <si>
    <t>Resiliency Tree Work Program</t>
  </si>
  <si>
    <t>Renewable Target</t>
  </si>
  <si>
    <t>Tax Act Credit Factor</t>
  </si>
  <si>
    <t>No.</t>
  </si>
  <si>
    <t>Territory</t>
  </si>
  <si>
    <t>Rate Class</t>
  </si>
  <si>
    <t>Current</t>
  </si>
  <si>
    <t>Proposed</t>
  </si>
  <si>
    <t>Change</t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</si>
  <si>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</si>
  <si>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</si>
  <si>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</si>
  <si>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</si>
  <si>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</si>
  <si>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</si>
  <si>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</si>
  <si>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</si>
  <si>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</si>
  <si>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(j)</t>
  </si>
  <si>
    <t>(k)</t>
  </si>
  <si>
    <t>(l)</t>
  </si>
  <si>
    <t>(m)</t>
  </si>
  <si>
    <t>(n)</t>
  </si>
  <si>
    <t>(o)</t>
  </si>
  <si>
    <t>(p)</t>
  </si>
  <si>
    <t>(q)</t>
  </si>
  <si>
    <t>(r)</t>
  </si>
  <si>
    <t>(s)</t>
  </si>
  <si>
    <t>(t)</t>
  </si>
  <si>
    <t>(u)</t>
  </si>
  <si>
    <t>(v)</t>
  </si>
  <si>
    <t>(w)</t>
  </si>
  <si>
    <t>(x)</t>
  </si>
  <si>
    <t>(y)</t>
  </si>
  <si>
    <t>(z)</t>
  </si>
  <si>
    <t>(aa)</t>
  </si>
  <si>
    <t>(ab)</t>
  </si>
  <si>
    <t>(ac)</t>
  </si>
  <si>
    <t>(ad)</t>
  </si>
  <si>
    <t>(ae)</t>
  </si>
  <si>
    <t>(af)</t>
  </si>
  <si>
    <t>(ag)</t>
  </si>
  <si>
    <t>(ah)</t>
  </si>
  <si>
    <t>(ai)</t>
  </si>
  <si>
    <t>(aj)</t>
  </si>
  <si>
    <t>(ak)</t>
  </si>
  <si>
    <t>(al)</t>
  </si>
  <si>
    <t>(am)</t>
  </si>
  <si>
    <t>(an)</t>
  </si>
  <si>
    <t>(ao)</t>
  </si>
  <si>
    <t>(ap)</t>
  </si>
  <si>
    <t>(aq)</t>
  </si>
  <si>
    <t>(ar)</t>
  </si>
  <si>
    <t>(as)</t>
  </si>
  <si>
    <t>Eastern MA</t>
  </si>
  <si>
    <t>R-1/R-2</t>
  </si>
  <si>
    <t>R-3/R-4</t>
  </si>
  <si>
    <t>Western MA</t>
  </si>
  <si>
    <t>Greater Boston</t>
  </si>
  <si>
    <t>G-1/T-1</t>
  </si>
  <si>
    <t>G-2/T-2</t>
  </si>
  <si>
    <t>G-3/WR</t>
  </si>
  <si>
    <t>Cambridge</t>
  </si>
  <si>
    <t>G-0/G-1/G-6</t>
  </si>
  <si>
    <t>G-2</t>
  </si>
  <si>
    <t>G-3/SB-1</t>
  </si>
  <si>
    <t>G-4</t>
  </si>
  <si>
    <t>G-5</t>
  </si>
  <si>
    <t>South</t>
  </si>
  <si>
    <t>G-1/G-7</t>
  </si>
  <si>
    <t>G-3</t>
  </si>
  <si>
    <t>G-6</t>
  </si>
  <si>
    <t>23/24/G-0/T-0</t>
  </si>
  <si>
    <t>G-2/T-4</t>
  </si>
  <si>
    <t>T-2</t>
  </si>
  <si>
    <t>T-5</t>
  </si>
  <si>
    <t>S-1/S-2</t>
  </si>
  <si>
    <t xml:space="preserve">Notes: </t>
  </si>
  <si>
    <t>Current rates: Per M.D.P.U. No 1-18-E and M.D.P.U. No 2-18-E</t>
  </si>
  <si>
    <t>Proposed rates: Pages 3 through 5</t>
  </si>
  <si>
    <t>Proposed Allocation of Reconciling Rates</t>
  </si>
  <si>
    <t>Net Metering Recovery</t>
  </si>
  <si>
    <t>Storm Reserve</t>
  </si>
  <si>
    <t>Surcharge</t>
  </si>
  <si>
    <t>Adjustment</t>
  </si>
  <si>
    <t>Distribution</t>
  </si>
  <si>
    <t>Labor</t>
  </si>
  <si>
    <t>Forecast</t>
  </si>
  <si>
    <t>Target</t>
  </si>
  <si>
    <t>Allocator</t>
  </si>
  <si>
    <t xml:space="preserve">Sales </t>
  </si>
  <si>
    <t>Revenue</t>
  </si>
  <si>
    <t>RAAF</t>
  </si>
  <si>
    <t>NMRS</t>
  </si>
  <si>
    <t>LTRCA</t>
  </si>
  <si>
    <t>AGCE</t>
  </si>
  <si>
    <t>BSTF</t>
  </si>
  <si>
    <t>TRNSN</t>
  </si>
  <si>
    <t>RDAF</t>
  </si>
  <si>
    <t>PAF</t>
  </si>
  <si>
    <t>SRA</t>
  </si>
  <si>
    <t>SPCA</t>
  </si>
  <si>
    <t>SECRF</t>
  </si>
  <si>
    <t>RTWF</t>
  </si>
  <si>
    <t>SMART</t>
  </si>
  <si>
    <t>TACF</t>
  </si>
  <si>
    <t>All</t>
  </si>
  <si>
    <t>Notes:</t>
  </si>
  <si>
    <t>Col. (a) and Col. (b): per tariffs</t>
  </si>
  <si>
    <t>Col. (d): Lines 1 to 22: Col. (a) x Col. (d), Line 23</t>
  </si>
  <si>
    <t>Col. (j): Lines 1 to 22: Col. (a) x Col. (j), Line 23</t>
  </si>
  <si>
    <t>Col. (p): Lines 1 to 22: Col. (a) x Col. (p), Line 23</t>
  </si>
  <si>
    <t>Col. (t): Lines 1 to 22: Col. (a) x Col. (t), Line 23</t>
  </si>
  <si>
    <t>Col. (z): Lines 1 to 22: Col. (b) x Col. (z), Line 23</t>
  </si>
  <si>
    <t>Col. (c): Company's Forecast</t>
  </si>
  <si>
    <t xml:space="preserve">             Line 23: Exhibit ES-MQ-1 </t>
  </si>
  <si>
    <t xml:space="preserve">            Line 23: Exhibit ES-BKR-6 </t>
  </si>
  <si>
    <t xml:space="preserve">             Line 23: Exhibit D.P.U. 18-122 Schedule A</t>
  </si>
  <si>
    <t xml:space="preserve">            Line 23: D.P.U. 18-125</t>
  </si>
  <si>
    <t xml:space="preserve">             Line 23: D.P.U. 18-102</t>
  </si>
  <si>
    <t xml:space="preserve">Col. (e): Col. (d) / Col. (c)  </t>
  </si>
  <si>
    <t xml:space="preserve">Col. (k): Col. (j) / Col. (c)  </t>
  </si>
  <si>
    <t xml:space="preserve">Col. (q): Col. (p) / Col. (c)  </t>
  </si>
  <si>
    <t xml:space="preserve">Col. (u): Col. (t) / Col. (c)  </t>
  </si>
  <si>
    <t xml:space="preserve">Col. (aa): Col. (z) / Col. (c)  </t>
  </si>
  <si>
    <t>Col. (f): Lines 1 to 22: Col. (a) x Col. (f), Line 23</t>
  </si>
  <si>
    <t>Col. (l): Lines 1 to 22: Col. (a) x Col. (l), Line 23</t>
  </si>
  <si>
    <t>Col. (r): Lines 1 to 22: Col. (b) x Col. (r), Line 23</t>
  </si>
  <si>
    <t>Col. (v): Lines 1 to 22: Col. (a) x Col. (v), Line 23</t>
  </si>
  <si>
    <t>Col. (ab): Lines 1 to 22: Col. (a) x Col. (ab), Line 23</t>
  </si>
  <si>
    <t xml:space="preserve">            Line 23: Exhibit ES-MQ-5</t>
  </si>
  <si>
    <t xml:space="preserve">            Line 23: Exhibit ES-BKR-4 </t>
  </si>
  <si>
    <t xml:space="preserve">              Line 23: D.P.U. 18-132</t>
  </si>
  <si>
    <t xml:space="preserve">Col. (g): Col. (f) / Col. (c)  </t>
  </si>
  <si>
    <t xml:space="preserve">Col. (m): Col. (l) / Col. (c)  </t>
  </si>
  <si>
    <t xml:space="preserve">Col. (s): Col. (r) / Col. (c)  </t>
  </si>
  <si>
    <t xml:space="preserve">Col. (w): Col. (v) / Col. (c)  </t>
  </si>
  <si>
    <t xml:space="preserve">Col. (ac): Col. (ab) / Col. (c)  </t>
  </si>
  <si>
    <t>Col. (h): Lines 1 to 22: Col. (i) x Col. (c)</t>
  </si>
  <si>
    <t>Col. (n): Lines 1 to 22: Col. (o) x Col. (c)</t>
  </si>
  <si>
    <t>Col. (x): Lines 1 to 22: Col. (a) x Col. (x), Line 23</t>
  </si>
  <si>
    <t>Col. (ad): Lines 1 to 22: Col. (a) x Col. (ad), Line 23</t>
  </si>
  <si>
    <t xml:space="preserve">             Line 23: Exhibit ES-BKR-7 </t>
  </si>
  <si>
    <t xml:space="preserve">             Line 23: Exhibit ES-BKR-1 </t>
  </si>
  <si>
    <t xml:space="preserve">             Line 23: D.P.U. 18-124</t>
  </si>
  <si>
    <t>Col. (i): Exhibit ES-BKR-7</t>
  </si>
  <si>
    <t>Col. (o): Exhibit ES-BKR-1</t>
  </si>
  <si>
    <t xml:space="preserve">Col. (y): Col. (x) / Col. (c)  </t>
  </si>
  <si>
    <t xml:space="preserve">Col. (ae): Col. (ad) / Col. (c)  </t>
  </si>
  <si>
    <t>Check</t>
  </si>
  <si>
    <t>Proposed Allocation of Storm Cost Recovery Adjustment Factor</t>
  </si>
  <si>
    <t>Consolidated</t>
  </si>
  <si>
    <t>Storms - Pre Feb 2018</t>
  </si>
  <si>
    <t>Storms - Post Feb 2018</t>
  </si>
  <si>
    <t>Rate</t>
  </si>
  <si>
    <t>SCRA</t>
  </si>
  <si>
    <t xml:space="preserve">            </t>
  </si>
  <si>
    <t xml:space="preserve">                  </t>
  </si>
  <si>
    <t>Col. (a): Company's forecast</t>
  </si>
  <si>
    <t>Col. (b): M.D.P.U. No. 63B</t>
  </si>
  <si>
    <t>Col. (c): Lines 1 to 26: Col. (b) x Col. (c), Line 27</t>
  </si>
  <si>
    <t xml:space="preserve">             Line 27: D.P.U. 18-125</t>
  </si>
  <si>
    <t>Col. (d): Col. (c) / Col. (a)</t>
  </si>
  <si>
    <t>Col. (e): M.D.P.U. No. 64A</t>
  </si>
  <si>
    <t>Col. (f): Lines 1 to 26: Col. (e) x Col. (f), Line 27</t>
  </si>
  <si>
    <t xml:space="preserve">            Line 27: D.P.U. 18-125</t>
  </si>
  <si>
    <t>Col. (g): Col. (f) / Col. (a)</t>
  </si>
  <si>
    <t>Col. (h): Proposed M.D.P.U. No. 63C and M.D.P.U. No. 64B in D.P.U. 18-101</t>
  </si>
  <si>
    <t>Col. (i): Lines 1 to 26: Col. (h) x Col. (i), Line 27</t>
  </si>
  <si>
    <t>Col. (j): Col. (i) / Col. (a)</t>
  </si>
  <si>
    <t>Col. (k): Col. (d) + Col. (g) + Col. (j)</t>
  </si>
  <si>
    <t>Variance</t>
  </si>
  <si>
    <t>Eastern and Western Massachusetts</t>
  </si>
  <si>
    <t>Proposed Revenue by Rate Class</t>
  </si>
  <si>
    <t>Serivce</t>
  </si>
  <si>
    <t>System Benefits</t>
  </si>
  <si>
    <t>EERF</t>
  </si>
  <si>
    <t>Renewable Energy</t>
  </si>
  <si>
    <t>Other Reconciling Rates</t>
  </si>
  <si>
    <t>Transmission</t>
  </si>
  <si>
    <t xml:space="preserve">Basic Service </t>
  </si>
  <si>
    <t>Area</t>
  </si>
  <si>
    <t>Rates</t>
  </si>
  <si>
    <t>Sales (kWh)</t>
  </si>
  <si>
    <t>Bills</t>
  </si>
  <si>
    <t>Rate Revenue</t>
  </si>
  <si>
    <t>c/kWh</t>
  </si>
  <si>
    <t>R-1</t>
  </si>
  <si>
    <t>.</t>
  </si>
  <si>
    <t>R-2</t>
  </si>
  <si>
    <t>R-3</t>
  </si>
  <si>
    <t>R-4</t>
  </si>
  <si>
    <t>Boston</t>
  </si>
  <si>
    <t xml:space="preserve">G-1NDMD </t>
  </si>
  <si>
    <t xml:space="preserve">G-1DMD </t>
  </si>
  <si>
    <t xml:space="preserve">G-2 </t>
  </si>
  <si>
    <t xml:space="preserve">G-3 </t>
  </si>
  <si>
    <t xml:space="preserve">T-1 </t>
  </si>
  <si>
    <t xml:space="preserve">T-2 </t>
  </si>
  <si>
    <t xml:space="preserve">WR </t>
  </si>
  <si>
    <t xml:space="preserve">G-0 </t>
  </si>
  <si>
    <t xml:space="preserve">G-1 </t>
  </si>
  <si>
    <t xml:space="preserve">G-4 </t>
  </si>
  <si>
    <t xml:space="preserve">G-5 </t>
  </si>
  <si>
    <t xml:space="preserve">G-6 </t>
  </si>
  <si>
    <t>N/A</t>
  </si>
  <si>
    <t xml:space="preserve">SB-1 </t>
  </si>
  <si>
    <t>CON</t>
  </si>
  <si>
    <t xml:space="preserve">G-1S </t>
  </si>
  <si>
    <t xml:space="preserve">G-7 </t>
  </si>
  <si>
    <t xml:space="preserve">G-7S </t>
  </si>
  <si>
    <t>G-0</t>
  </si>
  <si>
    <t>T-0</t>
  </si>
  <si>
    <t>T-4</t>
  </si>
  <si>
    <t>Columns (d) and (e): from Distribution Revenue Simulation on pages 3 through 45 which is based on proposed distribution rates filed in D.P.U. 18-101 and forecast billing determinants</t>
  </si>
  <si>
    <t>Column (i): reflects current rates</t>
  </si>
  <si>
    <t>Test Year</t>
  </si>
  <si>
    <t>EMA</t>
  </si>
  <si>
    <t>WMA</t>
  </si>
  <si>
    <t>Proposed Revenue (Reconciling Rates) by Rate Class</t>
  </si>
  <si>
    <t>Decoupling</t>
  </si>
  <si>
    <t>Pension</t>
  </si>
  <si>
    <t>LT Renewable</t>
  </si>
  <si>
    <t>Storm Cost Rec</t>
  </si>
  <si>
    <t>Storm Reserve Adj</t>
  </si>
  <si>
    <t>Basic Serv Adj</t>
  </si>
  <si>
    <t>Solar Expansion Cost Rec</t>
  </si>
  <si>
    <t>Vegetation Mgmt</t>
  </si>
  <si>
    <t>Solar MA Renew Target</t>
  </si>
  <si>
    <t>Tax Act Credit</t>
  </si>
  <si>
    <t>Total Reconciling Rates</t>
  </si>
  <si>
    <t>Sales</t>
  </si>
  <si>
    <t>Tracker Revenue</t>
  </si>
  <si>
    <t>Eastern Massachusetts</t>
  </si>
  <si>
    <t>Revenue Simulation at Current and Proposed Rates</t>
  </si>
  <si>
    <t>Rate R-1 Residential</t>
  </si>
  <si>
    <t>Rate Components</t>
  </si>
  <si>
    <t>Code</t>
  </si>
  <si>
    <t>Determinants</t>
  </si>
  <si>
    <t>Customer Charge</t>
  </si>
  <si>
    <t>CUST</t>
  </si>
  <si>
    <t>Distribution Energy</t>
  </si>
  <si>
    <t>DKWH</t>
  </si>
  <si>
    <t>Total Distribution</t>
  </si>
  <si>
    <t>DIST</t>
  </si>
  <si>
    <t>Reconciling Rates</t>
  </si>
  <si>
    <t>Residential Assistance Adjustment Factor</t>
  </si>
  <si>
    <t>Pension Adjustment Factor</t>
  </si>
  <si>
    <t>Net Metering Recovery Surcharge</t>
  </si>
  <si>
    <t>Long Term Renewable Contract Adjustment</t>
  </si>
  <si>
    <t>AG Consulting Expense</t>
  </si>
  <si>
    <t>Storm Cost Recovery Adjustment Factor</t>
  </si>
  <si>
    <t>Storm Reserve Adjustment</t>
  </si>
  <si>
    <t>Basic Service Cost True Up Factor</t>
  </si>
  <si>
    <t>Solar Program Cost Adjustment Factor</t>
  </si>
  <si>
    <t>Solar Expansion Cost Recovery Factor</t>
  </si>
  <si>
    <t>Vegetation Management</t>
  </si>
  <si>
    <t>Solar Massachusetts Renewable Target</t>
  </si>
  <si>
    <t>Transmission Energy</t>
  </si>
  <si>
    <t>TMKWH</t>
  </si>
  <si>
    <t>Energy Efficiency Reconciliation Factor</t>
  </si>
  <si>
    <t>System Benefits Charge</t>
  </si>
  <si>
    <t>SBC</t>
  </si>
  <si>
    <t>Renewable Energy Charge</t>
  </si>
  <si>
    <t>RNEW</t>
  </si>
  <si>
    <t>Basic Service Charge</t>
  </si>
  <si>
    <t>BS</t>
  </si>
  <si>
    <t>Total Revenue</t>
  </si>
  <si>
    <t>% Change</t>
  </si>
  <si>
    <t>Current Rate</t>
  </si>
  <si>
    <t>Proposed Rate</t>
  </si>
  <si>
    <t>Difference</t>
  </si>
  <si>
    <t>Functional Category</t>
  </si>
  <si>
    <t>cents/kWh</t>
  </si>
  <si>
    <t>TRNSM</t>
  </si>
  <si>
    <t>Col. (b): Current rates</t>
  </si>
  <si>
    <t>Col. (c): Col. (a) x Col. (b)</t>
  </si>
  <si>
    <t>Col. (e): Proposed rates</t>
  </si>
  <si>
    <t>Col. (f): Col. (a), Line 1 or Line 2  x Col. (e)</t>
  </si>
  <si>
    <t>Rate R-2 Residential Assistance</t>
  </si>
  <si>
    <t>36% Low Income Discount</t>
  </si>
  <si>
    <t>Total Revenue - Net of LI Discount</t>
  </si>
  <si>
    <t>% Change w/o LI Discount</t>
  </si>
  <si>
    <t>% Change w/ LI Discount</t>
  </si>
  <si>
    <t>Col. (f) (Low Income Discount): Col. (f), Line 24 x 36.0%</t>
  </si>
  <si>
    <t>Rate R-3 Residential Heating</t>
  </si>
  <si>
    <t>Rate R-4 Residential Assistance Heating</t>
  </si>
  <si>
    <t>Western Massachusetts</t>
  </si>
  <si>
    <t>Rate R-4 Residential Heating Assistance</t>
  </si>
  <si>
    <t>Greater Boston Service Area</t>
  </si>
  <si>
    <t>Rate G-1 Small General Service (Non-Demand)</t>
  </si>
  <si>
    <t>Distribution Energy - Winter</t>
  </si>
  <si>
    <t>WDKWH</t>
  </si>
  <si>
    <t>Distribution Energy - Summer</t>
  </si>
  <si>
    <t>SDKWH</t>
  </si>
  <si>
    <t>Distribution Energy - Total</t>
  </si>
  <si>
    <t>Col. (f): Col. (a), Line 1 or Line 2 or Line 3  x Col. (e)</t>
  </si>
  <si>
    <t>Rate G-1 Small General Service (Demand)</t>
  </si>
  <si>
    <t>Distribution Demand &lt;=10 kW - Winter</t>
  </si>
  <si>
    <t>WDKW1</t>
  </si>
  <si>
    <t>Distribution Demand &gt;10 kW- Winter</t>
  </si>
  <si>
    <t>WDKW2</t>
  </si>
  <si>
    <t>Distribution Demand &lt;=10 kW - Summer</t>
  </si>
  <si>
    <t>SDKW1</t>
  </si>
  <si>
    <t>Distribution Demand &gt;10 kW - Summer</t>
  </si>
  <si>
    <t>SDKW2</t>
  </si>
  <si>
    <t>Distribution Demand - Total</t>
  </si>
  <si>
    <t>DKW</t>
  </si>
  <si>
    <t>Distribution Energy - 1st 2000 kWh - Winter</t>
  </si>
  <si>
    <t>WDKWH1</t>
  </si>
  <si>
    <t>Distribution Energy - next 150 hrs*kW - Winter</t>
  </si>
  <si>
    <t>WDKWH2</t>
  </si>
  <si>
    <t>Distribution Energy - remainder kWh - Winter</t>
  </si>
  <si>
    <t>WDKWH3</t>
  </si>
  <si>
    <t>Distribution Energy - 1st 2000 kWh - Summer</t>
  </si>
  <si>
    <t>SDKWH1</t>
  </si>
  <si>
    <t>Distribution Energy - next 150 hrs*kW - Summer</t>
  </si>
  <si>
    <t>SDKWH2</t>
  </si>
  <si>
    <t>Distribution Energy - remainder kWh - Summer</t>
  </si>
  <si>
    <t>SDKWH3</t>
  </si>
  <si>
    <t>115 kV Demand</t>
  </si>
  <si>
    <t>TKW</t>
  </si>
  <si>
    <t>115 kV Energy</t>
  </si>
  <si>
    <t>TKWH</t>
  </si>
  <si>
    <t>Transmission Demand &gt;10 kW - Winter</t>
  </si>
  <si>
    <t>TMKW</t>
  </si>
  <si>
    <t>Transmission Demand &gt;10 kW - Summer</t>
  </si>
  <si>
    <t>Transmission Energy - 1st 2000 kWh</t>
  </si>
  <si>
    <t>Transmission Energy - next 150 hrs*kW</t>
  </si>
  <si>
    <t>Transmission Energy - remainder kWh</t>
  </si>
  <si>
    <t>Col. (f): Col. (a), Line 1 through Line 13 (as appropriate) x Col. (e)</t>
  </si>
  <si>
    <t>Rate T-1 Optional Time-of-Use</t>
  </si>
  <si>
    <t>Distribution Energy Peak - Winter</t>
  </si>
  <si>
    <t>Distribution Energy Off Peak - Winter</t>
  </si>
  <si>
    <t>Distribution Energy Peak - Summer</t>
  </si>
  <si>
    <t>Distribution Energy Off Peak - Summer</t>
  </si>
  <si>
    <t>Transmission Energy Peak - Winter</t>
  </si>
  <si>
    <t>Transmission Energy Off Peak - Winter</t>
  </si>
  <si>
    <t>Transmission Energy Peak - Summer</t>
  </si>
  <si>
    <t>Transmission Energy Off Peak - Summer</t>
  </si>
  <si>
    <t>Col. (f): Col. (a), Line 1 through Line 6 (as appropriate) x Col. (e)</t>
  </si>
  <si>
    <t>Rate G-2 Medium General Service</t>
  </si>
  <si>
    <t>Municipal Discount:</t>
  </si>
  <si>
    <t>Transmission Demand &gt;10 kW - Winter - Municipal</t>
  </si>
  <si>
    <t>Transmission Demand &gt;10 kW - Summer - Municipal</t>
  </si>
  <si>
    <t>Col. (f): Col. (a), Line 1 through Line 27 (as appropriate) x Col. (e)</t>
  </si>
  <si>
    <t>Rate G-3 Large General Service</t>
  </si>
  <si>
    <t>Distribution Demand - Winter</t>
  </si>
  <si>
    <t>WDKW</t>
  </si>
  <si>
    <t>Distribution Demand - Summer</t>
  </si>
  <si>
    <t>SDKW</t>
  </si>
  <si>
    <t>Transmission Demand</t>
  </si>
  <si>
    <t>Col. (f): Col. (a), Line 1 through Line 5 (as appropriate) x Col. (e)</t>
  </si>
  <si>
    <t>Rate T-2 Time-of-Use</t>
  </si>
  <si>
    <t>Customer Charge kW &lt;=150</t>
  </si>
  <si>
    <t>CUST1</t>
  </si>
  <si>
    <t>Customer Charge 150 &lt; kW &lt;= 300</t>
  </si>
  <si>
    <t>CUST2</t>
  </si>
  <si>
    <t>Customer Charge 300 &lt; kW &lt;= 1000</t>
  </si>
  <si>
    <t>CUST3</t>
  </si>
  <si>
    <t>Customer Charge kW &gt; 1000</t>
  </si>
  <si>
    <t>CUST4</t>
  </si>
  <si>
    <t>Customer Charge - Total</t>
  </si>
  <si>
    <t>Col. (f): Col. (a), Line 3 through Line 9 (as appropriate) x Col. (e)</t>
  </si>
  <si>
    <t>Rate WR MWRA</t>
  </si>
  <si>
    <t>Distribution Demand</t>
  </si>
  <si>
    <t>Col. (f): Col. (a), Line 1 through Line 10 (as appropriate) x Col. (e)</t>
  </si>
  <si>
    <t>Cambridge Service Area</t>
  </si>
  <si>
    <t>Rate G-0 Small General Service (Non-Demand)</t>
  </si>
  <si>
    <t>Col. (f): Col. (a), Line 1 or Line 2 x Col. (e)</t>
  </si>
  <si>
    <t>Units</t>
  </si>
  <si>
    <t>Distribution Demand &lt;=10 kW</t>
  </si>
  <si>
    <t>DKW1</t>
  </si>
  <si>
    <t>Distribution Demand &gt;10 kW</t>
  </si>
  <si>
    <t>DKW2</t>
  </si>
  <si>
    <t>Rate G-2 Large General Time-of-Use - Secondary Service</t>
  </si>
  <si>
    <t>Distribution Demand &lt;=100 kVA</t>
  </si>
  <si>
    <t>Distribution Demand &gt;100 kVA</t>
  </si>
  <si>
    <t>Transmission Demand &lt;=100 kVA</t>
  </si>
  <si>
    <t>Transmission Demand &gt;100 kVA</t>
  </si>
  <si>
    <t>Rate G-3 Large General Time-of-Use - 13.8kV Service</t>
  </si>
  <si>
    <t>Rate G-4 Optional General Time-of-Use</t>
  </si>
  <si>
    <t>Col. (f): Col. (a), Line 1 through Line 3 (as appropriate) x Col. (e)</t>
  </si>
  <si>
    <t>Rate G-5 Commercial Space Heating</t>
  </si>
  <si>
    <t>Distribution &lt;=5,000 kWh</t>
  </si>
  <si>
    <t>DKWH1</t>
  </si>
  <si>
    <t>Distribution &gt;5,000 kWh</t>
  </si>
  <si>
    <t>DKWH2</t>
  </si>
  <si>
    <t>Transmission Energy &lt;=5,000 kWh</t>
  </si>
  <si>
    <t>Transmission Energy &gt;5,000 kWh</t>
  </si>
  <si>
    <t>Col. (f): Col. (a), Line 1 through Line 4 (as appropriate) x Col. (e)</t>
  </si>
  <si>
    <t>Rate G-6 General Non Demand Time-of-Use</t>
  </si>
  <si>
    <t>Distribution Energy - Peak</t>
  </si>
  <si>
    <t>Distribution Energy - Low Load</t>
  </si>
  <si>
    <t>Transmission Energy - Peak</t>
  </si>
  <si>
    <t>Transmission Energy - Low Load</t>
  </si>
  <si>
    <t>Rate SB1/MS1/SS1 Standby Service</t>
  </si>
  <si>
    <t>Standby Demand - Distribution</t>
  </si>
  <si>
    <t>CD1</t>
  </si>
  <si>
    <t>Standby Demand - Reservation</t>
  </si>
  <si>
    <t>CD2</t>
  </si>
  <si>
    <t>Supplemental Demand &lt;= 100 kVA</t>
  </si>
  <si>
    <t>SKW1</t>
  </si>
  <si>
    <t>Supplemental Demand &gt; 100 kVA</t>
  </si>
  <si>
    <t>SKW2</t>
  </si>
  <si>
    <t>Supplemental Demand - Total</t>
  </si>
  <si>
    <t>SKW</t>
  </si>
  <si>
    <t>Replacement Energy</t>
  </si>
  <si>
    <t>Supplemental Energy</t>
  </si>
  <si>
    <t>Transmission Demand - Standby Reservation</t>
  </si>
  <si>
    <t xml:space="preserve">Transmission Demand - Standby </t>
  </si>
  <si>
    <t>Transmission Demand - Supplemental &lt;= 100 kVA</t>
  </si>
  <si>
    <t>Transmission Demand - Supplemental &gt; 100 kVA</t>
  </si>
  <si>
    <t>Col. (f): Col. (a), Line 1 through Line 9 (as appropriate) x Col. (e)</t>
  </si>
  <si>
    <t>Rate CON - Contract</t>
  </si>
  <si>
    <t>Contract Demand</t>
  </si>
  <si>
    <t>Pulse Demand</t>
  </si>
  <si>
    <t>Transmission Contract Demand</t>
  </si>
  <si>
    <t>Transmission Pulse Demand</t>
  </si>
  <si>
    <t>South Shore, Cape Cod, and Martha's Vineyard Service Area</t>
  </si>
  <si>
    <t>Rate G-1 Small General Service</t>
  </si>
  <si>
    <t>Distribution Energy &lt;=2,300 kWh</t>
  </si>
  <si>
    <t>Distribution Energy &gt;2,300 kWh</t>
  </si>
  <si>
    <t>115 kV Demand &lt;=10 kW</t>
  </si>
  <si>
    <t>TKW1</t>
  </si>
  <si>
    <t>115 kV Demand &gt;10 kW</t>
  </si>
  <si>
    <t>TKW2</t>
  </si>
  <si>
    <t>115 kV Demand - Total</t>
  </si>
  <si>
    <t>115 kV Energy &lt;=2,300 kWh</t>
  </si>
  <si>
    <t>TKWH1</t>
  </si>
  <si>
    <t>115 kV Energy &gt;2,300 kWh</t>
  </si>
  <si>
    <t>TKWH2</t>
  </si>
  <si>
    <t>115 kV Energy - Total</t>
  </si>
  <si>
    <t>Col. (a): Company Forecast</t>
  </si>
  <si>
    <t>Col. (e) Proposed rates</t>
  </si>
  <si>
    <t>Col. (f): Col. (a), Line 1 through Line 14 (as appropriate) x Col. (e)</t>
  </si>
  <si>
    <t>Rate G-1 Seasonal Small General Service</t>
  </si>
  <si>
    <t>Distribution Energy &lt;=1,800 kWh</t>
  </si>
  <si>
    <t>Distribution Energy &gt;1,800 kWh</t>
  </si>
  <si>
    <t>Col. (f): Col. (a), Line 1 through Line 7 (as appropriate) x Col. (e)</t>
  </si>
  <si>
    <t>Rate G-2 Medium General Time- of-Use</t>
  </si>
  <si>
    <t>Distribution Energy - Low A</t>
  </si>
  <si>
    <t>Distribution Energy - Low B</t>
  </si>
  <si>
    <t>DKWH3</t>
  </si>
  <si>
    <t>Rate G-3 Large General Time of Use</t>
  </si>
  <si>
    <t>Rate G-4 General Power</t>
  </si>
  <si>
    <t>Rate G-6 All Electric School</t>
  </si>
  <si>
    <t>Rate G-7 Optional General Time-of-Use</t>
  </si>
  <si>
    <t>Rate G-7 Optional Seasonal General Time-of-Use</t>
  </si>
  <si>
    <t>Schedule 23 Optional Water Heating</t>
  </si>
  <si>
    <t>Rate 24 Optional Church Service</t>
  </si>
  <si>
    <t>Distribution Demand &gt;2 kW</t>
  </si>
  <si>
    <t>Transmission Demand &gt;2 kW</t>
  </si>
  <si>
    <t>Rate G-0 Small General Service</t>
  </si>
  <si>
    <t>Customer Charge - Metered</t>
  </si>
  <si>
    <t>Customer Charge - Un-Metered</t>
  </si>
  <si>
    <t>Rate T-0 Small General Service Time-Of-Use</t>
  </si>
  <si>
    <t>Distribution Energy - Off Peak</t>
  </si>
  <si>
    <t>Rate G-2 Primary General Service</t>
  </si>
  <si>
    <t>Distribution Demand &lt;=50 kW</t>
  </si>
  <si>
    <t>Distribution Demand &gt;50 kW</t>
  </si>
  <si>
    <t>Rate T-4 Primary General Service Time-Of-Use</t>
  </si>
  <si>
    <t>Rate T-2 Large Primary General Service Time-of-Use</t>
  </si>
  <si>
    <t>Customer Charge 350 &lt; kW &lt; 1000</t>
  </si>
  <si>
    <t>Customer Charge 1000 &lt;= kW &lt; 1500</t>
  </si>
  <si>
    <t>Customer Charge 1500 &lt;= kW &lt; 2500</t>
  </si>
  <si>
    <t xml:space="preserve">Distribution Demand </t>
  </si>
  <si>
    <t>Col. (f): Col. (a), Line 1 through Line 8 (as appropriate) x Col. (e)</t>
  </si>
  <si>
    <t>Rate T-5 Extra Large Primary General Service Time-of-Use</t>
  </si>
  <si>
    <t>S-1/S-2 Street Lighting</t>
  </si>
  <si>
    <t>Summary of Bill Impact Analysis</t>
  </si>
  <si>
    <t>Monthly</t>
  </si>
  <si>
    <t>Month</t>
  </si>
  <si>
    <t>Annual</t>
  </si>
  <si>
    <t>Service Area</t>
  </si>
  <si>
    <t>Season</t>
  </si>
  <si>
    <t>kWh</t>
  </si>
  <si>
    <t>kW</t>
  </si>
  <si>
    <t>Total Change</t>
  </si>
  <si>
    <t>G-1ND</t>
  </si>
  <si>
    <t>Winter</t>
  </si>
  <si>
    <t>Summer</t>
  </si>
  <si>
    <t>G-1DMD</t>
  </si>
  <si>
    <t>Boston (NEMA)</t>
  </si>
  <si>
    <t>Boston (SEMA)</t>
  </si>
  <si>
    <t>T-1</t>
  </si>
  <si>
    <t>G-1</t>
  </si>
  <si>
    <t>G-1S</t>
  </si>
  <si>
    <t>G-7</t>
  </si>
  <si>
    <t>G-7S</t>
  </si>
  <si>
    <t>Calculation of Monthly Typical Bill</t>
  </si>
  <si>
    <t>Current Monthly Bill</t>
  </si>
  <si>
    <t>Proposed Monthly Bill</t>
  </si>
  <si>
    <t>Total Bill Impact</t>
  </si>
  <si>
    <t xml:space="preserve">kWh </t>
  </si>
  <si>
    <t>Delivery</t>
  </si>
  <si>
    <t>Supplier</t>
  </si>
  <si>
    <t>Avg</t>
  </si>
  <si>
    <t>Total Energy</t>
  </si>
  <si>
    <t>Total Basic Service</t>
  </si>
  <si>
    <t>Low Income Discount</t>
  </si>
  <si>
    <t>Rate R-3 Residential Space Heating</t>
  </si>
  <si>
    <t xml:space="preserve">Rate R-4 Residential Assistance Space Heating </t>
  </si>
  <si>
    <t>Rate R-4 Residential Assistance Space Heating</t>
  </si>
  <si>
    <t>Rate G-1 Small General Service (Non Demand)</t>
  </si>
  <si>
    <t>Current Monthly Bill (Winter)</t>
  </si>
  <si>
    <t>Proposed Monthly Bill (Winter)</t>
  </si>
  <si>
    <t>Current Monthly Bill (Summer)</t>
  </si>
  <si>
    <t>Proposed Monthly Bill (Summer)</t>
  </si>
  <si>
    <t>Total Energy - Winter</t>
  </si>
  <si>
    <t>Total Energy - Summer</t>
  </si>
  <si>
    <t>Hours Use: 100</t>
  </si>
  <si>
    <t>Distribution Demand &gt;10 kW - Winter</t>
  </si>
  <si>
    <t>Total Demand &gt;10 kW</t>
  </si>
  <si>
    <t>Total Energy - 1st 2000 kWh</t>
  </si>
  <si>
    <t>Total Energy - next 150 hrs*kW</t>
  </si>
  <si>
    <t>Total Energy - remainder kWh</t>
  </si>
  <si>
    <t>Hours Use: 250</t>
  </si>
  <si>
    <t>Hours Use: 400</t>
  </si>
  <si>
    <t>Hours Use: 200</t>
  </si>
  <si>
    <t>Hours Use: 300</t>
  </si>
  <si>
    <t>Hours Use: 450</t>
  </si>
  <si>
    <t>Rate G-3 Large General Service - NEMA</t>
  </si>
  <si>
    <t>Hours Use: 350</t>
  </si>
  <si>
    <t>Total Demand - Winter</t>
  </si>
  <si>
    <t>Total Demand - Summer</t>
  </si>
  <si>
    <t>Hours Use: 550</t>
  </si>
  <si>
    <t>Rate G-3 Large General Service - SEMA</t>
  </si>
  <si>
    <t>On-Peak Use:</t>
  </si>
  <si>
    <t>Off-Peak Use:</t>
  </si>
  <si>
    <t>Total Energy - Peak</t>
  </si>
  <si>
    <t>Total Energy - Off Peak</t>
  </si>
  <si>
    <t>Rate T-2 Time-of-Use - NEMA</t>
  </si>
  <si>
    <t>Rate T-2 Time-of-Use - SEMA</t>
  </si>
  <si>
    <t>Hours Use: 500</t>
  </si>
  <si>
    <t>Total Demand &lt;=10 kW</t>
  </si>
  <si>
    <t>kVA</t>
  </si>
  <si>
    <t>Total Demand &lt;=100 kVA</t>
  </si>
  <si>
    <t>Total Demand &gt;100 kVA</t>
  </si>
  <si>
    <t>Rate G-3 Large General Time-Of-Use - 13.8kV Service</t>
  </si>
  <si>
    <t>Hours Use: 600</t>
  </si>
  <si>
    <t>Rate G-4 Optional Time-of-Use</t>
  </si>
  <si>
    <t>Total Demand</t>
  </si>
  <si>
    <t>Distribution Energy &lt;=5,000 kWh</t>
  </si>
  <si>
    <t>Distribution Energy &gt;5,000 kWh</t>
  </si>
  <si>
    <t>Total Energy &lt;=5,000 kWh</t>
  </si>
  <si>
    <t>Total Energy &gt;5,000 kWh</t>
  </si>
  <si>
    <t>Rate G-6 General Non-Demand Time-of-Use</t>
  </si>
  <si>
    <t>Total Energy - Low Load</t>
  </si>
  <si>
    <t>Total Energy &lt;=2,300 kWh</t>
  </si>
  <si>
    <t>Total Energy &gt;2,300 kWh</t>
  </si>
  <si>
    <t>Hours Use: 50</t>
  </si>
  <si>
    <t>Hours Use: 150</t>
  </si>
  <si>
    <t>Total Energy &lt;=1,800 kWh</t>
  </si>
  <si>
    <t>Total Energy &gt;1,800 kWh</t>
  </si>
  <si>
    <t>Rate G-2 Medium General Time-of-Use</t>
  </si>
  <si>
    <t>Peak Use:</t>
  </si>
  <si>
    <t>Low A Use:</t>
  </si>
  <si>
    <t>Low B Use:</t>
  </si>
  <si>
    <t>Total Energy - Low A</t>
  </si>
  <si>
    <t>Total Energy - Low B</t>
  </si>
  <si>
    <t>Rate G-3 Large General Time-Of-Use</t>
  </si>
  <si>
    <t>Rate G-6 All Electric Schools</t>
  </si>
  <si>
    <t>Hours Use: 650</t>
  </si>
  <si>
    <t>Proposed January 1, 2019</t>
  </si>
  <si>
    <t xml:space="preserve">Distribution Demand &gt;2 KW </t>
  </si>
  <si>
    <t xml:space="preserve">Transmission Demand &gt;2 KW </t>
  </si>
  <si>
    <t>Total Demand &gt;2kW</t>
  </si>
  <si>
    <t>Distribution Demand &lt;= 50 kW</t>
  </si>
  <si>
    <t xml:space="preserve">Distribution Demand Charge &gt;50 kW </t>
  </si>
  <si>
    <t>Total Demand &lt;=50 kW</t>
  </si>
  <si>
    <t>Total Demand &gt;50 kW</t>
  </si>
  <si>
    <t>Customer Charge &lt;1000 kW</t>
  </si>
  <si>
    <t>Customer Charge 1000 &lt;= kW &lt;1500kW</t>
  </si>
  <si>
    <t>Customer Charge 1500 &lt;= kW &lt;2500kW</t>
  </si>
  <si>
    <t>Distribution Demand - Peak</t>
  </si>
  <si>
    <t>Transmission Demand - Peak</t>
  </si>
  <si>
    <t>Total Demand - Peak</t>
  </si>
  <si>
    <t>NOTE:</t>
  </si>
  <si>
    <t>Transmission On Peak Demand Charge is being used to calculate bill impacts as Coincident Peak data is not</t>
  </si>
  <si>
    <t>available based on range of kWh shown</t>
  </si>
  <si>
    <t xml:space="preserve">              Line 23: D.P.U. 18-15 (Compliance)</t>
  </si>
  <si>
    <t xml:space="preserve">             Line 23: D.P.U. 18-123 (Revised)</t>
  </si>
  <si>
    <t xml:space="preserve">            Line 23: D.P.U. 18-121 (Revised)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</si>
</sst>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000_);\(&quot;$&quot;#,##0.00000\)"/>
    <numFmt numFmtId="165" formatCode="0.0%"/>
    <numFmt numFmtId="166" formatCode="0.000%"/>
    <numFmt numFmtId="167" formatCode="_(* #,##0_);_(* \(#,##0\);_(* &quot;-&quot;??_);_(@_)"/>
    <numFmt numFmtId="168" formatCode="0.00000"/>
    <numFmt numFmtId="169" formatCode="&quot;$&quot;#,##0"/>
    <numFmt numFmtId="170" formatCode="0.000"/>
    <numFmt numFmtId="171" formatCode="#,##0.000000_);[Red]\(#,##0.000000\)"/>
    <numFmt numFmtId="172" formatCode="0.00000_);[Red]\(0.00000\)"/>
    <numFmt numFmtId="173" formatCode="&quot;$&quot;#,##0.00000_);[Red]\(&quot;$&quot;#,##0.00000\)"/>
    <numFmt numFmtId="174" formatCode="&quot;$&quot;#,##0.00000"/>
    <numFmt numFmtId="175" formatCode="#,##0.000_);[Red]\(#,##0.000\)"/>
    <numFmt numFmtId="176" formatCode="&quot;$&quot;#,##0.000000000_);[Red]\(&quot;$&quot;#,##0.000000000\)"/>
    <numFmt numFmtId="177" formatCode="_(&quot;$&quot;* #,##0_);_(&quot;$&quot;* \(#,##0\);_(&quot;$&quot;* &quot;-&quot;??_);_(@_)"/>
    <numFmt numFmtId="178" formatCode="&quot;$&quot;#,##0.00_);\(&quot;$&quot;#,##0.00\);_(&quot;$&quot;\ &quot;       -&quot;??_)"/>
    <numFmt numFmtId="179" formatCode="&quot;$&quot;#,##0.0000000_);\(&quot;$&quot;#,##0.0000000\)"/>
    <numFmt numFmtId="180" formatCode="&quot;$&quot;#,##0.00000_);\(&quot;$&quot;#,##0.00000\);_(&quot;$&quot;\ &quot;       -&quot;??_)"/>
    <numFmt numFmtId="181" formatCode="_(&quot;$&quot;* #,##0.00000_);_(&quot;$&quot;* \(#,##0.00000\);_(&quot;$&quot;* &quot;-&quot;??_);_(@_)"/>
    <numFmt numFmtId="182" formatCode="&quot;$&quot;#,##0.00_);\(&quot;$&quot;#,##0.00\);_(&quot;$&quot;\ &quot;-&quot;??_)"/>
    <numFmt numFmtId="183" formatCode="0.000000_)"/>
    <numFmt numFmtId="184" formatCode="_(&quot;$&quot;* #,##0.00_);_(&quot;$&quot;* \(#,##0.00\);_(&quot;$&quot;* &quot;-&quot;?????_);_(@_)"/>
    <numFmt numFmtId="185" formatCode="[$-409]mmmm\ d\,\ yyyy;@"/>
    <numFmt numFmtId="186" formatCode="0.00_)"/>
    <numFmt numFmtId="187" formatCode="#,##0.000000_);\(#,##0.000000\)"/>
    <numFmt numFmtId="188" formatCode="0_)"/>
    <numFmt numFmtId="189" formatCode="0.000_)"/>
    <numFmt numFmtId="190" formatCode="&quot;$&quot;#,##0.000000_);\(&quot;$&quot;#,##0.000000\)"/>
  </numFmts>
  <fonts count="36" x14ac:knownFonts="1">
    <font>
      <sz val="10"/>
      <name val="Arial"/>
    </font>
    <font>
      <sz val="12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8"/>
      <color theme="0"/>
      <name val="Arial"/>
      <family val="2"/>
    </font>
    <font>
      <sz val="10"/>
      <name val="Arial"/>
      <family val="2"/>
    </font>
    <font>
      <sz val="8"/>
      <color theme="0"/>
      <name val="Arial"/>
      <family val="2"/>
    </font>
    <font>
      <sz val="8"/>
      <name val="Arial"/>
      <family val="2"/>
    </font>
    <font>
      <u/>
      <sz val="10"/>
      <name val="Arial"/>
      <family val="2"/>
    </font>
    <font>
      <sz val="10"/>
      <color rgb="FF0070C0"/>
      <name val="Arial"/>
      <family val="2"/>
    </font>
    <font>
      <u/>
      <sz val="10"/>
      <color rgb="FF0070C0"/>
      <name val="Arial"/>
      <family val="2"/>
    </font>
    <font>
      <u/>
      <sz val="8"/>
      <color theme="0"/>
      <name val="Arial"/>
      <family val="2"/>
    </font>
    <font>
      <u/>
      <sz val="8"/>
      <name val="Arial"/>
      <family val="2"/>
    </font>
    <font>
      <sz val="10"/>
      <color theme="0" tint="-0.499984740745262"/>
      <name val="Arial"/>
      <family val="2"/>
    </font>
    <font>
      <sz val="10"/>
      <color theme="0" tint="-0.34998626667073579"/>
      <name val="Arial"/>
      <family val="2"/>
    </font>
    <font>
      <u/>
      <sz val="10"/>
      <color theme="0" tint="-0.34998626667073579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sz val="11"/>
      <color theme="0" tint="-0.499984740745262"/>
      <name val="Arial"/>
      <family val="2"/>
    </font>
    <font>
      <sz val="11"/>
      <color indexed="8"/>
      <name val="Arial"/>
      <family val="2"/>
    </font>
    <font>
      <sz val="11"/>
      <color indexed="12"/>
      <name val="Arial"/>
      <family val="2"/>
    </font>
    <font>
      <b/>
      <sz val="11"/>
      <color indexed="8"/>
      <name val="Arial"/>
      <family val="2"/>
    </font>
    <font>
      <u/>
      <sz val="11"/>
      <color indexed="8"/>
      <name val="Arial"/>
      <family val="2"/>
    </font>
    <font>
      <sz val="10"/>
      <color theme="1"/>
      <name val="Calibri"/>
      <family val="2"/>
    </font>
    <font>
      <sz val="11"/>
      <color theme="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sz val="10"/>
      <name val="Courier"/>
      <family val="3"/>
    </font>
    <font>
      <u/>
      <sz val="11"/>
      <color theme="1"/>
      <name val="Arial"/>
      <family val="2"/>
    </font>
    <font>
      <u val="singleAccounting"/>
      <sz val="11"/>
      <color indexed="8"/>
      <name val="Arial"/>
      <family val="2"/>
    </font>
    <font>
      <sz val="11"/>
      <color theme="0"/>
      <name val="Arial"/>
      <family val="2"/>
    </font>
    <font>
      <u/>
      <sz val="11"/>
      <color indexed="12"/>
      <name val="Arial"/>
      <family val="2"/>
    </font>
    <font>
      <sz val="11"/>
      <name val="Courier"/>
      <family val="3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3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26" fillId="0" borderId="0"/>
    <xf numFmtId="0" fontId="30" fillId="0" borderId="0"/>
    <xf numFmtId="0" fontId="30" fillId="0" borderId="0"/>
    <xf numFmtId="9" fontId="6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</cellStyleXfs>
  <cellXfs count="776">
    <xf numFmtId="0" fontId="0" fillId="0" borderId="0" xfId="0"/>
    <xf numFmtId="0" fontId="2" fillId="0" borderId="0" xfId="4" applyFont="1" applyAlignment="1"/>
    <xf numFmtId="0" fontId="2" fillId="0" borderId="0" xfId="4" applyFont="1" applyAlignment="1">
      <alignment horizontal="center"/>
    </xf>
    <xf numFmtId="0" fontId="3" fillId="0" borderId="0" xfId="0" applyFont="1"/>
    <xf numFmtId="0" fontId="4" fillId="0" borderId="0" xfId="4" applyFont="1" applyAlignment="1">
      <alignment horizontal="center"/>
    </xf>
    <xf numFmtId="0" fontId="5" fillId="0" borderId="0" xfId="4" applyFont="1" applyAlignment="1">
      <alignment horizontal="center"/>
    </xf>
    <xf numFmtId="0" fontId="3" fillId="0" borderId="0" xfId="0" applyFont="1" applyFill="1"/>
    <xf numFmtId="0" fontId="6" fillId="0" borderId="0" xfId="4" applyFont="1" applyAlignment="1">
      <alignment horizontal="center"/>
    </xf>
    <xf numFmtId="0" fontId="7" fillId="0" borderId="0" xfId="4" applyFont="1"/>
    <xf numFmtId="0" fontId="8" fillId="0" borderId="0" xfId="4" applyFont="1"/>
    <xf numFmtId="0" fontId="6" fillId="0" borderId="0" xfId="4" applyFont="1" applyAlignment="1"/>
    <xf numFmtId="0" fontId="9" fillId="0" borderId="0" xfId="4" applyFont="1" applyAlignment="1">
      <alignment horizontal="center"/>
    </xf>
    <xf numFmtId="0" fontId="9" fillId="0" borderId="0" xfId="4" applyFont="1" applyAlignment="1"/>
    <xf numFmtId="0" fontId="9" fillId="0" borderId="0" xfId="4" applyFont="1" applyFill="1"/>
    <xf numFmtId="0" fontId="7" fillId="0" borderId="2" xfId="4" applyFont="1" applyBorder="1"/>
    <xf numFmtId="0" fontId="6" fillId="0" borderId="0" xfId="4" applyFont="1" applyFill="1" applyAlignment="1">
      <alignment horizontal="center"/>
    </xf>
    <xf numFmtId="0" fontId="7" fillId="0" borderId="0" xfId="4" applyFont="1" applyAlignment="1">
      <alignment horizontal="center"/>
    </xf>
    <xf numFmtId="0" fontId="6" fillId="0" borderId="0" xfId="4" quotePrefix="1" applyFont="1" applyAlignment="1">
      <alignment horizontal="center"/>
    </xf>
    <xf numFmtId="0" fontId="7" fillId="0" borderId="2" xfId="4" applyFont="1" applyBorder="1" applyAlignment="1">
      <alignment horizontal="center"/>
    </xf>
    <xf numFmtId="0" fontId="6" fillId="0" borderId="0" xfId="4" applyFont="1" applyAlignment="1">
      <alignment horizontal="left"/>
    </xf>
    <xf numFmtId="0" fontId="6" fillId="0" borderId="0" xfId="4" applyFont="1"/>
    <xf numFmtId="164" fontId="6" fillId="0" borderId="0" xfId="4" applyNumberFormat="1" applyFont="1" applyBorder="1"/>
    <xf numFmtId="164" fontId="6" fillId="2" borderId="0" xfId="4" applyNumberFormat="1" applyFont="1" applyFill="1" applyBorder="1"/>
    <xf numFmtId="164" fontId="10" fillId="0" borderId="0" xfId="4" applyNumberFormat="1" applyFont="1" applyBorder="1"/>
    <xf numFmtId="164" fontId="10" fillId="0" borderId="0" xfId="4" applyNumberFormat="1" applyFont="1"/>
    <xf numFmtId="164" fontId="6" fillId="0" borderId="0" xfId="4" applyNumberFormat="1" applyFont="1"/>
    <xf numFmtId="164" fontId="9" fillId="0" borderId="0" xfId="4" applyNumberFormat="1" applyFont="1" applyBorder="1"/>
    <xf numFmtId="164" fontId="9" fillId="2" borderId="0" xfId="4" applyNumberFormat="1" applyFont="1" applyFill="1" applyBorder="1"/>
    <xf numFmtId="164" fontId="11" fillId="0" borderId="0" xfId="4" applyNumberFormat="1" applyFont="1" applyBorder="1"/>
    <xf numFmtId="164" fontId="11" fillId="0" borderId="0" xfId="4" applyNumberFormat="1" applyFont="1"/>
    <xf numFmtId="164" fontId="9" fillId="0" borderId="0" xfId="4" applyNumberFormat="1" applyFont="1"/>
    <xf numFmtId="0" fontId="3" fillId="0" borderId="2" xfId="0" applyFont="1" applyBorder="1"/>
    <xf numFmtId="0" fontId="6" fillId="0" borderId="0" xfId="0" applyFont="1"/>
    <xf numFmtId="0" fontId="6" fillId="0" borderId="0" xfId="4" applyFont="1" applyBorder="1"/>
    <xf numFmtId="5" fontId="6" fillId="0" borderId="0" xfId="4" applyNumberFormat="1" applyFont="1" applyBorder="1"/>
    <xf numFmtId="9" fontId="6" fillId="0" borderId="0" xfId="3" applyFont="1"/>
    <xf numFmtId="164" fontId="6" fillId="0" borderId="0" xfId="3" applyNumberFormat="1" applyFont="1"/>
    <xf numFmtId="0" fontId="6" fillId="0" borderId="0" xfId="4" applyFont="1" applyFill="1"/>
    <xf numFmtId="0" fontId="7" fillId="0" borderId="0" xfId="4" applyFont="1" applyFill="1"/>
    <xf numFmtId="0" fontId="8" fillId="0" borderId="0" xfId="4" applyFont="1" applyFill="1"/>
    <xf numFmtId="9" fontId="6" fillId="0" borderId="0" xfId="3" applyFont="1" applyFill="1"/>
    <xf numFmtId="5" fontId="6" fillId="0" borderId="0" xfId="4" applyNumberFormat="1" applyFont="1" applyFill="1" applyBorder="1"/>
    <xf numFmtId="164" fontId="6" fillId="0" borderId="0" xfId="4" applyNumberFormat="1" applyFont="1" applyFill="1" applyBorder="1"/>
    <xf numFmtId="164" fontId="6" fillId="0" borderId="0" xfId="3" applyNumberFormat="1" applyFont="1" applyFill="1"/>
    <xf numFmtId="0" fontId="6" fillId="0" borderId="0" xfId="4" quotePrefix="1" applyFont="1" applyAlignment="1">
      <alignment horizontal="left"/>
    </xf>
    <xf numFmtId="3" fontId="6" fillId="0" borderId="0" xfId="4" applyNumberFormat="1" applyFont="1" applyFill="1"/>
    <xf numFmtId="165" fontId="6" fillId="0" borderId="0" xfId="4" applyNumberFormat="1" applyFont="1"/>
    <xf numFmtId="7" fontId="6" fillId="0" borderId="0" xfId="4" applyNumberFormat="1" applyFont="1"/>
    <xf numFmtId="7" fontId="7" fillId="0" borderId="0" xfId="4" applyNumberFormat="1" applyFont="1"/>
    <xf numFmtId="7" fontId="8" fillId="0" borderId="0" xfId="4" applyNumberFormat="1" applyFont="1"/>
    <xf numFmtId="7" fontId="6" fillId="0" borderId="0" xfId="4" applyNumberFormat="1" applyFont="1" applyFill="1"/>
    <xf numFmtId="7" fontId="7" fillId="0" borderId="0" xfId="4" applyNumberFormat="1" applyFont="1" applyFill="1"/>
    <xf numFmtId="7" fontId="8" fillId="0" borderId="0" xfId="4" applyNumberFormat="1" applyFont="1" applyFill="1"/>
    <xf numFmtId="5" fontId="7" fillId="0" borderId="0" xfId="4" applyNumberFormat="1" applyFont="1" applyBorder="1"/>
    <xf numFmtId="5" fontId="8" fillId="0" borderId="0" xfId="4" applyNumberFormat="1" applyFont="1" applyBorder="1"/>
    <xf numFmtId="5" fontId="9" fillId="0" borderId="0" xfId="4" applyNumberFormat="1" applyFont="1" applyBorder="1"/>
    <xf numFmtId="5" fontId="12" fillId="0" borderId="0" xfId="4" applyNumberFormat="1" applyFont="1" applyBorder="1"/>
    <xf numFmtId="5" fontId="13" fillId="0" borderId="0" xfId="4" applyNumberFormat="1" applyFont="1" applyBorder="1"/>
    <xf numFmtId="0" fontId="2" fillId="0" borderId="0" xfId="4" applyFont="1" applyAlignment="1">
      <alignment horizontal="left"/>
    </xf>
    <xf numFmtId="0" fontId="14" fillId="0" borderId="0" xfId="0" applyFont="1"/>
    <xf numFmtId="0" fontId="14" fillId="0" borderId="0" xfId="5" applyFont="1"/>
    <xf numFmtId="0" fontId="14" fillId="0" borderId="0" xfId="4" applyFont="1" applyAlignment="1"/>
    <xf numFmtId="0" fontId="14" fillId="0" borderId="0" xfId="4" applyFont="1" applyAlignment="1">
      <alignment horizontal="center"/>
    </xf>
    <xf numFmtId="0" fontId="6" fillId="0" borderId="0" xfId="4" applyFont="1" applyAlignment="1">
      <alignment horizontal="right"/>
    </xf>
    <xf numFmtId="0" fontId="15" fillId="0" borderId="0" xfId="4" applyFont="1" applyAlignment="1">
      <alignment horizontal="center"/>
    </xf>
    <xf numFmtId="0" fontId="6" fillId="0" borderId="0" xfId="4" applyFont="1" applyFill="1" applyAlignment="1">
      <alignment horizontal="right"/>
    </xf>
    <xf numFmtId="0" fontId="15" fillId="0" borderId="0" xfId="4" applyFont="1" applyBorder="1" applyAlignment="1">
      <alignment horizontal="center"/>
    </xf>
    <xf numFmtId="0" fontId="6" fillId="0" borderId="0" xfId="4" applyFont="1" applyBorder="1" applyAlignment="1">
      <alignment horizontal="center"/>
    </xf>
    <xf numFmtId="0" fontId="6" fillId="0" borderId="0" xfId="4" applyFont="1" applyFill="1" applyBorder="1" applyAlignment="1">
      <alignment horizontal="center"/>
    </xf>
    <xf numFmtId="0" fontId="6" fillId="0" borderId="0" xfId="4" quotePrefix="1" applyFont="1" applyFill="1"/>
    <xf numFmtId="43" fontId="6" fillId="0" borderId="0" xfId="1" applyFont="1" applyAlignment="1">
      <alignment horizontal="right"/>
    </xf>
    <xf numFmtId="43" fontId="6" fillId="0" borderId="0" xfId="1" applyFont="1" applyAlignment="1">
      <alignment horizontal="center"/>
    </xf>
    <xf numFmtId="43" fontId="15" fillId="0" borderId="0" xfId="1" applyFont="1" applyAlignment="1">
      <alignment horizontal="right"/>
    </xf>
    <xf numFmtId="43" fontId="6" fillId="0" borderId="0" xfId="1" applyFont="1"/>
    <xf numFmtId="0" fontId="9" fillId="0" borderId="0" xfId="4" applyFont="1" applyAlignment="1">
      <alignment horizontal="left"/>
    </xf>
    <xf numFmtId="43" fontId="9" fillId="0" borderId="0" xfId="1" applyFont="1" applyAlignment="1">
      <alignment horizontal="right"/>
    </xf>
    <xf numFmtId="43" fontId="9" fillId="0" borderId="0" xfId="1" applyFont="1" applyAlignment="1">
      <alignment horizontal="center"/>
    </xf>
    <xf numFmtId="43" fontId="16" fillId="0" borderId="0" xfId="1" applyFont="1" applyAlignment="1">
      <alignment horizontal="right"/>
    </xf>
    <xf numFmtId="43" fontId="15" fillId="0" borderId="0" xfId="4" applyNumberFormat="1" applyFont="1" applyAlignment="1">
      <alignment horizontal="center"/>
    </xf>
    <xf numFmtId="0" fontId="6" fillId="0" borderId="0" xfId="0" applyFont="1" applyAlignment="1">
      <alignment horizontal="center"/>
    </xf>
    <xf numFmtId="166" fontId="6" fillId="0" borderId="0" xfId="3" applyNumberFormat="1" applyFont="1" applyAlignment="1">
      <alignment horizontal="right"/>
    </xf>
    <xf numFmtId="166" fontId="6" fillId="0" borderId="0" xfId="6" applyNumberFormat="1" applyFont="1" applyAlignment="1">
      <alignment horizontal="right"/>
    </xf>
    <xf numFmtId="167" fontId="6" fillId="0" borderId="0" xfId="7" applyNumberFormat="1"/>
    <xf numFmtId="5" fontId="6" fillId="0" borderId="0" xfId="4" applyNumberFormat="1" applyFont="1"/>
    <xf numFmtId="5" fontId="6" fillId="2" borderId="0" xfId="4" applyNumberFormat="1" applyFont="1" applyFill="1" applyBorder="1"/>
    <xf numFmtId="164" fontId="6" fillId="2" borderId="0" xfId="4" applyNumberFormat="1" applyFont="1" applyFill="1"/>
    <xf numFmtId="166" fontId="6" fillId="0" borderId="0" xfId="3" applyNumberFormat="1" applyFont="1" applyFill="1" applyAlignment="1">
      <alignment horizontal="right"/>
    </xf>
    <xf numFmtId="166" fontId="6" fillId="0" borderId="0" xfId="6" applyNumberFormat="1" applyFont="1" applyFill="1" applyAlignment="1">
      <alignment horizontal="right"/>
    </xf>
    <xf numFmtId="166" fontId="6" fillId="0" borderId="0" xfId="3" applyNumberFormat="1" applyFont="1" applyFill="1"/>
    <xf numFmtId="166" fontId="6" fillId="0" borderId="0" xfId="6" applyNumberFormat="1" applyFont="1" applyFill="1"/>
    <xf numFmtId="166" fontId="6" fillId="0" borderId="0" xfId="3" applyNumberFormat="1" applyFont="1"/>
    <xf numFmtId="166" fontId="6" fillId="0" borderId="0" xfId="6" applyNumberFormat="1" applyFont="1"/>
    <xf numFmtId="167" fontId="6" fillId="0" borderId="0" xfId="8" applyNumberFormat="1"/>
    <xf numFmtId="167" fontId="6" fillId="0" borderId="0" xfId="8" applyNumberFormat="1" applyFont="1"/>
    <xf numFmtId="166" fontId="9" fillId="0" borderId="0" xfId="3" applyNumberFormat="1" applyFont="1"/>
    <xf numFmtId="166" fontId="9" fillId="0" borderId="0" xfId="6" applyNumberFormat="1" applyFont="1"/>
    <xf numFmtId="167" fontId="9" fillId="0" borderId="0" xfId="8" applyNumberFormat="1" applyFont="1"/>
    <xf numFmtId="5" fontId="9" fillId="0" borderId="0" xfId="4" applyNumberFormat="1" applyFont="1"/>
    <xf numFmtId="0" fontId="9" fillId="0" borderId="0" xfId="4" applyFont="1" applyBorder="1"/>
    <xf numFmtId="5" fontId="9" fillId="2" borderId="0" xfId="4" applyNumberFormat="1" applyFont="1" applyFill="1" applyBorder="1"/>
    <xf numFmtId="164" fontId="9" fillId="2" borderId="0" xfId="4" applyNumberFormat="1" applyFont="1" applyFill="1"/>
    <xf numFmtId="165" fontId="6" fillId="0" borderId="0" xfId="3" applyNumberFormat="1" applyFont="1"/>
    <xf numFmtId="10" fontId="6" fillId="0" borderId="0" xfId="6" applyNumberFormat="1" applyFont="1"/>
    <xf numFmtId="0" fontId="15" fillId="0" borderId="0" xfId="4" applyFont="1" applyBorder="1"/>
    <xf numFmtId="168" fontId="6" fillId="0" borderId="0" xfId="4" applyNumberFormat="1" applyFont="1" applyAlignment="1">
      <alignment horizontal="left"/>
    </xf>
    <xf numFmtId="0" fontId="6" fillId="0" borderId="0" xfId="4" applyFont="1" applyFill="1" applyAlignment="1">
      <alignment horizontal="left"/>
    </xf>
    <xf numFmtId="167" fontId="6" fillId="0" borderId="0" xfId="1" applyNumberFormat="1" applyFont="1" applyFill="1"/>
    <xf numFmtId="3" fontId="15" fillId="0" borderId="0" xfId="4" applyNumberFormat="1" applyFont="1" applyFill="1"/>
    <xf numFmtId="168" fontId="6" fillId="0" borderId="0" xfId="4" applyNumberFormat="1" applyFont="1" applyFill="1"/>
    <xf numFmtId="0" fontId="15" fillId="0" borderId="0" xfId="0" applyFont="1"/>
    <xf numFmtId="168" fontId="0" fillId="0" borderId="0" xfId="0" applyNumberFormat="1"/>
    <xf numFmtId="0" fontId="15" fillId="0" borderId="0" xfId="4" applyFont="1" applyFill="1"/>
    <xf numFmtId="0" fontId="4" fillId="0" borderId="0" xfId="4" applyFont="1" applyAlignment="1"/>
    <xf numFmtId="0" fontId="3" fillId="0" borderId="0" xfId="4" applyFont="1" applyAlignment="1">
      <alignment horizontal="right"/>
    </xf>
    <xf numFmtId="0" fontId="9" fillId="0" borderId="0" xfId="4" applyFont="1" applyAlignment="1">
      <alignment horizontal="right"/>
    </xf>
    <xf numFmtId="5" fontId="0" fillId="0" borderId="0" xfId="0" applyNumberFormat="1"/>
    <xf numFmtId="167" fontId="9" fillId="0" borderId="0" xfId="1" applyNumberFormat="1" applyFont="1" applyBorder="1" applyAlignment="1">
      <alignment horizontal="right"/>
    </xf>
    <xf numFmtId="5" fontId="6" fillId="0" borderId="0" xfId="0" applyNumberFormat="1" applyFont="1"/>
    <xf numFmtId="166" fontId="9" fillId="0" borderId="0" xfId="3" applyNumberFormat="1" applyFont="1" applyAlignment="1">
      <alignment horizontal="right"/>
    </xf>
    <xf numFmtId="5" fontId="9" fillId="0" borderId="0" xfId="4" applyNumberFormat="1" applyFont="1" applyBorder="1" applyAlignment="1">
      <alignment horizontal="right"/>
    </xf>
    <xf numFmtId="5" fontId="9" fillId="0" borderId="0" xfId="0" applyNumberFormat="1" applyFont="1"/>
    <xf numFmtId="167" fontId="0" fillId="0" borderId="0" xfId="0" applyNumberFormat="1"/>
    <xf numFmtId="166" fontId="0" fillId="0" borderId="0" xfId="0" applyNumberFormat="1"/>
    <xf numFmtId="167" fontId="6" fillId="0" borderId="0" xfId="4" applyNumberFormat="1" applyFont="1"/>
    <xf numFmtId="0" fontId="3" fillId="0" borderId="0" xfId="4" applyFont="1" applyFill="1"/>
    <xf numFmtId="167" fontId="6" fillId="0" borderId="0" xfId="1" applyNumberFormat="1" applyFont="1"/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17" fillId="0" borderId="0" xfId="0" applyFont="1" applyBorder="1" applyAlignment="1">
      <alignment horizontal="center"/>
    </xf>
    <xf numFmtId="0" fontId="0" fillId="0" borderId="0" xfId="0" applyAlignment="1">
      <alignment horizontal="left"/>
    </xf>
    <xf numFmtId="0" fontId="18" fillId="0" borderId="0" xfId="0" applyFont="1" applyAlignment="1">
      <alignment horizontal="left"/>
    </xf>
    <xf numFmtId="3" fontId="18" fillId="0" borderId="0" xfId="0" applyNumberFormat="1" applyFont="1" applyAlignment="1"/>
    <xf numFmtId="49" fontId="18" fillId="0" borderId="0" xfId="0" applyNumberFormat="1" applyFont="1" applyAlignment="1">
      <alignment horizontal="center"/>
    </xf>
    <xf numFmtId="0" fontId="18" fillId="0" borderId="0" xfId="0" applyFont="1" applyAlignment="1"/>
    <xf numFmtId="6" fontId="17" fillId="0" borderId="3" xfId="0" applyNumberFormat="1" applyFont="1" applyBorder="1" applyAlignment="1">
      <alignment horizontal="centerContinuous"/>
    </xf>
    <xf numFmtId="0" fontId="18" fillId="0" borderId="3" xfId="0" applyFont="1" applyBorder="1" applyAlignment="1">
      <alignment horizontal="centerContinuous"/>
    </xf>
    <xf numFmtId="169" fontId="18" fillId="0" borderId="3" xfId="0" applyNumberFormat="1" applyFont="1" applyBorder="1" applyAlignment="1">
      <alignment horizontal="centerContinuous"/>
    </xf>
    <xf numFmtId="6" fontId="18" fillId="0" borderId="3" xfId="0" applyNumberFormat="1" applyFont="1" applyBorder="1" applyAlignment="1">
      <alignment horizontal="centerContinuous"/>
    </xf>
    <xf numFmtId="0" fontId="18" fillId="0" borderId="0" xfId="0" applyFont="1" applyAlignment="1">
      <alignment horizontal="center"/>
    </xf>
    <xf numFmtId="3" fontId="18" fillId="0" borderId="0" xfId="0" applyNumberFormat="1" applyFont="1" applyAlignment="1">
      <alignment horizontal="center"/>
    </xf>
    <xf numFmtId="6" fontId="18" fillId="0" borderId="0" xfId="0" applyNumberFormat="1" applyFont="1" applyAlignment="1">
      <alignment horizontal="center"/>
    </xf>
    <xf numFmtId="0" fontId="18" fillId="0" borderId="0" xfId="0" applyFont="1" applyBorder="1" applyAlignment="1"/>
    <xf numFmtId="6" fontId="18" fillId="0" borderId="0" xfId="0" applyNumberFormat="1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3" fontId="19" fillId="0" borderId="0" xfId="0" applyNumberFormat="1" applyFont="1" applyAlignment="1">
      <alignment horizontal="center"/>
    </xf>
    <xf numFmtId="6" fontId="19" fillId="0" borderId="0" xfId="0" applyNumberFormat="1" applyFont="1" applyAlignment="1">
      <alignment horizontal="center"/>
    </xf>
    <xf numFmtId="0" fontId="19" fillId="0" borderId="0" xfId="0" applyFont="1" applyBorder="1" applyAlignment="1">
      <alignment horizontal="center"/>
    </xf>
    <xf numFmtId="169" fontId="19" fillId="0" borderId="0" xfId="0" applyNumberFormat="1" applyFont="1" applyAlignment="1">
      <alignment horizontal="center"/>
    </xf>
    <xf numFmtId="169" fontId="18" fillId="0" borderId="0" xfId="0" applyNumberFormat="1" applyFont="1" applyAlignment="1">
      <alignment horizontal="center"/>
    </xf>
    <xf numFmtId="0" fontId="0" fillId="0" borderId="0" xfId="0" applyBorder="1"/>
    <xf numFmtId="0" fontId="18" fillId="0" borderId="0" xfId="4" applyFont="1" applyAlignment="1">
      <alignment horizontal="center"/>
    </xf>
    <xf numFmtId="0" fontId="18" fillId="0" borderId="0" xfId="4" applyFont="1" applyAlignment="1">
      <alignment horizontal="left"/>
    </xf>
    <xf numFmtId="167" fontId="18" fillId="0" borderId="0" xfId="1" applyNumberFormat="1" applyFont="1"/>
    <xf numFmtId="6" fontId="18" fillId="0" borderId="0" xfId="0" applyNumberFormat="1" applyFont="1"/>
    <xf numFmtId="5" fontId="18" fillId="2" borderId="0" xfId="0" applyNumberFormat="1" applyFont="1" applyFill="1"/>
    <xf numFmtId="170" fontId="18" fillId="2" borderId="0" xfId="0" applyNumberFormat="1" applyFont="1" applyFill="1"/>
    <xf numFmtId="170" fontId="18" fillId="0" borderId="0" xfId="0" applyNumberFormat="1" applyFont="1"/>
    <xf numFmtId="5" fontId="18" fillId="0" borderId="0" xfId="0" applyNumberFormat="1" applyFont="1" applyFill="1"/>
    <xf numFmtId="170" fontId="18" fillId="0" borderId="0" xfId="0" applyNumberFormat="1" applyFont="1" applyBorder="1"/>
    <xf numFmtId="10" fontId="18" fillId="0" borderId="0" xfId="0" applyNumberFormat="1" applyFont="1"/>
    <xf numFmtId="5" fontId="18" fillId="0" borderId="0" xfId="0" applyNumberFormat="1" applyFont="1"/>
    <xf numFmtId="165" fontId="18" fillId="0" borderId="0" xfId="0" applyNumberFormat="1" applyFont="1"/>
    <xf numFmtId="165" fontId="18" fillId="0" borderId="0" xfId="3" applyNumberFormat="1" applyFont="1"/>
    <xf numFmtId="170" fontId="18" fillId="2" borderId="0" xfId="0" applyNumberFormat="1" applyFont="1" applyFill="1" applyAlignment="1">
      <alignment horizontal="right"/>
    </xf>
    <xf numFmtId="170" fontId="18" fillId="0" borderId="0" xfId="0" applyNumberFormat="1" applyFont="1" applyAlignment="1">
      <alignment horizontal="right"/>
    </xf>
    <xf numFmtId="170" fontId="18" fillId="0" borderId="0" xfId="0" applyNumberFormat="1" applyFont="1" applyFill="1"/>
    <xf numFmtId="170" fontId="18" fillId="0" borderId="0" xfId="0" applyNumberFormat="1" applyFont="1" applyFill="1" applyBorder="1"/>
    <xf numFmtId="0" fontId="18" fillId="0" borderId="0" xfId="0" applyFont="1" applyFill="1"/>
    <xf numFmtId="167" fontId="18" fillId="0" borderId="3" xfId="1" applyNumberFormat="1" applyFont="1" applyFill="1" applyBorder="1"/>
    <xf numFmtId="167" fontId="18" fillId="0" borderId="3" xfId="1" applyNumberFormat="1" applyFont="1" applyBorder="1"/>
    <xf numFmtId="6" fontId="18" fillId="0" borderId="3" xfId="0" applyNumberFormat="1" applyFont="1" applyBorder="1"/>
    <xf numFmtId="0" fontId="18" fillId="0" borderId="3" xfId="0" applyFont="1" applyBorder="1"/>
    <xf numFmtId="5" fontId="18" fillId="2" borderId="3" xfId="0" applyNumberFormat="1" applyFont="1" applyFill="1" applyBorder="1"/>
    <xf numFmtId="170" fontId="18" fillId="2" borderId="3" xfId="0" applyNumberFormat="1" applyFont="1" applyFill="1" applyBorder="1"/>
    <xf numFmtId="170" fontId="18" fillId="0" borderId="3" xfId="0" applyNumberFormat="1" applyFont="1" applyBorder="1"/>
    <xf numFmtId="5" fontId="18" fillId="0" borderId="3" xfId="0" applyNumberFormat="1" applyFont="1" applyBorder="1"/>
    <xf numFmtId="167" fontId="18" fillId="0" borderId="0" xfId="1" applyNumberFormat="1" applyFont="1" applyFill="1"/>
    <xf numFmtId="6" fontId="18" fillId="0" borderId="0" xfId="2" applyNumberFormat="1" applyFont="1"/>
    <xf numFmtId="169" fontId="18" fillId="0" borderId="0" xfId="0" applyNumberFormat="1" applyFont="1"/>
    <xf numFmtId="170" fontId="18" fillId="0" borderId="0" xfId="0" applyNumberFormat="1" applyFont="1" applyAlignment="1">
      <alignment vertical="center"/>
    </xf>
    <xf numFmtId="170" fontId="18" fillId="0" borderId="0" xfId="0" applyNumberFormat="1" applyFont="1" applyBorder="1" applyAlignment="1">
      <alignment vertical="center"/>
    </xf>
    <xf numFmtId="3" fontId="20" fillId="0" borderId="0" xfId="0" applyNumberFormat="1" applyFont="1"/>
    <xf numFmtId="6" fontId="20" fillId="0" borderId="0" xfId="2" applyNumberFormat="1" applyFont="1"/>
    <xf numFmtId="5" fontId="18" fillId="0" borderId="0" xfId="2" applyNumberFormat="1" applyFont="1"/>
    <xf numFmtId="6" fontId="20" fillId="0" borderId="0" xfId="0" applyNumberFormat="1" applyFont="1"/>
    <xf numFmtId="8" fontId="18" fillId="0" borderId="0" xfId="0" applyNumberFormat="1" applyFont="1"/>
    <xf numFmtId="6" fontId="18" fillId="0" borderId="0" xfId="0" applyNumberFormat="1" applyFont="1" applyBorder="1"/>
    <xf numFmtId="0" fontId="18" fillId="0" borderId="0" xfId="0" applyFont="1"/>
    <xf numFmtId="0" fontId="18" fillId="0" borderId="0" xfId="0" applyFont="1" applyAlignment="1">
      <alignment horizontal="centerContinuous"/>
    </xf>
    <xf numFmtId="22" fontId="18" fillId="0" borderId="0" xfId="0" applyNumberFormat="1" applyFont="1" applyAlignment="1">
      <alignment horizontal="centerContinuous"/>
    </xf>
    <xf numFmtId="169" fontId="18" fillId="0" borderId="0" xfId="0" applyNumberFormat="1" applyFont="1" applyAlignment="1">
      <alignment horizontal="centerContinuous"/>
    </xf>
    <xf numFmtId="10" fontId="18" fillId="0" borderId="0" xfId="0" applyNumberFormat="1" applyFont="1" applyAlignment="1">
      <alignment horizontal="right"/>
    </xf>
    <xf numFmtId="6" fontId="17" fillId="0" borderId="0" xfId="0" applyNumberFormat="1" applyFont="1" applyBorder="1" applyAlignment="1">
      <alignment horizontal="left"/>
    </xf>
    <xf numFmtId="6" fontId="17" fillId="0" borderId="3" xfId="0" applyNumberFormat="1" applyFont="1" applyBorder="1" applyAlignment="1">
      <alignment horizontal="center"/>
    </xf>
    <xf numFmtId="169" fontId="18" fillId="0" borderId="5" xfId="0" applyNumberFormat="1" applyFont="1" applyBorder="1" applyAlignment="1">
      <alignment horizontal="center"/>
    </xf>
    <xf numFmtId="169" fontId="18" fillId="0" borderId="5" xfId="0" applyNumberFormat="1" applyFont="1" applyBorder="1" applyAlignment="1"/>
    <xf numFmtId="0" fontId="18" fillId="0" borderId="0" xfId="0" applyNumberFormat="1" applyFont="1" applyBorder="1" applyAlignment="1"/>
    <xf numFmtId="0" fontId="18" fillId="0" borderId="0" xfId="0" applyFont="1" applyBorder="1" applyAlignment="1">
      <alignment horizontal="centerContinuous"/>
    </xf>
    <xf numFmtId="169" fontId="18" fillId="0" borderId="4" xfId="0" applyNumberFormat="1" applyFont="1" applyBorder="1" applyAlignment="1">
      <alignment horizontal="center"/>
    </xf>
    <xf numFmtId="6" fontId="18" fillId="2" borderId="0" xfId="0" applyNumberFormat="1" applyFont="1" applyFill="1"/>
    <xf numFmtId="3" fontId="18" fillId="0" borderId="3" xfId="1" applyNumberFormat="1" applyFont="1" applyBorder="1"/>
    <xf numFmtId="3" fontId="18" fillId="0" borderId="0" xfId="1" applyNumberFormat="1" applyFont="1"/>
    <xf numFmtId="170" fontId="18" fillId="2" borderId="0" xfId="0" applyNumberFormat="1" applyFont="1" applyFill="1" applyAlignment="1">
      <alignment vertical="center"/>
    </xf>
    <xf numFmtId="3" fontId="18" fillId="0" borderId="0" xfId="0" applyNumberFormat="1" applyFont="1"/>
    <xf numFmtId="0" fontId="17" fillId="0" borderId="0" xfId="0" applyFont="1" applyProtection="1"/>
    <xf numFmtId="3" fontId="18" fillId="0" borderId="0" xfId="0" applyNumberFormat="1" applyFont="1" applyProtection="1"/>
    <xf numFmtId="0" fontId="18" fillId="0" borderId="0" xfId="0" applyFont="1" applyProtection="1"/>
    <xf numFmtId="171" fontId="18" fillId="0" borderId="0" xfId="0" applyNumberFormat="1" applyFont="1" applyProtection="1"/>
    <xf numFmtId="8" fontId="18" fillId="0" borderId="0" xfId="0" applyNumberFormat="1" applyFont="1" applyProtection="1"/>
    <xf numFmtId="6" fontId="18" fillId="0" borderId="0" xfId="0" applyNumberFormat="1" applyFont="1" applyProtection="1"/>
    <xf numFmtId="172" fontId="22" fillId="0" borderId="0" xfId="0" applyNumberFormat="1" applyFont="1" applyProtection="1"/>
    <xf numFmtId="6" fontId="18" fillId="0" borderId="0" xfId="0" applyNumberFormat="1" applyFont="1" applyAlignment="1">
      <alignment horizontal="right"/>
    </xf>
    <xf numFmtId="3" fontId="18" fillId="0" borderId="0" xfId="0" applyNumberFormat="1" applyFont="1" applyAlignment="1" applyProtection="1">
      <alignment horizontal="center"/>
    </xf>
    <xf numFmtId="0" fontId="18" fillId="0" borderId="0" xfId="0" applyFont="1" applyBorder="1"/>
    <xf numFmtId="6" fontId="18" fillId="0" borderId="0" xfId="0" applyNumberFormat="1" applyFont="1" applyBorder="1" applyAlignment="1" applyProtection="1">
      <alignment horizontal="centerContinuous"/>
    </xf>
    <xf numFmtId="0" fontId="23" fillId="0" borderId="0" xfId="0" applyFont="1" applyProtection="1">
      <protection locked="0"/>
    </xf>
    <xf numFmtId="3" fontId="22" fillId="0" borderId="0" xfId="8" applyNumberFormat="1" applyFont="1" applyAlignment="1" applyProtection="1">
      <alignment horizontal="center"/>
      <protection locked="0"/>
    </xf>
    <xf numFmtId="6" fontId="23" fillId="0" borderId="0" xfId="0" applyNumberFormat="1" applyFont="1" applyAlignment="1" applyProtection="1">
      <protection locked="0"/>
    </xf>
    <xf numFmtId="0" fontId="19" fillId="0" borderId="0" xfId="8" applyFont="1" applyProtection="1"/>
    <xf numFmtId="0" fontId="19" fillId="0" borderId="0" xfId="8" applyFont="1" applyAlignment="1" applyProtection="1">
      <alignment horizontal="center"/>
    </xf>
    <xf numFmtId="3" fontId="19" fillId="0" borderId="0" xfId="8" applyNumberFormat="1" applyFont="1" applyAlignment="1" applyProtection="1">
      <alignment horizontal="center"/>
    </xf>
    <xf numFmtId="0" fontId="18" fillId="0" borderId="0" xfId="0" applyFont="1" applyAlignment="1" applyProtection="1">
      <alignment horizontal="center"/>
    </xf>
    <xf numFmtId="0" fontId="19" fillId="0" borderId="0" xfId="0" applyFont="1" applyAlignment="1" applyProtection="1">
      <alignment horizontal="center"/>
    </xf>
    <xf numFmtId="6" fontId="19" fillId="0" borderId="0" xfId="0" applyNumberFormat="1" applyFont="1" applyAlignment="1" applyProtection="1">
      <alignment horizontal="center"/>
    </xf>
    <xf numFmtId="8" fontId="19" fillId="0" borderId="0" xfId="0" applyNumberFormat="1" applyFont="1" applyAlignment="1" applyProtection="1">
      <alignment horizontal="center"/>
    </xf>
    <xf numFmtId="8" fontId="18" fillId="0" borderId="0" xfId="0" applyNumberFormat="1" applyFont="1" applyAlignment="1" applyProtection="1">
      <alignment horizontal="center"/>
    </xf>
    <xf numFmtId="6" fontId="19" fillId="0" borderId="0" xfId="0" applyNumberFormat="1" applyFont="1" applyBorder="1" applyAlignment="1" applyProtection="1">
      <alignment horizontal="center"/>
    </xf>
    <xf numFmtId="0" fontId="19" fillId="0" borderId="0" xfId="0" applyFont="1" applyProtection="1"/>
    <xf numFmtId="171" fontId="18" fillId="0" borderId="0" xfId="0" applyNumberFormat="1" applyFont="1" applyAlignment="1" applyProtection="1">
      <alignment horizontal="center"/>
    </xf>
    <xf numFmtId="8" fontId="18" fillId="0" borderId="0" xfId="0" applyNumberFormat="1" applyFont="1" applyAlignment="1" applyProtection="1"/>
    <xf numFmtId="6" fontId="18" fillId="0" borderId="0" xfId="0" applyNumberFormat="1" applyFont="1" applyAlignment="1" applyProtection="1">
      <alignment horizontal="center"/>
    </xf>
    <xf numFmtId="0" fontId="18" fillId="0" borderId="0" xfId="8" applyFont="1" applyProtection="1"/>
    <xf numFmtId="0" fontId="18" fillId="0" borderId="0" xfId="8" applyFont="1" applyAlignment="1" applyProtection="1">
      <alignment horizontal="center"/>
    </xf>
    <xf numFmtId="3" fontId="18" fillId="0" borderId="0" xfId="8" applyNumberFormat="1" applyFont="1" applyAlignment="1" applyProtection="1">
      <alignment horizontal="center"/>
    </xf>
    <xf numFmtId="6" fontId="23" fillId="0" borderId="0" xfId="0" applyNumberFormat="1" applyFont="1" applyProtection="1">
      <protection locked="0"/>
    </xf>
    <xf numFmtId="173" fontId="18" fillId="0" borderId="0" xfId="0" applyNumberFormat="1" applyFont="1" applyProtection="1"/>
    <xf numFmtId="6" fontId="18" fillId="0" borderId="1" xfId="0" applyNumberFormat="1" applyFont="1" applyBorder="1" applyProtection="1"/>
    <xf numFmtId="8" fontId="22" fillId="0" borderId="0" xfId="8" applyNumberFormat="1" applyFont="1" applyProtection="1"/>
    <xf numFmtId="37" fontId="18" fillId="0" borderId="0" xfId="0" applyNumberFormat="1" applyFont="1" applyProtection="1"/>
    <xf numFmtId="174" fontId="18" fillId="0" borderId="0" xfId="0" applyNumberFormat="1" applyFont="1" applyProtection="1"/>
    <xf numFmtId="173" fontId="22" fillId="0" borderId="0" xfId="0" applyNumberFormat="1" applyFont="1" applyProtection="1"/>
    <xf numFmtId="37" fontId="18" fillId="0" borderId="0" xfId="0" applyNumberFormat="1" applyFont="1"/>
    <xf numFmtId="0" fontId="18" fillId="0" borderId="0" xfId="8" applyFont="1" applyAlignment="1">
      <alignment horizontal="center"/>
    </xf>
    <xf numFmtId="6" fontId="18" fillId="0" borderId="0" xfId="0" applyNumberFormat="1" applyFont="1" applyBorder="1" applyProtection="1"/>
    <xf numFmtId="171" fontId="24" fillId="0" borderId="0" xfId="0" applyNumberFormat="1" applyFont="1" applyAlignment="1">
      <alignment horizontal="right"/>
    </xf>
    <xf numFmtId="0" fontId="17" fillId="0" borderId="0" xfId="0" applyFont="1"/>
    <xf numFmtId="6" fontId="17" fillId="0" borderId="0" xfId="0" applyNumberFormat="1" applyFont="1"/>
    <xf numFmtId="8" fontId="22" fillId="0" borderId="0" xfId="0" applyNumberFormat="1" applyFont="1"/>
    <xf numFmtId="3" fontId="19" fillId="0" borderId="0" xfId="0" applyNumberFormat="1" applyFont="1" applyAlignment="1">
      <alignment horizontal="right"/>
    </xf>
    <xf numFmtId="0" fontId="19" fillId="0" borderId="0" xfId="0" applyFont="1" applyAlignment="1">
      <alignment horizontal="right"/>
    </xf>
    <xf numFmtId="8" fontId="19" fillId="0" borderId="0" xfId="0" applyNumberFormat="1" applyFont="1" applyAlignment="1">
      <alignment horizontal="right"/>
    </xf>
    <xf numFmtId="172" fontId="22" fillId="0" borderId="0" xfId="0" applyNumberFormat="1" applyFont="1" applyAlignment="1">
      <alignment horizontal="right"/>
    </xf>
    <xf numFmtId="6" fontId="18" fillId="0" borderId="0" xfId="8" applyNumberFormat="1" applyFont="1" applyAlignment="1" applyProtection="1">
      <alignment horizontal="center"/>
    </xf>
    <xf numFmtId="175" fontId="18" fillId="0" borderId="0" xfId="0" applyNumberFormat="1" applyFont="1"/>
    <xf numFmtId="6" fontId="19" fillId="0" borderId="0" xfId="0" applyNumberFormat="1" applyFont="1"/>
    <xf numFmtId="0" fontId="19" fillId="0" borderId="0" xfId="0" applyFont="1"/>
    <xf numFmtId="175" fontId="19" fillId="0" borderId="0" xfId="0" applyNumberFormat="1" applyFont="1"/>
    <xf numFmtId="8" fontId="19" fillId="0" borderId="0" xfId="0" applyNumberFormat="1" applyFont="1"/>
    <xf numFmtId="172" fontId="25" fillId="0" borderId="0" xfId="0" applyNumberFormat="1" applyFont="1"/>
    <xf numFmtId="0" fontId="17" fillId="0" borderId="0" xfId="0" applyFont="1" applyAlignment="1">
      <alignment horizontal="right"/>
    </xf>
    <xf numFmtId="6" fontId="18" fillId="0" borderId="1" xfId="0" applyNumberFormat="1" applyFont="1" applyFill="1" applyBorder="1"/>
    <xf numFmtId="6" fontId="18" fillId="0" borderId="0" xfId="0" applyNumberFormat="1" applyFont="1" applyFill="1"/>
    <xf numFmtId="172" fontId="22" fillId="0" borderId="0" xfId="0" applyNumberFormat="1" applyFont="1" applyFill="1"/>
    <xf numFmtId="172" fontId="22" fillId="0" borderId="0" xfId="0" applyNumberFormat="1" applyFont="1"/>
    <xf numFmtId="6" fontId="0" fillId="0" borderId="0" xfId="0" applyNumberFormat="1"/>
    <xf numFmtId="8" fontId="22" fillId="0" borderId="0" xfId="0" applyNumberFormat="1" applyFont="1" applyAlignment="1">
      <alignment horizontal="right"/>
    </xf>
    <xf numFmtId="8" fontId="22" fillId="0" borderId="0" xfId="0" applyNumberFormat="1" applyFont="1" applyAlignment="1"/>
    <xf numFmtId="0" fontId="17" fillId="0" borderId="0" xfId="0" applyFont="1" applyAlignment="1" applyProtection="1">
      <alignment horizontal="center"/>
    </xf>
    <xf numFmtId="49" fontId="18" fillId="0" borderId="3" xfId="0" applyNumberFormat="1" applyFont="1" applyBorder="1" applyAlignment="1" applyProtection="1">
      <alignment horizontal="centerContinuous"/>
    </xf>
    <xf numFmtId="49" fontId="23" fillId="0" borderId="3" xfId="0" applyNumberFormat="1" applyFont="1" applyBorder="1" applyAlignment="1" applyProtection="1">
      <alignment horizontal="centerContinuous"/>
      <protection locked="0"/>
    </xf>
    <xf numFmtId="0" fontId="18" fillId="0" borderId="3" xfId="0" applyFont="1" applyBorder="1" applyAlignment="1" applyProtection="1">
      <alignment horizontal="center"/>
    </xf>
    <xf numFmtId="10" fontId="18" fillId="0" borderId="0" xfId="3" applyNumberFormat="1" applyFont="1"/>
    <xf numFmtId="176" fontId="18" fillId="0" borderId="0" xfId="8" applyNumberFormat="1" applyFont="1"/>
    <xf numFmtId="0" fontId="18" fillId="0" borderId="0" xfId="8" applyFont="1"/>
    <xf numFmtId="6" fontId="18" fillId="0" borderId="0" xfId="8" applyNumberFormat="1" applyFont="1" applyProtection="1"/>
    <xf numFmtId="0" fontId="18" fillId="0" borderId="0" xfId="8" applyFont="1" applyAlignment="1" applyProtection="1">
      <alignment horizontal="left"/>
    </xf>
    <xf numFmtId="164" fontId="27" fillId="0" borderId="0" xfId="9" applyNumberFormat="1" applyFont="1"/>
    <xf numFmtId="171" fontId="22" fillId="0" borderId="0" xfId="0" applyNumberFormat="1" applyFont="1"/>
    <xf numFmtId="3" fontId="18" fillId="0" borderId="3" xfId="0" applyNumberFormat="1" applyFont="1" applyBorder="1" applyAlignment="1">
      <alignment horizontal="centerContinuous"/>
    </xf>
    <xf numFmtId="8" fontId="18" fillId="0" borderId="3" xfId="0" applyNumberFormat="1" applyFont="1" applyBorder="1" applyAlignment="1">
      <alignment horizontal="centerContinuous"/>
    </xf>
    <xf numFmtId="173" fontId="22" fillId="0" borderId="0" xfId="8" applyNumberFormat="1" applyFont="1" applyProtection="1"/>
    <xf numFmtId="176" fontId="18" fillId="0" borderId="0" xfId="8" applyNumberFormat="1" applyFont="1" applyAlignment="1">
      <alignment horizontal="center"/>
    </xf>
    <xf numFmtId="8" fontId="22" fillId="0" borderId="0" xfId="0" applyNumberFormat="1" applyFont="1" applyProtection="1"/>
    <xf numFmtId="0" fontId="28" fillId="0" borderId="0" xfId="0" applyFont="1" applyProtection="1"/>
    <xf numFmtId="8" fontId="18" fillId="0" borderId="0" xfId="0" applyNumberFormat="1" applyFont="1" applyFill="1" applyProtection="1"/>
    <xf numFmtId="6" fontId="18" fillId="0" borderId="0" xfId="0" applyNumberFormat="1" applyFont="1" applyFill="1" applyProtection="1"/>
    <xf numFmtId="6" fontId="23" fillId="0" borderId="0" xfId="0" applyNumberFormat="1" applyFont="1" applyFill="1" applyProtection="1">
      <protection locked="0"/>
    </xf>
    <xf numFmtId="3" fontId="18" fillId="0" borderId="0" xfId="8" applyNumberFormat="1" applyFont="1" applyFill="1" applyAlignment="1" applyProtection="1">
      <alignment horizontal="center"/>
    </xf>
    <xf numFmtId="9" fontId="18" fillId="0" borderId="0" xfId="3" applyFont="1" applyAlignment="1" applyProtection="1">
      <alignment horizontal="center"/>
    </xf>
    <xf numFmtId="173" fontId="18" fillId="0" borderId="0" xfId="0" applyNumberFormat="1" applyFont="1" applyFill="1" applyProtection="1"/>
    <xf numFmtId="0" fontId="29" fillId="0" borderId="0" xfId="0" applyFont="1" applyAlignment="1" applyProtection="1">
      <alignment horizontal="left"/>
    </xf>
    <xf numFmtId="0" fontId="29" fillId="0" borderId="0" xfId="0" applyFont="1" applyAlignment="1" applyProtection="1">
      <alignment horizontal="center"/>
    </xf>
    <xf numFmtId="0" fontId="18" fillId="0" borderId="0" xfId="10" applyFont="1" applyProtection="1"/>
    <xf numFmtId="9" fontId="18" fillId="0" borderId="0" xfId="3" applyFont="1" applyFill="1" applyAlignment="1" applyProtection="1">
      <alignment horizontal="center"/>
    </xf>
    <xf numFmtId="9" fontId="18" fillId="0" borderId="0" xfId="3" applyFont="1" applyProtection="1"/>
    <xf numFmtId="8" fontId="18" fillId="0" borderId="0" xfId="0" applyNumberFormat="1" applyFont="1" applyBorder="1" applyProtection="1"/>
    <xf numFmtId="172" fontId="22" fillId="0" borderId="0" xfId="0" applyNumberFormat="1" applyFont="1" applyBorder="1" applyProtection="1"/>
    <xf numFmtId="173" fontId="18" fillId="0" borderId="0" xfId="0" applyNumberFormat="1" applyFont="1" applyBorder="1" applyProtection="1"/>
    <xf numFmtId="6" fontId="18" fillId="0" borderId="0" xfId="3" applyNumberFormat="1" applyFont="1"/>
    <xf numFmtId="6" fontId="19" fillId="0" borderId="1" xfId="0" applyNumberFormat="1" applyFont="1" applyBorder="1" applyProtection="1"/>
    <xf numFmtId="3" fontId="18" fillId="0" borderId="0" xfId="8" applyNumberFormat="1" applyFont="1" applyAlignment="1" applyProtection="1">
      <alignment horizontal="left"/>
    </xf>
    <xf numFmtId="9" fontId="18" fillId="0" borderId="0" xfId="3" applyFont="1"/>
    <xf numFmtId="10" fontId="20" fillId="0" borderId="0" xfId="3" applyNumberFormat="1" applyFont="1"/>
    <xf numFmtId="177" fontId="18" fillId="0" borderId="0" xfId="2" applyNumberFormat="1" applyFont="1" applyAlignment="1" applyProtection="1">
      <alignment horizontal="left"/>
    </xf>
    <xf numFmtId="9" fontId="18" fillId="0" borderId="0" xfId="0" applyNumberFormat="1" applyFont="1"/>
    <xf numFmtId="8" fontId="18" fillId="0" borderId="0" xfId="8" applyNumberFormat="1" applyFont="1" applyProtection="1"/>
    <xf numFmtId="173" fontId="18" fillId="0" borderId="0" xfId="8" applyNumberFormat="1" applyFont="1" applyProtection="1"/>
    <xf numFmtId="164" fontId="22" fillId="0" borderId="0" xfId="2" applyNumberFormat="1" applyFont="1" applyProtection="1"/>
    <xf numFmtId="175" fontId="19" fillId="0" borderId="0" xfId="0" applyNumberFormat="1" applyFont="1" applyBorder="1"/>
    <xf numFmtId="172" fontId="22" fillId="0" borderId="0" xfId="0" applyNumberFormat="1" applyFont="1" applyFill="1" applyProtection="1"/>
    <xf numFmtId="173" fontId="22" fillId="0" borderId="0" xfId="0" applyNumberFormat="1" applyFont="1" applyFill="1" applyProtection="1"/>
    <xf numFmtId="6" fontId="18" fillId="0" borderId="1" xfId="0" applyNumberFormat="1" applyFont="1" applyFill="1" applyBorder="1" applyProtection="1"/>
    <xf numFmtId="6" fontId="18" fillId="0" borderId="0" xfId="0" applyNumberFormat="1" applyFont="1" applyFill="1" applyBorder="1" applyProtection="1"/>
    <xf numFmtId="171" fontId="24" fillId="0" borderId="0" xfId="0" applyNumberFormat="1" applyFont="1" applyFill="1" applyAlignment="1">
      <alignment horizontal="right"/>
    </xf>
    <xf numFmtId="0" fontId="17" fillId="0" borderId="0" xfId="0" applyFont="1" applyFill="1"/>
    <xf numFmtId="44" fontId="18" fillId="0" borderId="0" xfId="0" applyNumberFormat="1" applyFont="1" applyBorder="1" applyAlignment="1"/>
    <xf numFmtId="44" fontId="18" fillId="0" borderId="0" xfId="0" applyNumberFormat="1" applyFont="1" applyBorder="1" applyAlignment="1">
      <alignment horizontal="center"/>
    </xf>
    <xf numFmtId="167" fontId="19" fillId="0" borderId="0" xfId="0" applyNumberFormat="1" applyFont="1" applyAlignment="1">
      <alignment horizontal="right"/>
    </xf>
    <xf numFmtId="0" fontId="19" fillId="0" borderId="0" xfId="0" applyFont="1" applyBorder="1" applyAlignment="1">
      <alignment horizontal="right"/>
    </xf>
    <xf numFmtId="165" fontId="19" fillId="0" borderId="0" xfId="0" applyNumberFormat="1" applyFont="1" applyAlignment="1">
      <alignment horizontal="center"/>
    </xf>
    <xf numFmtId="167" fontId="18" fillId="0" borderId="0" xfId="0" applyNumberFormat="1" applyFont="1" applyAlignment="1">
      <alignment horizontal="center"/>
    </xf>
    <xf numFmtId="44" fontId="18" fillId="0" borderId="0" xfId="2" applyFont="1"/>
    <xf numFmtId="165" fontId="18" fillId="0" borderId="0" xfId="3" applyNumberFormat="1" applyFont="1" applyAlignment="1">
      <alignment horizontal="right"/>
    </xf>
    <xf numFmtId="44" fontId="18" fillId="0" borderId="0" xfId="0" applyNumberFormat="1" applyFont="1"/>
    <xf numFmtId="7" fontId="18" fillId="0" borderId="0" xfId="2" applyNumberFormat="1" applyFont="1"/>
    <xf numFmtId="44" fontId="18" fillId="0" borderId="0" xfId="2" applyFont="1" applyAlignment="1">
      <alignment horizontal="center"/>
    </xf>
    <xf numFmtId="44" fontId="0" fillId="0" borderId="0" xfId="2" applyFont="1"/>
    <xf numFmtId="0" fontId="17" fillId="0" borderId="0" xfId="11" applyFont="1" applyAlignment="1" applyProtection="1">
      <alignment horizontal="center"/>
    </xf>
    <xf numFmtId="0" fontId="18" fillId="0" borderId="0" xfId="11" applyFont="1" applyAlignment="1" applyProtection="1">
      <alignment horizontal="center"/>
    </xf>
    <xf numFmtId="0" fontId="18" fillId="0" borderId="0" xfId="11" applyFont="1" applyProtection="1"/>
    <xf numFmtId="10" fontId="18" fillId="0" borderId="0" xfId="11" applyNumberFormat="1" applyFont="1" applyAlignment="1" applyProtection="1">
      <alignment horizontal="right"/>
    </xf>
    <xf numFmtId="10" fontId="18" fillId="0" borderId="0" xfId="11" applyNumberFormat="1" applyFont="1" applyProtection="1"/>
    <xf numFmtId="0" fontId="18" fillId="0" borderId="1" xfId="11" applyFont="1" applyBorder="1" applyAlignment="1" applyProtection="1">
      <alignment horizontal="centerContinuous"/>
    </xf>
    <xf numFmtId="0" fontId="21" fillId="0" borderId="0" xfId="11" applyFont="1"/>
    <xf numFmtId="0" fontId="18" fillId="0" borderId="0" xfId="11" applyFont="1"/>
    <xf numFmtId="0" fontId="19" fillId="0" borderId="0" xfId="11" applyFont="1" applyAlignment="1" applyProtection="1">
      <alignment horizontal="center"/>
    </xf>
    <xf numFmtId="37" fontId="18" fillId="0" borderId="0" xfId="11" applyNumberFormat="1" applyFont="1" applyAlignment="1" applyProtection="1">
      <alignment horizontal="center"/>
      <protection locked="0"/>
    </xf>
    <xf numFmtId="7" fontId="18" fillId="0" borderId="0" xfId="11" applyNumberFormat="1" applyFont="1" applyAlignment="1" applyProtection="1">
      <alignment horizontal="center"/>
    </xf>
    <xf numFmtId="7" fontId="18" fillId="0" borderId="0" xfId="11" applyNumberFormat="1" applyFont="1"/>
    <xf numFmtId="7" fontId="18" fillId="0" borderId="0" xfId="11" applyNumberFormat="1" applyFont="1" applyAlignment="1">
      <alignment horizontal="center"/>
    </xf>
    <xf numFmtId="165" fontId="18" fillId="0" borderId="0" xfId="12" applyNumberFormat="1" applyFont="1" applyAlignment="1">
      <alignment horizontal="center"/>
    </xf>
    <xf numFmtId="7" fontId="21" fillId="0" borderId="0" xfId="11" applyNumberFormat="1" applyFont="1"/>
    <xf numFmtId="37" fontId="17" fillId="0" borderId="0" xfId="11" applyNumberFormat="1" applyFont="1" applyAlignment="1" applyProtection="1">
      <alignment horizontal="center"/>
      <protection locked="0"/>
    </xf>
    <xf numFmtId="7" fontId="17" fillId="0" borderId="0" xfId="11" applyNumberFormat="1" applyFont="1" applyAlignment="1" applyProtection="1">
      <alignment horizontal="center"/>
    </xf>
    <xf numFmtId="7" fontId="17" fillId="0" borderId="0" xfId="11" applyNumberFormat="1" applyFont="1"/>
    <xf numFmtId="43" fontId="27" fillId="0" borderId="0" xfId="1" quotePrefix="1" applyFont="1" applyAlignment="1">
      <alignment horizontal="right"/>
    </xf>
    <xf numFmtId="43" fontId="27" fillId="0" borderId="0" xfId="1" applyFont="1" applyAlignment="1">
      <alignment horizontal="right"/>
    </xf>
    <xf numFmtId="43" fontId="18" fillId="0" borderId="0" xfId="1" applyFont="1"/>
    <xf numFmtId="43" fontId="31" fillId="0" borderId="0" xfId="1" applyFont="1" applyAlignment="1">
      <alignment horizontal="right"/>
    </xf>
    <xf numFmtId="7" fontId="27" fillId="0" borderId="0" xfId="9" applyNumberFormat="1" applyFont="1"/>
    <xf numFmtId="178" fontId="18" fillId="0" borderId="0" xfId="0" applyNumberFormat="1" applyFont="1" applyProtection="1"/>
    <xf numFmtId="179" fontId="18" fillId="0" borderId="0" xfId="11" applyNumberFormat="1" applyFont="1"/>
    <xf numFmtId="0" fontId="27" fillId="0" borderId="0" xfId="9" applyFont="1" applyAlignment="1">
      <alignment horizontal="left"/>
    </xf>
    <xf numFmtId="180" fontId="18" fillId="0" borderId="0" xfId="0" applyNumberFormat="1" applyFont="1" applyProtection="1"/>
    <xf numFmtId="0" fontId="27" fillId="0" borderId="0" xfId="9" applyFont="1" applyFill="1" applyAlignment="1">
      <alignment horizontal="left"/>
    </xf>
    <xf numFmtId="164" fontId="18" fillId="0" borderId="0" xfId="11" applyNumberFormat="1" applyFont="1"/>
    <xf numFmtId="0" fontId="17" fillId="0" borderId="0" xfId="11" quotePrefix="1" applyFont="1" applyAlignment="1" applyProtection="1">
      <alignment horizontal="center"/>
    </xf>
    <xf numFmtId="7" fontId="18" fillId="0" borderId="0" xfId="11" applyNumberFormat="1" applyFont="1" applyBorder="1" applyProtection="1"/>
    <xf numFmtId="7" fontId="17" fillId="0" borderId="0" xfId="11" applyNumberFormat="1" applyFont="1" applyBorder="1" applyProtection="1"/>
    <xf numFmtId="43" fontId="18" fillId="0" borderId="0" xfId="1" applyFont="1" applyProtection="1"/>
    <xf numFmtId="7" fontId="18" fillId="0" borderId="0" xfId="11" applyNumberFormat="1" applyFont="1" applyProtection="1"/>
    <xf numFmtId="164" fontId="18" fillId="0" borderId="0" xfId="11" applyNumberFormat="1" applyFont="1" applyProtection="1"/>
    <xf numFmtId="173" fontId="18" fillId="0" borderId="0" xfId="11" applyNumberFormat="1" applyFont="1"/>
    <xf numFmtId="9" fontId="27" fillId="0" borderId="0" xfId="3" applyFont="1"/>
    <xf numFmtId="0" fontId="17" fillId="0" borderId="0" xfId="10" applyFont="1" applyAlignment="1" applyProtection="1">
      <alignment horizontal="center"/>
    </xf>
    <xf numFmtId="0" fontId="18" fillId="0" borderId="0" xfId="10" applyFont="1" applyAlignment="1" applyProtection="1">
      <alignment horizontal="center"/>
    </xf>
    <xf numFmtId="10" fontId="18" fillId="0" borderId="0" xfId="10" applyNumberFormat="1" applyFont="1" applyAlignment="1" applyProtection="1">
      <alignment horizontal="right"/>
    </xf>
    <xf numFmtId="10" fontId="18" fillId="0" borderId="0" xfId="10" applyNumberFormat="1" applyFont="1" applyProtection="1"/>
    <xf numFmtId="0" fontId="18" fillId="0" borderId="0" xfId="10" applyFont="1"/>
    <xf numFmtId="0" fontId="19" fillId="0" borderId="0" xfId="10" applyFont="1" applyAlignment="1" applyProtection="1">
      <alignment horizontal="center"/>
    </xf>
    <xf numFmtId="37" fontId="18" fillId="0" borderId="0" xfId="10" applyNumberFormat="1" applyFont="1" applyAlignment="1" applyProtection="1">
      <alignment horizontal="center"/>
      <protection locked="0"/>
    </xf>
    <xf numFmtId="7" fontId="18" fillId="0" borderId="0" xfId="10" applyNumberFormat="1" applyFont="1" applyAlignment="1" applyProtection="1">
      <alignment horizontal="center"/>
    </xf>
    <xf numFmtId="7" fontId="18" fillId="0" borderId="0" xfId="10" applyNumberFormat="1" applyFont="1" applyBorder="1" applyProtection="1"/>
    <xf numFmtId="7" fontId="18" fillId="0" borderId="0" xfId="10" applyNumberFormat="1" applyFont="1"/>
    <xf numFmtId="7" fontId="18" fillId="0" borderId="0" xfId="10" applyNumberFormat="1" applyFont="1" applyAlignment="1">
      <alignment horizontal="center"/>
    </xf>
    <xf numFmtId="165" fontId="18" fillId="0" borderId="0" xfId="3" applyNumberFormat="1" applyFont="1" applyAlignment="1">
      <alignment horizontal="center"/>
    </xf>
    <xf numFmtId="8" fontId="18" fillId="0" borderId="0" xfId="2" applyNumberFormat="1" applyFont="1"/>
    <xf numFmtId="8" fontId="18" fillId="0" borderId="0" xfId="10" applyNumberFormat="1" applyFont="1"/>
    <xf numFmtId="37" fontId="18" fillId="0" borderId="0" xfId="10" applyNumberFormat="1" applyFont="1" applyFill="1" applyAlignment="1" applyProtection="1">
      <alignment horizontal="center"/>
      <protection locked="0"/>
    </xf>
    <xf numFmtId="7" fontId="18" fillId="0" borderId="0" xfId="10" applyNumberFormat="1" applyFont="1" applyFill="1" applyAlignment="1" applyProtection="1">
      <alignment horizontal="center"/>
    </xf>
    <xf numFmtId="7" fontId="18" fillId="0" borderId="0" xfId="10" applyNumberFormat="1" applyFont="1" applyFill="1" applyBorder="1" applyProtection="1"/>
    <xf numFmtId="7" fontId="18" fillId="0" borderId="0" xfId="10" applyNumberFormat="1" applyFont="1" applyFill="1"/>
    <xf numFmtId="7" fontId="18" fillId="0" borderId="0" xfId="10" applyNumberFormat="1" applyFont="1" applyFill="1" applyAlignment="1">
      <alignment horizontal="center"/>
    </xf>
    <xf numFmtId="165" fontId="18" fillId="0" borderId="0" xfId="3" applyNumberFormat="1" applyFont="1" applyFill="1" applyAlignment="1">
      <alignment horizontal="center"/>
    </xf>
    <xf numFmtId="0" fontId="18" fillId="0" borderId="0" xfId="10" applyFont="1" applyFill="1"/>
    <xf numFmtId="7" fontId="18" fillId="0" borderId="0" xfId="10" applyNumberFormat="1" applyFont="1" applyFill="1" applyProtection="1"/>
    <xf numFmtId="0" fontId="19" fillId="0" borderId="0" xfId="10" applyFont="1" applyFill="1" applyAlignment="1" applyProtection="1">
      <alignment horizontal="center"/>
    </xf>
    <xf numFmtId="7" fontId="19" fillId="0" borderId="0" xfId="10" applyNumberFormat="1" applyFont="1" applyFill="1" applyAlignment="1" applyProtection="1">
      <alignment horizontal="center"/>
    </xf>
    <xf numFmtId="37" fontId="18" fillId="0" borderId="0" xfId="10" applyNumberFormat="1" applyFont="1" applyFill="1" applyAlignment="1" applyProtection="1">
      <alignment horizontal="center"/>
    </xf>
    <xf numFmtId="8" fontId="18" fillId="0" borderId="0" xfId="10" applyNumberFormat="1" applyFont="1" applyFill="1" applyAlignment="1" applyProtection="1">
      <alignment horizontal="center"/>
    </xf>
    <xf numFmtId="39" fontId="18" fillId="0" borderId="0" xfId="10" applyNumberFormat="1" applyFont="1" applyFill="1" applyBorder="1" applyProtection="1"/>
    <xf numFmtId="8" fontId="18" fillId="0" borderId="0" xfId="10" applyNumberFormat="1" applyFont="1" applyFill="1" applyAlignment="1">
      <alignment horizontal="center"/>
    </xf>
    <xf numFmtId="10" fontId="18" fillId="0" borderId="0" xfId="10" applyNumberFormat="1" applyFont="1" applyAlignment="1" applyProtection="1">
      <alignment horizontal="center"/>
    </xf>
    <xf numFmtId="0" fontId="18" fillId="0" borderId="0" xfId="10" applyFont="1" applyBorder="1" applyProtection="1"/>
    <xf numFmtId="44" fontId="22" fillId="0" borderId="0" xfId="2" applyFont="1" applyAlignment="1" applyProtection="1">
      <alignment horizontal="right"/>
    </xf>
    <xf numFmtId="44" fontId="32" fillId="0" borderId="0" xfId="2" applyFont="1" applyAlignment="1" applyProtection="1">
      <alignment horizontal="right"/>
    </xf>
    <xf numFmtId="8" fontId="22" fillId="0" borderId="0" xfId="2" applyNumberFormat="1" applyFont="1" applyProtection="1"/>
    <xf numFmtId="44" fontId="18" fillId="0" borderId="0" xfId="2" applyFont="1" applyProtection="1"/>
    <xf numFmtId="8" fontId="22" fillId="0" borderId="0" xfId="2" applyNumberFormat="1" applyFont="1" applyFill="1" applyProtection="1"/>
    <xf numFmtId="164" fontId="18" fillId="0" borderId="0" xfId="10" applyNumberFormat="1" applyFont="1" applyProtection="1"/>
    <xf numFmtId="164" fontId="22" fillId="0" borderId="0" xfId="2" applyNumberFormat="1" applyFont="1" applyFill="1" applyProtection="1"/>
    <xf numFmtId="181" fontId="22" fillId="0" borderId="0" xfId="2" applyNumberFormat="1" applyFont="1" applyProtection="1">
      <protection locked="0"/>
    </xf>
    <xf numFmtId="164" fontId="18" fillId="0" borderId="0" xfId="10" applyNumberFormat="1" applyFont="1"/>
    <xf numFmtId="164" fontId="22" fillId="0" borderId="0" xfId="2" applyNumberFormat="1" applyFont="1" applyProtection="1">
      <protection locked="0"/>
    </xf>
    <xf numFmtId="0" fontId="18" fillId="0" borderId="0" xfId="10" applyFont="1" applyAlignment="1">
      <alignment horizontal="left"/>
    </xf>
    <xf numFmtId="0" fontId="18" fillId="0" borderId="0" xfId="10" applyFont="1" applyAlignment="1">
      <alignment horizontal="center"/>
    </xf>
    <xf numFmtId="0" fontId="18" fillId="0" borderId="1" xfId="10" applyFont="1" applyBorder="1" applyAlignment="1" applyProtection="1">
      <alignment horizontal="centerContinuous"/>
    </xf>
    <xf numFmtId="0" fontId="19" fillId="0" borderId="0" xfId="10" applyFont="1" applyAlignment="1">
      <alignment horizontal="center"/>
    </xf>
    <xf numFmtId="37" fontId="18" fillId="0" borderId="0" xfId="10" applyNumberFormat="1" applyFont="1" applyAlignment="1" applyProtection="1">
      <alignment horizontal="center"/>
    </xf>
    <xf numFmtId="0" fontId="17" fillId="0" borderId="0" xfId="10" applyFont="1" applyFill="1" applyAlignment="1" applyProtection="1">
      <alignment horizontal="center"/>
    </xf>
    <xf numFmtId="37" fontId="17" fillId="0" borderId="0" xfId="10" applyNumberFormat="1" applyFont="1" applyFill="1" applyAlignment="1" applyProtection="1">
      <alignment horizontal="center"/>
    </xf>
    <xf numFmtId="7" fontId="17" fillId="0" borderId="0" xfId="10" applyNumberFormat="1" applyFont="1" applyFill="1" applyAlignment="1" applyProtection="1">
      <alignment horizontal="center"/>
    </xf>
    <xf numFmtId="7" fontId="17" fillId="0" borderId="0" xfId="10" applyNumberFormat="1" applyFont="1" applyFill="1"/>
    <xf numFmtId="0" fontId="17" fillId="0" borderId="0" xfId="10" applyFont="1" applyFill="1"/>
    <xf numFmtId="0" fontId="17" fillId="0" borderId="0" xfId="10" applyFont="1"/>
    <xf numFmtId="8" fontId="17" fillId="0" borderId="0" xfId="10" applyNumberFormat="1" applyFont="1"/>
    <xf numFmtId="0" fontId="18" fillId="0" borderId="0" xfId="10" applyFont="1" applyFill="1" applyAlignment="1" applyProtection="1">
      <alignment horizontal="center"/>
    </xf>
    <xf numFmtId="7" fontId="18" fillId="0" borderId="1" xfId="10" applyNumberFormat="1" applyFont="1" applyFill="1" applyBorder="1" applyAlignment="1" applyProtection="1">
      <alignment horizontal="centerContinuous"/>
    </xf>
    <xf numFmtId="37" fontId="23" fillId="0" borderId="0" xfId="10" applyNumberFormat="1" applyFont="1" applyFill="1" applyAlignment="1" applyProtection="1">
      <alignment horizontal="center"/>
    </xf>
    <xf numFmtId="0" fontId="18" fillId="0" borderId="0" xfId="10" applyFont="1" applyBorder="1" applyAlignment="1" applyProtection="1">
      <alignment horizontal="centerContinuous"/>
    </xf>
    <xf numFmtId="182" fontId="18" fillId="0" borderId="0" xfId="0" applyNumberFormat="1" applyFont="1" applyProtection="1"/>
    <xf numFmtId="8" fontId="18" fillId="0" borderId="0" xfId="8" applyNumberFormat="1" applyFont="1" applyBorder="1" applyProtection="1"/>
    <xf numFmtId="8" fontId="22" fillId="0" borderId="0" xfId="8" applyNumberFormat="1" applyFont="1" applyBorder="1" applyProtection="1"/>
    <xf numFmtId="173" fontId="18" fillId="0" borderId="0" xfId="8" applyNumberFormat="1" applyFont="1" applyBorder="1" applyProtection="1"/>
    <xf numFmtId="3" fontId="18" fillId="0" borderId="0" xfId="8" applyNumberFormat="1" applyFont="1" applyBorder="1" applyAlignment="1" applyProtection="1">
      <alignment horizontal="center"/>
    </xf>
    <xf numFmtId="173" fontId="22" fillId="0" borderId="0" xfId="8" applyNumberFormat="1" applyFont="1" applyBorder="1" applyProtection="1"/>
    <xf numFmtId="173" fontId="18" fillId="0" borderId="0" xfId="10" applyNumberFormat="1" applyFont="1"/>
    <xf numFmtId="173" fontId="22" fillId="0" borderId="0" xfId="8" applyNumberFormat="1" applyFont="1" applyFill="1" applyBorder="1" applyProtection="1"/>
    <xf numFmtId="10" fontId="18" fillId="0" borderId="0" xfId="10" applyNumberFormat="1" applyFont="1"/>
    <xf numFmtId="0" fontId="17" fillId="0" borderId="0" xfId="8" applyFont="1" applyAlignment="1" applyProtection="1">
      <alignment horizontal="center"/>
    </xf>
    <xf numFmtId="43" fontId="22" fillId="0" borderId="0" xfId="1" applyFont="1" applyBorder="1" applyProtection="1"/>
    <xf numFmtId="8" fontId="22" fillId="0" borderId="0" xfId="8" applyNumberFormat="1" applyFont="1" applyFill="1" applyBorder="1" applyProtection="1"/>
    <xf numFmtId="0" fontId="18" fillId="0" borderId="0" xfId="10" applyFont="1" applyFill="1" applyProtection="1"/>
    <xf numFmtId="10" fontId="18" fillId="0" borderId="0" xfId="10" applyNumberFormat="1" applyFont="1" applyFill="1" applyAlignment="1" applyProtection="1">
      <alignment horizontal="center"/>
    </xf>
    <xf numFmtId="0" fontId="18" fillId="0" borderId="0" xfId="10" applyFont="1" applyFill="1" applyBorder="1" applyProtection="1"/>
    <xf numFmtId="10" fontId="18" fillId="0" borderId="0" xfId="10" applyNumberFormat="1" applyFont="1" applyFill="1" applyBorder="1" applyAlignment="1" applyProtection="1">
      <alignment horizontal="center"/>
    </xf>
    <xf numFmtId="0" fontId="18" fillId="0" borderId="0" xfId="10" applyFont="1" applyFill="1" applyBorder="1" applyAlignment="1" applyProtection="1">
      <alignment horizontal="centerContinuous"/>
    </xf>
    <xf numFmtId="0" fontId="18" fillId="0" borderId="0" xfId="8" applyFont="1" applyFill="1"/>
    <xf numFmtId="37" fontId="18" fillId="0" borderId="0" xfId="10" applyNumberFormat="1" applyFont="1"/>
    <xf numFmtId="0" fontId="18" fillId="0" borderId="1" xfId="10" applyFont="1" applyBorder="1" applyAlignment="1">
      <alignment horizontal="centerContinuous"/>
    </xf>
    <xf numFmtId="0" fontId="18" fillId="0" borderId="0" xfId="4" applyFont="1" applyFill="1" applyAlignment="1">
      <alignment horizontal="center"/>
    </xf>
    <xf numFmtId="7" fontId="19" fillId="0" borderId="0" xfId="10" applyNumberFormat="1" applyFont="1" applyAlignment="1" applyProtection="1">
      <alignment horizontal="center"/>
    </xf>
    <xf numFmtId="7" fontId="18" fillId="0" borderId="0" xfId="10" applyNumberFormat="1" applyFont="1" applyFill="1" applyBorder="1" applyAlignment="1" applyProtection="1">
      <alignment horizontal="center"/>
    </xf>
    <xf numFmtId="8" fontId="18" fillId="0" borderId="0" xfId="10" applyNumberFormat="1" applyFont="1" applyFill="1" applyBorder="1" applyAlignment="1" applyProtection="1">
      <alignment horizontal="center"/>
    </xf>
    <xf numFmtId="0" fontId="18" fillId="0" borderId="0" xfId="10" applyFont="1" applyFill="1" applyBorder="1"/>
    <xf numFmtId="173" fontId="22" fillId="0" borderId="0" xfId="2" applyNumberFormat="1" applyFont="1" applyProtection="1">
      <protection locked="0"/>
    </xf>
    <xf numFmtId="0" fontId="18" fillId="0" borderId="0" xfId="10" applyFont="1" applyBorder="1"/>
    <xf numFmtId="7" fontId="18" fillId="0" borderId="0" xfId="10" applyNumberFormat="1" applyFont="1" applyProtection="1"/>
    <xf numFmtId="37" fontId="23" fillId="0" borderId="0" xfId="10" applyNumberFormat="1" applyFont="1" applyAlignment="1" applyProtection="1">
      <alignment horizontal="center"/>
    </xf>
    <xf numFmtId="8" fontId="18" fillId="0" borderId="0" xfId="10" applyNumberFormat="1" applyFont="1" applyAlignment="1" applyProtection="1">
      <alignment horizontal="center"/>
    </xf>
    <xf numFmtId="39" fontId="18" fillId="0" borderId="0" xfId="10" applyNumberFormat="1" applyFont="1" applyBorder="1" applyProtection="1"/>
    <xf numFmtId="7" fontId="18" fillId="0" borderId="0" xfId="10" applyNumberFormat="1" applyFont="1" applyBorder="1" applyAlignment="1" applyProtection="1">
      <alignment horizontal="center"/>
    </xf>
    <xf numFmtId="8" fontId="18" fillId="0" borderId="0" xfId="10" applyNumberFormat="1" applyFont="1" applyBorder="1" applyAlignment="1" applyProtection="1">
      <alignment horizontal="center"/>
    </xf>
    <xf numFmtId="7" fontId="22" fillId="0" borderId="0" xfId="2" applyNumberFormat="1" applyFont="1" applyProtection="1"/>
    <xf numFmtId="7" fontId="18" fillId="0" borderId="0" xfId="2" applyNumberFormat="1" applyFont="1" applyProtection="1"/>
    <xf numFmtId="0" fontId="18" fillId="0" borderId="0" xfId="8" applyFont="1" applyBorder="1"/>
    <xf numFmtId="8" fontId="18" fillId="0" borderId="0" xfId="8" applyNumberFormat="1" applyFont="1" applyBorder="1"/>
    <xf numFmtId="0" fontId="18" fillId="0" borderId="0" xfId="13" applyFont="1" applyProtection="1"/>
    <xf numFmtId="0" fontId="18" fillId="0" borderId="0" xfId="13" applyFont="1" applyAlignment="1" applyProtection="1">
      <alignment horizontal="right"/>
    </xf>
    <xf numFmtId="9" fontId="23" fillId="0" borderId="0" xfId="13" applyNumberFormat="1" applyFont="1" applyProtection="1">
      <protection locked="0"/>
    </xf>
    <xf numFmtId="9" fontId="23" fillId="0" borderId="0" xfId="10" applyNumberFormat="1" applyFont="1"/>
    <xf numFmtId="164" fontId="23" fillId="0" borderId="0" xfId="3" applyNumberFormat="1" applyFont="1"/>
    <xf numFmtId="173" fontId="18" fillId="0" borderId="0" xfId="8" applyNumberFormat="1" applyFont="1" applyBorder="1"/>
    <xf numFmtId="173" fontId="19" fillId="0" borderId="0" xfId="8" applyNumberFormat="1" applyFont="1" applyBorder="1"/>
    <xf numFmtId="9" fontId="23" fillId="0" borderId="0" xfId="10" applyNumberFormat="1" applyFont="1" applyProtection="1"/>
    <xf numFmtId="164" fontId="23" fillId="0" borderId="0" xfId="3" applyNumberFormat="1" applyFont="1" applyProtection="1"/>
    <xf numFmtId="0" fontId="17" fillId="0" borderId="0" xfId="10" applyFont="1" applyProtection="1"/>
    <xf numFmtId="183" fontId="18" fillId="0" borderId="0" xfId="10" applyNumberFormat="1" applyFont="1" applyProtection="1"/>
    <xf numFmtId="0" fontId="17" fillId="0" borderId="0" xfId="10" applyFont="1" applyAlignment="1">
      <alignment horizontal="right"/>
    </xf>
    <xf numFmtId="0" fontId="18" fillId="0" borderId="0" xfId="4" applyFont="1" applyAlignment="1" applyProtection="1">
      <alignment horizontal="center"/>
    </xf>
    <xf numFmtId="7" fontId="22" fillId="0" borderId="0" xfId="2" applyNumberFormat="1" applyFont="1" applyBorder="1" applyProtection="1"/>
    <xf numFmtId="164" fontId="22" fillId="0" borderId="0" xfId="2" applyNumberFormat="1" applyFont="1" applyBorder="1" applyProtection="1"/>
    <xf numFmtId="164" fontId="22" fillId="0" borderId="0" xfId="2" applyNumberFormat="1" applyFont="1" applyFill="1" applyBorder="1" applyProtection="1"/>
    <xf numFmtId="0" fontId="18" fillId="0" borderId="0" xfId="10" applyFont="1" applyAlignment="1">
      <alignment horizontal="right"/>
    </xf>
    <xf numFmtId="0" fontId="18" fillId="0" borderId="0" xfId="13" applyFont="1" applyAlignment="1" applyProtection="1">
      <alignment horizontal="left"/>
    </xf>
    <xf numFmtId="9" fontId="18" fillId="0" borderId="0" xfId="13" applyNumberFormat="1" applyFont="1" applyProtection="1">
      <protection locked="0"/>
    </xf>
    <xf numFmtId="44" fontId="23" fillId="0" borderId="0" xfId="2" applyFont="1"/>
    <xf numFmtId="7" fontId="18" fillId="0" borderId="1" xfId="10" applyNumberFormat="1" applyFont="1" applyFill="1" applyBorder="1" applyAlignment="1">
      <alignment horizontal="centerContinuous"/>
    </xf>
    <xf numFmtId="0" fontId="18" fillId="0" borderId="1" xfId="10" applyFont="1" applyFill="1" applyBorder="1" applyAlignment="1">
      <alignment horizontal="centerContinuous"/>
    </xf>
    <xf numFmtId="7" fontId="22" fillId="0" borderId="0" xfId="2" applyNumberFormat="1" applyFont="1" applyAlignment="1" applyProtection="1">
      <alignment horizontal="right"/>
    </xf>
    <xf numFmtId="7" fontId="18" fillId="0" borderId="0" xfId="10" applyNumberFormat="1" applyFont="1" applyBorder="1" applyAlignment="1" applyProtection="1">
      <alignment horizontal="centerContinuous"/>
    </xf>
    <xf numFmtId="7" fontId="32" fillId="0" borderId="0" xfId="2" applyNumberFormat="1" applyFont="1" applyAlignment="1" applyProtection="1">
      <alignment horizontal="right"/>
    </xf>
    <xf numFmtId="7" fontId="18" fillId="0" borderId="0" xfId="8" applyNumberFormat="1" applyFont="1"/>
    <xf numFmtId="164" fontId="18" fillId="0" borderId="0" xfId="2" applyNumberFormat="1" applyFont="1" applyProtection="1"/>
    <xf numFmtId="7" fontId="18" fillId="0" borderId="1" xfId="10" applyNumberFormat="1" applyFont="1" applyBorder="1" applyAlignment="1" applyProtection="1">
      <alignment horizontal="centerContinuous"/>
    </xf>
    <xf numFmtId="7" fontId="18" fillId="0" borderId="1" xfId="10" applyNumberFormat="1" applyFont="1" applyBorder="1" applyAlignment="1">
      <alignment horizontal="centerContinuous"/>
    </xf>
    <xf numFmtId="0" fontId="17" fillId="0" borderId="0" xfId="14" applyFont="1" applyProtection="1"/>
    <xf numFmtId="37" fontId="17" fillId="0" borderId="0" xfId="10" applyNumberFormat="1" applyFont="1" applyAlignment="1" applyProtection="1">
      <alignment horizontal="center"/>
      <protection locked="0"/>
    </xf>
    <xf numFmtId="7" fontId="17" fillId="0" borderId="0" xfId="10" applyNumberFormat="1" applyFont="1" applyAlignment="1" applyProtection="1">
      <alignment horizontal="center"/>
    </xf>
    <xf numFmtId="8" fontId="17" fillId="0" borderId="0" xfId="10" applyNumberFormat="1" applyFont="1" applyAlignment="1" applyProtection="1">
      <alignment horizontal="center"/>
    </xf>
    <xf numFmtId="39" fontId="17" fillId="0" borderId="0" xfId="10" applyNumberFormat="1" applyFont="1" applyBorder="1" applyProtection="1"/>
    <xf numFmtId="0" fontId="33" fillId="0" borderId="0" xfId="8" applyFont="1" applyAlignment="1" applyProtection="1">
      <alignment horizontal="center"/>
    </xf>
    <xf numFmtId="37" fontId="17" fillId="0" borderId="0" xfId="10" applyNumberFormat="1" applyFont="1" applyAlignment="1" applyProtection="1">
      <alignment horizontal="center"/>
    </xf>
    <xf numFmtId="7" fontId="17" fillId="0" borderId="0" xfId="10" applyNumberFormat="1" applyFont="1" applyBorder="1" applyProtection="1"/>
    <xf numFmtId="7" fontId="17" fillId="0" borderId="0" xfId="10" applyNumberFormat="1" applyFont="1"/>
    <xf numFmtId="0" fontId="18" fillId="0" borderId="0" xfId="10" applyFont="1" applyAlignment="1" applyProtection="1">
      <alignment horizontal="left"/>
    </xf>
    <xf numFmtId="7" fontId="17" fillId="0" borderId="0" xfId="10" applyNumberFormat="1" applyFont="1" applyAlignment="1">
      <alignment horizontal="center"/>
    </xf>
    <xf numFmtId="44" fontId="32" fillId="0" borderId="0" xfId="2" applyNumberFormat="1" applyFont="1" applyAlignment="1" applyProtection="1">
      <alignment horizontal="right"/>
    </xf>
    <xf numFmtId="44" fontId="17" fillId="0" borderId="0" xfId="2" applyFont="1"/>
    <xf numFmtId="7" fontId="17" fillId="0" borderId="0" xfId="10" applyNumberFormat="1" applyFont="1" applyFill="1" applyBorder="1" applyProtection="1"/>
    <xf numFmtId="0" fontId="17" fillId="0" borderId="0" xfId="10" applyFont="1" applyAlignment="1">
      <alignment horizontal="center"/>
    </xf>
    <xf numFmtId="7" fontId="18" fillId="0" borderId="0" xfId="10" applyNumberFormat="1" applyFont="1" applyBorder="1"/>
    <xf numFmtId="0" fontId="17" fillId="0" borderId="0" xfId="10" quotePrefix="1" applyFont="1" applyAlignment="1" applyProtection="1">
      <alignment horizontal="left"/>
    </xf>
    <xf numFmtId="0" fontId="18" fillId="0" borderId="0" xfId="10" quotePrefix="1" applyFont="1" applyAlignment="1" applyProtection="1">
      <alignment horizontal="left"/>
    </xf>
    <xf numFmtId="0" fontId="17" fillId="0" borderId="0" xfId="8" applyFont="1" applyProtection="1"/>
    <xf numFmtId="0" fontId="34" fillId="0" borderId="0" xfId="10" applyFont="1" applyProtection="1"/>
    <xf numFmtId="37" fontId="17" fillId="0" borderId="0" xfId="10" applyNumberFormat="1" applyFont="1" applyFill="1" applyAlignment="1" applyProtection="1">
      <alignment horizontal="center"/>
      <protection locked="0"/>
    </xf>
    <xf numFmtId="43" fontId="22" fillId="0" borderId="0" xfId="1" applyFont="1" applyAlignment="1" applyProtection="1">
      <alignment horizontal="right"/>
    </xf>
    <xf numFmtId="7" fontId="18" fillId="0" borderId="0" xfId="10" applyNumberFormat="1" applyFont="1" applyFill="1" applyBorder="1" applyAlignment="1" applyProtection="1">
      <alignment horizontal="centerContinuous"/>
    </xf>
    <xf numFmtId="43" fontId="32" fillId="0" borderId="0" xfId="1" applyFont="1" applyAlignment="1" applyProtection="1">
      <alignment horizontal="right"/>
    </xf>
    <xf numFmtId="7" fontId="22" fillId="3" borderId="0" xfId="2" applyNumberFormat="1" applyFont="1" applyFill="1" applyProtection="1"/>
    <xf numFmtId="7" fontId="22" fillId="0" borderId="0" xfId="2" applyNumberFormat="1" applyFont="1" applyBorder="1" applyProtection="1">
      <protection locked="0"/>
    </xf>
    <xf numFmtId="9" fontId="18" fillId="0" borderId="0" xfId="3" applyFont="1" applyProtection="1">
      <protection locked="0"/>
    </xf>
    <xf numFmtId="7" fontId="23" fillId="0" borderId="0" xfId="10" applyNumberFormat="1" applyFont="1"/>
    <xf numFmtId="7" fontId="23" fillId="0" borderId="0" xfId="1" applyNumberFormat="1" applyFont="1" applyBorder="1"/>
    <xf numFmtId="7" fontId="23" fillId="0" borderId="0" xfId="2" applyNumberFormat="1" applyFont="1" applyBorder="1"/>
    <xf numFmtId="7" fontId="18" fillId="0" borderId="0" xfId="2" applyNumberFormat="1" applyFont="1" applyBorder="1"/>
    <xf numFmtId="0" fontId="17" fillId="0" borderId="0" xfId="11" applyFont="1" applyProtection="1"/>
    <xf numFmtId="165" fontId="17" fillId="0" borderId="0" xfId="3" applyNumberFormat="1" applyFont="1" applyAlignment="1">
      <alignment horizontal="center"/>
    </xf>
    <xf numFmtId="164" fontId="22" fillId="0" borderId="0" xfId="2" applyNumberFormat="1" applyFont="1" applyBorder="1" applyProtection="1">
      <protection locked="0"/>
    </xf>
    <xf numFmtId="0" fontId="17" fillId="0" borderId="0" xfId="15" applyFont="1" applyProtection="1"/>
    <xf numFmtId="8" fontId="18" fillId="0" borderId="0" xfId="10" applyNumberFormat="1" applyFont="1" applyAlignment="1">
      <alignment horizontal="center"/>
    </xf>
    <xf numFmtId="8" fontId="17" fillId="0" borderId="0" xfId="10" applyNumberFormat="1" applyFont="1" applyAlignment="1">
      <alignment horizontal="center"/>
    </xf>
    <xf numFmtId="7" fontId="18" fillId="0" borderId="0" xfId="1" applyNumberFormat="1" applyFont="1" applyBorder="1"/>
    <xf numFmtId="0" fontId="18" fillId="0" borderId="0" xfId="14" applyFont="1" applyProtection="1"/>
    <xf numFmtId="0" fontId="18" fillId="0" borderId="0" xfId="13" applyFont="1" applyAlignment="1" applyProtection="1"/>
    <xf numFmtId="0" fontId="17" fillId="0" borderId="0" xfId="11" applyFont="1" applyAlignment="1">
      <alignment horizontal="centerContinuous"/>
    </xf>
    <xf numFmtId="0" fontId="18" fillId="0" borderId="0" xfId="11" applyFont="1" applyAlignment="1">
      <alignment horizontal="centerContinuous"/>
    </xf>
    <xf numFmtId="0" fontId="18" fillId="0" borderId="0" xfId="11" applyFont="1" applyAlignment="1">
      <alignment horizontal="right"/>
    </xf>
    <xf numFmtId="49" fontId="18" fillId="0" borderId="0" xfId="11" applyNumberFormat="1" applyFont="1" applyAlignment="1">
      <alignment horizontal="centerContinuous"/>
    </xf>
    <xf numFmtId="0" fontId="18" fillId="0" borderId="0" xfId="11" applyFont="1" applyAlignment="1">
      <alignment horizontal="center"/>
    </xf>
    <xf numFmtId="0" fontId="18" fillId="0" borderId="0" xfId="8" applyFont="1" applyAlignment="1">
      <alignment horizontal="centerContinuous"/>
    </xf>
    <xf numFmtId="0" fontId="17" fillId="0" borderId="0" xfId="11" quotePrefix="1" applyFont="1" applyAlignment="1" applyProtection="1">
      <alignment horizontal="left"/>
    </xf>
    <xf numFmtId="183" fontId="18" fillId="0" borderId="0" xfId="11" applyNumberFormat="1" applyFont="1" applyProtection="1"/>
    <xf numFmtId="0" fontId="17" fillId="0" borderId="0" xfId="11" applyFont="1" applyAlignment="1">
      <alignment horizontal="left"/>
    </xf>
    <xf numFmtId="0" fontId="18" fillId="0" borderId="0" xfId="11" applyFont="1" applyBorder="1" applyProtection="1"/>
    <xf numFmtId="0" fontId="18" fillId="0" borderId="0" xfId="11" applyFont="1" applyBorder="1" applyAlignment="1" applyProtection="1">
      <alignment horizontal="centerContinuous"/>
    </xf>
    <xf numFmtId="0" fontId="18" fillId="0" borderId="0" xfId="11" applyFont="1" applyBorder="1" applyAlignment="1" applyProtection="1"/>
    <xf numFmtId="0" fontId="19" fillId="0" borderId="0" xfId="11" applyFont="1" applyBorder="1" applyAlignment="1" applyProtection="1">
      <alignment horizontal="center"/>
    </xf>
    <xf numFmtId="37" fontId="18" fillId="0" borderId="0" xfId="16" applyNumberFormat="1" applyFont="1" applyAlignment="1" applyProtection="1">
      <alignment horizontal="center"/>
      <protection locked="0"/>
    </xf>
    <xf numFmtId="7" fontId="18" fillId="0" borderId="0" xfId="11" applyNumberFormat="1" applyFont="1" applyBorder="1" applyAlignment="1" applyProtection="1">
      <alignment horizontal="center"/>
    </xf>
    <xf numFmtId="165" fontId="18" fillId="0" borderId="0" xfId="11" applyNumberFormat="1" applyFont="1" applyAlignment="1" applyProtection="1">
      <alignment horizontal="center"/>
    </xf>
    <xf numFmtId="39" fontId="18" fillId="0" borderId="0" xfId="11" applyNumberFormat="1" applyFont="1" applyBorder="1" applyProtection="1"/>
    <xf numFmtId="37" fontId="18" fillId="0" borderId="0" xfId="16" applyNumberFormat="1" applyFont="1" applyAlignment="1" applyProtection="1">
      <alignment horizontal="right"/>
      <protection locked="0"/>
    </xf>
    <xf numFmtId="37" fontId="17" fillId="0" borderId="0" xfId="16" applyNumberFormat="1" applyFont="1" applyAlignment="1" applyProtection="1">
      <alignment horizontal="right"/>
      <protection locked="0"/>
    </xf>
    <xf numFmtId="165" fontId="17" fillId="0" borderId="0" xfId="11" applyNumberFormat="1" applyFont="1" applyAlignment="1" applyProtection="1">
      <alignment horizontal="center"/>
    </xf>
    <xf numFmtId="10" fontId="18" fillId="0" borderId="0" xfId="11" applyNumberFormat="1" applyFont="1" applyAlignment="1" applyProtection="1">
      <alignment horizontal="center"/>
    </xf>
    <xf numFmtId="7" fontId="18" fillId="0" borderId="0" xfId="11" applyNumberFormat="1" applyFont="1" applyBorder="1" applyAlignment="1" applyProtection="1">
      <alignment horizontal="centerContinuous"/>
    </xf>
    <xf numFmtId="7" fontId="18" fillId="0" borderId="0" xfId="11" applyNumberFormat="1" applyFont="1" applyBorder="1"/>
    <xf numFmtId="7" fontId="22" fillId="0" borderId="0" xfId="2" applyNumberFormat="1" applyFont="1" applyProtection="1">
      <protection locked="0"/>
    </xf>
    <xf numFmtId="181" fontId="18" fillId="0" borderId="0" xfId="11" applyNumberFormat="1" applyFont="1" applyProtection="1"/>
    <xf numFmtId="181" fontId="18" fillId="0" borderId="0" xfId="11" applyNumberFormat="1" applyFont="1"/>
    <xf numFmtId="0" fontId="18" fillId="0" borderId="0" xfId="17" applyFont="1" applyAlignment="1">
      <alignment horizontal="centerContinuous"/>
    </xf>
    <xf numFmtId="0" fontId="18" fillId="0" borderId="0" xfId="17" applyFont="1" applyAlignment="1">
      <alignment horizontal="right"/>
    </xf>
    <xf numFmtId="0" fontId="18" fillId="0" borderId="0" xfId="17" applyFont="1" applyProtection="1"/>
    <xf numFmtId="0" fontId="18" fillId="0" borderId="0" xfId="17" applyFont="1" applyAlignment="1">
      <alignment horizontal="center"/>
    </xf>
    <xf numFmtId="0" fontId="17" fillId="0" borderId="0" xfId="17" applyFont="1" applyAlignment="1">
      <alignment horizontal="left"/>
    </xf>
    <xf numFmtId="10" fontId="18" fillId="0" borderId="0" xfId="17" applyNumberFormat="1" applyFont="1" applyProtection="1"/>
    <xf numFmtId="0" fontId="18" fillId="0" borderId="0" xfId="17" applyFont="1"/>
    <xf numFmtId="0" fontId="18" fillId="0" borderId="0" xfId="17" applyFont="1" applyAlignment="1" applyProtection="1">
      <alignment horizontal="left"/>
    </xf>
    <xf numFmtId="37" fontId="18" fillId="0" borderId="0" xfId="17" applyNumberFormat="1" applyFont="1" applyAlignment="1" applyProtection="1">
      <alignment horizontal="center"/>
      <protection locked="0"/>
    </xf>
    <xf numFmtId="37" fontId="18" fillId="0" borderId="0" xfId="17" applyNumberFormat="1" applyFont="1" applyAlignment="1" applyProtection="1">
      <alignment horizontal="center"/>
    </xf>
    <xf numFmtId="7" fontId="18" fillId="0" borderId="0" xfId="3" applyNumberFormat="1" applyFont="1" applyAlignment="1" applyProtection="1">
      <alignment horizontal="center"/>
    </xf>
    <xf numFmtId="7" fontId="18" fillId="0" borderId="0" xfId="17" applyNumberFormat="1" applyFont="1"/>
    <xf numFmtId="8" fontId="18" fillId="0" borderId="0" xfId="17" applyNumberFormat="1" applyFont="1"/>
    <xf numFmtId="184" fontId="18" fillId="0" borderId="0" xfId="11" applyNumberFormat="1" applyFont="1" applyBorder="1" applyAlignment="1" applyProtection="1">
      <alignment horizontal="center"/>
    </xf>
    <xf numFmtId="0" fontId="18" fillId="0" borderId="0" xfId="11" applyFont="1" applyAlignment="1" applyProtection="1">
      <alignment horizontal="right"/>
    </xf>
    <xf numFmtId="184" fontId="18" fillId="0" borderId="0" xfId="11" applyNumberFormat="1" applyFont="1" applyAlignment="1" applyProtection="1">
      <alignment horizontal="center"/>
    </xf>
    <xf numFmtId="0" fontId="18" fillId="0" borderId="0" xfId="17" applyFont="1" applyAlignment="1" applyProtection="1">
      <alignment horizontal="center"/>
    </xf>
    <xf numFmtId="7" fontId="18" fillId="0" borderId="0" xfId="17" applyNumberFormat="1" applyFont="1" applyProtection="1"/>
    <xf numFmtId="165" fontId="18" fillId="0" borderId="0" xfId="3" applyNumberFormat="1" applyFont="1" applyAlignment="1" applyProtection="1">
      <alignment horizontal="center"/>
    </xf>
    <xf numFmtId="8" fontId="18" fillId="0" borderId="0" xfId="11" applyNumberFormat="1" applyFont="1" applyAlignment="1" applyProtection="1">
      <alignment horizontal="center"/>
    </xf>
    <xf numFmtId="183" fontId="18" fillId="0" borderId="0" xfId="17" applyNumberFormat="1" applyFont="1" applyProtection="1"/>
    <xf numFmtId="164" fontId="18" fillId="0" borderId="0" xfId="17" applyNumberFormat="1" applyFont="1" applyProtection="1"/>
    <xf numFmtId="44" fontId="18" fillId="0" borderId="0" xfId="17" applyNumberFormat="1" applyFont="1" applyProtection="1"/>
    <xf numFmtId="44" fontId="23" fillId="0" borderId="0" xfId="17" applyNumberFormat="1" applyFont="1" applyProtection="1"/>
    <xf numFmtId="181" fontId="18" fillId="0" borderId="0" xfId="17" applyNumberFormat="1" applyFont="1" applyProtection="1"/>
    <xf numFmtId="164" fontId="18" fillId="0" borderId="0" xfId="17" applyNumberFormat="1" applyFont="1"/>
    <xf numFmtId="37" fontId="23" fillId="0" borderId="0" xfId="17" applyNumberFormat="1" applyFont="1" applyProtection="1">
      <protection locked="0"/>
    </xf>
    <xf numFmtId="39" fontId="18" fillId="0" borderId="0" xfId="17" applyNumberFormat="1" applyFont="1" applyProtection="1"/>
    <xf numFmtId="37" fontId="18" fillId="0" borderId="0" xfId="17" applyNumberFormat="1" applyFont="1" applyProtection="1">
      <protection locked="0"/>
    </xf>
    <xf numFmtId="37" fontId="18" fillId="0" borderId="0" xfId="17" applyNumberFormat="1" applyFont="1" applyProtection="1"/>
    <xf numFmtId="0" fontId="18" fillId="0" borderId="0" xfId="18" applyFont="1" applyAlignment="1">
      <alignment horizontal="centerContinuous"/>
    </xf>
    <xf numFmtId="0" fontId="18" fillId="0" borderId="0" xfId="18" applyFont="1" applyAlignment="1"/>
    <xf numFmtId="0" fontId="18" fillId="0" borderId="0" xfId="18" applyFont="1" applyAlignment="1">
      <alignment horizontal="center"/>
    </xf>
    <xf numFmtId="185" fontId="17" fillId="0" borderId="0" xfId="8" applyNumberFormat="1" applyFont="1" applyAlignment="1"/>
    <xf numFmtId="0" fontId="18" fillId="0" borderId="0" xfId="18" applyFont="1" applyProtection="1"/>
    <xf numFmtId="10" fontId="18" fillId="0" borderId="0" xfId="18" applyNumberFormat="1" applyFont="1" applyProtection="1"/>
    <xf numFmtId="0" fontId="18" fillId="0" borderId="0" xfId="18" applyFont="1" applyBorder="1" applyAlignment="1" applyProtection="1">
      <alignment horizontal="center"/>
    </xf>
    <xf numFmtId="0" fontId="19" fillId="0" borderId="0" xfId="18" applyFont="1" applyAlignment="1" applyProtection="1">
      <alignment horizontal="center"/>
    </xf>
    <xf numFmtId="0" fontId="19" fillId="0" borderId="0" xfId="18" applyFont="1" applyBorder="1" applyAlignment="1" applyProtection="1">
      <alignment horizontal="center"/>
    </xf>
    <xf numFmtId="0" fontId="18" fillId="0" borderId="0" xfId="19" applyFont="1" applyAlignment="1" applyProtection="1">
      <alignment horizontal="center"/>
    </xf>
    <xf numFmtId="0" fontId="18" fillId="0" borderId="0" xfId="18" applyFont="1" applyAlignment="1" applyProtection="1">
      <alignment horizontal="center"/>
    </xf>
    <xf numFmtId="186" fontId="18" fillId="0" borderId="0" xfId="18" applyNumberFormat="1" applyFont="1" applyProtection="1"/>
    <xf numFmtId="0" fontId="18" fillId="0" borderId="0" xfId="18" applyFont="1" applyAlignment="1" applyProtection="1">
      <alignment horizontal="center"/>
      <protection locked="0"/>
    </xf>
    <xf numFmtId="37" fontId="18" fillId="0" borderId="0" xfId="18" applyNumberFormat="1" applyFont="1" applyAlignment="1" applyProtection="1">
      <alignment horizontal="center"/>
    </xf>
    <xf numFmtId="7" fontId="18" fillId="0" borderId="0" xfId="18" applyNumberFormat="1" applyFont="1" applyAlignment="1" applyProtection="1">
      <alignment horizontal="center"/>
    </xf>
    <xf numFmtId="7" fontId="18" fillId="0" borderId="0" xfId="18" applyNumberFormat="1" applyFont="1"/>
    <xf numFmtId="37" fontId="23" fillId="0" borderId="0" xfId="18" applyNumberFormat="1" applyFont="1" applyProtection="1">
      <protection locked="0"/>
    </xf>
    <xf numFmtId="7" fontId="18" fillId="0" borderId="0" xfId="18" applyNumberFormat="1" applyFont="1" applyProtection="1"/>
    <xf numFmtId="39" fontId="18" fillId="0" borderId="0" xfId="18" applyNumberFormat="1" applyFont="1" applyProtection="1"/>
    <xf numFmtId="165" fontId="18" fillId="0" borderId="0" xfId="18" applyNumberFormat="1" applyFont="1" applyAlignment="1" applyProtection="1">
      <alignment horizontal="center"/>
    </xf>
    <xf numFmtId="37" fontId="18" fillId="0" borderId="0" xfId="18" applyNumberFormat="1" applyFont="1" applyAlignment="1" applyProtection="1">
      <alignment horizontal="center"/>
      <protection locked="0"/>
    </xf>
    <xf numFmtId="187" fontId="23" fillId="0" borderId="0" xfId="18" applyNumberFormat="1" applyFont="1" applyProtection="1">
      <protection locked="0"/>
    </xf>
    <xf numFmtId="183" fontId="23" fillId="0" borderId="0" xfId="18" applyNumberFormat="1" applyFont="1" applyProtection="1">
      <protection locked="0"/>
    </xf>
    <xf numFmtId="183" fontId="18" fillId="0" borderId="0" xfId="18" applyNumberFormat="1" applyFont="1" applyProtection="1"/>
    <xf numFmtId="164" fontId="23" fillId="0" borderId="0" xfId="18" applyNumberFormat="1" applyFont="1" applyProtection="1">
      <protection locked="0"/>
    </xf>
    <xf numFmtId="5" fontId="18" fillId="0" borderId="0" xfId="18" applyNumberFormat="1" applyFont="1" applyProtection="1"/>
    <xf numFmtId="164" fontId="18" fillId="0" borderId="0" xfId="18" applyNumberFormat="1" applyFont="1" applyProtection="1"/>
    <xf numFmtId="37" fontId="18" fillId="0" borderId="0" xfId="18" applyNumberFormat="1" applyFont="1" applyProtection="1"/>
    <xf numFmtId="0" fontId="23" fillId="0" borderId="0" xfId="18" applyFont="1" applyProtection="1">
      <protection locked="0"/>
    </xf>
    <xf numFmtId="10" fontId="18" fillId="0" borderId="0" xfId="18" applyNumberFormat="1" applyFont="1" applyAlignment="1" applyProtection="1">
      <alignment horizontal="center"/>
    </xf>
    <xf numFmtId="10" fontId="17" fillId="0" borderId="0" xfId="18" applyNumberFormat="1" applyFont="1" applyProtection="1"/>
    <xf numFmtId="188" fontId="23" fillId="0" borderId="0" xfId="18" applyNumberFormat="1" applyFont="1" applyProtection="1">
      <protection locked="0"/>
    </xf>
    <xf numFmtId="0" fontId="18" fillId="0" borderId="0" xfId="18" applyFont="1" applyAlignment="1" applyProtection="1">
      <alignment horizontal="right"/>
    </xf>
    <xf numFmtId="0" fontId="18" fillId="0" borderId="0" xfId="18" applyFont="1" applyAlignment="1" applyProtection="1">
      <alignment horizontal="fill"/>
    </xf>
    <xf numFmtId="189" fontId="23" fillId="0" borderId="0" xfId="18" applyNumberFormat="1" applyFont="1" applyProtection="1">
      <protection locked="0"/>
    </xf>
    <xf numFmtId="0" fontId="18" fillId="0" borderId="0" xfId="20" applyFont="1" applyAlignment="1">
      <alignment horizontal="centerContinuous"/>
    </xf>
    <xf numFmtId="0" fontId="17" fillId="0" borderId="0" xfId="11" applyFont="1" applyAlignment="1">
      <alignment horizontal="right"/>
    </xf>
    <xf numFmtId="0" fontId="18" fillId="0" borderId="0" xfId="20" applyFont="1" applyProtection="1"/>
    <xf numFmtId="0" fontId="18" fillId="0" borderId="0" xfId="20" applyFont="1" applyBorder="1" applyAlignment="1" applyProtection="1">
      <alignment horizontal="center"/>
    </xf>
    <xf numFmtId="0" fontId="19" fillId="0" borderId="0" xfId="20" applyFont="1" applyAlignment="1" applyProtection="1">
      <alignment horizontal="center"/>
    </xf>
    <xf numFmtId="10" fontId="18" fillId="0" borderId="0" xfId="20" applyNumberFormat="1" applyFont="1" applyProtection="1"/>
    <xf numFmtId="0" fontId="18" fillId="0" borderId="0" xfId="18" applyFont="1"/>
    <xf numFmtId="7" fontId="18" fillId="0" borderId="0" xfId="20" applyNumberFormat="1" applyFont="1" applyAlignment="1" applyProtection="1">
      <alignment horizontal="center"/>
    </xf>
    <xf numFmtId="7" fontId="18" fillId="0" borderId="0" xfId="20" applyNumberFormat="1" applyFont="1" applyProtection="1"/>
    <xf numFmtId="0" fontId="18" fillId="0" borderId="0" xfId="20" applyFont="1" applyAlignment="1" applyProtection="1">
      <alignment horizontal="center"/>
    </xf>
    <xf numFmtId="7" fontId="18" fillId="0" borderId="0" xfId="20" applyNumberFormat="1" applyFont="1"/>
    <xf numFmtId="165" fontId="18" fillId="0" borderId="0" xfId="20" applyNumberFormat="1" applyFont="1" applyAlignment="1" applyProtection="1">
      <alignment horizontal="center"/>
    </xf>
    <xf numFmtId="37" fontId="18" fillId="0" borderId="0" xfId="20" applyNumberFormat="1" applyFont="1" applyAlignment="1" applyProtection="1">
      <alignment horizontal="center"/>
    </xf>
    <xf numFmtId="0" fontId="18" fillId="0" borderId="0" xfId="20" applyFont="1" applyAlignment="1" applyProtection="1">
      <alignment horizontal="center"/>
      <protection locked="0"/>
    </xf>
    <xf numFmtId="37" fontId="18" fillId="0" borderId="0" xfId="20" applyNumberFormat="1" applyFont="1" applyAlignment="1" applyProtection="1">
      <alignment horizontal="center"/>
      <protection locked="0"/>
    </xf>
    <xf numFmtId="164" fontId="23" fillId="0" borderId="0" xfId="20" applyNumberFormat="1" applyFont="1" applyProtection="1">
      <protection locked="0"/>
    </xf>
    <xf numFmtId="187" fontId="23" fillId="0" borderId="0" xfId="20" applyNumberFormat="1" applyFont="1" applyProtection="1">
      <protection locked="0"/>
    </xf>
    <xf numFmtId="7" fontId="23" fillId="0" borderId="0" xfId="20" applyNumberFormat="1" applyFont="1" applyProtection="1">
      <protection locked="0"/>
    </xf>
    <xf numFmtId="183" fontId="23" fillId="0" borderId="0" xfId="20" applyNumberFormat="1" applyFont="1" applyProtection="1">
      <protection locked="0"/>
    </xf>
    <xf numFmtId="183" fontId="18" fillId="0" borderId="0" xfId="20" applyNumberFormat="1" applyFont="1" applyProtection="1"/>
    <xf numFmtId="187" fontId="18" fillId="0" borderId="0" xfId="20" applyNumberFormat="1" applyFont="1" applyProtection="1"/>
    <xf numFmtId="164" fontId="18" fillId="0" borderId="0" xfId="20" applyNumberFormat="1" applyFont="1" applyProtection="1"/>
    <xf numFmtId="0" fontId="18" fillId="0" borderId="0" xfId="20" applyFont="1" applyAlignment="1" applyProtection="1">
      <alignment horizontal="left"/>
    </xf>
    <xf numFmtId="9" fontId="18" fillId="0" borderId="0" xfId="20" applyNumberFormat="1" applyFont="1" applyProtection="1">
      <protection locked="0"/>
    </xf>
    <xf numFmtId="164" fontId="18" fillId="0" borderId="0" xfId="20" applyNumberFormat="1" applyFont="1"/>
    <xf numFmtId="37" fontId="18" fillId="0" borderId="0" xfId="20" applyNumberFormat="1" applyFont="1"/>
    <xf numFmtId="0" fontId="18" fillId="0" borderId="0" xfId="20" applyFont="1"/>
    <xf numFmtId="0" fontId="18" fillId="0" borderId="0" xfId="19" applyFont="1" applyAlignment="1">
      <alignment horizontal="centerContinuous"/>
    </xf>
    <xf numFmtId="49" fontId="17" fillId="0" borderId="0" xfId="19" applyNumberFormat="1" applyFont="1" applyAlignment="1">
      <alignment horizontal="right"/>
    </xf>
    <xf numFmtId="0" fontId="18" fillId="0" borderId="0" xfId="19" applyFont="1" applyProtection="1"/>
    <xf numFmtId="185" fontId="18" fillId="0" borderId="0" xfId="8" applyNumberFormat="1" applyFont="1" applyAlignment="1">
      <alignment horizontal="left"/>
    </xf>
    <xf numFmtId="0" fontId="18" fillId="0" borderId="0" xfId="19" applyFont="1" applyBorder="1" applyAlignment="1" applyProtection="1">
      <alignment horizontal="center"/>
    </xf>
    <xf numFmtId="0" fontId="18" fillId="0" borderId="0" xfId="19" applyFont="1"/>
    <xf numFmtId="0" fontId="19" fillId="0" borderId="0" xfId="19" applyFont="1" applyAlignment="1" applyProtection="1">
      <alignment horizontal="center"/>
    </xf>
    <xf numFmtId="10" fontId="18" fillId="0" borderId="0" xfId="19" applyNumberFormat="1" applyFont="1" applyProtection="1"/>
    <xf numFmtId="0" fontId="18" fillId="0" borderId="0" xfId="19" applyFont="1" applyAlignment="1" applyProtection="1">
      <alignment horizontal="center"/>
      <protection locked="0"/>
    </xf>
    <xf numFmtId="37" fontId="18" fillId="0" borderId="0" xfId="19" applyNumberFormat="1" applyFont="1" applyAlignment="1" applyProtection="1">
      <alignment horizontal="center"/>
    </xf>
    <xf numFmtId="7" fontId="18" fillId="0" borderId="0" xfId="2" applyNumberFormat="1" applyFont="1" applyAlignment="1" applyProtection="1">
      <alignment horizontal="center"/>
    </xf>
    <xf numFmtId="7" fontId="23" fillId="0" borderId="0" xfId="19" applyNumberFormat="1" applyFont="1" applyProtection="1">
      <protection locked="0"/>
    </xf>
    <xf numFmtId="7" fontId="18" fillId="0" borderId="0" xfId="19" applyNumberFormat="1" applyFont="1" applyAlignment="1" applyProtection="1">
      <alignment horizontal="center"/>
    </xf>
    <xf numFmtId="7" fontId="18" fillId="0" borderId="0" xfId="19" applyNumberFormat="1" applyFont="1"/>
    <xf numFmtId="7" fontId="18" fillId="0" borderId="0" xfId="19" applyNumberFormat="1" applyFont="1" applyProtection="1"/>
    <xf numFmtId="165" fontId="18" fillId="0" borderId="0" xfId="19" applyNumberFormat="1" applyFont="1" applyAlignment="1" applyProtection="1">
      <alignment horizontal="center"/>
    </xf>
    <xf numFmtId="188" fontId="18" fillId="0" borderId="0" xfId="19" applyNumberFormat="1" applyFont="1" applyAlignment="1" applyProtection="1">
      <alignment horizontal="center"/>
    </xf>
    <xf numFmtId="0" fontId="17" fillId="0" borderId="0" xfId="18" applyFont="1" applyAlignment="1">
      <alignment horizontal="center"/>
    </xf>
    <xf numFmtId="188" fontId="18" fillId="0" borderId="0" xfId="19" applyNumberFormat="1" applyFont="1" applyAlignment="1" applyProtection="1">
      <alignment horizontal="center"/>
      <protection locked="0"/>
    </xf>
    <xf numFmtId="37" fontId="18" fillId="0" borderId="0" xfId="19" applyNumberFormat="1" applyFont="1" applyAlignment="1" applyProtection="1">
      <alignment horizontal="center"/>
      <protection locked="0"/>
    </xf>
    <xf numFmtId="8" fontId="18" fillId="0" borderId="0" xfId="2" applyNumberFormat="1" applyFont="1" applyAlignment="1" applyProtection="1">
      <alignment horizontal="center"/>
    </xf>
    <xf numFmtId="7" fontId="18" fillId="0" borderId="0" xfId="2" applyNumberFormat="1" applyFont="1" applyAlignment="1" applyProtection="1">
      <alignment horizontal="right"/>
    </xf>
    <xf numFmtId="164" fontId="18" fillId="0" borderId="0" xfId="8" applyNumberFormat="1" applyFont="1"/>
    <xf numFmtId="164" fontId="18" fillId="0" borderId="0" xfId="19" applyNumberFormat="1" applyFont="1" applyProtection="1"/>
    <xf numFmtId="190" fontId="23" fillId="0" borderId="0" xfId="19" applyNumberFormat="1" applyFont="1" applyProtection="1">
      <protection locked="0"/>
    </xf>
    <xf numFmtId="183" fontId="23" fillId="0" borderId="0" xfId="19" applyNumberFormat="1" applyFont="1" applyProtection="1">
      <protection locked="0"/>
    </xf>
    <xf numFmtId="164" fontId="23" fillId="0" borderId="0" xfId="19" applyNumberFormat="1" applyFont="1" applyProtection="1">
      <protection locked="0"/>
    </xf>
    <xf numFmtId="189" fontId="23" fillId="0" borderId="0" xfId="19" applyNumberFormat="1" applyFont="1" applyProtection="1">
      <protection locked="0"/>
    </xf>
    <xf numFmtId="37" fontId="18" fillId="0" borderId="0" xfId="19" applyNumberFormat="1" applyFont="1" applyProtection="1"/>
    <xf numFmtId="39" fontId="18" fillId="0" borderId="0" xfId="19" applyNumberFormat="1" applyFont="1" applyProtection="1"/>
    <xf numFmtId="0" fontId="18" fillId="0" borderId="0" xfId="21" applyFont="1" applyAlignment="1">
      <alignment horizontal="centerContinuous"/>
    </xf>
    <xf numFmtId="0" fontId="18" fillId="0" borderId="0" xfId="21" applyFont="1" applyProtection="1"/>
    <xf numFmtId="0" fontId="18" fillId="0" borderId="0" xfId="21" applyFont="1" applyBorder="1" applyAlignment="1" applyProtection="1">
      <alignment horizontal="center"/>
    </xf>
    <xf numFmtId="0" fontId="19" fillId="0" borderId="0" xfId="21" applyFont="1" applyAlignment="1" applyProtection="1">
      <alignment horizontal="centerContinuous"/>
    </xf>
    <xf numFmtId="0" fontId="19" fillId="0" borderId="0" xfId="21" applyFont="1" applyAlignment="1" applyProtection="1">
      <alignment horizontal="center"/>
    </xf>
    <xf numFmtId="10" fontId="18" fillId="0" borderId="0" xfId="21" applyNumberFormat="1" applyFont="1" applyProtection="1"/>
    <xf numFmtId="7" fontId="18" fillId="0" borderId="0" xfId="21" applyNumberFormat="1" applyFont="1" applyAlignment="1" applyProtection="1">
      <alignment horizontal="center"/>
    </xf>
    <xf numFmtId="7" fontId="23" fillId="0" borderId="0" xfId="21" applyNumberFormat="1" applyFont="1" applyProtection="1">
      <protection locked="0"/>
    </xf>
    <xf numFmtId="0" fontId="18" fillId="0" borderId="0" xfId="21" applyFont="1" applyAlignment="1" applyProtection="1">
      <alignment horizontal="center"/>
      <protection locked="0"/>
    </xf>
    <xf numFmtId="37" fontId="18" fillId="0" borderId="0" xfId="21" applyNumberFormat="1" applyFont="1" applyAlignment="1" applyProtection="1">
      <alignment horizontal="center"/>
      <protection locked="0"/>
    </xf>
    <xf numFmtId="0" fontId="18" fillId="0" borderId="0" xfId="21" applyFont="1" applyAlignment="1" applyProtection="1">
      <alignment horizontal="center"/>
    </xf>
    <xf numFmtId="7" fontId="18" fillId="0" borderId="0" xfId="21" applyNumberFormat="1" applyFont="1" applyProtection="1"/>
    <xf numFmtId="188" fontId="18" fillId="0" borderId="0" xfId="21" applyNumberFormat="1" applyFont="1" applyAlignment="1" applyProtection="1">
      <alignment horizontal="center"/>
    </xf>
    <xf numFmtId="37" fontId="18" fillId="0" borderId="0" xfId="21" applyNumberFormat="1" applyFont="1" applyAlignment="1" applyProtection="1">
      <alignment horizontal="center"/>
    </xf>
    <xf numFmtId="0" fontId="35" fillId="0" borderId="0" xfId="19" applyFont="1"/>
    <xf numFmtId="7" fontId="18" fillId="0" borderId="0" xfId="21" applyNumberFormat="1" applyFont="1"/>
    <xf numFmtId="7" fontId="18" fillId="0" borderId="0" xfId="21" applyNumberFormat="1" applyFont="1" applyAlignment="1" applyProtection="1">
      <alignment horizontal="right"/>
    </xf>
    <xf numFmtId="164" fontId="18" fillId="0" borderId="0" xfId="21" applyNumberFormat="1" applyFont="1" applyProtection="1"/>
    <xf numFmtId="186" fontId="18" fillId="0" borderId="0" xfId="21" applyNumberFormat="1" applyFont="1" applyProtection="1"/>
    <xf numFmtId="164" fontId="18" fillId="0" borderId="0" xfId="21" applyNumberFormat="1" applyFont="1"/>
    <xf numFmtId="0" fontId="18" fillId="0" borderId="0" xfId="21" applyFont="1" applyAlignment="1" applyProtection="1">
      <alignment horizontal="left"/>
    </xf>
    <xf numFmtId="9" fontId="18" fillId="0" borderId="0" xfId="21" applyNumberFormat="1" applyFont="1" applyProtection="1">
      <protection locked="0"/>
    </xf>
    <xf numFmtId="8" fontId="22" fillId="0" borderId="0" xfId="2" applyNumberFormat="1" applyFont="1" applyProtection="1">
      <protection locked="0"/>
    </xf>
    <xf numFmtId="0" fontId="18" fillId="0" borderId="0" xfId="21" applyFont="1"/>
    <xf numFmtId="0" fontId="18" fillId="0" borderId="0" xfId="22" applyFont="1" applyAlignment="1">
      <alignment horizontal="centerContinuous"/>
    </xf>
    <xf numFmtId="0" fontId="18" fillId="0" borderId="0" xfId="22" applyFont="1" applyAlignment="1"/>
    <xf numFmtId="0" fontId="18" fillId="0" borderId="0" xfId="22" applyFont="1" applyProtection="1"/>
    <xf numFmtId="0" fontId="18" fillId="0" borderId="0" xfId="22" applyFont="1" applyBorder="1" applyAlignment="1" applyProtection="1">
      <alignment horizontal="center"/>
    </xf>
    <xf numFmtId="0" fontId="19" fillId="0" borderId="0" xfId="22" applyFont="1" applyAlignment="1" applyProtection="1">
      <alignment horizontal="center"/>
    </xf>
    <xf numFmtId="0" fontId="18" fillId="0" borderId="0" xfId="22" applyFont="1" applyBorder="1" applyProtection="1"/>
    <xf numFmtId="186" fontId="18" fillId="0" borderId="0" xfId="22" applyNumberFormat="1" applyFont="1" applyProtection="1"/>
    <xf numFmtId="0" fontId="18" fillId="0" borderId="0" xfId="22" applyFont="1" applyBorder="1" applyAlignment="1" applyProtection="1">
      <alignment horizontal="fill"/>
    </xf>
    <xf numFmtId="10" fontId="18" fillId="0" borderId="0" xfId="22" applyNumberFormat="1" applyFont="1" applyProtection="1"/>
    <xf numFmtId="37" fontId="18" fillId="0" borderId="0" xfId="22" applyNumberFormat="1" applyFont="1" applyAlignment="1" applyProtection="1">
      <alignment horizontal="center"/>
      <protection locked="0"/>
    </xf>
    <xf numFmtId="37" fontId="18" fillId="0" borderId="0" xfId="22" applyNumberFormat="1" applyFont="1" applyAlignment="1" applyProtection="1">
      <alignment horizontal="center"/>
    </xf>
    <xf numFmtId="7" fontId="18" fillId="0" borderId="0" xfId="22" applyNumberFormat="1" applyFont="1" applyAlignment="1" applyProtection="1">
      <alignment horizontal="center"/>
    </xf>
    <xf numFmtId="7" fontId="18" fillId="0" borderId="0" xfId="22" applyNumberFormat="1" applyFont="1" applyBorder="1" applyProtection="1"/>
    <xf numFmtId="7" fontId="18" fillId="0" borderId="0" xfId="22" applyNumberFormat="1" applyFont="1" applyProtection="1"/>
    <xf numFmtId="0" fontId="18" fillId="0" borderId="0" xfId="22" applyFont="1" applyAlignment="1" applyProtection="1">
      <alignment horizontal="center"/>
    </xf>
    <xf numFmtId="165" fontId="18" fillId="0" borderId="0" xfId="22" applyNumberFormat="1" applyFont="1" applyAlignment="1" applyProtection="1">
      <alignment horizontal="center"/>
    </xf>
    <xf numFmtId="7" fontId="18" fillId="0" borderId="0" xfId="22" applyNumberFormat="1" applyFont="1"/>
    <xf numFmtId="183" fontId="18" fillId="0" borderId="0" xfId="22" applyNumberFormat="1" applyFont="1" applyProtection="1"/>
    <xf numFmtId="181" fontId="18" fillId="0" borderId="0" xfId="2" applyNumberFormat="1" applyFont="1" applyProtection="1"/>
    <xf numFmtId="164" fontId="18" fillId="0" borderId="0" xfId="22" applyNumberFormat="1" applyFont="1" applyProtection="1"/>
    <xf numFmtId="164" fontId="18" fillId="0" borderId="0" xfId="22" applyNumberFormat="1" applyFont="1" applyAlignment="1" applyProtection="1">
      <alignment horizontal="fill"/>
    </xf>
    <xf numFmtId="164" fontId="18" fillId="0" borderId="0" xfId="22" applyNumberFormat="1" applyFont="1"/>
    <xf numFmtId="0" fontId="18" fillId="0" borderId="0" xfId="22" applyFont="1" applyAlignment="1" applyProtection="1">
      <alignment horizontal="left"/>
    </xf>
    <xf numFmtId="9" fontId="18" fillId="0" borderId="0" xfId="22" applyNumberFormat="1" applyFont="1" applyProtection="1">
      <protection locked="0"/>
    </xf>
    <xf numFmtId="0" fontId="18" fillId="0" borderId="0" xfId="22" applyFont="1"/>
    <xf numFmtId="0" fontId="18" fillId="0" borderId="0" xfId="18" applyFont="1" applyFill="1" applyAlignment="1">
      <alignment horizontal="center"/>
    </xf>
    <xf numFmtId="185" fontId="17" fillId="0" borderId="0" xfId="11" applyNumberFormat="1" applyFont="1" applyAlignment="1"/>
    <xf numFmtId="0" fontId="19" fillId="0" borderId="0" xfId="11" applyFont="1" applyAlignment="1" applyProtection="1">
      <alignment horizontal="centerContinuous"/>
    </xf>
    <xf numFmtId="0" fontId="18" fillId="0" borderId="0" xfId="22" applyFont="1" applyAlignment="1" applyProtection="1">
      <alignment horizontal="centerContinuous"/>
    </xf>
    <xf numFmtId="8" fontId="18" fillId="0" borderId="0" xfId="22" applyNumberFormat="1" applyFont="1" applyAlignment="1" applyProtection="1">
      <alignment horizontal="center"/>
    </xf>
    <xf numFmtId="37" fontId="18" fillId="0" borderId="0" xfId="22" applyNumberFormat="1" applyFont="1" applyProtection="1"/>
    <xf numFmtId="37" fontId="23" fillId="0" borderId="0" xfId="22" applyNumberFormat="1" applyFont="1" applyAlignment="1" applyProtection="1">
      <alignment horizontal="center"/>
      <protection locked="0"/>
    </xf>
    <xf numFmtId="8" fontId="18" fillId="0" borderId="0" xfId="22" applyNumberFormat="1" applyFont="1" applyProtection="1"/>
    <xf numFmtId="0" fontId="18" fillId="0" borderId="0" xfId="22" applyFont="1" applyAlignment="1" applyProtection="1">
      <alignment horizontal="right"/>
    </xf>
    <xf numFmtId="164" fontId="23" fillId="0" borderId="0" xfId="22" applyNumberFormat="1" applyFont="1" applyProtection="1">
      <protection locked="0"/>
    </xf>
    <xf numFmtId="0" fontId="18" fillId="0" borderId="0" xfId="8" applyFont="1" applyAlignment="1">
      <alignment horizontal="left"/>
    </xf>
    <xf numFmtId="0" fontId="6" fillId="0" borderId="0" xfId="4" applyFont="1" applyFill="1" applyAlignment="1">
      <alignment horizontal="center"/>
    </xf>
    <xf numFmtId="0" fontId="6" fillId="0" borderId="0" xfId="4" applyFont="1" applyAlignment="1">
      <alignment horizontal="center"/>
    </xf>
    <xf numFmtId="0" fontId="0" fillId="0" borderId="0" xfId="0" applyFill="1" applyAlignment="1">
      <alignment horizontal="center"/>
    </xf>
    <xf numFmtId="0" fontId="6" fillId="0" borderId="1" xfId="4" applyFont="1" applyBorder="1" applyAlignment="1">
      <alignment horizontal="center"/>
    </xf>
    <xf numFmtId="0" fontId="6" fillId="0" borderId="1" xfId="4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2" fillId="0" borderId="0" xfId="4" applyFont="1" applyAlignment="1">
      <alignment horizontal="center"/>
    </xf>
    <xf numFmtId="6" fontId="18" fillId="0" borderId="4" xfId="0" applyNumberFormat="1" applyFont="1" applyBorder="1" applyAlignment="1">
      <alignment horizontal="center"/>
    </xf>
    <xf numFmtId="0" fontId="17" fillId="0" borderId="0" xfId="0" applyFont="1" applyAlignment="1">
      <alignment horizontal="center"/>
    </xf>
    <xf numFmtId="169" fontId="18" fillId="0" borderId="4" xfId="0" applyNumberFormat="1" applyFont="1" applyBorder="1" applyAlignment="1">
      <alignment horizontal="center"/>
    </xf>
    <xf numFmtId="169" fontId="18" fillId="0" borderId="4" xfId="0" applyNumberFormat="1" applyFont="1" applyFill="1" applyBorder="1" applyAlignment="1">
      <alignment horizontal="center"/>
    </xf>
    <xf numFmtId="3" fontId="18" fillId="0" borderId="3" xfId="0" applyNumberFormat="1" applyFont="1" applyBorder="1" applyAlignment="1">
      <alignment horizontal="center"/>
    </xf>
    <xf numFmtId="0" fontId="17" fillId="0" borderId="0" xfId="0" applyFont="1" applyAlignment="1" applyProtection="1">
      <alignment horizontal="center"/>
    </xf>
    <xf numFmtId="49" fontId="18" fillId="0" borderId="3" xfId="0" applyNumberFormat="1" applyFont="1" applyBorder="1" applyAlignment="1" applyProtection="1">
      <alignment horizontal="center"/>
    </xf>
    <xf numFmtId="0" fontId="18" fillId="0" borderId="3" xfId="0" applyFont="1" applyBorder="1" applyAlignment="1" applyProtection="1">
      <alignment horizontal="center"/>
    </xf>
    <xf numFmtId="0" fontId="18" fillId="0" borderId="0" xfId="0" applyFont="1" applyAlignment="1">
      <alignment horizontal="center"/>
    </xf>
    <xf numFmtId="8" fontId="2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8" fillId="0" borderId="0" xfId="0" applyFont="1" applyBorder="1" applyAlignment="1">
      <alignment horizontal="center"/>
    </xf>
    <xf numFmtId="44" fontId="18" fillId="0" borderId="1" xfId="0" applyNumberFormat="1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7" fillId="0" borderId="0" xfId="11" applyFont="1" applyAlignment="1" applyProtection="1">
      <alignment horizontal="center"/>
    </xf>
    <xf numFmtId="0" fontId="18" fillId="0" borderId="1" xfId="11" applyFont="1" applyBorder="1" applyAlignment="1" applyProtection="1">
      <alignment horizontal="center"/>
    </xf>
    <xf numFmtId="0" fontId="17" fillId="0" borderId="0" xfId="11" quotePrefix="1" applyFont="1" applyAlignment="1" applyProtection="1">
      <alignment horizontal="center"/>
    </xf>
    <xf numFmtId="0" fontId="18" fillId="0" borderId="1" xfId="10" applyFont="1" applyBorder="1" applyAlignment="1" applyProtection="1">
      <alignment horizontal="center"/>
    </xf>
    <xf numFmtId="7" fontId="18" fillId="0" borderId="1" xfId="10" applyNumberFormat="1" applyFont="1" applyFill="1" applyBorder="1" applyAlignment="1" applyProtection="1">
      <alignment horizontal="center"/>
    </xf>
    <xf numFmtId="0" fontId="17" fillId="0" borderId="0" xfId="10" applyFont="1" applyAlignment="1" applyProtection="1">
      <alignment horizontal="center"/>
    </xf>
    <xf numFmtId="7" fontId="18" fillId="0" borderId="1" xfId="10" applyNumberFormat="1" applyFont="1" applyBorder="1" applyAlignment="1" applyProtection="1">
      <alignment horizontal="center"/>
    </xf>
    <xf numFmtId="0" fontId="17" fillId="0" borderId="0" xfId="14" applyFont="1" applyAlignment="1" applyProtection="1">
      <alignment horizontal="center"/>
    </xf>
    <xf numFmtId="0" fontId="17" fillId="0" borderId="0" xfId="10" quotePrefix="1" applyFont="1" applyAlignment="1" applyProtection="1">
      <alignment horizontal="center"/>
    </xf>
    <xf numFmtId="0" fontId="17" fillId="0" borderId="0" xfId="15" applyFont="1" applyAlignment="1" applyProtection="1">
      <alignment horizontal="center"/>
    </xf>
    <xf numFmtId="0" fontId="18" fillId="0" borderId="1" xfId="18" applyFont="1" applyBorder="1" applyAlignment="1" applyProtection="1">
      <alignment horizontal="center"/>
    </xf>
    <xf numFmtId="0" fontId="18" fillId="0" borderId="1" xfId="20" applyFont="1" applyBorder="1" applyAlignment="1" applyProtection="1">
      <alignment horizontal="center"/>
    </xf>
    <xf numFmtId="0" fontId="18" fillId="0" borderId="1" xfId="19" applyFont="1" applyBorder="1" applyAlignment="1" applyProtection="1">
      <alignment horizontal="center"/>
    </xf>
    <xf numFmtId="0" fontId="18" fillId="0" borderId="1" xfId="19" applyFont="1" applyBorder="1" applyAlignment="1">
      <alignment horizontal="center"/>
    </xf>
    <xf numFmtId="0" fontId="18" fillId="0" borderId="1" xfId="21" applyFont="1" applyBorder="1" applyAlignment="1" applyProtection="1">
      <alignment horizontal="center"/>
    </xf>
    <xf numFmtId="0" fontId="18" fillId="0" borderId="1" xfId="21" applyFont="1" applyBorder="1" applyAlignment="1">
      <alignment horizontal="center"/>
    </xf>
    <xf numFmtId="0" fontId="18" fillId="0" borderId="1" xfId="22" applyFont="1" applyBorder="1" applyAlignment="1" applyProtection="1">
      <alignment horizontal="center"/>
    </xf>
    <xf numFmtId="0" fontId="18" fillId="0" borderId="1" xfId="22" applyFont="1" applyBorder="1" applyAlignment="1">
      <alignment horizontal="center"/>
    </xf>
    <xf numFmtId="164" fontId="6" fillId="0" borderId="0" xfId="0" applyNumberFormat="1" applyFont="1"/>
  </cellXfs>
  <cellStyles count="23">
    <cellStyle name="Comma" xfId="1" builtinId="3"/>
    <cellStyle name="Currency" xfId="2" builtinId="4"/>
    <cellStyle name="Normal" xfId="0" builtinId="0"/>
    <cellStyle name="Normal 10 5" xfId="5" xr:uid="{27765D8D-23E1-47B6-8B1B-8F259EBE5DFF}"/>
    <cellStyle name="Normal 12 2" xfId="9" xr:uid="{47AEBA38-8903-4EA8-A6CF-A5382BA5E258}"/>
    <cellStyle name="Normal 2" xfId="8" xr:uid="{2A8C6537-DC93-4FE3-8D99-D0BF2325A2DF}"/>
    <cellStyle name="Normal_24-CHURCH" xfId="17" xr:uid="{4ED63065-36C4-48F4-8B87-055D9742A4F9}"/>
    <cellStyle name="Normal_Allocation-Exh3" xfId="7" xr:uid="{F8E99598-788B-41FC-82D0-C0EB941A735D}"/>
    <cellStyle name="Normal_G-0 SM GEN SRV" xfId="18" xr:uid="{46053B55-D535-4C8F-B0CA-7116083DCE90}"/>
    <cellStyle name="Normal_G-2 PRI GEN SRV" xfId="19" xr:uid="{4FE2390C-A3DE-48CE-8E5C-F3C0E5E19B18}"/>
    <cellStyle name="Normal_RATE 23 CWH" xfId="16" xr:uid="{BFA87264-19F8-4528-9A88-6145742DE913}"/>
    <cellStyle name="Normal_REGULAR R-1" xfId="11" xr:uid="{F6B17689-4B09-41B9-B10B-D0DB121160EB}"/>
    <cellStyle name="Normal_REGULAR R-1_NSTAR Electric - BECo Rate Design Model" xfId="10" xr:uid="{2EC4245C-36E2-4C87-B3C9-1FC76CA62652}"/>
    <cellStyle name="Normal_REGULAR R-1_NSTAR Electric - Camb Rate Design Model" xfId="14" xr:uid="{0724A00E-8804-48FC-9D2C-AEFD7E9C0C20}"/>
    <cellStyle name="Normal_REGULAR R-1_NSTAR Electric - Comm Rate Design Model" xfId="15" xr:uid="{2E9D76DA-DBDD-4EA6-AB83-AE17D45C2915}"/>
    <cellStyle name="Normal_Revenue Shift" xfId="4" xr:uid="{676F2AD1-89A3-43B1-AF8F-D766B880C001}"/>
    <cellStyle name="Normal_T-0 SM GEN TOU" xfId="20" xr:uid="{ED1273D7-35CC-40C8-A98E-6B9C15F54EEB}"/>
    <cellStyle name="Normal_T-0 SM GEN TOU_NSTAR Electric - BECo Rate Design Model" xfId="13" xr:uid="{EFAF7A82-8053-428C-8B51-82264B6FEADF}"/>
    <cellStyle name="Normal_T-2 LRG TOU" xfId="22" xr:uid="{CBB3E550-0CB4-4E8D-AFFB-48A7AB2FC396}"/>
    <cellStyle name="Normal_T-4 PRI GEN TOU" xfId="21" xr:uid="{2A169C76-4509-481E-80C9-095931A2D8CC}"/>
    <cellStyle name="Percent" xfId="3" builtinId="5"/>
    <cellStyle name="Percent 2" xfId="6" xr:uid="{87D46CD4-ACB1-437F-A8EC-68DE698DA2CD}"/>
    <cellStyle name="Percent 5 2" xfId="12" xr:uid="{5DF99A03-CE2C-41E3-B247-4FB25BA3A05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0D967-2591-447C-BD38-C52BE1C20A7E}">
  <sheetPr>
    <tabColor theme="8" tint="0.59999389629810485"/>
  </sheetPr>
  <dimension ref="A4:CD66"/>
  <sheetViews>
    <sheetView tabSelected="1" zoomScaleNormal="100" workbookViewId="0">
      <pane xSplit="4" ySplit="10" topLeftCell="E11" activePane="bottomRight" state="frozen"/>
      <selection activeCell="J15" sqref="J15"/>
      <selection pane="topRight" activeCell="J15" sqref="J15"/>
      <selection pane="bottomLeft" activeCell="J15" sqref="J15"/>
      <selection pane="bottomRight"/>
    </sheetView>
  </sheetViews>
  <sheetFormatPr defaultRowHeight="12.5" x14ac:dyDescent="0.25"/>
  <cols>
    <col min="1" max="1" width="3.54296875" customWidth="1"/>
    <col min="2" max="2" width="13.81640625" customWidth="1"/>
    <col min="3" max="3" width="12.26953125" bestFit="1" customWidth="1"/>
    <col min="4" max="4" width="1.7265625" style="3" customWidth="1"/>
    <col min="5" max="5" width="9.1796875" style="3" bestFit="1" customWidth="1"/>
    <col min="6" max="6" width="9.6328125" style="3" bestFit="1" customWidth="1"/>
    <col min="7" max="7" width="9.7265625" style="32" bestFit="1" customWidth="1"/>
    <col min="8" max="9" width="0.81640625" style="3" customWidth="1"/>
    <col min="10" max="11" width="9.1796875" bestFit="1" customWidth="1"/>
    <col min="12" max="12" width="9.7265625" bestFit="1" customWidth="1"/>
    <col min="13" max="14" width="0.81640625" style="3" customWidth="1"/>
    <col min="15" max="16" width="9.1796875" bestFit="1" customWidth="1"/>
    <col min="17" max="17" width="9.7265625" bestFit="1" customWidth="1"/>
    <col min="18" max="19" width="0.81640625" style="3" customWidth="1"/>
    <col min="20" max="21" width="9.1796875" bestFit="1" customWidth="1"/>
    <col min="22" max="22" width="9.7265625" bestFit="1" customWidth="1"/>
    <col min="23" max="24" width="0.81640625" style="3" customWidth="1"/>
    <col min="25" max="26" width="9.1796875" bestFit="1" customWidth="1"/>
    <col min="27" max="27" width="9.7265625" bestFit="1" customWidth="1"/>
    <col min="28" max="29" width="0.81640625" style="3" customWidth="1"/>
    <col min="30" max="30" width="9.1796875" bestFit="1" customWidth="1"/>
    <col min="31" max="32" width="9.7265625" bestFit="1" customWidth="1"/>
    <col min="33" max="34" width="0.81640625" style="3" customWidth="1"/>
    <col min="35" max="36" width="9.7265625" bestFit="1" customWidth="1"/>
    <col min="37" max="37" width="9.1796875" bestFit="1" customWidth="1"/>
    <col min="38" max="39" width="0.81640625" style="3" customWidth="1"/>
    <col min="40" max="40" width="9.1796875" bestFit="1" customWidth="1"/>
    <col min="41" max="41" width="9.81640625" customWidth="1"/>
    <col min="42" max="42" width="9.7265625" bestFit="1" customWidth="1"/>
    <col min="43" max="44" width="0.81640625" style="3" customWidth="1"/>
    <col min="45" max="45" width="9.7265625" bestFit="1" customWidth="1"/>
    <col min="46" max="46" width="9.6328125" bestFit="1" customWidth="1"/>
    <col min="47" max="47" width="9.7265625" bestFit="1" customWidth="1"/>
    <col min="48" max="49" width="0.81640625" style="3" customWidth="1"/>
    <col min="50" max="51" width="9.1796875" bestFit="1" customWidth="1"/>
    <col min="52" max="52" width="9.7265625" bestFit="1" customWidth="1"/>
    <col min="53" max="54" width="0.81640625" style="3" customWidth="1"/>
    <col min="55" max="57" width="9.1796875" bestFit="1" customWidth="1"/>
    <col min="58" max="59" width="0.81640625" style="3" customWidth="1"/>
    <col min="60" max="60" width="9.7265625" bestFit="1" customWidth="1"/>
    <col min="61" max="62" width="9.1796875" bestFit="1" customWidth="1"/>
    <col min="63" max="64" width="0.81640625" style="3" customWidth="1"/>
    <col min="65" max="67" width="9.1796875" bestFit="1" customWidth="1"/>
    <col min="68" max="69" width="0.81640625" style="3" customWidth="1"/>
    <col min="70" max="72" width="9.1796875" bestFit="1" customWidth="1"/>
    <col min="73" max="74" width="0.81640625" style="3" customWidth="1"/>
    <col min="75" max="77" width="9.1796875" bestFit="1" customWidth="1"/>
    <col min="78" max="79" width="0.81640625" style="3" customWidth="1"/>
    <col min="80" max="80" width="9.1796875" bestFit="1" customWidth="1"/>
    <col min="81" max="82" width="9.6328125" bestFit="1" customWidth="1"/>
  </cols>
  <sheetData>
    <row r="4" spans="1:82" ht="13" x14ac:dyDescent="0.3">
      <c r="A4" s="1" t="s">
        <v>229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2"/>
      <c r="AL4" s="2"/>
      <c r="AM4" s="2"/>
      <c r="AQ4"/>
      <c r="AR4"/>
      <c r="AV4"/>
      <c r="AW4"/>
      <c r="BA4"/>
      <c r="BB4"/>
      <c r="BF4"/>
      <c r="BG4"/>
      <c r="BK4"/>
      <c r="BL4"/>
      <c r="BP4"/>
      <c r="BQ4"/>
      <c r="BU4"/>
      <c r="BV4"/>
      <c r="BZ4"/>
      <c r="CA4"/>
    </row>
    <row r="5" spans="1:82" ht="13" x14ac:dyDescent="0.3">
      <c r="A5" s="1" t="s">
        <v>0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2"/>
      <c r="AL5" s="2"/>
      <c r="AM5" s="2"/>
      <c r="AQ5"/>
      <c r="AR5"/>
      <c r="AV5"/>
      <c r="AW5"/>
      <c r="BA5"/>
      <c r="BB5"/>
      <c r="BF5"/>
      <c r="BG5"/>
      <c r="BK5"/>
      <c r="BL5"/>
      <c r="BP5"/>
      <c r="BQ5"/>
      <c r="BU5"/>
      <c r="BV5"/>
      <c r="BZ5"/>
      <c r="CA5"/>
    </row>
    <row r="6" spans="1:82" s="3" customFormat="1" ht="13" x14ac:dyDescent="0.3">
      <c r="C6" s="4"/>
      <c r="D6" s="5">
        <v>1</v>
      </c>
      <c r="E6" s="5"/>
      <c r="F6" s="5"/>
      <c r="G6" s="5"/>
      <c r="H6" s="5"/>
      <c r="I6" s="5"/>
      <c r="J6" s="4" t="s">
        <v>1</v>
      </c>
      <c r="K6" s="4" t="s">
        <v>2</v>
      </c>
      <c r="L6" s="4"/>
      <c r="M6" s="5"/>
      <c r="N6" s="5"/>
      <c r="O6" s="4" t="s">
        <v>3</v>
      </c>
      <c r="P6" s="4" t="s">
        <v>4</v>
      </c>
      <c r="Q6" s="4"/>
      <c r="R6" s="5"/>
      <c r="S6" s="5"/>
      <c r="T6" s="4" t="s">
        <v>5</v>
      </c>
      <c r="U6" s="4" t="s">
        <v>6</v>
      </c>
      <c r="V6" s="4"/>
      <c r="W6" s="5"/>
      <c r="X6" s="5"/>
      <c r="Y6" s="4" t="s">
        <v>7</v>
      </c>
      <c r="Z6" s="4" t="s">
        <v>8</v>
      </c>
      <c r="AA6" s="4"/>
      <c r="AB6" s="5"/>
      <c r="AC6" s="5"/>
      <c r="AD6" s="4" t="s">
        <v>9</v>
      </c>
      <c r="AE6" s="4" t="s">
        <v>10</v>
      </c>
      <c r="AF6" s="4"/>
      <c r="AG6" s="5"/>
      <c r="AH6" s="5"/>
      <c r="AI6" s="4" t="s">
        <v>11</v>
      </c>
      <c r="AJ6" s="4" t="s">
        <v>12</v>
      </c>
      <c r="AK6" s="4"/>
      <c r="AL6" s="5"/>
      <c r="AM6" s="5"/>
      <c r="AN6" s="4" t="s">
        <v>13</v>
      </c>
      <c r="AO6" s="4" t="s">
        <v>14</v>
      </c>
      <c r="AP6" s="4"/>
      <c r="AQ6" s="5"/>
      <c r="AR6" s="5"/>
      <c r="AS6" s="3" t="s">
        <v>15</v>
      </c>
      <c r="AT6" s="3" t="s">
        <v>16</v>
      </c>
      <c r="AV6" s="5"/>
      <c r="AW6" s="5"/>
      <c r="AX6" s="3" t="s">
        <v>17</v>
      </c>
      <c r="AY6" s="3" t="s">
        <v>18</v>
      </c>
      <c r="BA6" s="5"/>
      <c r="BB6" s="5"/>
      <c r="BC6" s="3" t="s">
        <v>19</v>
      </c>
      <c r="BD6" s="6" t="s">
        <v>20</v>
      </c>
      <c r="BE6" s="6"/>
      <c r="BF6" s="5"/>
      <c r="BG6" s="5"/>
      <c r="BH6" s="3" t="s">
        <v>21</v>
      </c>
      <c r="BI6" s="3" t="s">
        <v>22</v>
      </c>
      <c r="BK6" s="5"/>
      <c r="BL6" s="5"/>
      <c r="BM6" s="3" t="s">
        <v>23</v>
      </c>
      <c r="BN6" s="3" t="s">
        <v>24</v>
      </c>
      <c r="BP6" s="5"/>
      <c r="BQ6" s="5"/>
      <c r="BR6" s="3" t="s">
        <v>25</v>
      </c>
      <c r="BS6" s="3" t="s">
        <v>26</v>
      </c>
      <c r="BU6" s="5"/>
      <c r="BV6" s="5"/>
      <c r="BW6" s="3" t="s">
        <v>27</v>
      </c>
      <c r="BX6" s="3" t="s">
        <v>28</v>
      </c>
      <c r="BZ6" s="5"/>
      <c r="CA6" s="5"/>
      <c r="CB6" s="3" t="s">
        <v>29</v>
      </c>
      <c r="CC6" s="3" t="s">
        <v>30</v>
      </c>
    </row>
    <row r="7" spans="1:82" x14ac:dyDescent="0.25">
      <c r="A7" s="7"/>
      <c r="B7" s="7"/>
      <c r="D7" s="8">
        <f>+D6+1</f>
        <v>2</v>
      </c>
      <c r="E7" s="735"/>
      <c r="F7" s="735"/>
      <c r="G7" s="9"/>
      <c r="H7" s="8"/>
      <c r="I7" s="8"/>
      <c r="J7" s="735" t="s">
        <v>31</v>
      </c>
      <c r="K7" s="735"/>
      <c r="L7" s="735"/>
      <c r="M7" s="8"/>
      <c r="N7" s="8"/>
      <c r="O7" s="735" t="s">
        <v>32</v>
      </c>
      <c r="P7" s="735"/>
      <c r="Q7" s="735"/>
      <c r="R7" s="8"/>
      <c r="S7" s="8"/>
      <c r="T7" s="735" t="s">
        <v>33</v>
      </c>
      <c r="U7" s="735"/>
      <c r="V7" s="735"/>
      <c r="W7" s="8"/>
      <c r="X7" s="8"/>
      <c r="Y7" s="735" t="s">
        <v>34</v>
      </c>
      <c r="Z7" s="735"/>
      <c r="AA7" s="735"/>
      <c r="AB7" s="8"/>
      <c r="AC7" s="8"/>
      <c r="AD7" s="735" t="s">
        <v>35</v>
      </c>
      <c r="AE7" s="735"/>
      <c r="AF7" s="735"/>
      <c r="AG7" s="8"/>
      <c r="AH7" s="8"/>
      <c r="AI7" s="7"/>
      <c r="AJ7" s="7"/>
      <c r="AK7" s="7"/>
      <c r="AL7" s="8"/>
      <c r="AM7" s="8"/>
      <c r="AN7" s="736" t="s">
        <v>36</v>
      </c>
      <c r="AO7" s="736"/>
      <c r="AP7" s="736"/>
      <c r="AQ7" s="8"/>
      <c r="AR7" s="8"/>
      <c r="AS7" s="736" t="s">
        <v>37</v>
      </c>
      <c r="AT7" s="736"/>
      <c r="AU7" s="736"/>
      <c r="AV7" s="8"/>
      <c r="AW7" s="8"/>
      <c r="AX7" s="736" t="s">
        <v>38</v>
      </c>
      <c r="AY7" s="736"/>
      <c r="AZ7" s="736"/>
      <c r="BA7" s="8"/>
      <c r="BB7" s="8"/>
      <c r="BC7" s="736" t="s">
        <v>39</v>
      </c>
      <c r="BD7" s="736"/>
      <c r="BE7" s="736"/>
      <c r="BF7" s="8"/>
      <c r="BG7" s="8"/>
      <c r="BH7" s="736" t="s">
        <v>40</v>
      </c>
      <c r="BI7" s="736"/>
      <c r="BJ7" s="736"/>
      <c r="BK7" s="8"/>
      <c r="BL7" s="8"/>
      <c r="BM7" s="736" t="s">
        <v>41</v>
      </c>
      <c r="BN7" s="736"/>
      <c r="BO7" s="736"/>
      <c r="BP7" s="8"/>
      <c r="BQ7" s="8"/>
      <c r="BR7" s="736" t="s">
        <v>42</v>
      </c>
      <c r="BS7" s="736"/>
      <c r="BT7" s="736"/>
      <c r="BU7" s="8"/>
      <c r="BV7" s="8"/>
      <c r="BW7" s="737" t="s">
        <v>43</v>
      </c>
      <c r="BX7" s="737"/>
      <c r="BY7" s="737"/>
      <c r="BZ7" s="8"/>
      <c r="CA7" s="8"/>
      <c r="CB7" s="737"/>
      <c r="CC7" s="737"/>
      <c r="CD7" s="737"/>
    </row>
    <row r="8" spans="1:82" ht="13" x14ac:dyDescent="0.3">
      <c r="A8" s="7" t="s">
        <v>44</v>
      </c>
      <c r="B8" s="10" t="s">
        <v>45</v>
      </c>
      <c r="C8" s="2" t="s">
        <v>46</v>
      </c>
      <c r="D8" s="8">
        <f t="shared" ref="D8:D34" si="0">+D7+1</f>
        <v>3</v>
      </c>
      <c r="E8" s="738" t="s">
        <v>47</v>
      </c>
      <c r="F8" s="738"/>
      <c r="G8" s="738"/>
      <c r="H8" s="8"/>
      <c r="I8" s="8"/>
      <c r="J8" s="738" t="s">
        <v>48</v>
      </c>
      <c r="K8" s="738"/>
      <c r="L8" s="738"/>
      <c r="M8" s="8"/>
      <c r="N8" s="8"/>
      <c r="O8" s="738" t="s">
        <v>49</v>
      </c>
      <c r="P8" s="738"/>
      <c r="Q8" s="738"/>
      <c r="R8" s="8"/>
      <c r="S8" s="8"/>
      <c r="T8" s="738" t="s">
        <v>50</v>
      </c>
      <c r="U8" s="738"/>
      <c r="V8" s="738"/>
      <c r="W8" s="8"/>
      <c r="X8" s="8"/>
      <c r="Y8" s="738" t="s">
        <v>51</v>
      </c>
      <c r="Z8" s="738"/>
      <c r="AA8" s="738"/>
      <c r="AB8" s="8"/>
      <c r="AC8" s="8"/>
      <c r="AD8" s="738" t="s">
        <v>52</v>
      </c>
      <c r="AE8" s="738"/>
      <c r="AF8" s="738"/>
      <c r="AG8" s="8"/>
      <c r="AH8" s="8"/>
      <c r="AI8" s="739" t="s">
        <v>53</v>
      </c>
      <c r="AJ8" s="739"/>
      <c r="AK8" s="739"/>
      <c r="AL8" s="8"/>
      <c r="AM8" s="8"/>
      <c r="AN8" s="738" t="s">
        <v>48</v>
      </c>
      <c r="AO8" s="738"/>
      <c r="AP8" s="738"/>
      <c r="AQ8" s="8"/>
      <c r="AR8" s="8"/>
      <c r="AS8" s="738" t="s">
        <v>54</v>
      </c>
      <c r="AT8" s="738"/>
      <c r="AU8" s="738"/>
      <c r="AV8" s="8"/>
      <c r="AW8" s="8"/>
      <c r="AX8" s="738" t="s">
        <v>48</v>
      </c>
      <c r="AY8" s="738"/>
      <c r="AZ8" s="738"/>
      <c r="BA8" s="8"/>
      <c r="BB8" s="8"/>
      <c r="BC8" s="738" t="s">
        <v>48</v>
      </c>
      <c r="BD8" s="738"/>
      <c r="BE8" s="738"/>
      <c r="BF8" s="8"/>
      <c r="BG8" s="8"/>
      <c r="BH8" s="738" t="s">
        <v>55</v>
      </c>
      <c r="BI8" s="738"/>
      <c r="BJ8" s="738"/>
      <c r="BK8" s="8"/>
      <c r="BL8" s="8"/>
      <c r="BM8" s="738" t="s">
        <v>56</v>
      </c>
      <c r="BN8" s="738"/>
      <c r="BO8" s="738"/>
      <c r="BP8" s="8"/>
      <c r="BQ8" s="8"/>
      <c r="BR8" s="738" t="s">
        <v>57</v>
      </c>
      <c r="BS8" s="738"/>
      <c r="BT8" s="738"/>
      <c r="BU8" s="8"/>
      <c r="BV8" s="8"/>
      <c r="BW8" s="740" t="s">
        <v>58</v>
      </c>
      <c r="BX8" s="740"/>
      <c r="BY8" s="740"/>
      <c r="BZ8" s="8"/>
      <c r="CA8" s="8"/>
      <c r="CB8" s="741" t="s">
        <v>59</v>
      </c>
      <c r="CC8" s="741"/>
      <c r="CD8" s="741"/>
    </row>
    <row r="9" spans="1:82" x14ac:dyDescent="0.25">
      <c r="A9" s="11" t="s">
        <v>60</v>
      </c>
      <c r="B9" s="12" t="s">
        <v>61</v>
      </c>
      <c r="C9" s="13" t="s">
        <v>62</v>
      </c>
      <c r="D9" s="8">
        <f t="shared" si="0"/>
        <v>4</v>
      </c>
      <c r="E9" s="11" t="s">
        <v>63</v>
      </c>
      <c r="F9" s="11" t="s">
        <v>64</v>
      </c>
      <c r="G9" s="11" t="s">
        <v>65</v>
      </c>
      <c r="H9" s="14"/>
      <c r="I9" s="8"/>
      <c r="J9" s="11" t="s">
        <v>63</v>
      </c>
      <c r="K9" s="11" t="s">
        <v>64</v>
      </c>
      <c r="L9" s="11" t="s">
        <v>65</v>
      </c>
      <c r="M9" s="14"/>
      <c r="N9" s="8"/>
      <c r="O9" s="11" t="s">
        <v>63</v>
      </c>
      <c r="P9" s="11" t="s">
        <v>64</v>
      </c>
      <c r="Q9" s="11" t="s">
        <v>65</v>
      </c>
      <c r="R9" s="14"/>
      <c r="S9" s="8"/>
      <c r="T9" s="11" t="s">
        <v>63</v>
      </c>
      <c r="U9" s="11" t="s">
        <v>64</v>
      </c>
      <c r="V9" s="11" t="s">
        <v>65</v>
      </c>
      <c r="W9" s="14"/>
      <c r="X9" s="8"/>
      <c r="Y9" s="11" t="s">
        <v>63</v>
      </c>
      <c r="Z9" s="11" t="s">
        <v>64</v>
      </c>
      <c r="AA9" s="11" t="s">
        <v>65</v>
      </c>
      <c r="AB9" s="14"/>
      <c r="AC9" s="8"/>
      <c r="AD9" s="11" t="s">
        <v>63</v>
      </c>
      <c r="AE9" s="11" t="s">
        <v>64</v>
      </c>
      <c r="AF9" s="11" t="s">
        <v>65</v>
      </c>
      <c r="AG9" s="14"/>
      <c r="AH9" s="8"/>
      <c r="AI9" s="11" t="s">
        <v>63</v>
      </c>
      <c r="AJ9" s="11" t="s">
        <v>64</v>
      </c>
      <c r="AK9" s="11" t="s">
        <v>65</v>
      </c>
      <c r="AL9" s="14"/>
      <c r="AM9" s="8"/>
      <c r="AN9" s="11" t="s">
        <v>63</v>
      </c>
      <c r="AO9" s="11" t="s">
        <v>64</v>
      </c>
      <c r="AP9" s="11" t="s">
        <v>65</v>
      </c>
      <c r="AQ9" s="14"/>
      <c r="AR9" s="8"/>
      <c r="AS9" s="11" t="s">
        <v>63</v>
      </c>
      <c r="AT9" s="11" t="s">
        <v>64</v>
      </c>
      <c r="AU9" s="11" t="s">
        <v>65</v>
      </c>
      <c r="AV9" s="14"/>
      <c r="AW9" s="8"/>
      <c r="AX9" s="11" t="s">
        <v>63</v>
      </c>
      <c r="AY9" s="11" t="s">
        <v>64</v>
      </c>
      <c r="AZ9" s="11" t="s">
        <v>65</v>
      </c>
      <c r="BA9" s="14"/>
      <c r="BB9" s="8"/>
      <c r="BC9" s="11" t="s">
        <v>63</v>
      </c>
      <c r="BD9" s="11" t="s">
        <v>64</v>
      </c>
      <c r="BE9" s="11" t="s">
        <v>65</v>
      </c>
      <c r="BF9" s="14"/>
      <c r="BG9" s="8"/>
      <c r="BH9" s="11" t="s">
        <v>63</v>
      </c>
      <c r="BI9" s="11" t="s">
        <v>64</v>
      </c>
      <c r="BJ9" s="11" t="s">
        <v>65</v>
      </c>
      <c r="BK9" s="14"/>
      <c r="BL9" s="8"/>
      <c r="BM9" s="11" t="s">
        <v>63</v>
      </c>
      <c r="BN9" s="11" t="s">
        <v>64</v>
      </c>
      <c r="BO9" s="11" t="s">
        <v>65</v>
      </c>
      <c r="BP9" s="14"/>
      <c r="BQ9" s="8"/>
      <c r="BR9" s="11" t="s">
        <v>63</v>
      </c>
      <c r="BS9" s="11" t="s">
        <v>64</v>
      </c>
      <c r="BT9" s="11" t="s">
        <v>65</v>
      </c>
      <c r="BU9" s="14"/>
      <c r="BV9" s="8"/>
      <c r="BW9" s="11" t="s">
        <v>63</v>
      </c>
      <c r="BX9" s="11" t="s">
        <v>64</v>
      </c>
      <c r="BY9" s="11" t="s">
        <v>65</v>
      </c>
      <c r="BZ9" s="14"/>
      <c r="CA9" s="8"/>
      <c r="CB9" s="11" t="s">
        <v>63</v>
      </c>
      <c r="CC9" s="11" t="s">
        <v>64</v>
      </c>
      <c r="CD9" s="11" t="s">
        <v>65</v>
      </c>
    </row>
    <row r="10" spans="1:82" x14ac:dyDescent="0.25">
      <c r="C10" s="15"/>
      <c r="D10" s="16">
        <f t="shared" si="0"/>
        <v>5</v>
      </c>
      <c r="E10" s="7" t="s">
        <v>66</v>
      </c>
      <c r="F10" s="17" t="s">
        <v>67</v>
      </c>
      <c r="G10" s="17" t="s">
        <v>68</v>
      </c>
      <c r="H10" s="18"/>
      <c r="I10" s="16"/>
      <c r="J10" s="7" t="s">
        <v>69</v>
      </c>
      <c r="K10" s="17" t="s">
        <v>70</v>
      </c>
      <c r="L10" s="17" t="s">
        <v>71</v>
      </c>
      <c r="M10" s="18"/>
      <c r="N10" s="16"/>
      <c r="O10" s="17" t="s">
        <v>72</v>
      </c>
      <c r="P10" s="17" t="s">
        <v>73</v>
      </c>
      <c r="Q10" s="17" t="s">
        <v>74</v>
      </c>
      <c r="R10" s="18"/>
      <c r="S10" s="16"/>
      <c r="T10" s="17" t="s">
        <v>75</v>
      </c>
      <c r="U10" s="17" t="s">
        <v>76</v>
      </c>
      <c r="V10" s="17" t="s">
        <v>77</v>
      </c>
      <c r="W10" s="18"/>
      <c r="X10" s="16"/>
      <c r="Y10" s="17" t="s">
        <v>78</v>
      </c>
      <c r="Z10" s="17" t="s">
        <v>79</v>
      </c>
      <c r="AA10" s="17" t="s">
        <v>80</v>
      </c>
      <c r="AB10" s="18"/>
      <c r="AC10" s="16"/>
      <c r="AD10" s="17" t="s">
        <v>81</v>
      </c>
      <c r="AE10" s="17" t="s">
        <v>82</v>
      </c>
      <c r="AF10" s="17" t="s">
        <v>83</v>
      </c>
      <c r="AG10" s="18"/>
      <c r="AH10" s="16"/>
      <c r="AI10" s="17" t="s">
        <v>84</v>
      </c>
      <c r="AJ10" s="17" t="s">
        <v>85</v>
      </c>
      <c r="AK10" s="17" t="s">
        <v>86</v>
      </c>
      <c r="AL10" s="18"/>
      <c r="AM10" s="16"/>
      <c r="AN10" s="7" t="s">
        <v>87</v>
      </c>
      <c r="AO10" s="15" t="s">
        <v>88</v>
      </c>
      <c r="AP10" s="17" t="s">
        <v>89</v>
      </c>
      <c r="AQ10" s="18"/>
      <c r="AR10" s="16"/>
      <c r="AS10" s="17" t="s">
        <v>90</v>
      </c>
      <c r="AT10" s="17" t="s">
        <v>91</v>
      </c>
      <c r="AU10" s="17" t="s">
        <v>92</v>
      </c>
      <c r="AV10" s="18"/>
      <c r="AW10" s="16"/>
      <c r="AX10" s="17" t="s">
        <v>93</v>
      </c>
      <c r="AY10" s="17" t="s">
        <v>94</v>
      </c>
      <c r="AZ10" s="17" t="s">
        <v>95</v>
      </c>
      <c r="BA10" s="18"/>
      <c r="BB10" s="16"/>
      <c r="BC10" s="17" t="s">
        <v>96</v>
      </c>
      <c r="BD10" s="17" t="s">
        <v>97</v>
      </c>
      <c r="BE10" s="17" t="s">
        <v>98</v>
      </c>
      <c r="BF10" s="18"/>
      <c r="BG10" s="16"/>
      <c r="BH10" s="17" t="s">
        <v>99</v>
      </c>
      <c r="BI10" s="17" t="s">
        <v>100</v>
      </c>
      <c r="BJ10" s="17" t="s">
        <v>101</v>
      </c>
      <c r="BK10" s="18"/>
      <c r="BL10" s="16"/>
      <c r="BM10" s="17" t="s">
        <v>102</v>
      </c>
      <c r="BN10" s="17" t="s">
        <v>103</v>
      </c>
      <c r="BO10" s="17" t="s">
        <v>104</v>
      </c>
      <c r="BP10" s="18"/>
      <c r="BQ10" s="16"/>
      <c r="BR10" s="17" t="s">
        <v>105</v>
      </c>
      <c r="BS10" s="17" t="s">
        <v>106</v>
      </c>
      <c r="BT10" s="17" t="s">
        <v>107</v>
      </c>
      <c r="BU10" s="18"/>
      <c r="BV10" s="16"/>
      <c r="BW10" s="17" t="s">
        <v>108</v>
      </c>
      <c r="BX10" s="17" t="s">
        <v>109</v>
      </c>
      <c r="BY10" s="17" t="s">
        <v>110</v>
      </c>
      <c r="BZ10" s="18"/>
      <c r="CA10" s="16"/>
      <c r="CB10" s="17" t="s">
        <v>108</v>
      </c>
      <c r="CC10" s="17" t="s">
        <v>109</v>
      </c>
      <c r="CD10" s="17" t="s">
        <v>110</v>
      </c>
    </row>
    <row r="11" spans="1:82" x14ac:dyDescent="0.25">
      <c r="A11" s="7">
        <f>IF(B11&lt;&gt;"",COUNTA($B$11:B11),"")</f>
        <v>1</v>
      </c>
      <c r="B11" s="19" t="s">
        <v>111</v>
      </c>
      <c r="C11" s="20" t="s">
        <v>112</v>
      </c>
      <c r="D11" s="8">
        <f>+D10+1</f>
        <v>6</v>
      </c>
      <c r="E11" s="21">
        <f>+J11+O11+T11+Y11+AD11+AI11+AN11+AS11+AX11+BC11+BH11+BM11+BR11+BW11+CB11</f>
        <v>1.7120000000000003E-2</v>
      </c>
      <c r="F11" s="22">
        <f>+K11+P11+U11+Z11+AE11+AJ11+AO11+AT11+AY11+BD11+BI11+BN11+BS11+BX11+CC11</f>
        <v>1.8107663910717622E-2</v>
      </c>
      <c r="G11" s="21">
        <f>+F11-E11</f>
        <v>9.8766391071761911E-4</v>
      </c>
      <c r="H11" s="14"/>
      <c r="I11" s="8"/>
      <c r="J11" s="23">
        <v>3.7499999999999999E-3</v>
      </c>
      <c r="K11" s="21">
        <f>'Exh 7_ Recon Rates_Alloc p3-4'!I12</f>
        <v>4.8220108323451796E-3</v>
      </c>
      <c r="L11" s="21">
        <f>+K11-J11</f>
        <v>1.0720108323451797E-3</v>
      </c>
      <c r="M11" s="14"/>
      <c r="N11" s="8"/>
      <c r="O11" s="24">
        <v>7.3800000000000003E-3</v>
      </c>
      <c r="P11" s="25">
        <f>'Exh 7_ Recon Rates_Alloc p3-4'!L12</f>
        <v>6.2875153330074329E-3</v>
      </c>
      <c r="Q11" s="21">
        <f>+P11-O11</f>
        <v>-1.0924846669925674E-3</v>
      </c>
      <c r="R11" s="14"/>
      <c r="S11" s="8"/>
      <c r="T11" s="24">
        <v>2.3600000000000001E-3</v>
      </c>
      <c r="U11" s="25">
        <f>'Exh 7_ Recon Rates_Alloc p3-4'!O12</f>
        <v>1.7357128782064517E-3</v>
      </c>
      <c r="V11" s="21">
        <f>+U11-T11</f>
        <v>-6.242871217935484E-4</v>
      </c>
      <c r="W11" s="14"/>
      <c r="X11" s="8"/>
      <c r="Y11" s="23">
        <v>4.0000000000000003E-5</v>
      </c>
      <c r="Z11" s="21">
        <f>'Exh 7_ Recon Rates_Alloc p3-4'!R12</f>
        <v>1.0124423986742032E-5</v>
      </c>
      <c r="AA11" s="21">
        <f>+Z11-Y11</f>
        <v>-2.9875576013257973E-5</v>
      </c>
      <c r="AB11" s="14"/>
      <c r="AC11" s="8"/>
      <c r="AD11" s="23">
        <v>2E-3</v>
      </c>
      <c r="AE11" s="21">
        <f>'Exh 7_ Recon Rates_Alloc p3-4'!U12</f>
        <v>-2.3927999362629402E-4</v>
      </c>
      <c r="AF11" s="21">
        <f>+AE11-AD11</f>
        <v>-2.2392799936262939E-3</v>
      </c>
      <c r="AG11" s="14"/>
      <c r="AH11" s="8"/>
      <c r="AI11" s="23">
        <v>-6.0999999999999997E-4</v>
      </c>
      <c r="AJ11" s="21">
        <f>'Exh 7_ Recon Rates_Alloc p3-4'!X12</f>
        <v>-5.210932140356871E-4</v>
      </c>
      <c r="AK11" s="21">
        <f>+AJ11-AI11</f>
        <v>8.8906785964312871E-5</v>
      </c>
      <c r="AL11" s="14"/>
      <c r="AM11" s="8"/>
      <c r="AN11" s="23">
        <v>0</v>
      </c>
      <c r="AO11" s="21">
        <f>'Exh 7_ Recon Rates_Alloc p3-4'!AA12</f>
        <v>-5.7076909658183481E-4</v>
      </c>
      <c r="AP11" s="21">
        <f>+AO11-AN11</f>
        <v>-5.7076909658183481E-4</v>
      </c>
      <c r="AQ11" s="14"/>
      <c r="AR11" s="8"/>
      <c r="AS11" s="24">
        <v>-1.1E-4</v>
      </c>
      <c r="AT11" s="85">
        <f>'Exh 7_ Recon Rates_Alloc p3-4'!AD12</f>
        <v>9.3055115118339735E-4</v>
      </c>
      <c r="AU11" s="21">
        <f>+AT11-AS11</f>
        <v>1.0405511511833974E-3</v>
      </c>
      <c r="AV11" s="14"/>
      <c r="AW11" s="8"/>
      <c r="AX11" s="23">
        <v>2.31E-3</v>
      </c>
      <c r="AY11" s="21">
        <f>+'Exh 7_ Recon Rates_Alloc p5'!R12</f>
        <v>3.6454007574825073E-3</v>
      </c>
      <c r="AZ11" s="21">
        <f>+AY11-AX11</f>
        <v>1.3354007574825073E-3</v>
      </c>
      <c r="BA11" s="14"/>
      <c r="BB11" s="8"/>
      <c r="BC11" s="23">
        <v>0</v>
      </c>
      <c r="BD11" s="21">
        <f>+'Exh 7_ Recon Rates_Alloc p3-4'!AG12</f>
        <v>0</v>
      </c>
      <c r="BE11" s="21">
        <f>+BD11-BC11</f>
        <v>0</v>
      </c>
      <c r="BF11" s="14"/>
      <c r="BG11" s="8"/>
      <c r="BH11" s="23">
        <v>0</v>
      </c>
      <c r="BI11" s="22">
        <f>'Exh 7_ Recon Rates_Alloc p3-4'!AJ12</f>
        <v>4.2583348640532346E-5</v>
      </c>
      <c r="BJ11" s="21">
        <f>+BI11-BH11</f>
        <v>4.2583348640532346E-5</v>
      </c>
      <c r="BK11" s="14"/>
      <c r="BL11" s="8"/>
      <c r="BM11" s="23">
        <v>0</v>
      </c>
      <c r="BN11" s="21">
        <f>'Exh 7_ Recon Rates_Alloc p3-4'!AM12</f>
        <v>7.5107285098997844E-4</v>
      </c>
      <c r="BO11" s="21">
        <f>+BN11-BM11</f>
        <v>7.5107285098997844E-4</v>
      </c>
      <c r="BP11" s="14"/>
      <c r="BQ11" s="8"/>
      <c r="BR11" s="23">
        <v>0</v>
      </c>
      <c r="BS11" s="21">
        <f>+'Exh 7_ Recon Rates_Alloc p3-4'!AP12</f>
        <v>1.6660010722404932E-3</v>
      </c>
      <c r="BT11" s="21">
        <f>+BS11-BR11</f>
        <v>1.6660010722404932E-3</v>
      </c>
      <c r="BU11" s="14"/>
      <c r="BV11" s="8"/>
      <c r="BW11" s="23">
        <v>0</v>
      </c>
      <c r="BX11" s="21">
        <f>+'Exh 7_ Recon Rates_Alloc p3-4'!AS12</f>
        <v>8.7998724183282182E-4</v>
      </c>
      <c r="BY11" s="21">
        <f>+BX11-BW11</f>
        <v>8.7998724183282182E-4</v>
      </c>
      <c r="BZ11" s="14"/>
      <c r="CA11" s="8"/>
      <c r="CB11" s="23">
        <v>0</v>
      </c>
      <c r="CC11" s="22">
        <f>+'Exh 7_ Recon Rates_Alloc p3-4'!AV12</f>
        <v>-1.3321536749540959E-3</v>
      </c>
      <c r="CD11" s="21">
        <f>+CC11-CB11</f>
        <v>-1.3321536749540959E-3</v>
      </c>
    </row>
    <row r="12" spans="1:82" x14ac:dyDescent="0.25">
      <c r="A12" s="7">
        <f>IF(B12&lt;&gt;"",COUNTA($B$11:B12),"")</f>
        <v>2</v>
      </c>
      <c r="B12" s="19" t="s">
        <v>111</v>
      </c>
      <c r="C12" s="20" t="s">
        <v>113</v>
      </c>
      <c r="D12" s="8">
        <f t="shared" si="0"/>
        <v>7</v>
      </c>
      <c r="E12" s="21">
        <f t="shared" ref="E12:F32" si="1">+J12+O12+T12+Y12+AD12+AI12+AN12+AS12+AX12+BC12+BH12+BM12+BR12+BW12+CB12</f>
        <v>1.3820000000000001E-2</v>
      </c>
      <c r="F12" s="22">
        <f t="shared" si="1"/>
        <v>1.5391035280222043E-2</v>
      </c>
      <c r="G12" s="21">
        <f t="shared" ref="G12:G35" si="2">+F12-E12</f>
        <v>1.5710352802220419E-3</v>
      </c>
      <c r="H12" s="14"/>
      <c r="I12" s="8"/>
      <c r="J12" s="23">
        <v>2.9499999999999999E-3</v>
      </c>
      <c r="K12" s="21">
        <f>'Exh 7_ Recon Rates_Alloc p3-4'!I13</f>
        <v>3.9170150182816542E-3</v>
      </c>
      <c r="L12" s="21">
        <f t="shared" ref="L12:L35" si="3">+K12-J12</f>
        <v>9.6701501828165429E-4</v>
      </c>
      <c r="M12" s="14"/>
      <c r="N12" s="8"/>
      <c r="O12" s="24">
        <v>5.7999999999999996E-3</v>
      </c>
      <c r="P12" s="25">
        <f>'Exh 7_ Recon Rates_Alloc p3-4'!L13</f>
        <v>5.1074733847265843E-3</v>
      </c>
      <c r="Q12" s="21">
        <f t="shared" ref="Q12:Q35" si="4">+P12-O12</f>
        <v>-6.9252661527341528E-4</v>
      </c>
      <c r="R12" s="14"/>
      <c r="S12" s="8"/>
      <c r="T12" s="24">
        <v>2.3600000000000001E-3</v>
      </c>
      <c r="U12" s="25">
        <f>'Exh 7_ Recon Rates_Alloc p3-4'!O13</f>
        <v>1.7357128782064517E-3</v>
      </c>
      <c r="V12" s="21">
        <f t="shared" ref="V12:V35" si="5">+U12-T12</f>
        <v>-6.242871217935484E-4</v>
      </c>
      <c r="W12" s="14"/>
      <c r="X12" s="8"/>
      <c r="Y12" s="23">
        <v>3.0000000000000001E-5</v>
      </c>
      <c r="Z12" s="21">
        <f>'Exh 7_ Recon Rates_Alloc p3-4'!R13</f>
        <v>8.2242703690137013E-6</v>
      </c>
      <c r="AA12" s="21">
        <f t="shared" ref="AA12:AA35" si="6">+Z12-Y12</f>
        <v>-2.1775729630986299E-5</v>
      </c>
      <c r="AB12" s="14"/>
      <c r="AC12" s="8"/>
      <c r="AD12" s="23">
        <v>1.57E-3</v>
      </c>
      <c r="AE12" s="21">
        <f>'Exh 7_ Recon Rates_Alloc p3-4'!U13</f>
        <v>-1.9437188368004869E-4</v>
      </c>
      <c r="AF12" s="21">
        <f t="shared" ref="AF12:AF35" si="7">+AE12-AD12</f>
        <v>-1.7643718836800487E-3</v>
      </c>
      <c r="AG12" s="14"/>
      <c r="AH12" s="8"/>
      <c r="AI12" s="21">
        <v>-6.0999999999999997E-4</v>
      </c>
      <c r="AJ12" s="21">
        <f>'Exh 7_ Recon Rates_Alloc p3-4'!X13</f>
        <v>-5.210932140356871E-4</v>
      </c>
      <c r="AK12" s="21">
        <f t="shared" ref="AK12:AK35" si="8">+AJ12-AI12</f>
        <v>8.8906785964312871E-5</v>
      </c>
      <c r="AL12" s="14"/>
      <c r="AM12" s="8"/>
      <c r="AN12" s="23">
        <v>0</v>
      </c>
      <c r="AO12" s="21">
        <f>'Exh 7_ Recon Rates_Alloc p3-4'!AA13</f>
        <v>-4.636470553498867E-4</v>
      </c>
      <c r="AP12" s="21">
        <f t="shared" ref="AP12:AP35" si="9">+AO12-AN12</f>
        <v>-4.636470553498867E-4</v>
      </c>
      <c r="AQ12" s="14"/>
      <c r="AR12" s="8"/>
      <c r="AS12" s="24">
        <v>-1E-4</v>
      </c>
      <c r="AT12" s="85">
        <f>'Exh 7_ Recon Rates_Alloc p3-4'!AD13</f>
        <v>9.1807557129104558E-4</v>
      </c>
      <c r="AU12" s="21">
        <f t="shared" ref="AU12:AU35" si="10">+AT12-AS12</f>
        <v>1.0180755712910455E-3</v>
      </c>
      <c r="AV12" s="14"/>
      <c r="AW12" s="8"/>
      <c r="AX12" s="23">
        <v>1.82E-3</v>
      </c>
      <c r="AY12" s="21">
        <f>+'Exh 7_ Recon Rates_Alloc p5'!R16</f>
        <v>2.9625818337441516E-3</v>
      </c>
      <c r="AZ12" s="21">
        <f t="shared" ref="AZ12:AZ35" si="11">+AY12-AX12</f>
        <v>1.1425818337441516E-3</v>
      </c>
      <c r="BA12" s="14"/>
      <c r="BB12" s="8"/>
      <c r="BC12" s="23">
        <v>0</v>
      </c>
      <c r="BD12" s="21">
        <f>+'Exh 7_ Recon Rates_Alloc p3-4'!AG13</f>
        <v>0</v>
      </c>
      <c r="BE12" s="21">
        <f t="shared" ref="BE12:BE35" si="12">+BD12-BC12</f>
        <v>0</v>
      </c>
      <c r="BF12" s="14"/>
      <c r="BG12" s="8"/>
      <c r="BH12" s="23">
        <v>0</v>
      </c>
      <c r="BI12" s="22">
        <f>'Exh 7_ Recon Rates_Alloc p3-4'!AJ13</f>
        <v>3.4591298516964567E-5</v>
      </c>
      <c r="BJ12" s="21">
        <f t="shared" ref="BJ12:BJ35" si="13">+BI12-BH12</f>
        <v>3.4591298516964567E-5</v>
      </c>
      <c r="BK12" s="14"/>
      <c r="BL12" s="8"/>
      <c r="BM12" s="23">
        <v>0</v>
      </c>
      <c r="BN12" s="21">
        <f>'Exh 7_ Recon Rates_Alloc p3-4'!AM13</f>
        <v>6.1011137043019529E-4</v>
      </c>
      <c r="BO12" s="21">
        <f t="shared" ref="BO12:BO35" si="14">+BN12-BM12</f>
        <v>6.1011137043019529E-4</v>
      </c>
      <c r="BP12" s="14"/>
      <c r="BQ12" s="8"/>
      <c r="BR12" s="23">
        <v>0</v>
      </c>
      <c r="BS12" s="21">
        <f>+'Exh 7_ Recon Rates_Alloc p3-4'!AP13</f>
        <v>1.6436655676838139E-3</v>
      </c>
      <c r="BT12" s="21">
        <f t="shared" ref="BT12:BT35" si="15">+BS12-BR12</f>
        <v>1.6436655676838139E-3</v>
      </c>
      <c r="BU12" s="14"/>
      <c r="BV12" s="8"/>
      <c r="BW12" s="23">
        <v>0</v>
      </c>
      <c r="BX12" s="21">
        <f>+'Exh 7_ Recon Rates_Alloc p3-4'!AS13</f>
        <v>7.1483108644926168E-4</v>
      </c>
      <c r="BY12" s="21">
        <f t="shared" ref="BY12:BY35" si="16">+BX12-BW12</f>
        <v>7.1483108644926168E-4</v>
      </c>
      <c r="BZ12" s="14"/>
      <c r="CA12" s="8"/>
      <c r="CB12" s="23">
        <v>0</v>
      </c>
      <c r="CC12" s="22">
        <f>+'Exh 7_ Recon Rates_Alloc p3-4'!AV13</f>
        <v>-1.0821348464114689E-3</v>
      </c>
      <c r="CD12" s="21">
        <f t="shared" ref="CD12:CD35" si="17">+CC12-CB12</f>
        <v>-1.0821348464114689E-3</v>
      </c>
    </row>
    <row r="13" spans="1:82" x14ac:dyDescent="0.25">
      <c r="A13" s="7">
        <f>IF(B13&lt;&gt;"",COUNTA($B$11:B13),"")</f>
        <v>3</v>
      </c>
      <c r="B13" s="19" t="s">
        <v>114</v>
      </c>
      <c r="C13" s="20" t="s">
        <v>112</v>
      </c>
      <c r="D13" s="8">
        <f t="shared" si="0"/>
        <v>8</v>
      </c>
      <c r="E13" s="21">
        <f t="shared" si="1"/>
        <v>2.598E-2</v>
      </c>
      <c r="F13" s="22">
        <f t="shared" si="1"/>
        <v>1.8133261847583272E-2</v>
      </c>
      <c r="G13" s="21">
        <f t="shared" si="2"/>
        <v>-7.8467381524167275E-3</v>
      </c>
      <c r="H13" s="14"/>
      <c r="I13" s="8"/>
      <c r="J13" s="23">
        <v>1.323E-2</v>
      </c>
      <c r="K13" s="21">
        <f>+K11</f>
        <v>4.8220108323451796E-3</v>
      </c>
      <c r="L13" s="21">
        <f t="shared" si="3"/>
        <v>-8.4079891676548217E-3</v>
      </c>
      <c r="M13" s="14"/>
      <c r="N13" s="8"/>
      <c r="O13" s="24">
        <v>5.7499999999999999E-3</v>
      </c>
      <c r="P13" s="21">
        <f>+P11</f>
        <v>6.2875153330074329E-3</v>
      </c>
      <c r="Q13" s="21">
        <f t="shared" si="4"/>
        <v>5.3751533300743295E-4</v>
      </c>
      <c r="R13" s="14"/>
      <c r="S13" s="8"/>
      <c r="T13" s="24">
        <v>3.31E-3</v>
      </c>
      <c r="U13" s="21">
        <f>+U11</f>
        <v>1.7357128782064517E-3</v>
      </c>
      <c r="V13" s="21">
        <f t="shared" si="5"/>
        <v>-1.5742871217935483E-3</v>
      </c>
      <c r="W13" s="14"/>
      <c r="X13" s="8"/>
      <c r="Y13" s="23">
        <v>4.0000000000000003E-5</v>
      </c>
      <c r="Z13" s="21">
        <f>+Z11</f>
        <v>1.0124423986742032E-5</v>
      </c>
      <c r="AA13" s="21">
        <f t="shared" si="6"/>
        <v>-2.9875576013257973E-5</v>
      </c>
      <c r="AB13" s="14"/>
      <c r="AC13" s="8"/>
      <c r="AD13" s="23">
        <v>2.7E-4</v>
      </c>
      <c r="AE13" s="21">
        <f>+AE11</f>
        <v>-2.3927999362629402E-4</v>
      </c>
      <c r="AF13" s="21">
        <f t="shared" si="7"/>
        <v>-5.0927999362629405E-4</v>
      </c>
      <c r="AG13" s="14"/>
      <c r="AH13" s="8"/>
      <c r="AI13" s="21">
        <v>-1.7099999999999999E-3</v>
      </c>
      <c r="AJ13" s="21">
        <f>+AJ11</f>
        <v>-5.210932140356871E-4</v>
      </c>
      <c r="AK13" s="21">
        <f t="shared" si="8"/>
        <v>1.1889067859643127E-3</v>
      </c>
      <c r="AL13" s="14"/>
      <c r="AM13" s="8"/>
      <c r="AN13" s="23">
        <v>7.5000000000000002E-4</v>
      </c>
      <c r="AO13" s="21">
        <f>+AO11</f>
        <v>-5.7076909658183481E-4</v>
      </c>
      <c r="AP13" s="21">
        <f t="shared" si="9"/>
        <v>-1.3207690965818348E-3</v>
      </c>
      <c r="AQ13" s="14"/>
      <c r="AR13" s="8"/>
      <c r="AS13" s="24">
        <v>1.4300000000000001E-3</v>
      </c>
      <c r="AT13" s="22">
        <f>+AT11</f>
        <v>9.3055115118339735E-4</v>
      </c>
      <c r="AU13" s="21">
        <f t="shared" si="10"/>
        <v>-4.9944884881660272E-4</v>
      </c>
      <c r="AV13" s="14"/>
      <c r="AW13" s="8"/>
      <c r="AX13" s="23">
        <v>3.0699999999999998E-3</v>
      </c>
      <c r="AY13" s="21">
        <f>+'Exh 7_ Recon Rates_Alloc p5'!R13</f>
        <v>3.6709986943481553E-3</v>
      </c>
      <c r="AZ13" s="21">
        <f t="shared" si="11"/>
        <v>6.0099869434815552E-4</v>
      </c>
      <c r="BA13" s="14"/>
      <c r="BB13" s="8"/>
      <c r="BC13" s="23">
        <v>0</v>
      </c>
      <c r="BD13" s="21">
        <f>+BD11</f>
        <v>0</v>
      </c>
      <c r="BE13" s="21">
        <f t="shared" si="12"/>
        <v>0</v>
      </c>
      <c r="BF13" s="14"/>
      <c r="BG13" s="8"/>
      <c r="BH13" s="23">
        <v>-1.6000000000000001E-4</v>
      </c>
      <c r="BI13" s="22">
        <f>+BI11</f>
        <v>4.2583348640532346E-5</v>
      </c>
      <c r="BJ13" s="21">
        <f t="shared" si="13"/>
        <v>2.0258334864053235E-4</v>
      </c>
      <c r="BK13" s="14"/>
      <c r="BL13" s="8"/>
      <c r="BM13" s="23">
        <v>0</v>
      </c>
      <c r="BN13" s="21">
        <f>'Exh 7_ Recon Rates_Alloc p3-4'!AM12</f>
        <v>7.5107285098997844E-4</v>
      </c>
      <c r="BO13" s="21">
        <f t="shared" si="14"/>
        <v>7.5107285098997844E-4</v>
      </c>
      <c r="BP13" s="14"/>
      <c r="BQ13" s="8"/>
      <c r="BR13" s="23">
        <v>0</v>
      </c>
      <c r="BS13" s="21">
        <f>+BS11</f>
        <v>1.6660010722404932E-3</v>
      </c>
      <c r="BT13" s="21">
        <f t="shared" si="15"/>
        <v>1.6660010722404932E-3</v>
      </c>
      <c r="BU13" s="14"/>
      <c r="BV13" s="8"/>
      <c r="BW13" s="23">
        <v>0</v>
      </c>
      <c r="BX13" s="21">
        <f>'Exh 7_ Recon Rates_Alloc p3-4'!AS12</f>
        <v>8.7998724183282182E-4</v>
      </c>
      <c r="BY13" s="21">
        <f t="shared" si="16"/>
        <v>8.7998724183282182E-4</v>
      </c>
      <c r="BZ13" s="14"/>
      <c r="CA13" s="8"/>
      <c r="CB13" s="23">
        <v>0</v>
      </c>
      <c r="CC13" s="22">
        <f>'Exh 7_ Recon Rates_Alloc p3-4'!AV12</f>
        <v>-1.3321536749540959E-3</v>
      </c>
      <c r="CD13" s="21">
        <f t="shared" si="17"/>
        <v>-1.3321536749540959E-3</v>
      </c>
    </row>
    <row r="14" spans="1:82" x14ac:dyDescent="0.25">
      <c r="A14" s="7">
        <f>IF(B14&lt;&gt;"",COUNTA($B$11:B14),"")</f>
        <v>4</v>
      </c>
      <c r="B14" s="19" t="s">
        <v>114</v>
      </c>
      <c r="C14" s="20" t="s">
        <v>113</v>
      </c>
      <c r="D14" s="8">
        <f t="shared" si="0"/>
        <v>9</v>
      </c>
      <c r="E14" s="21">
        <f t="shared" si="1"/>
        <v>2.1870000000000001E-2</v>
      </c>
      <c r="F14" s="22">
        <f t="shared" si="1"/>
        <v>1.5390101233284029E-2</v>
      </c>
      <c r="G14" s="21">
        <f t="shared" si="2"/>
        <v>-6.4798987667159715E-3</v>
      </c>
      <c r="H14" s="14"/>
      <c r="I14" s="8"/>
      <c r="J14" s="23">
        <v>1.086E-2</v>
      </c>
      <c r="K14" s="21">
        <f>+K12</f>
        <v>3.9170150182816542E-3</v>
      </c>
      <c r="L14" s="21">
        <f t="shared" si="3"/>
        <v>-6.9429849817183456E-3</v>
      </c>
      <c r="M14" s="14"/>
      <c r="N14" s="8"/>
      <c r="O14" s="24">
        <v>4.7200000000000002E-3</v>
      </c>
      <c r="P14" s="21">
        <f>+P12</f>
        <v>5.1074733847265843E-3</v>
      </c>
      <c r="Q14" s="21">
        <f t="shared" si="4"/>
        <v>3.8747338472658408E-4</v>
      </c>
      <c r="R14" s="14"/>
      <c r="S14" s="8"/>
      <c r="T14" s="24">
        <v>3.31E-3</v>
      </c>
      <c r="U14" s="21">
        <f>+U12</f>
        <v>1.7357128782064517E-3</v>
      </c>
      <c r="V14" s="21">
        <f t="shared" si="5"/>
        <v>-1.5742871217935483E-3</v>
      </c>
      <c r="W14" s="14"/>
      <c r="X14" s="8"/>
      <c r="Y14" s="23">
        <v>3.0000000000000001E-5</v>
      </c>
      <c r="Z14" s="21">
        <f>+Z12</f>
        <v>8.2242703690137013E-6</v>
      </c>
      <c r="AA14" s="21">
        <f t="shared" si="6"/>
        <v>-2.1775729630986299E-5</v>
      </c>
      <c r="AB14" s="14"/>
      <c r="AC14" s="8"/>
      <c r="AD14" s="23">
        <v>2.3000000000000001E-4</v>
      </c>
      <c r="AE14" s="21">
        <f>+AE12</f>
        <v>-1.9437188368004869E-4</v>
      </c>
      <c r="AF14" s="21">
        <f t="shared" si="7"/>
        <v>-4.2437188368004872E-4</v>
      </c>
      <c r="AG14" s="14"/>
      <c r="AH14" s="8"/>
      <c r="AI14" s="21">
        <v>-1.7099999999999999E-3</v>
      </c>
      <c r="AJ14" s="21">
        <f>+AJ12</f>
        <v>-5.210932140356871E-4</v>
      </c>
      <c r="AK14" s="21">
        <f t="shared" si="8"/>
        <v>1.1889067859643127E-3</v>
      </c>
      <c r="AL14" s="14"/>
      <c r="AM14" s="8"/>
      <c r="AN14" s="23">
        <v>6.4000000000000005E-4</v>
      </c>
      <c r="AO14" s="21">
        <f>+AO12</f>
        <v>-4.636470553498867E-4</v>
      </c>
      <c r="AP14" s="21">
        <f t="shared" si="9"/>
        <v>-1.1036470553498867E-3</v>
      </c>
      <c r="AQ14" s="14"/>
      <c r="AR14" s="8"/>
      <c r="AS14" s="24">
        <v>1.4E-3</v>
      </c>
      <c r="AT14" s="22">
        <f>+AT12</f>
        <v>9.1807557129104558E-4</v>
      </c>
      <c r="AU14" s="21">
        <f t="shared" si="10"/>
        <v>-4.8192442870895441E-4</v>
      </c>
      <c r="AV14" s="14"/>
      <c r="AW14" s="8"/>
      <c r="AX14" s="23">
        <v>2.5200000000000001E-3</v>
      </c>
      <c r="AY14" s="21">
        <f>+'Exh 7_ Recon Rates_Alloc p5'!R17</f>
        <v>2.961647786806138E-3</v>
      </c>
      <c r="AZ14" s="21">
        <f t="shared" si="11"/>
        <v>4.4164778680613791E-4</v>
      </c>
      <c r="BA14" s="14"/>
      <c r="BB14" s="8"/>
      <c r="BC14" s="23">
        <v>0</v>
      </c>
      <c r="BD14" s="21">
        <f>+BD12</f>
        <v>0</v>
      </c>
      <c r="BE14" s="21">
        <f t="shared" si="12"/>
        <v>0</v>
      </c>
      <c r="BF14" s="14"/>
      <c r="BG14" s="8"/>
      <c r="BH14" s="23">
        <v>-1.2999999999999999E-4</v>
      </c>
      <c r="BI14" s="22">
        <f>+BI12</f>
        <v>3.4591298516964567E-5</v>
      </c>
      <c r="BJ14" s="21">
        <f t="shared" si="13"/>
        <v>1.6459129851696455E-4</v>
      </c>
      <c r="BK14" s="14"/>
      <c r="BL14" s="8"/>
      <c r="BM14" s="23">
        <v>0</v>
      </c>
      <c r="BN14" s="21">
        <f>'Exh 7_ Recon Rates_Alloc p3-4'!AM13</f>
        <v>6.1011137043019529E-4</v>
      </c>
      <c r="BO14" s="21">
        <f t="shared" si="14"/>
        <v>6.1011137043019529E-4</v>
      </c>
      <c r="BP14" s="14"/>
      <c r="BQ14" s="8"/>
      <c r="BR14" s="23">
        <v>0</v>
      </c>
      <c r="BS14" s="21">
        <f>+BS12</f>
        <v>1.6436655676838139E-3</v>
      </c>
      <c r="BT14" s="21">
        <f t="shared" si="15"/>
        <v>1.6436655676838139E-3</v>
      </c>
      <c r="BU14" s="14"/>
      <c r="BV14" s="8"/>
      <c r="BW14" s="23">
        <v>0</v>
      </c>
      <c r="BX14" s="21">
        <f>'Exh 7_ Recon Rates_Alloc p3-4'!AS13</f>
        <v>7.1483108644926168E-4</v>
      </c>
      <c r="BY14" s="21">
        <f t="shared" si="16"/>
        <v>7.1483108644926168E-4</v>
      </c>
      <c r="BZ14" s="14"/>
      <c r="CA14" s="8"/>
      <c r="CB14" s="23">
        <v>0</v>
      </c>
      <c r="CC14" s="22">
        <f>'Exh 7_ Recon Rates_Alloc p3-4'!AV13</f>
        <v>-1.0821348464114689E-3</v>
      </c>
      <c r="CD14" s="21">
        <f t="shared" si="17"/>
        <v>-1.0821348464114689E-3</v>
      </c>
    </row>
    <row r="15" spans="1:82" x14ac:dyDescent="0.25">
      <c r="A15" s="7">
        <f>IF(B15&lt;&gt;"",COUNTA($B$11:B15),"")</f>
        <v>5</v>
      </c>
      <c r="B15" s="19" t="s">
        <v>115</v>
      </c>
      <c r="C15" s="20" t="s">
        <v>116</v>
      </c>
      <c r="D15" s="8">
        <f t="shared" si="0"/>
        <v>10</v>
      </c>
      <c r="E15" s="21">
        <f t="shared" si="1"/>
        <v>1.8460000000000004E-2</v>
      </c>
      <c r="F15" s="22">
        <f t="shared" si="1"/>
        <v>2.0399034444317978E-2</v>
      </c>
      <c r="G15" s="21">
        <f t="shared" si="2"/>
        <v>1.939034444317974E-3</v>
      </c>
      <c r="H15" s="14"/>
      <c r="I15" s="8"/>
      <c r="J15" s="23">
        <v>4.0699999999999998E-3</v>
      </c>
      <c r="K15" s="21">
        <f>'Exh 7_ Recon Rates_Alloc p3-4'!I14</f>
        <v>5.5567634866043316E-3</v>
      </c>
      <c r="L15" s="21">
        <f t="shared" si="3"/>
        <v>1.4867634866043318E-3</v>
      </c>
      <c r="M15" s="14"/>
      <c r="N15" s="8"/>
      <c r="O15" s="24">
        <v>8.0300000000000007E-3</v>
      </c>
      <c r="P15" s="25">
        <f>'Exh 7_ Recon Rates_Alloc p3-4'!L14</f>
        <v>7.2455738567738549E-3</v>
      </c>
      <c r="Q15" s="21">
        <f t="shared" si="4"/>
        <v>-7.8442614322614575E-4</v>
      </c>
      <c r="R15" s="14"/>
      <c r="S15" s="8"/>
      <c r="T15" s="24">
        <v>2.3600000000000001E-3</v>
      </c>
      <c r="U15" s="25">
        <f>'Exh 7_ Recon Rates_Alloc p3-4'!O14</f>
        <v>1.7357128782064517E-3</v>
      </c>
      <c r="V15" s="21">
        <f t="shared" si="5"/>
        <v>-6.242871217935484E-4</v>
      </c>
      <c r="W15" s="14"/>
      <c r="X15" s="8"/>
      <c r="Y15" s="23">
        <v>4.0000000000000003E-5</v>
      </c>
      <c r="Z15" s="21">
        <f>'Exh 7_ Recon Rates_Alloc p3-4'!R14</f>
        <v>1.166713047491593E-5</v>
      </c>
      <c r="AA15" s="21">
        <f t="shared" si="6"/>
        <v>-2.8332869525084075E-5</v>
      </c>
      <c r="AB15" s="14"/>
      <c r="AC15" s="8"/>
      <c r="AD15" s="23">
        <v>2.1700000000000001E-3</v>
      </c>
      <c r="AE15" s="21">
        <f>'Exh 7_ Recon Rates_Alloc p3-4'!U14</f>
        <v>-2.7574022080967562E-4</v>
      </c>
      <c r="AF15" s="21">
        <f t="shared" si="7"/>
        <v>-2.4457402208096757E-3</v>
      </c>
      <c r="AG15" s="14"/>
      <c r="AH15" s="8"/>
      <c r="AI15" s="21">
        <v>-6.0999999999999997E-4</v>
      </c>
      <c r="AJ15" s="21">
        <f>+'Exh 7_ Recon Rates_Alloc p3-4'!X14</f>
        <v>-5.210932140356871E-4</v>
      </c>
      <c r="AK15" s="21">
        <f t="shared" si="8"/>
        <v>8.8906785964312871E-5</v>
      </c>
      <c r="AL15" s="14"/>
      <c r="AM15" s="8"/>
      <c r="AN15" s="23">
        <v>0</v>
      </c>
      <c r="AO15" s="21">
        <f>'Exh 7_ Recon Rates_Alloc p3-4'!AA14</f>
        <v>-6.5773989014984496E-4</v>
      </c>
      <c r="AP15" s="21">
        <f t="shared" si="9"/>
        <v>-6.5773989014984496E-4</v>
      </c>
      <c r="AQ15" s="14"/>
      <c r="AR15" s="8"/>
      <c r="AS15" s="24">
        <v>-1.1E-4</v>
      </c>
      <c r="AT15" s="85">
        <f>'Exh 7_ Recon Rates_Alloc p3-4'!AD14</f>
        <v>9.6711573714566921E-4</v>
      </c>
      <c r="AU15" s="21">
        <f t="shared" si="10"/>
        <v>1.0771157371456692E-3</v>
      </c>
      <c r="AV15" s="14"/>
      <c r="AW15" s="8"/>
      <c r="AX15" s="23">
        <v>2.5100000000000001E-3</v>
      </c>
      <c r="AY15" s="21">
        <f>+'Exh 7_ Recon Rates_Alloc p5'!R20</f>
        <v>4.2117864593232222E-3</v>
      </c>
      <c r="AZ15" s="21">
        <f t="shared" si="11"/>
        <v>1.7017864593232221E-3</v>
      </c>
      <c r="BA15" s="14"/>
      <c r="BB15" s="8"/>
      <c r="BC15" s="23">
        <v>0</v>
      </c>
      <c r="BD15" s="21">
        <f>+'Exh 7_ Recon Rates_Alloc p3-4'!AG14</f>
        <v>0</v>
      </c>
      <c r="BE15" s="21">
        <f t="shared" si="12"/>
        <v>0</v>
      </c>
      <c r="BF15" s="14"/>
      <c r="BG15" s="8"/>
      <c r="BH15" s="23">
        <v>0</v>
      </c>
      <c r="BI15" s="22">
        <f>'Exh 7_ Recon Rates_Alloc p3-4'!AJ14</f>
        <v>4.9071975383342255E-5</v>
      </c>
      <c r="BJ15" s="21">
        <f t="shared" si="13"/>
        <v>4.9071975383342255E-5</v>
      </c>
      <c r="BK15" s="14"/>
      <c r="BL15" s="8"/>
      <c r="BM15" s="23">
        <v>0</v>
      </c>
      <c r="BN15" s="21">
        <f>'Exh 7_ Recon Rates_Alloc p3-4'!AM14</f>
        <v>8.6551738253377874E-4</v>
      </c>
      <c r="BO15" s="21">
        <f t="shared" si="14"/>
        <v>8.6551738253377874E-4</v>
      </c>
      <c r="BP15" s="14"/>
      <c r="BQ15" s="8"/>
      <c r="BR15" s="23">
        <v>0</v>
      </c>
      <c r="BS15" s="21">
        <f>+'Exh 7_ Recon Rates_Alloc p3-4'!AP14</f>
        <v>1.7314640393667022E-3</v>
      </c>
      <c r="BT15" s="21">
        <f t="shared" si="15"/>
        <v>1.7314640393667022E-3</v>
      </c>
      <c r="BU15" s="14"/>
      <c r="BV15" s="8"/>
      <c r="BW15" s="23">
        <v>0</v>
      </c>
      <c r="BX15" s="21">
        <f>'Exh 7_ Recon Rates_Alloc p3-4'!AS14</f>
        <v>1.0140750703614848E-3</v>
      </c>
      <c r="BY15" s="21">
        <f t="shared" si="16"/>
        <v>1.0140750703614848E-3</v>
      </c>
      <c r="BZ15" s="14"/>
      <c r="CA15" s="8"/>
      <c r="CB15" s="23">
        <v>0</v>
      </c>
      <c r="CC15" s="22">
        <f>'Exh 7_ Recon Rates_Alloc p3-4'!AV14</f>
        <v>-1.5351402468605643E-3</v>
      </c>
      <c r="CD15" s="21">
        <f t="shared" si="17"/>
        <v>-1.5351402468605643E-3</v>
      </c>
    </row>
    <row r="16" spans="1:82" x14ac:dyDescent="0.25">
      <c r="A16" s="7">
        <f>IF(B16&lt;&gt;"",COUNTA($B$11:B16),"")</f>
        <v>6</v>
      </c>
      <c r="B16" s="19" t="s">
        <v>115</v>
      </c>
      <c r="C16" s="20" t="s">
        <v>117</v>
      </c>
      <c r="D16" s="8">
        <f t="shared" si="0"/>
        <v>11</v>
      </c>
      <c r="E16" s="21">
        <f t="shared" si="1"/>
        <v>1.204E-2</v>
      </c>
      <c r="F16" s="22">
        <f t="shared" si="1"/>
        <v>1.2765072107885885E-2</v>
      </c>
      <c r="G16" s="21">
        <f t="shared" si="2"/>
        <v>7.2507210788588447E-4</v>
      </c>
      <c r="H16" s="14"/>
      <c r="I16" s="8"/>
      <c r="J16" s="23">
        <v>2.5000000000000001E-3</v>
      </c>
      <c r="K16" s="21">
        <f>'Exh 7_ Recon Rates_Alloc p3-4'!I15</f>
        <v>3.4554487951269715E-3</v>
      </c>
      <c r="L16" s="21">
        <f t="shared" si="3"/>
        <v>9.5544879512697144E-4</v>
      </c>
      <c r="M16" s="14"/>
      <c r="N16" s="8"/>
      <c r="O16" s="24">
        <v>4.9300000000000004E-3</v>
      </c>
      <c r="P16" s="25">
        <f>'Exh 7_ Recon Rates_Alloc p3-4'!L15</f>
        <v>4.505628053767018E-3</v>
      </c>
      <c r="Q16" s="21">
        <f t="shared" si="4"/>
        <v>-4.2437194623298237E-4</v>
      </c>
      <c r="R16" s="14"/>
      <c r="S16" s="8"/>
      <c r="T16" s="24">
        <v>2.3600000000000001E-3</v>
      </c>
      <c r="U16" s="25">
        <f>'Exh 7_ Recon Rates_Alloc p3-4'!O15</f>
        <v>1.7357128782064517E-3</v>
      </c>
      <c r="V16" s="21">
        <f t="shared" si="5"/>
        <v>-6.242871217935484E-4</v>
      </c>
      <c r="W16" s="14"/>
      <c r="X16" s="8"/>
      <c r="Y16" s="23">
        <v>3.0000000000000001E-5</v>
      </c>
      <c r="Z16" s="21">
        <f>'Exh 7_ Recon Rates_Alloc p3-4'!R15</f>
        <v>7.2551534790575584E-6</v>
      </c>
      <c r="AA16" s="21">
        <f t="shared" si="6"/>
        <v>-2.2744846520942442E-5</v>
      </c>
      <c r="AB16" s="14"/>
      <c r="AC16" s="8"/>
      <c r="AD16" s="23">
        <v>1.34E-3</v>
      </c>
      <c r="AE16" s="21">
        <f>'Exh 7_ Recon Rates_Alloc p3-4'!U15</f>
        <v>-1.7146783663939721E-4</v>
      </c>
      <c r="AF16" s="21">
        <f t="shared" si="7"/>
        <v>-1.5114678366393974E-3</v>
      </c>
      <c r="AG16" s="14"/>
      <c r="AH16" s="8"/>
      <c r="AI16" s="21">
        <v>-6.0999999999999997E-4</v>
      </c>
      <c r="AJ16" s="21">
        <f>+'Exh 7_ Recon Rates_Alloc p3-4'!X15</f>
        <v>-5.210932140356871E-4</v>
      </c>
      <c r="AK16" s="21">
        <f t="shared" si="8"/>
        <v>8.8906785964312871E-5</v>
      </c>
      <c r="AL16" s="14"/>
      <c r="AM16" s="8"/>
      <c r="AN16" s="23">
        <v>0</v>
      </c>
      <c r="AO16" s="21">
        <f>'Exh 7_ Recon Rates_Alloc p3-4'!AA15</f>
        <v>-4.0901264133415543E-4</v>
      </c>
      <c r="AP16" s="21">
        <f t="shared" si="9"/>
        <v>-4.0901264133415543E-4</v>
      </c>
      <c r="AQ16" s="14"/>
      <c r="AR16" s="8"/>
      <c r="AS16" s="24">
        <v>-5.0000000000000002E-5</v>
      </c>
      <c r="AT16" s="85">
        <f>'Exh 7_ Recon Rates_Alloc p3-4'!AD15</f>
        <v>4.6556868638834658E-4</v>
      </c>
      <c r="AU16" s="21">
        <f t="shared" si="10"/>
        <v>5.1556868638834655E-4</v>
      </c>
      <c r="AV16" s="14"/>
      <c r="AW16" s="8"/>
      <c r="AX16" s="23">
        <v>1.5399999999999999E-3</v>
      </c>
      <c r="AY16" s="21">
        <f>+'Exh 7_ Recon Rates_Alloc p5'!R21</f>
        <v>2.6187956578597508E-3</v>
      </c>
      <c r="AZ16" s="21">
        <f t="shared" si="11"/>
        <v>1.0787956578597508E-3</v>
      </c>
      <c r="BA16" s="14"/>
      <c r="BB16" s="8"/>
      <c r="BC16" s="23">
        <v>0</v>
      </c>
      <c r="BD16" s="21">
        <f>+'Exh 7_ Recon Rates_Alloc p3-4'!AG15</f>
        <v>0</v>
      </c>
      <c r="BE16" s="21">
        <f t="shared" si="12"/>
        <v>0</v>
      </c>
      <c r="BF16" s="14"/>
      <c r="BG16" s="8"/>
      <c r="BH16" s="23">
        <v>0</v>
      </c>
      <c r="BI16" s="22">
        <f>'Exh 7_ Recon Rates_Alloc p3-4'!AJ15</f>
        <v>3.0515190833952497E-5</v>
      </c>
      <c r="BJ16" s="21">
        <f t="shared" si="13"/>
        <v>3.0515190833952497E-5</v>
      </c>
      <c r="BK16" s="14"/>
      <c r="BL16" s="8"/>
      <c r="BM16" s="23">
        <v>0</v>
      </c>
      <c r="BN16" s="21">
        <f>'Exh 7_ Recon Rates_Alloc p3-4'!AM15</f>
        <v>5.382181559189245E-4</v>
      </c>
      <c r="BO16" s="21">
        <f t="shared" si="14"/>
        <v>5.382181559189245E-4</v>
      </c>
      <c r="BP16" s="14"/>
      <c r="BQ16" s="8"/>
      <c r="BR16" s="23">
        <v>0</v>
      </c>
      <c r="BS16" s="21">
        <f>+'Exh 7_ Recon Rates_Alloc p3-4'!AP15</f>
        <v>8.3352530351307567E-4</v>
      </c>
      <c r="BT16" s="21">
        <f t="shared" si="15"/>
        <v>8.3352530351307567E-4</v>
      </c>
      <c r="BU16" s="14"/>
      <c r="BV16" s="8"/>
      <c r="BW16" s="23">
        <v>0</v>
      </c>
      <c r="BX16" s="21">
        <f>'Exh 7_ Recon Rates_Alloc p3-4'!AS15</f>
        <v>6.3059809698508404E-4</v>
      </c>
      <c r="BY16" s="21">
        <f t="shared" si="16"/>
        <v>6.3059809698508404E-4</v>
      </c>
      <c r="BZ16" s="14"/>
      <c r="CA16" s="8"/>
      <c r="CB16" s="23">
        <v>0</v>
      </c>
      <c r="CC16" s="22">
        <f>'Exh 7_ Recon Rates_Alloc p3-4'!AV15</f>
        <v>-9.5462017218350833E-4</v>
      </c>
      <c r="CD16" s="21">
        <f t="shared" si="17"/>
        <v>-9.5462017218350833E-4</v>
      </c>
    </row>
    <row r="17" spans="1:82" x14ac:dyDescent="0.25">
      <c r="A17" s="7">
        <f>IF(B17&lt;&gt;"",COUNTA($B$11:B17),"")</f>
        <v>7</v>
      </c>
      <c r="B17" s="19" t="s">
        <v>115</v>
      </c>
      <c r="C17" s="20" t="s">
        <v>118</v>
      </c>
      <c r="D17" s="8">
        <f t="shared" si="0"/>
        <v>12</v>
      </c>
      <c r="E17" s="21">
        <f t="shared" si="1"/>
        <v>7.8000000000000005E-3</v>
      </c>
      <c r="F17" s="22">
        <f t="shared" si="1"/>
        <v>8.0572607251677662E-3</v>
      </c>
      <c r="G17" s="21">
        <f t="shared" si="2"/>
        <v>2.5726072516776572E-4</v>
      </c>
      <c r="H17" s="14"/>
      <c r="I17" s="8"/>
      <c r="J17" s="23">
        <v>1.47E-3</v>
      </c>
      <c r="K17" s="21">
        <f>'Exh 7_ Recon Rates_Alloc p3-4'!I16</f>
        <v>2.0276764788791507E-3</v>
      </c>
      <c r="L17" s="21">
        <f t="shared" si="3"/>
        <v>5.5767647887915075E-4</v>
      </c>
      <c r="M17" s="14"/>
      <c r="N17" s="8"/>
      <c r="O17" s="24">
        <v>2.8999999999999998E-3</v>
      </c>
      <c r="P17" s="25">
        <f>'Exh 7_ Recon Rates_Alloc p3-4'!L16</f>
        <v>2.6439274805881543E-3</v>
      </c>
      <c r="Q17" s="21">
        <f t="shared" si="4"/>
        <v>-2.5607251941184555E-4</v>
      </c>
      <c r="R17" s="14"/>
      <c r="S17" s="8"/>
      <c r="T17" s="24">
        <v>2.3600000000000001E-3</v>
      </c>
      <c r="U17" s="25">
        <f>'Exh 7_ Recon Rates_Alloc p3-4'!O16</f>
        <v>1.7357128782064517E-3</v>
      </c>
      <c r="V17" s="21">
        <f t="shared" si="5"/>
        <v>-6.242871217935484E-4</v>
      </c>
      <c r="W17" s="14"/>
      <c r="X17" s="8"/>
      <c r="Y17" s="23">
        <v>2.0000000000000002E-5</v>
      </c>
      <c r="Z17" s="21">
        <f>'Exh 7_ Recon Rates_Alloc p3-4'!R16</f>
        <v>4.2573642187635677E-6</v>
      </c>
      <c r="AA17" s="21">
        <f t="shared" si="6"/>
        <v>-1.5742635781236434E-5</v>
      </c>
      <c r="AB17" s="14"/>
      <c r="AC17" s="8"/>
      <c r="AD17" s="23">
        <v>7.7999999999999999E-4</v>
      </c>
      <c r="AE17" s="21">
        <f>'Exh 7_ Recon Rates_Alloc p3-4'!U16</f>
        <v>-1.0061827561395616E-4</v>
      </c>
      <c r="AF17" s="21">
        <f t="shared" si="7"/>
        <v>-8.8061827561395614E-4</v>
      </c>
      <c r="AG17" s="14"/>
      <c r="AH17" s="8"/>
      <c r="AI17" s="21">
        <v>-6.0999999999999997E-4</v>
      </c>
      <c r="AJ17" s="21">
        <f>+'Exh 7_ Recon Rates_Alloc p3-4'!X16</f>
        <v>-5.210932140356871E-4</v>
      </c>
      <c r="AK17" s="21">
        <f t="shared" si="8"/>
        <v>8.8906785964312871E-5</v>
      </c>
      <c r="AL17" s="14"/>
      <c r="AM17" s="8"/>
      <c r="AN17" s="23">
        <v>0</v>
      </c>
      <c r="AO17" s="21">
        <f>'Exh 7_ Recon Rates_Alloc p3-4'!AA16</f>
        <v>-2.4001088181861674E-4</v>
      </c>
      <c r="AP17" s="21">
        <f t="shared" si="9"/>
        <v>-2.4001088181861674E-4</v>
      </c>
      <c r="AQ17" s="14"/>
      <c r="AR17" s="8"/>
      <c r="AS17" s="24">
        <v>-3.0000000000000001E-5</v>
      </c>
      <c r="AT17" s="85">
        <f>'Exh 7_ Recon Rates_Alloc p3-4'!AD16</f>
        <v>2.9640365119940759E-4</v>
      </c>
      <c r="AU17" s="21">
        <f t="shared" si="10"/>
        <v>3.2640365119940761E-4</v>
      </c>
      <c r="AV17" s="14"/>
      <c r="AW17" s="8"/>
      <c r="AX17" s="23">
        <v>9.1E-4</v>
      </c>
      <c r="AY17" s="21">
        <f>+'Exh 7_ Recon Rates_Alloc p5'!R22</f>
        <v>1.5367445995105196E-3</v>
      </c>
      <c r="AZ17" s="21">
        <f t="shared" si="11"/>
        <v>6.2674459951051961E-4</v>
      </c>
      <c r="BA17" s="14"/>
      <c r="BB17" s="8"/>
      <c r="BC17" s="23">
        <v>0</v>
      </c>
      <c r="BD17" s="21">
        <f>+'Exh 7_ Recon Rates_Alloc p3-4'!AG16</f>
        <v>0</v>
      </c>
      <c r="BE17" s="21">
        <f t="shared" si="12"/>
        <v>0</v>
      </c>
      <c r="BF17" s="14"/>
      <c r="BG17" s="8"/>
      <c r="BH17" s="23">
        <v>0</v>
      </c>
      <c r="BI17" s="22">
        <f>'Exh 7_ Recon Rates_Alloc p3-4'!AJ16</f>
        <v>1.7906482882852422E-5</v>
      </c>
      <c r="BJ17" s="21">
        <f t="shared" si="13"/>
        <v>1.7906482882852422E-5</v>
      </c>
      <c r="BK17" s="14"/>
      <c r="BL17" s="8"/>
      <c r="BM17" s="23">
        <v>0</v>
      </c>
      <c r="BN17" s="21">
        <f>'Exh 7_ Recon Rates_Alloc p3-4'!AM16</f>
        <v>3.1582939292909221E-4</v>
      </c>
      <c r="BO17" s="21">
        <f t="shared" si="14"/>
        <v>3.1582939292909221E-4</v>
      </c>
      <c r="BP17" s="14"/>
      <c r="BQ17" s="8"/>
      <c r="BR17" s="23">
        <v>0</v>
      </c>
      <c r="BS17" s="21">
        <f>+'Exh 7_ Recon Rates_Alloc p3-4'!AP16</f>
        <v>5.3066271540927685E-4</v>
      </c>
      <c r="BT17" s="21">
        <f t="shared" si="15"/>
        <v>5.3066271540927685E-4</v>
      </c>
      <c r="BU17" s="14"/>
      <c r="BV17" s="8"/>
      <c r="BW17" s="23">
        <v>0</v>
      </c>
      <c r="BX17" s="21">
        <f>'Exh 7_ Recon Rates_Alloc p3-4'!AS16</f>
        <v>3.7003845366940938E-4</v>
      </c>
      <c r="BY17" s="21">
        <f t="shared" si="16"/>
        <v>3.7003845366940938E-4</v>
      </c>
      <c r="BZ17" s="14"/>
      <c r="CA17" s="8"/>
      <c r="CB17" s="23">
        <v>0</v>
      </c>
      <c r="CC17" s="22">
        <f>'Exh 7_ Recon Rates_Alloc p3-4'!AV16</f>
        <v>-5.6017640085705221E-4</v>
      </c>
      <c r="CD17" s="21">
        <f t="shared" si="17"/>
        <v>-5.6017640085705221E-4</v>
      </c>
    </row>
    <row r="18" spans="1:82" x14ac:dyDescent="0.25">
      <c r="A18" s="7">
        <f>IF(B18&lt;&gt;"",COUNTA($B$11:B18),"")</f>
        <v>8</v>
      </c>
      <c r="B18" s="19" t="s">
        <v>119</v>
      </c>
      <c r="C18" s="20" t="s">
        <v>120</v>
      </c>
      <c r="D18" s="8">
        <f t="shared" si="0"/>
        <v>13</v>
      </c>
      <c r="E18" s="21">
        <f t="shared" si="1"/>
        <v>1.031E-2</v>
      </c>
      <c r="F18" s="22">
        <f t="shared" si="1"/>
        <v>1.0839127009291268E-2</v>
      </c>
      <c r="G18" s="21">
        <f t="shared" si="2"/>
        <v>5.2912700929126817E-4</v>
      </c>
      <c r="H18" s="14"/>
      <c r="I18" s="8"/>
      <c r="J18" s="23">
        <v>2.0899999999999998E-3</v>
      </c>
      <c r="K18" s="21">
        <f>'Exh 7_ Recon Rates_Alloc p3-4'!I17</f>
        <v>2.7328778489833509E-3</v>
      </c>
      <c r="L18" s="21">
        <f t="shared" si="3"/>
        <v>6.428778489833511E-4</v>
      </c>
      <c r="M18" s="14"/>
      <c r="N18" s="8"/>
      <c r="O18" s="24">
        <v>4.1099999999999999E-3</v>
      </c>
      <c r="P18" s="25">
        <f>'Exh 7_ Recon Rates_Alloc p3-4'!L17</f>
        <v>3.5634535002407389E-3</v>
      </c>
      <c r="Q18" s="21">
        <f t="shared" si="4"/>
        <v>-5.4654649975926107E-4</v>
      </c>
      <c r="R18" s="14"/>
      <c r="S18" s="8"/>
      <c r="T18" s="24">
        <v>2.3600000000000001E-3</v>
      </c>
      <c r="U18" s="25">
        <f>'Exh 7_ Recon Rates_Alloc p3-4'!O17</f>
        <v>1.7357128782064517E-3</v>
      </c>
      <c r="V18" s="21">
        <f t="shared" si="5"/>
        <v>-6.242871217935484E-4</v>
      </c>
      <c r="W18" s="14"/>
      <c r="X18" s="8"/>
      <c r="Y18" s="23">
        <v>2.0000000000000002E-5</v>
      </c>
      <c r="Z18" s="21">
        <f>'Exh 7_ Recon Rates_Alloc p3-4'!R17</f>
        <v>5.7380240337673214E-6</v>
      </c>
      <c r="AA18" s="21">
        <f t="shared" si="6"/>
        <v>-1.426197596623268E-5</v>
      </c>
      <c r="AB18" s="14"/>
      <c r="AC18" s="8"/>
      <c r="AD18" s="23">
        <v>1.1100000000000001E-3</v>
      </c>
      <c r="AE18" s="21">
        <f>'Exh 7_ Recon Rates_Alloc p3-4'!U17</f>
        <v>-1.3561209566344785E-4</v>
      </c>
      <c r="AF18" s="21">
        <f t="shared" si="7"/>
        <v>-1.245612095663448E-3</v>
      </c>
      <c r="AG18" s="14"/>
      <c r="AH18" s="8"/>
      <c r="AI18" s="21">
        <v>-6.0999999999999997E-4</v>
      </c>
      <c r="AJ18" s="21">
        <f>+'Exh 7_ Recon Rates_Alloc p3-4'!X17</f>
        <v>-5.210932140356871E-4</v>
      </c>
      <c r="AK18" s="21">
        <f t="shared" si="8"/>
        <v>8.8906785964312871E-5</v>
      </c>
      <c r="AL18" s="14"/>
      <c r="AM18" s="8"/>
      <c r="AN18" s="23">
        <v>0</v>
      </c>
      <c r="AO18" s="21">
        <f>'Exh 7_ Recon Rates_Alloc p3-4'!AA17</f>
        <v>-3.2348376541786153E-4</v>
      </c>
      <c r="AP18" s="21">
        <f t="shared" si="9"/>
        <v>-3.2348376541786153E-4</v>
      </c>
      <c r="AQ18" s="14"/>
      <c r="AR18" s="8"/>
      <c r="AS18" s="24">
        <v>-6.0000000000000002E-5</v>
      </c>
      <c r="AT18" s="85">
        <f>'Exh 7_ Recon Rates_Alloc p3-4'!AD17</f>
        <v>5.4374321409868449E-4</v>
      </c>
      <c r="AU18" s="21">
        <f t="shared" si="10"/>
        <v>6.0374321409868454E-4</v>
      </c>
      <c r="AV18" s="14"/>
      <c r="AW18" s="8"/>
      <c r="AX18" s="23">
        <v>1.2899999999999999E-3</v>
      </c>
      <c r="AY18" s="21">
        <f>+'Exh 7_ Recon Rates_Alloc p5'!R23</f>
        <v>2.0707669364920995E-3</v>
      </c>
      <c r="AZ18" s="21">
        <f t="shared" si="11"/>
        <v>7.8076693649209959E-4</v>
      </c>
      <c r="BA18" s="14"/>
      <c r="BB18" s="8"/>
      <c r="BC18" s="23">
        <v>0</v>
      </c>
      <c r="BD18" s="21">
        <f>+'Exh 7_ Recon Rates_Alloc p3-4'!AG17</f>
        <v>0</v>
      </c>
      <c r="BE18" s="21">
        <f t="shared" si="12"/>
        <v>0</v>
      </c>
      <c r="BF18" s="14"/>
      <c r="BG18" s="8"/>
      <c r="BH18" s="23">
        <v>0</v>
      </c>
      <c r="BI18" s="22">
        <f>'Exh 7_ Recon Rates_Alloc p3-4'!AJ17</f>
        <v>2.4134141187452967E-5</v>
      </c>
      <c r="BJ18" s="21">
        <f t="shared" si="13"/>
        <v>2.4134141187452967E-5</v>
      </c>
      <c r="BK18" s="14"/>
      <c r="BL18" s="8"/>
      <c r="BM18" s="23">
        <v>0</v>
      </c>
      <c r="BN18" s="21">
        <f>'Exh 7_ Recon Rates_Alloc p3-4'!AM17</f>
        <v>4.2567103824713107E-4</v>
      </c>
      <c r="BO18" s="21">
        <f t="shared" si="14"/>
        <v>4.2567103824713107E-4</v>
      </c>
      <c r="BP18" s="14"/>
      <c r="BQ18" s="8"/>
      <c r="BR18" s="23">
        <v>0</v>
      </c>
      <c r="BS18" s="21">
        <f>+'Exh 7_ Recon Rates_Alloc p3-4'!AP17</f>
        <v>9.7348412987279833E-4</v>
      </c>
      <c r="BT18" s="21">
        <f t="shared" si="15"/>
        <v>9.7348412987279833E-4</v>
      </c>
      <c r="BU18" s="14"/>
      <c r="BV18" s="8"/>
      <c r="BW18" s="23">
        <v>0</v>
      </c>
      <c r="BX18" s="21">
        <f>'Exh 7_ Recon Rates_Alloc p3-4'!AS17</f>
        <v>4.9873335506864778E-4</v>
      </c>
      <c r="BY18" s="21">
        <f t="shared" si="16"/>
        <v>4.9873335506864778E-4</v>
      </c>
      <c r="BZ18" s="14"/>
      <c r="CA18" s="8"/>
      <c r="CB18" s="23">
        <v>0</v>
      </c>
      <c r="CC18" s="22">
        <f>'Exh 7_ Recon Rates_Alloc p3-4'!AV17</f>
        <v>-7.5499898202286016E-4</v>
      </c>
      <c r="CD18" s="21">
        <f t="shared" si="17"/>
        <v>-7.5499898202286016E-4</v>
      </c>
    </row>
    <row r="19" spans="1:82" x14ac:dyDescent="0.25">
      <c r="A19" s="7">
        <f>IF(B19&lt;&gt;"",COUNTA($B$11:B19),"")</f>
        <v>9</v>
      </c>
      <c r="B19" s="19" t="s">
        <v>119</v>
      </c>
      <c r="C19" s="20" t="s">
        <v>121</v>
      </c>
      <c r="D19" s="8">
        <f t="shared" si="0"/>
        <v>14</v>
      </c>
      <c r="E19" s="21">
        <f t="shared" si="1"/>
        <v>7.79E-3</v>
      </c>
      <c r="F19" s="22">
        <f t="shared" si="1"/>
        <v>7.9365142040297171E-3</v>
      </c>
      <c r="G19" s="21">
        <f t="shared" si="2"/>
        <v>1.465142040297171E-4</v>
      </c>
      <c r="H19" s="14"/>
      <c r="I19" s="8"/>
      <c r="J19" s="23">
        <v>1.47E-3</v>
      </c>
      <c r="K19" s="21">
        <f>'Exh 7_ Recon Rates_Alloc p3-4'!I18</f>
        <v>1.8784679167816196E-3</v>
      </c>
      <c r="L19" s="21">
        <f t="shared" si="3"/>
        <v>4.0846791678161962E-4</v>
      </c>
      <c r="M19" s="14"/>
      <c r="N19" s="8"/>
      <c r="O19" s="24">
        <v>2.8999999999999998E-3</v>
      </c>
      <c r="P19" s="25">
        <f>'Exh 7_ Recon Rates_Alloc p3-4'!L18</f>
        <v>2.4493714842160038E-3</v>
      </c>
      <c r="Q19" s="21">
        <f t="shared" si="4"/>
        <v>-4.5062851578399604E-4</v>
      </c>
      <c r="R19" s="14"/>
      <c r="S19" s="8"/>
      <c r="T19" s="24">
        <v>2.3600000000000001E-3</v>
      </c>
      <c r="U19" s="25">
        <f>'Exh 7_ Recon Rates_Alloc p3-4'!O18</f>
        <v>1.7357128782064517E-3</v>
      </c>
      <c r="V19" s="21">
        <f t="shared" si="5"/>
        <v>-6.242871217935484E-4</v>
      </c>
      <c r="W19" s="14"/>
      <c r="X19" s="8"/>
      <c r="Y19" s="23">
        <v>2.0000000000000002E-5</v>
      </c>
      <c r="Z19" s="21">
        <f>'Exh 7_ Recon Rates_Alloc p3-4'!R18</f>
        <v>3.9440818978292469E-6</v>
      </c>
      <c r="AA19" s="21">
        <f t="shared" si="6"/>
        <v>-1.6055918102170753E-5</v>
      </c>
      <c r="AB19" s="14"/>
      <c r="AC19" s="8"/>
      <c r="AD19" s="23">
        <v>7.9000000000000001E-4</v>
      </c>
      <c r="AE19" s="21">
        <f>'Exh 7_ Recon Rates_Alloc p3-4'!U18</f>
        <v>-9.3214181133661962E-5</v>
      </c>
      <c r="AF19" s="21">
        <f t="shared" si="7"/>
        <v>-8.83214181133662E-4</v>
      </c>
      <c r="AG19" s="14"/>
      <c r="AH19" s="8"/>
      <c r="AI19" s="21">
        <v>-6.0999999999999997E-4</v>
      </c>
      <c r="AJ19" s="21">
        <f>+'Exh 7_ Recon Rates_Alloc p3-4'!X18</f>
        <v>-5.210932140356871E-4</v>
      </c>
      <c r="AK19" s="21">
        <f t="shared" si="8"/>
        <v>8.8906785964312871E-5</v>
      </c>
      <c r="AL19" s="14"/>
      <c r="AM19" s="8"/>
      <c r="AN19" s="23">
        <v>0</v>
      </c>
      <c r="AO19" s="21">
        <f>'Exh 7_ Recon Rates_Alloc p3-4'!AA18</f>
        <v>-2.2234944571826207E-4</v>
      </c>
      <c r="AP19" s="21">
        <f t="shared" si="9"/>
        <v>-2.2234944571826207E-4</v>
      </c>
      <c r="AQ19" s="14"/>
      <c r="AR19" s="8"/>
      <c r="AS19" s="24">
        <v>-5.0000000000000002E-5</v>
      </c>
      <c r="AT19" s="85">
        <f>'Exh 7_ Recon Rates_Alloc p3-4'!AD18</f>
        <v>4.1192213493034734E-4</v>
      </c>
      <c r="AU19" s="21">
        <f t="shared" si="10"/>
        <v>4.6192213493034736E-4</v>
      </c>
      <c r="AV19" s="14"/>
      <c r="AW19" s="8"/>
      <c r="AX19" s="23">
        <v>9.1E-4</v>
      </c>
      <c r="AY19" s="21">
        <f>+'Exh 7_ Recon Rates_Alloc p5'!R24</f>
        <v>1.4232415699405342E-3</v>
      </c>
      <c r="AZ19" s="21">
        <f t="shared" si="11"/>
        <v>5.1324156994053422E-4</v>
      </c>
      <c r="BA19" s="14"/>
      <c r="BB19" s="8"/>
      <c r="BC19" s="23">
        <v>0</v>
      </c>
      <c r="BD19" s="21">
        <f>+'Exh 7_ Recon Rates_Alloc p3-4'!AG18</f>
        <v>0</v>
      </c>
      <c r="BE19" s="21">
        <f t="shared" si="12"/>
        <v>0</v>
      </c>
      <c r="BF19" s="14"/>
      <c r="BG19" s="8"/>
      <c r="BH19" s="23">
        <v>0</v>
      </c>
      <c r="BI19" s="22">
        <f>'Exh 7_ Recon Rates_Alloc p3-4'!AJ18</f>
        <v>1.6588816780293805E-5</v>
      </c>
      <c r="BJ19" s="21">
        <f t="shared" si="13"/>
        <v>1.6588816780293805E-5</v>
      </c>
      <c r="BK19" s="14"/>
      <c r="BL19" s="8"/>
      <c r="BM19" s="23">
        <v>0</v>
      </c>
      <c r="BN19" s="21">
        <f>'Exh 7_ Recon Rates_Alloc p3-4'!AM18</f>
        <v>2.9258877733881065E-4</v>
      </c>
      <c r="BO19" s="21">
        <f t="shared" si="14"/>
        <v>2.9258877733881065E-4</v>
      </c>
      <c r="BP19" s="14"/>
      <c r="BQ19" s="8"/>
      <c r="BR19" s="23">
        <v>0</v>
      </c>
      <c r="BS19" s="21">
        <f>+'Exh 7_ Recon Rates_Alloc p3-4'!AP18</f>
        <v>7.3747984471441471E-4</v>
      </c>
      <c r="BT19" s="21">
        <f t="shared" si="15"/>
        <v>7.3747984471441471E-4</v>
      </c>
      <c r="BU19" s="14"/>
      <c r="BV19" s="8"/>
      <c r="BW19" s="23">
        <v>0</v>
      </c>
      <c r="BX19" s="21">
        <f>'Exh 7_ Recon Rates_Alloc p3-4'!AS18</f>
        <v>3.4280881118555178E-4</v>
      </c>
      <c r="BY19" s="21">
        <f t="shared" si="16"/>
        <v>3.4280881118555178E-4</v>
      </c>
      <c r="BZ19" s="14"/>
      <c r="CA19" s="8"/>
      <c r="CB19" s="23">
        <v>0</v>
      </c>
      <c r="CC19" s="22">
        <f>'Exh 7_ Recon Rates_Alloc p3-4'!AV18</f>
        <v>-5.1895527107452717E-4</v>
      </c>
      <c r="CD19" s="21">
        <f t="shared" si="17"/>
        <v>-5.1895527107452717E-4</v>
      </c>
    </row>
    <row r="20" spans="1:82" x14ac:dyDescent="0.25">
      <c r="A20" s="7">
        <f>IF(B20&lt;&gt;"",COUNTA($B$11:B20),"")</f>
        <v>10</v>
      </c>
      <c r="B20" s="19" t="s">
        <v>119</v>
      </c>
      <c r="C20" s="20" t="s">
        <v>122</v>
      </c>
      <c r="D20" s="8">
        <f t="shared" si="0"/>
        <v>15</v>
      </c>
      <c r="E20" s="21">
        <f t="shared" si="1"/>
        <v>4.9900000000000005E-3</v>
      </c>
      <c r="F20" s="22">
        <f t="shared" si="1"/>
        <v>5.0910335480725578E-3</v>
      </c>
      <c r="G20" s="21">
        <f t="shared" si="2"/>
        <v>1.0103354807255733E-4</v>
      </c>
      <c r="H20" s="14"/>
      <c r="I20" s="8"/>
      <c r="J20" s="23">
        <v>7.9000000000000001E-4</v>
      </c>
      <c r="K20" s="21">
        <f>'Exh 7_ Recon Rates_Alloc p3-4'!I19</f>
        <v>1.0192122139614168E-3</v>
      </c>
      <c r="L20" s="21">
        <f t="shared" si="3"/>
        <v>2.2921221396141674E-4</v>
      </c>
      <c r="M20" s="14"/>
      <c r="N20" s="8"/>
      <c r="O20" s="24">
        <v>1.56E-3</v>
      </c>
      <c r="P20" s="25">
        <f>'Exh 7_ Recon Rates_Alloc p3-4'!L19</f>
        <v>1.3289709720030187E-3</v>
      </c>
      <c r="Q20" s="21">
        <f t="shared" si="4"/>
        <v>-2.3102902799698125E-4</v>
      </c>
      <c r="R20" s="14"/>
      <c r="S20" s="8"/>
      <c r="T20" s="24">
        <v>2.3600000000000001E-3</v>
      </c>
      <c r="U20" s="25">
        <f>'Exh 7_ Recon Rates_Alloc p3-4'!O19</f>
        <v>1.7357128782064517E-3</v>
      </c>
      <c r="V20" s="21">
        <f t="shared" si="5"/>
        <v>-6.242871217935484E-4</v>
      </c>
      <c r="W20" s="14"/>
      <c r="X20" s="8"/>
      <c r="Y20" s="23">
        <v>1.0000000000000001E-5</v>
      </c>
      <c r="Z20" s="21">
        <f>'Exh 7_ Recon Rates_Alloc p3-4'!R19</f>
        <v>2.1399654512167108E-6</v>
      </c>
      <c r="AA20" s="21">
        <f t="shared" si="6"/>
        <v>-7.8600345487832908E-6</v>
      </c>
      <c r="AB20" s="14"/>
      <c r="AC20" s="8"/>
      <c r="AD20" s="23">
        <v>4.2000000000000002E-4</v>
      </c>
      <c r="AE20" s="21">
        <f>'Exh 7_ Recon Rates_Alloc p3-4'!U19</f>
        <v>-5.0575807591439905E-5</v>
      </c>
      <c r="AF20" s="21">
        <f t="shared" si="7"/>
        <v>-4.7057580759143994E-4</v>
      </c>
      <c r="AG20" s="14"/>
      <c r="AH20" s="8"/>
      <c r="AI20" s="21">
        <v>-6.0999999999999997E-4</v>
      </c>
      <c r="AJ20" s="21">
        <f>+'Exh 7_ Recon Rates_Alloc p3-4'!X19</f>
        <v>-5.210932140356871E-4</v>
      </c>
      <c r="AK20" s="21">
        <f t="shared" si="8"/>
        <v>8.8906785964312871E-5</v>
      </c>
      <c r="AL20" s="14"/>
      <c r="AM20" s="8"/>
      <c r="AN20" s="23">
        <v>0</v>
      </c>
      <c r="AO20" s="21">
        <f>'Exh 7_ Recon Rates_Alloc p3-4'!AA19</f>
        <v>-1.2064154453692992E-4</v>
      </c>
      <c r="AP20" s="21">
        <f t="shared" si="9"/>
        <v>-1.2064154453692992E-4</v>
      </c>
      <c r="AQ20" s="14"/>
      <c r="AR20" s="8"/>
      <c r="AS20" s="24">
        <v>-3.0000000000000001E-5</v>
      </c>
      <c r="AT20" s="85">
        <f>'Exh 7_ Recon Rates_Alloc p3-4'!AD19</f>
        <v>3.0549530563213188E-4</v>
      </c>
      <c r="AU20" s="21">
        <f t="shared" si="10"/>
        <v>3.3549530563213191E-4</v>
      </c>
      <c r="AV20" s="14"/>
      <c r="AW20" s="8"/>
      <c r="AX20" s="23">
        <v>4.8999999999999998E-4</v>
      </c>
      <c r="AY20" s="21">
        <f>+'Exh 7_ Recon Rates_Alloc p5'!R25</f>
        <v>7.7269338573246493E-4</v>
      </c>
      <c r="AZ20" s="21">
        <f t="shared" si="11"/>
        <v>2.8269338573246494E-4</v>
      </c>
      <c r="BA20" s="14"/>
      <c r="BB20" s="8"/>
      <c r="BC20" s="23">
        <v>0</v>
      </c>
      <c r="BD20" s="21">
        <f>+'Exh 7_ Recon Rates_Alloc p3-4'!AG19</f>
        <v>0</v>
      </c>
      <c r="BE20" s="21">
        <f t="shared" si="12"/>
        <v>0</v>
      </c>
      <c r="BF20" s="14"/>
      <c r="BG20" s="8"/>
      <c r="BH20" s="23">
        <v>0</v>
      </c>
      <c r="BI20" s="22">
        <f>'Exh 7_ Recon Rates_Alloc p3-4'!AJ19</f>
        <v>9.0006992009803514E-6</v>
      </c>
      <c r="BJ20" s="21">
        <f t="shared" si="13"/>
        <v>9.0006992009803514E-6</v>
      </c>
      <c r="BK20" s="14"/>
      <c r="BL20" s="8"/>
      <c r="BM20" s="23">
        <v>0</v>
      </c>
      <c r="BN20" s="21">
        <f>'Exh 7_ Recon Rates_Alloc p3-4'!AM19</f>
        <v>1.5875174277273614E-4</v>
      </c>
      <c r="BO20" s="21">
        <f t="shared" si="14"/>
        <v>1.5875174277273614E-4</v>
      </c>
      <c r="BP20" s="14"/>
      <c r="BQ20" s="8"/>
      <c r="BR20" s="23">
        <v>0</v>
      </c>
      <c r="BS20" s="21">
        <f>+'Exh 7_ Recon Rates_Alloc p3-4'!AP19</f>
        <v>5.4693984967975351E-4</v>
      </c>
      <c r="BT20" s="21">
        <f t="shared" si="15"/>
        <v>5.4693984967975351E-4</v>
      </c>
      <c r="BU20" s="14"/>
      <c r="BV20" s="8"/>
      <c r="BW20" s="23">
        <v>0</v>
      </c>
      <c r="BX20" s="21">
        <f>'Exh 7_ Recon Rates_Alloc p3-4'!AS19</f>
        <v>1.859999440461704E-4</v>
      </c>
      <c r="BY20" s="21">
        <f t="shared" si="16"/>
        <v>1.859999440461704E-4</v>
      </c>
      <c r="BZ20" s="14"/>
      <c r="CA20" s="8"/>
      <c r="CB20" s="23">
        <v>0</v>
      </c>
      <c r="CC20" s="22">
        <f>'Exh 7_ Recon Rates_Alloc p3-4'!AV19</f>
        <v>-2.8157284244972598E-4</v>
      </c>
      <c r="CD20" s="21">
        <f t="shared" si="17"/>
        <v>-2.8157284244972598E-4</v>
      </c>
    </row>
    <row r="21" spans="1:82" x14ac:dyDescent="0.25">
      <c r="A21" s="7">
        <f>IF(B21&lt;&gt;"",COUNTA($B$11:B21),"")</f>
        <v>11</v>
      </c>
      <c r="B21" s="19" t="s">
        <v>119</v>
      </c>
      <c r="C21" s="20" t="s">
        <v>123</v>
      </c>
      <c r="D21" s="8">
        <f t="shared" si="0"/>
        <v>16</v>
      </c>
      <c r="E21" s="21">
        <f t="shared" si="1"/>
        <v>7.239999999999999E-3</v>
      </c>
      <c r="F21" s="22">
        <f t="shared" si="1"/>
        <v>8.4276515410173572E-3</v>
      </c>
      <c r="G21" s="21">
        <f t="shared" si="2"/>
        <v>1.1876515410173582E-3</v>
      </c>
      <c r="H21" s="14"/>
      <c r="I21" s="8"/>
      <c r="J21" s="23">
        <v>1.3500000000000001E-3</v>
      </c>
      <c r="K21" s="21">
        <f>'Exh 7_ Recon Rates_Alloc p3-4'!I20</f>
        <v>1.7416484082049329E-3</v>
      </c>
      <c r="L21" s="21">
        <f t="shared" si="3"/>
        <v>3.9164840820493283E-4</v>
      </c>
      <c r="M21" s="14"/>
      <c r="N21" s="8"/>
      <c r="O21" s="24">
        <v>2.66E-3</v>
      </c>
      <c r="P21" s="25">
        <f>'Exh 7_ Recon Rates_Alloc p3-4'!L20</f>
        <v>2.2709698198605396E-3</v>
      </c>
      <c r="Q21" s="21">
        <f t="shared" si="4"/>
        <v>-3.8903018013946048E-4</v>
      </c>
      <c r="R21" s="14"/>
      <c r="S21" s="8"/>
      <c r="T21" s="24">
        <v>2.3600000000000001E-3</v>
      </c>
      <c r="U21" s="25">
        <f>'Exh 7_ Recon Rates_Alloc p3-4'!O20</f>
        <v>1.7357128782064517E-3</v>
      </c>
      <c r="V21" s="21">
        <f t="shared" si="5"/>
        <v>-6.242871217935484E-4</v>
      </c>
      <c r="W21" s="14"/>
      <c r="X21" s="8"/>
      <c r="Y21" s="23">
        <v>1.0000000000000001E-5</v>
      </c>
      <c r="Z21" s="21">
        <f>'Exh 7_ Recon Rates_Alloc p3-4'!R20</f>
        <v>3.6568119677834112E-6</v>
      </c>
      <c r="AA21" s="21">
        <f t="shared" si="6"/>
        <v>-6.3431880322165892E-6</v>
      </c>
      <c r="AB21" s="14"/>
      <c r="AC21" s="8"/>
      <c r="AD21" s="23">
        <v>7.2000000000000005E-4</v>
      </c>
      <c r="AE21" s="21">
        <f>'Exh 7_ Recon Rates_Alloc p3-4'!U20</f>
        <v>-8.6424861847902491E-5</v>
      </c>
      <c r="AF21" s="21">
        <f t="shared" si="7"/>
        <v>-8.0642486184790254E-4</v>
      </c>
      <c r="AG21" s="14"/>
      <c r="AH21" s="8"/>
      <c r="AI21" s="21">
        <v>-6.0999999999999997E-4</v>
      </c>
      <c r="AJ21" s="21">
        <f>+'Exh 7_ Recon Rates_Alloc p3-4'!X20</f>
        <v>-5.210932140356871E-4</v>
      </c>
      <c r="AK21" s="21">
        <f t="shared" si="8"/>
        <v>8.8906785964312871E-5</v>
      </c>
      <c r="AL21" s="14"/>
      <c r="AM21" s="8"/>
      <c r="AN21" s="23">
        <v>0</v>
      </c>
      <c r="AO21" s="21">
        <f>'Exh 7_ Recon Rates_Alloc p3-4'!AA20</f>
        <v>-2.0615447021525064E-4</v>
      </c>
      <c r="AP21" s="21">
        <f t="shared" si="9"/>
        <v>-2.0615447021525064E-4</v>
      </c>
      <c r="AQ21" s="14"/>
      <c r="AR21" s="8"/>
      <c r="AS21" s="24">
        <v>-8.0000000000000007E-5</v>
      </c>
      <c r="AT21" s="85">
        <f>'Exh 7_ Recon Rates_Alloc p3-4'!AD20</f>
        <v>7.3016792512680686E-4</v>
      </c>
      <c r="AU21" s="21">
        <f t="shared" si="10"/>
        <v>8.1016792512680685E-4</v>
      </c>
      <c r="AV21" s="14"/>
      <c r="AW21" s="8"/>
      <c r="AX21" s="23">
        <v>8.3000000000000001E-4</v>
      </c>
      <c r="AY21" s="21">
        <f>+'Exh 7_ Recon Rates_Alloc p5'!R26</f>
        <v>1.3285791528670132E-3</v>
      </c>
      <c r="AZ21" s="21">
        <f t="shared" si="11"/>
        <v>4.9857915286701318E-4</v>
      </c>
      <c r="BA21" s="14"/>
      <c r="BB21" s="8"/>
      <c r="BC21" s="23">
        <v>0</v>
      </c>
      <c r="BD21" s="21">
        <f>+'Exh 7_ Recon Rates_Alloc p3-4'!AG20</f>
        <v>0</v>
      </c>
      <c r="BE21" s="21">
        <f t="shared" si="12"/>
        <v>0</v>
      </c>
      <c r="BF21" s="14"/>
      <c r="BG21" s="8"/>
      <c r="BH21" s="23">
        <v>0</v>
      </c>
      <c r="BI21" s="22">
        <f>'Exh 7_ Recon Rates_Alloc p3-4'!AJ20</f>
        <v>1.5380558848671995E-5</v>
      </c>
      <c r="BJ21" s="21">
        <f t="shared" si="13"/>
        <v>1.5380558848671995E-5</v>
      </c>
      <c r="BK21" s="14"/>
      <c r="BL21" s="8"/>
      <c r="BM21" s="23">
        <v>0</v>
      </c>
      <c r="BN21" s="21">
        <f>'Exh 7_ Recon Rates_Alloc p3-4'!AM20</f>
        <v>2.7127787158794944E-4</v>
      </c>
      <c r="BO21" s="21">
        <f t="shared" si="14"/>
        <v>2.7127787158794944E-4</v>
      </c>
      <c r="BP21" s="14"/>
      <c r="BQ21" s="8"/>
      <c r="BR21" s="23">
        <v>0</v>
      </c>
      <c r="BS21" s="21">
        <f>+'Exh 7_ Recon Rates_Alloc p3-4'!AP20</f>
        <v>1.3072473712271307E-3</v>
      </c>
      <c r="BT21" s="21">
        <f t="shared" si="15"/>
        <v>1.3072473712271307E-3</v>
      </c>
      <c r="BU21" s="14"/>
      <c r="BV21" s="8"/>
      <c r="BW21" s="23">
        <v>0</v>
      </c>
      <c r="BX21" s="21">
        <f>'Exh 7_ Recon Rates_Alloc p3-4'!AS20</f>
        <v>3.178400945717891E-4</v>
      </c>
      <c r="BY21" s="21">
        <f t="shared" si="16"/>
        <v>3.178400945717891E-4</v>
      </c>
      <c r="BZ21" s="14"/>
      <c r="CA21" s="8"/>
      <c r="CB21" s="23">
        <v>0</v>
      </c>
      <c r="CC21" s="22">
        <f>'Exh 7_ Recon Rates_Alloc p3-4'!AV20</f>
        <v>-4.8115680535287255E-4</v>
      </c>
      <c r="CD21" s="21">
        <f t="shared" si="17"/>
        <v>-4.8115680535287255E-4</v>
      </c>
    </row>
    <row r="22" spans="1:82" x14ac:dyDescent="0.25">
      <c r="A22" s="7">
        <f>IF(B22&lt;&gt;"",COUNTA($B$11:B22),"")</f>
        <v>12</v>
      </c>
      <c r="B22" s="19" t="s">
        <v>119</v>
      </c>
      <c r="C22" s="20" t="s">
        <v>124</v>
      </c>
      <c r="D22" s="8">
        <f t="shared" si="0"/>
        <v>17</v>
      </c>
      <c r="E22" s="21">
        <f t="shared" si="1"/>
        <v>7.4999999999999997E-3</v>
      </c>
      <c r="F22" s="22">
        <f t="shared" si="1"/>
        <v>9.61001859505662E-3</v>
      </c>
      <c r="G22" s="21">
        <f t="shared" si="2"/>
        <v>2.1100185950566203E-3</v>
      </c>
      <c r="H22" s="14"/>
      <c r="I22" s="8"/>
      <c r="J22" s="23">
        <v>1.41E-3</v>
      </c>
      <c r="K22" s="21">
        <f>'Exh 7_ Recon Rates_Alloc p3-4'!I21</f>
        <v>2.0113178994873647E-3</v>
      </c>
      <c r="L22" s="21">
        <f t="shared" si="3"/>
        <v>6.0131789948736467E-4</v>
      </c>
      <c r="M22" s="14"/>
      <c r="N22" s="8"/>
      <c r="O22" s="24">
        <v>2.7899999999999999E-3</v>
      </c>
      <c r="P22" s="25">
        <f>'Exh 7_ Recon Rates_Alloc p3-4'!L21</f>
        <v>2.6225972052469747E-3</v>
      </c>
      <c r="Q22" s="21">
        <f t="shared" si="4"/>
        <v>-1.674027947530252E-4</v>
      </c>
      <c r="R22" s="14"/>
      <c r="S22" s="8"/>
      <c r="T22" s="24">
        <v>2.3600000000000001E-3</v>
      </c>
      <c r="U22" s="25">
        <f>'Exh 7_ Recon Rates_Alloc p3-4'!O21</f>
        <v>1.7357128782064517E-3</v>
      </c>
      <c r="V22" s="21">
        <f t="shared" si="5"/>
        <v>-6.242871217935484E-4</v>
      </c>
      <c r="W22" s="14"/>
      <c r="X22" s="8"/>
      <c r="Y22" s="23">
        <v>2.0000000000000002E-5</v>
      </c>
      <c r="Z22" s="21">
        <f>'Exh 7_ Recon Rates_Alloc p3-4'!R21</f>
        <v>4.2230173043036776E-6</v>
      </c>
      <c r="AA22" s="21">
        <f t="shared" si="6"/>
        <v>-1.5776982695696324E-5</v>
      </c>
      <c r="AB22" s="14"/>
      <c r="AC22" s="8"/>
      <c r="AD22" s="23">
        <v>7.5000000000000002E-4</v>
      </c>
      <c r="AE22" s="21">
        <f>'Exh 7_ Recon Rates_Alloc p3-4'!U21</f>
        <v>-9.9806522818556893E-5</v>
      </c>
      <c r="AF22" s="21">
        <f t="shared" si="7"/>
        <v>-8.4980652281855694E-4</v>
      </c>
      <c r="AG22" s="14"/>
      <c r="AH22" s="8"/>
      <c r="AI22" s="21">
        <v>-6.0999999999999997E-4</v>
      </c>
      <c r="AJ22" s="21">
        <f>+'Exh 7_ Recon Rates_Alloc p3-4'!X21</f>
        <v>-5.210932140356871E-4</v>
      </c>
      <c r="AK22" s="21">
        <f t="shared" si="8"/>
        <v>8.8906785964312871E-5</v>
      </c>
      <c r="AL22" s="14"/>
      <c r="AM22" s="8"/>
      <c r="AN22" s="23">
        <v>0</v>
      </c>
      <c r="AO22" s="21">
        <f>'Exh 7_ Recon Rates_Alloc p3-4'!AA21</f>
        <v>-2.3807455859051839E-4</v>
      </c>
      <c r="AP22" s="21">
        <f t="shared" si="9"/>
        <v>-2.3807455859051839E-4</v>
      </c>
      <c r="AQ22" s="14"/>
      <c r="AR22" s="8"/>
      <c r="AS22" s="24">
        <v>-9.0000000000000006E-5</v>
      </c>
      <c r="AT22" s="85">
        <f>'Exh 7_ Recon Rates_Alloc p3-4'!AD21</f>
        <v>8.8337757197778845E-4</v>
      </c>
      <c r="AU22" s="21">
        <f t="shared" si="10"/>
        <v>9.7337757197778847E-4</v>
      </c>
      <c r="AV22" s="14"/>
      <c r="AW22" s="8"/>
      <c r="AX22" s="23">
        <v>8.7000000000000001E-4</v>
      </c>
      <c r="AY22" s="21">
        <f>+'Exh 7_ Recon Rates_Alloc p5'!R27</f>
        <v>1.4877804656102493E-3</v>
      </c>
      <c r="AZ22" s="21">
        <f t="shared" si="11"/>
        <v>6.1778046561024931E-4</v>
      </c>
      <c r="BA22" s="14"/>
      <c r="BB22" s="8"/>
      <c r="BC22" s="23">
        <v>0</v>
      </c>
      <c r="BD22" s="21">
        <f>+'Exh 7_ Recon Rates_Alloc p3-4'!AG21</f>
        <v>0</v>
      </c>
      <c r="BE22" s="21">
        <f t="shared" si="12"/>
        <v>0</v>
      </c>
      <c r="BF22" s="14"/>
      <c r="BG22" s="8"/>
      <c r="BH22" s="23">
        <v>0</v>
      </c>
      <c r="BI22" s="22">
        <f>'Exh 7_ Recon Rates_Alloc p3-4'!AJ21</f>
        <v>1.7762019688196871E-5</v>
      </c>
      <c r="BJ22" s="21">
        <f t="shared" si="13"/>
        <v>1.7762019688196871E-5</v>
      </c>
      <c r="BK22" s="14"/>
      <c r="BL22" s="8"/>
      <c r="BM22" s="23">
        <v>0</v>
      </c>
      <c r="BN22" s="21">
        <f>'Exh 7_ Recon Rates_Alloc p3-4'!AM21</f>
        <v>3.132813926675583E-4</v>
      </c>
      <c r="BO22" s="21">
        <f t="shared" si="14"/>
        <v>3.132813926675583E-4</v>
      </c>
      <c r="BP22" s="14"/>
      <c r="BQ22" s="8"/>
      <c r="BR22" s="23">
        <v>0</v>
      </c>
      <c r="BS22" s="21">
        <f>+'Exh 7_ Recon Rates_Alloc p3-4'!AP21</f>
        <v>1.5815444215362083E-3</v>
      </c>
      <c r="BT22" s="21">
        <f t="shared" si="15"/>
        <v>1.5815444215362083E-3</v>
      </c>
      <c r="BU22" s="14"/>
      <c r="BV22" s="8"/>
      <c r="BW22" s="23">
        <v>0</v>
      </c>
      <c r="BX22" s="21">
        <f>'Exh 7_ Recon Rates_Alloc p3-4'!AS21</f>
        <v>3.670531138060645E-4</v>
      </c>
      <c r="BY22" s="21">
        <f t="shared" si="16"/>
        <v>3.670531138060645E-4</v>
      </c>
      <c r="BZ22" s="14"/>
      <c r="CA22" s="8"/>
      <c r="CB22" s="23">
        <v>0</v>
      </c>
      <c r="CC22" s="22">
        <f>'Exh 7_ Recon Rates_Alloc p3-4'!AV21</f>
        <v>-5.556570950297783E-4</v>
      </c>
      <c r="CD22" s="21">
        <f t="shared" si="17"/>
        <v>-5.556570950297783E-4</v>
      </c>
    </row>
    <row r="23" spans="1:82" x14ac:dyDescent="0.25">
      <c r="A23" s="7">
        <f>IF(B23&lt;&gt;"",COUNTA($B$11:B23),"")</f>
        <v>13</v>
      </c>
      <c r="B23" s="19" t="s">
        <v>125</v>
      </c>
      <c r="C23" s="20" t="s">
        <v>126</v>
      </c>
      <c r="D23" s="8">
        <f t="shared" si="0"/>
        <v>18</v>
      </c>
      <c r="E23" s="21">
        <f t="shared" si="1"/>
        <v>1.1169999999999999E-2</v>
      </c>
      <c r="F23" s="22">
        <f t="shared" si="1"/>
        <v>1.2103443519281108E-2</v>
      </c>
      <c r="G23" s="21">
        <f t="shared" si="2"/>
        <v>9.3344351928110851E-4</v>
      </c>
      <c r="H23" s="14"/>
      <c r="I23" s="8"/>
      <c r="J23" s="23">
        <v>2.3E-3</v>
      </c>
      <c r="K23" s="21">
        <f>'Exh 7_ Recon Rates_Alloc p3-4'!I22</f>
        <v>3.0111747643881263E-3</v>
      </c>
      <c r="L23" s="21">
        <f t="shared" si="3"/>
        <v>7.1117476438812633E-4</v>
      </c>
      <c r="M23" s="14"/>
      <c r="N23" s="8"/>
      <c r="O23" s="24">
        <v>4.5300000000000002E-3</v>
      </c>
      <c r="P23" s="25">
        <f>'Exh 7_ Recon Rates_Alloc p3-4'!L22</f>
        <v>3.926330354643238E-3</v>
      </c>
      <c r="Q23" s="21">
        <f t="shared" si="4"/>
        <v>-6.0366964535676221E-4</v>
      </c>
      <c r="R23" s="14"/>
      <c r="S23" s="8"/>
      <c r="T23" s="24">
        <v>2.3600000000000001E-3</v>
      </c>
      <c r="U23" s="25">
        <f>'Exh 7_ Recon Rates_Alloc p3-4'!O22</f>
        <v>1.7357128782064517E-3</v>
      </c>
      <c r="V23" s="21">
        <f t="shared" si="5"/>
        <v>-6.242871217935484E-4</v>
      </c>
      <c r="W23" s="14"/>
      <c r="X23" s="8"/>
      <c r="Y23" s="23">
        <v>2.0000000000000002E-5</v>
      </c>
      <c r="Z23" s="21">
        <f>'Exh 7_ Recon Rates_Alloc p3-4'!R22</f>
        <v>6.3223437426448912E-6</v>
      </c>
      <c r="AA23" s="21">
        <f t="shared" si="6"/>
        <v>-1.367765625735511E-5</v>
      </c>
      <c r="AB23" s="14"/>
      <c r="AC23" s="8"/>
      <c r="AD23" s="23">
        <v>1.23E-3</v>
      </c>
      <c r="AE23" s="21">
        <f>'Exh 7_ Recon Rates_Alloc p3-4'!U22</f>
        <v>-1.4942187056017604E-4</v>
      </c>
      <c r="AF23" s="21">
        <f t="shared" si="7"/>
        <v>-1.3794218705601761E-3</v>
      </c>
      <c r="AG23" s="14"/>
      <c r="AH23" s="8"/>
      <c r="AI23" s="21">
        <v>-6.0999999999999997E-4</v>
      </c>
      <c r="AJ23" s="21">
        <f>+'Exh 7_ Recon Rates_Alloc p3-4'!X22</f>
        <v>-5.210932140356871E-4</v>
      </c>
      <c r="AK23" s="21">
        <f t="shared" si="8"/>
        <v>8.8906785964312871E-5</v>
      </c>
      <c r="AL23" s="14"/>
      <c r="AM23" s="8"/>
      <c r="AN23" s="23">
        <v>0</v>
      </c>
      <c r="AO23" s="21">
        <f>'Exh 7_ Recon Rates_Alloc p3-4'!AA22</f>
        <v>-3.564250599337516E-4</v>
      </c>
      <c r="AP23" s="21">
        <f t="shared" si="9"/>
        <v>-3.564250599337516E-4</v>
      </c>
      <c r="AQ23" s="14"/>
      <c r="AR23" s="8"/>
      <c r="AS23" s="24">
        <v>-8.0000000000000007E-5</v>
      </c>
      <c r="AT23" s="85">
        <f>'Exh 7_ Recon Rates_Alloc p3-4'!AD22</f>
        <v>7.0072348436568167E-4</v>
      </c>
      <c r="AU23" s="21">
        <f t="shared" si="10"/>
        <v>7.8072348436568166E-4</v>
      </c>
      <c r="AV23" s="14"/>
      <c r="AW23" s="8"/>
      <c r="AX23" s="23">
        <v>1.42E-3</v>
      </c>
      <c r="AY23" s="21">
        <f>+'Exh 7_ Recon Rates_Alloc p5'!R28</f>
        <v>2.2823397188421191E-3</v>
      </c>
      <c r="AZ23" s="21">
        <f t="shared" si="11"/>
        <v>8.6233971884211902E-4</v>
      </c>
      <c r="BA23" s="14"/>
      <c r="BB23" s="8"/>
      <c r="BC23" s="23">
        <v>0</v>
      </c>
      <c r="BD23" s="21">
        <f>+'Exh 7_ Recon Rates_Alloc p3-4'!AG22</f>
        <v>0</v>
      </c>
      <c r="BE23" s="21">
        <f t="shared" si="12"/>
        <v>0</v>
      </c>
      <c r="BF23" s="14"/>
      <c r="BG23" s="8"/>
      <c r="BH23" s="23">
        <v>0</v>
      </c>
      <c r="BI23" s="22">
        <f>'Exh 7_ Recon Rates_Alloc p3-4'!AJ22</f>
        <v>2.6591791115315666E-5</v>
      </c>
      <c r="BJ23" s="21">
        <f t="shared" si="13"/>
        <v>2.6591791115315666E-5</v>
      </c>
      <c r="BK23" s="14"/>
      <c r="BL23" s="8"/>
      <c r="BM23" s="23">
        <v>0</v>
      </c>
      <c r="BN23" s="21">
        <f>'Exh 7_ Recon Rates_Alloc p3-4'!AM22</f>
        <v>4.690183605452695E-4</v>
      </c>
      <c r="BO23" s="21">
        <f t="shared" si="14"/>
        <v>4.690183605452695E-4</v>
      </c>
      <c r="BP23" s="14"/>
      <c r="BQ23" s="8"/>
      <c r="BR23" s="23">
        <v>0</v>
      </c>
      <c r="BS23" s="21">
        <f>+'Exh 7_ Recon Rates_Alloc p3-4'!AP22</f>
        <v>1.2545318705078278E-3</v>
      </c>
      <c r="BT23" s="21">
        <f t="shared" si="15"/>
        <v>1.2545318705078278E-3</v>
      </c>
      <c r="BU23" s="14"/>
      <c r="BV23" s="8"/>
      <c r="BW23" s="23">
        <v>0</v>
      </c>
      <c r="BX23" s="21">
        <f>'Exh 7_ Recon Rates_Alloc p3-4'!AS22</f>
        <v>5.4952082600398869E-4</v>
      </c>
      <c r="BY23" s="21">
        <f t="shared" si="16"/>
        <v>5.4952082600398869E-4</v>
      </c>
      <c r="BZ23" s="14"/>
      <c r="CA23" s="8"/>
      <c r="CB23" s="23">
        <v>0</v>
      </c>
      <c r="CC23" s="22">
        <f>'Exh 7_ Recon Rates_Alloc p3-4'!AV22</f>
        <v>-8.3188272854994004E-4</v>
      </c>
      <c r="CD23" s="21">
        <f t="shared" si="17"/>
        <v>-8.3188272854994004E-4</v>
      </c>
    </row>
    <row r="24" spans="1:82" x14ac:dyDescent="0.25">
      <c r="A24" s="7">
        <f>IF(B24&lt;&gt;"",COUNTA($B$11:B24),"")</f>
        <v>14</v>
      </c>
      <c r="B24" s="19" t="s">
        <v>125</v>
      </c>
      <c r="C24" s="20" t="s">
        <v>121</v>
      </c>
      <c r="D24" s="8">
        <f t="shared" si="0"/>
        <v>19</v>
      </c>
      <c r="E24" s="21">
        <f t="shared" si="1"/>
        <v>7.4099999999999999E-3</v>
      </c>
      <c r="F24" s="22">
        <f t="shared" si="1"/>
        <v>7.8809074578161924E-3</v>
      </c>
      <c r="G24" s="21">
        <f t="shared" si="2"/>
        <v>4.7090745781619252E-4</v>
      </c>
      <c r="H24" s="14"/>
      <c r="I24" s="8"/>
      <c r="J24" s="23">
        <v>1.3799999999999999E-3</v>
      </c>
      <c r="K24" s="21">
        <f>'Exh 7_ Recon Rates_Alloc p3-4'!I23</f>
        <v>1.8347866159460454E-3</v>
      </c>
      <c r="L24" s="21">
        <f t="shared" si="3"/>
        <v>4.5478661594604546E-4</v>
      </c>
      <c r="M24" s="14"/>
      <c r="N24" s="8"/>
      <c r="O24" s="24">
        <v>2.7299999999999998E-3</v>
      </c>
      <c r="P24" s="25">
        <f>'Exh 7_ Recon Rates_Alloc p3-4'!L23</f>
        <v>2.3924145717746006E-3</v>
      </c>
      <c r="Q24" s="21">
        <f t="shared" si="4"/>
        <v>-3.3758542822539921E-4</v>
      </c>
      <c r="R24" s="14"/>
      <c r="S24" s="8"/>
      <c r="T24" s="24">
        <v>2.3600000000000001E-3</v>
      </c>
      <c r="U24" s="25">
        <f>'Exh 7_ Recon Rates_Alloc p3-4'!O23</f>
        <v>1.7357128782064517E-3</v>
      </c>
      <c r="V24" s="21">
        <f t="shared" si="5"/>
        <v>-6.242871217935484E-4</v>
      </c>
      <c r="W24" s="14"/>
      <c r="X24" s="8"/>
      <c r="Y24" s="23">
        <v>1.0000000000000001E-5</v>
      </c>
      <c r="Z24" s="21">
        <f>'Exh 7_ Recon Rates_Alloc p3-4'!R23</f>
        <v>3.8523674605689112E-6</v>
      </c>
      <c r="AA24" s="21">
        <f t="shared" si="6"/>
        <v>-6.1476325394310896E-6</v>
      </c>
      <c r="AB24" s="14"/>
      <c r="AC24" s="8"/>
      <c r="AD24" s="23">
        <v>7.3999999999999999E-4</v>
      </c>
      <c r="AE24" s="21">
        <f>'Exh 7_ Recon Rates_Alloc p3-4'!U23</f>
        <v>-9.1046607947095507E-5</v>
      </c>
      <c r="AF24" s="21">
        <f t="shared" si="7"/>
        <v>-8.3104660794709544E-4</v>
      </c>
      <c r="AG24" s="14"/>
      <c r="AH24" s="8"/>
      <c r="AI24" s="21">
        <v>-6.0999999999999997E-4</v>
      </c>
      <c r="AJ24" s="21">
        <f>+'Exh 7_ Recon Rates_Alloc p3-4'!X23</f>
        <v>-5.210932140356871E-4</v>
      </c>
      <c r="AK24" s="21">
        <f t="shared" si="8"/>
        <v>8.8906785964312871E-5</v>
      </c>
      <c r="AL24" s="14"/>
      <c r="AM24" s="8"/>
      <c r="AN24" s="23">
        <v>0</v>
      </c>
      <c r="AO24" s="21">
        <f>'Exh 7_ Recon Rates_Alloc p3-4'!AA23</f>
        <v>-2.1717900179304292E-4</v>
      </c>
      <c r="AP24" s="21">
        <f t="shared" si="9"/>
        <v>-2.1717900179304292E-4</v>
      </c>
      <c r="AQ24" s="14"/>
      <c r="AR24" s="8"/>
      <c r="AS24" s="24">
        <v>-5.0000000000000002E-5</v>
      </c>
      <c r="AT24" s="85">
        <f>'Exh 7_ Recon Rates_Alloc p3-4'!AD23</f>
        <v>4.3813751416432652E-4</v>
      </c>
      <c r="AU24" s="21">
        <f t="shared" si="10"/>
        <v>4.8813751416432654E-4</v>
      </c>
      <c r="AV24" s="14"/>
      <c r="AW24" s="8"/>
      <c r="AX24" s="23">
        <v>8.4999999999999995E-4</v>
      </c>
      <c r="AY24" s="21">
        <f>+'Exh 7_ Recon Rates_Alloc p5'!R29</f>
        <v>1.3909704299450646E-3</v>
      </c>
      <c r="AZ24" s="21">
        <f t="shared" si="11"/>
        <v>5.4097042994506468E-4</v>
      </c>
      <c r="BA24" s="14"/>
      <c r="BB24" s="8"/>
      <c r="BC24" s="23">
        <v>0</v>
      </c>
      <c r="BD24" s="21">
        <f>+'Exh 7_ Recon Rates_Alloc p3-4'!AG23</f>
        <v>0</v>
      </c>
      <c r="BE24" s="21">
        <f t="shared" si="12"/>
        <v>0</v>
      </c>
      <c r="BF24" s="14"/>
      <c r="BG24" s="8"/>
      <c r="BH24" s="23">
        <v>0</v>
      </c>
      <c r="BI24" s="22">
        <f>'Exh 7_ Recon Rates_Alloc p3-4'!AJ23</f>
        <v>1.6203065663752126E-5</v>
      </c>
      <c r="BJ24" s="21">
        <f t="shared" si="13"/>
        <v>1.6203065663752126E-5</v>
      </c>
      <c r="BK24" s="14"/>
      <c r="BL24" s="8"/>
      <c r="BM24" s="23">
        <v>0</v>
      </c>
      <c r="BN24" s="21">
        <f>'Exh 7_ Recon Rates_Alloc p3-4'!AM23</f>
        <v>2.8578501013583037E-4</v>
      </c>
      <c r="BO24" s="21">
        <f t="shared" si="14"/>
        <v>2.8578501013583037E-4</v>
      </c>
      <c r="BP24" s="14"/>
      <c r="BQ24" s="8"/>
      <c r="BR24" s="23">
        <v>0</v>
      </c>
      <c r="BS24" s="21">
        <f>+'Exh 7_ Recon Rates_Alloc p3-4'!AP23</f>
        <v>7.8441423392822476E-4</v>
      </c>
      <c r="BT24" s="21">
        <f t="shared" si="15"/>
        <v>7.8441423392822476E-4</v>
      </c>
      <c r="BU24" s="14"/>
      <c r="BV24" s="8"/>
      <c r="BW24" s="23">
        <v>0</v>
      </c>
      <c r="BX24" s="21">
        <f>'Exh 7_ Recon Rates_Alloc p3-4'!AS23</f>
        <v>3.348372431450727E-4</v>
      </c>
      <c r="BY24" s="21">
        <f t="shared" si="16"/>
        <v>3.348372431450727E-4</v>
      </c>
      <c r="BZ24" s="14"/>
      <c r="CA24" s="8"/>
      <c r="CB24" s="23">
        <v>0</v>
      </c>
      <c r="CC24" s="22">
        <f>'Exh 7_ Recon Rates_Alloc p3-4'!AV23</f>
        <v>-5.0688764877792085E-4</v>
      </c>
      <c r="CD24" s="21">
        <f t="shared" si="17"/>
        <v>-5.0688764877792085E-4</v>
      </c>
    </row>
    <row r="25" spans="1:82" x14ac:dyDescent="0.25">
      <c r="A25" s="7">
        <f>IF(B25&lt;&gt;"",COUNTA($B$11:B25),"")</f>
        <v>15</v>
      </c>
      <c r="B25" s="19" t="s">
        <v>125</v>
      </c>
      <c r="C25" s="20" t="s">
        <v>127</v>
      </c>
      <c r="D25" s="8">
        <f t="shared" si="0"/>
        <v>20</v>
      </c>
      <c r="E25" s="21">
        <f t="shared" si="1"/>
        <v>5.4799999999999988E-3</v>
      </c>
      <c r="F25" s="22">
        <f t="shared" si="1"/>
        <v>5.7986440878502309E-3</v>
      </c>
      <c r="G25" s="21">
        <f t="shared" si="2"/>
        <v>3.1864408785023217E-4</v>
      </c>
      <c r="H25" s="14"/>
      <c r="I25" s="8"/>
      <c r="J25" s="23">
        <v>9.1E-4</v>
      </c>
      <c r="K25" s="21">
        <f>'Exh 7_ Recon Rates_Alloc p3-4'!I24</f>
        <v>1.2355015224882698E-3</v>
      </c>
      <c r="L25" s="21">
        <f t="shared" si="3"/>
        <v>3.2550152248826984E-4</v>
      </c>
      <c r="M25" s="14"/>
      <c r="N25" s="8"/>
      <c r="O25" s="24">
        <v>1.8E-3</v>
      </c>
      <c r="P25" s="25">
        <f>'Exh 7_ Recon Rates_Alloc p3-4'!L24</f>
        <v>1.610994880909662E-3</v>
      </c>
      <c r="Q25" s="21">
        <f t="shared" si="4"/>
        <v>-1.8900511909033797E-4</v>
      </c>
      <c r="R25" s="14"/>
      <c r="S25" s="8"/>
      <c r="T25" s="24">
        <v>2.3600000000000001E-3</v>
      </c>
      <c r="U25" s="25">
        <f>'Exh 7_ Recon Rates_Alloc p3-4'!O24</f>
        <v>1.7357128782064517E-3</v>
      </c>
      <c r="V25" s="21">
        <f t="shared" si="5"/>
        <v>-6.242871217935484E-4</v>
      </c>
      <c r="W25" s="14"/>
      <c r="X25" s="8"/>
      <c r="Y25" s="23">
        <v>1.0000000000000001E-5</v>
      </c>
      <c r="Z25" s="21">
        <f>'Exh 7_ Recon Rates_Alloc p3-4'!R24</f>
        <v>2.5940923164315925E-6</v>
      </c>
      <c r="AA25" s="21">
        <f t="shared" si="6"/>
        <v>-7.4059076835684079E-6</v>
      </c>
      <c r="AB25" s="14"/>
      <c r="AC25" s="8"/>
      <c r="AD25" s="23">
        <v>4.8999999999999998E-4</v>
      </c>
      <c r="AE25" s="21">
        <f>'Exh 7_ Recon Rates_Alloc p3-4'!U24</f>
        <v>-6.1308613087973919E-5</v>
      </c>
      <c r="AF25" s="21">
        <f t="shared" si="7"/>
        <v>-5.5130861308797386E-4</v>
      </c>
      <c r="AG25" s="14"/>
      <c r="AH25" s="8"/>
      <c r="AI25" s="21">
        <v>-6.0999999999999997E-4</v>
      </c>
      <c r="AJ25" s="21">
        <f>+'Exh 7_ Recon Rates_Alloc p3-4'!X24</f>
        <v>-5.210932140356871E-4</v>
      </c>
      <c r="AK25" s="21">
        <f t="shared" si="8"/>
        <v>8.8906785964312871E-5</v>
      </c>
      <c r="AL25" s="14"/>
      <c r="AM25" s="8"/>
      <c r="AN25" s="23">
        <v>0</v>
      </c>
      <c r="AO25" s="21">
        <f>'Exh 7_ Recon Rates_Alloc p3-4'!AA24</f>
        <v>-1.4624315712562279E-4</v>
      </c>
      <c r="AP25" s="21">
        <f t="shared" si="9"/>
        <v>-1.4624315712562279E-4</v>
      </c>
      <c r="AQ25" s="14"/>
      <c r="AR25" s="8"/>
      <c r="AS25" s="24">
        <v>-4.0000000000000003E-5</v>
      </c>
      <c r="AT25" s="85">
        <f>'Exh 7_ Recon Rates_Alloc p3-4'!AD24</f>
        <v>3.2934229530846908E-4</v>
      </c>
      <c r="AU25" s="21">
        <f t="shared" si="10"/>
        <v>3.6934229530846907E-4</v>
      </c>
      <c r="AV25" s="14"/>
      <c r="AW25" s="8"/>
      <c r="AX25" s="23">
        <v>5.5999999999999995E-4</v>
      </c>
      <c r="AY25" s="21">
        <f>+'Exh 7_ Recon Rates_Alloc p5'!R30</f>
        <v>9.3601245545887001E-4</v>
      </c>
      <c r="AZ25" s="21">
        <f t="shared" si="11"/>
        <v>3.7601245545887006E-4</v>
      </c>
      <c r="BA25" s="14"/>
      <c r="BB25" s="8"/>
      <c r="BC25" s="23">
        <v>0</v>
      </c>
      <c r="BD25" s="21">
        <f>+'Exh 7_ Recon Rates_Alloc p3-4'!AG24</f>
        <v>0</v>
      </c>
      <c r="BE25" s="21">
        <f t="shared" si="12"/>
        <v>0</v>
      </c>
      <c r="BF25" s="14"/>
      <c r="BG25" s="8"/>
      <c r="BH25" s="23">
        <v>0</v>
      </c>
      <c r="BI25" s="22">
        <f>'Exh 7_ Recon Rates_Alloc p3-4'!AJ24</f>
        <v>1.0910757753822555E-5</v>
      </c>
      <c r="BJ25" s="21">
        <f t="shared" si="13"/>
        <v>1.0910757753822555E-5</v>
      </c>
      <c r="BK25" s="14"/>
      <c r="BL25" s="8"/>
      <c r="BM25" s="23">
        <v>0</v>
      </c>
      <c r="BN25" s="21">
        <f>'Exh 7_ Recon Rates_Alloc p3-4'!AM24</f>
        <v>1.9244080595447676E-4</v>
      </c>
      <c r="BO25" s="21">
        <f t="shared" si="14"/>
        <v>1.9244080595447676E-4</v>
      </c>
      <c r="BP25" s="14"/>
      <c r="BQ25" s="8"/>
      <c r="BR25" s="23">
        <v>0</v>
      </c>
      <c r="BS25" s="21">
        <f>+'Exh 7_ Recon Rates_Alloc p3-4'!AP24</f>
        <v>5.896340211070431E-4</v>
      </c>
      <c r="BT25" s="21">
        <f t="shared" si="15"/>
        <v>5.896340211070431E-4</v>
      </c>
      <c r="BU25" s="14"/>
      <c r="BV25" s="8"/>
      <c r="BW25" s="23">
        <v>0</v>
      </c>
      <c r="BX25" s="21">
        <f>'Exh 7_ Recon Rates_Alloc p3-4'!AS24</f>
        <v>2.2547140909800353E-4</v>
      </c>
      <c r="BY25" s="21">
        <f t="shared" si="16"/>
        <v>2.2547140909800353E-4</v>
      </c>
      <c r="BZ25" s="14"/>
      <c r="CA25" s="8"/>
      <c r="CB25" s="23">
        <v>0</v>
      </c>
      <c r="CC25" s="22">
        <f>'Exh 7_ Recon Rates_Alloc p3-4'!AV24</f>
        <v>-3.4132604650198556E-4</v>
      </c>
      <c r="CD25" s="21">
        <f t="shared" si="17"/>
        <v>-3.4132604650198556E-4</v>
      </c>
    </row>
    <row r="26" spans="1:82" x14ac:dyDescent="0.25">
      <c r="A26" s="7">
        <f>IF(B26&lt;&gt;"",COUNTA($B$11:B26),"")</f>
        <v>16</v>
      </c>
      <c r="B26" s="19" t="s">
        <v>125</v>
      </c>
      <c r="C26" s="20" t="s">
        <v>123</v>
      </c>
      <c r="D26" s="8">
        <f t="shared" si="0"/>
        <v>21</v>
      </c>
      <c r="E26" s="21">
        <f t="shared" si="1"/>
        <v>1.0029999999999997E-2</v>
      </c>
      <c r="F26" s="22">
        <f t="shared" si="1"/>
        <v>1.1910319983702976E-2</v>
      </c>
      <c r="G26" s="21">
        <f t="shared" si="2"/>
        <v>1.8803199837029785E-3</v>
      </c>
      <c r="H26" s="14"/>
      <c r="I26" s="8"/>
      <c r="J26" s="23">
        <v>2.0200000000000001E-3</v>
      </c>
      <c r="K26" s="21">
        <f>'Exh 7_ Recon Rates_Alloc p3-4'!I25</f>
        <v>2.8857686128256634E-3</v>
      </c>
      <c r="L26" s="21">
        <f t="shared" si="3"/>
        <v>8.6576861282566331E-4</v>
      </c>
      <c r="M26" s="14"/>
      <c r="N26" s="8"/>
      <c r="O26" s="24">
        <v>3.9899999999999996E-3</v>
      </c>
      <c r="P26" s="25">
        <f>'Exh 7_ Recon Rates_Alloc p3-4'!L25</f>
        <v>3.7628107923242636E-3</v>
      </c>
      <c r="Q26" s="21">
        <f t="shared" si="4"/>
        <v>-2.2718920767573602E-4</v>
      </c>
      <c r="R26" s="14"/>
      <c r="S26" s="8"/>
      <c r="T26" s="24">
        <v>2.3600000000000001E-3</v>
      </c>
      <c r="U26" s="25">
        <f>'Exh 7_ Recon Rates_Alloc p3-4'!O25</f>
        <v>1.7357128782064517E-3</v>
      </c>
      <c r="V26" s="21">
        <f t="shared" si="5"/>
        <v>-6.242871217935484E-4</v>
      </c>
      <c r="W26" s="14"/>
      <c r="X26" s="8"/>
      <c r="Y26" s="23">
        <v>2.0000000000000002E-5</v>
      </c>
      <c r="Z26" s="21">
        <f>'Exh 7_ Recon Rates_Alloc p3-4'!R25</f>
        <v>6.0590376047890158E-6</v>
      </c>
      <c r="AA26" s="21">
        <f t="shared" si="6"/>
        <v>-1.3940962395210986E-5</v>
      </c>
      <c r="AB26" s="14"/>
      <c r="AC26" s="8"/>
      <c r="AD26" s="23">
        <v>1.08E-3</v>
      </c>
      <c r="AE26" s="21">
        <f>'Exh 7_ Recon Rates_Alloc p3-4'!U25</f>
        <v>-1.4319891001739142E-4</v>
      </c>
      <c r="AF26" s="21">
        <f t="shared" si="7"/>
        <v>-1.2231989100173915E-3</v>
      </c>
      <c r="AG26" s="14"/>
      <c r="AH26" s="8"/>
      <c r="AI26" s="21">
        <v>-6.0999999999999997E-4</v>
      </c>
      <c r="AJ26" s="21">
        <f>+'Exh 7_ Recon Rates_Alloc p3-4'!X25</f>
        <v>-5.210932140356871E-4</v>
      </c>
      <c r="AK26" s="21">
        <f t="shared" si="8"/>
        <v>8.8906785964312871E-5</v>
      </c>
      <c r="AL26" s="14"/>
      <c r="AM26" s="8"/>
      <c r="AN26" s="23">
        <v>0</v>
      </c>
      <c r="AO26" s="21">
        <f>'Exh 7_ Recon Rates_Alloc p3-4'!AA25</f>
        <v>-3.4158105432659296E-4</v>
      </c>
      <c r="AP26" s="21">
        <f t="shared" si="9"/>
        <v>-3.4158105432659296E-4</v>
      </c>
      <c r="AQ26" s="14"/>
      <c r="AR26" s="8"/>
      <c r="AS26" s="24">
        <v>-8.0000000000000007E-5</v>
      </c>
      <c r="AT26" s="85">
        <f>'Exh 7_ Recon Rates_Alloc p3-4'!AD25</f>
        <v>7.7774681873906521E-4</v>
      </c>
      <c r="AU26" s="21">
        <f t="shared" si="10"/>
        <v>8.577468187390652E-4</v>
      </c>
      <c r="AV26" s="14"/>
      <c r="AW26" s="8"/>
      <c r="AX26" s="23">
        <v>1.25E-3</v>
      </c>
      <c r="AY26" s="21">
        <f>+'Exh 7_ Recon Rates_Alloc p5'!R31</f>
        <v>2.1512982341202569E-3</v>
      </c>
      <c r="AZ26" s="21">
        <f t="shared" si="11"/>
        <v>9.0129823412025685E-4</v>
      </c>
      <c r="BA26" s="14"/>
      <c r="BB26" s="8"/>
      <c r="BC26" s="23">
        <v>0</v>
      </c>
      <c r="BD26" s="21">
        <f>+'Exh 7_ Recon Rates_Alloc p3-4'!AG25</f>
        <v>0</v>
      </c>
      <c r="BE26" s="21">
        <f t="shared" si="12"/>
        <v>0</v>
      </c>
      <c r="BF26" s="14"/>
      <c r="BG26" s="8"/>
      <c r="BH26" s="23">
        <v>0</v>
      </c>
      <c r="BI26" s="22">
        <f>'Exh 7_ Recon Rates_Alloc p3-4'!AJ25</f>
        <v>2.5484324944184192E-5</v>
      </c>
      <c r="BJ26" s="21">
        <f t="shared" si="13"/>
        <v>2.5484324944184192E-5</v>
      </c>
      <c r="BK26" s="14"/>
      <c r="BL26" s="8"/>
      <c r="BM26" s="23">
        <v>0</v>
      </c>
      <c r="BN26" s="21">
        <f>'Exh 7_ Recon Rates_Alloc p3-4'!AM25</f>
        <v>4.4948519086553828E-4</v>
      </c>
      <c r="BO26" s="21">
        <f t="shared" si="14"/>
        <v>4.4948519086553828E-4</v>
      </c>
      <c r="BP26" s="14"/>
      <c r="BQ26" s="8"/>
      <c r="BR26" s="23">
        <v>0</v>
      </c>
      <c r="BS26" s="21">
        <f>+'Exh 7_ Recon Rates_Alloc p3-4'!AP25</f>
        <v>1.3924296717091988E-3</v>
      </c>
      <c r="BT26" s="21">
        <f t="shared" si="15"/>
        <v>1.3924296717091988E-3</v>
      </c>
      <c r="BU26" s="14"/>
      <c r="BV26" s="8"/>
      <c r="BW26" s="23">
        <v>0</v>
      </c>
      <c r="BX26" s="21">
        <f>'Exh 7_ Recon Rates_Alloc p3-4'!AS25</f>
        <v>5.2663497666452367E-4</v>
      </c>
      <c r="BY26" s="21">
        <f t="shared" si="16"/>
        <v>5.2663497666452367E-4</v>
      </c>
      <c r="BZ26" s="14"/>
      <c r="CA26" s="8"/>
      <c r="CB26" s="23">
        <v>0</v>
      </c>
      <c r="CC26" s="22">
        <f>'Exh 7_ Recon Rates_Alloc p3-4'!AV25</f>
        <v>-7.9723737592128673E-4</v>
      </c>
      <c r="CD26" s="21">
        <f t="shared" si="17"/>
        <v>-7.9723737592128673E-4</v>
      </c>
    </row>
    <row r="27" spans="1:82" x14ac:dyDescent="0.25">
      <c r="A27" s="7">
        <f>IF(B27&lt;&gt;"",COUNTA($B$11:B27),"")</f>
        <v>17</v>
      </c>
      <c r="B27" s="19" t="s">
        <v>125</v>
      </c>
      <c r="C27" s="20" t="s">
        <v>124</v>
      </c>
      <c r="D27" s="8">
        <f t="shared" si="0"/>
        <v>22</v>
      </c>
      <c r="E27" s="21">
        <f t="shared" si="1"/>
        <v>1.174E-2</v>
      </c>
      <c r="F27" s="22">
        <f t="shared" si="1"/>
        <v>1.4801412343109183E-2</v>
      </c>
      <c r="G27" s="21">
        <f t="shared" si="2"/>
        <v>3.0614123431091829E-3</v>
      </c>
      <c r="H27" s="14"/>
      <c r="I27" s="8"/>
      <c r="J27" s="23">
        <v>2.4499999999999999E-3</v>
      </c>
      <c r="K27" s="21">
        <f>'Exh 7_ Recon Rates_Alloc p3-4'!I26</f>
        <v>3.3680265017796409E-3</v>
      </c>
      <c r="L27" s="21">
        <f t="shared" si="3"/>
        <v>9.1802650177964101E-4</v>
      </c>
      <c r="M27" s="14"/>
      <c r="N27" s="8"/>
      <c r="O27" s="24">
        <v>4.8300000000000001E-3</v>
      </c>
      <c r="P27" s="25">
        <f>'Exh 7_ Recon Rates_Alloc p3-4'!L26</f>
        <v>4.391636395726573E-3</v>
      </c>
      <c r="Q27" s="21">
        <f t="shared" si="4"/>
        <v>-4.3836360427342708E-4</v>
      </c>
      <c r="R27" s="14"/>
      <c r="S27" s="8"/>
      <c r="T27" s="24">
        <v>2.3600000000000001E-3</v>
      </c>
      <c r="U27" s="25">
        <f>'Exh 7_ Recon Rates_Alloc p3-4'!O26</f>
        <v>1.7357128782064517E-3</v>
      </c>
      <c r="V27" s="21">
        <f t="shared" si="5"/>
        <v>-6.242871217935484E-4</v>
      </c>
      <c r="W27" s="14"/>
      <c r="X27" s="8"/>
      <c r="Y27" s="23">
        <v>3.0000000000000001E-5</v>
      </c>
      <c r="Z27" s="21">
        <f>'Exh 7_ Recon Rates_Alloc p3-4'!R26</f>
        <v>7.0715992742837703E-6</v>
      </c>
      <c r="AA27" s="21">
        <f t="shared" si="6"/>
        <v>-2.2928400725716229E-5</v>
      </c>
      <c r="AB27" s="14"/>
      <c r="AC27" s="8"/>
      <c r="AD27" s="23">
        <v>1.31E-3</v>
      </c>
      <c r="AE27" s="21">
        <f>'Exh 7_ Recon Rates_Alloc p3-4'!U26</f>
        <v>-1.6712972821902031E-4</v>
      </c>
      <c r="AF27" s="21">
        <f t="shared" si="7"/>
        <v>-1.4771297282190202E-3</v>
      </c>
      <c r="AG27" s="14"/>
      <c r="AH27" s="8"/>
      <c r="AI27" s="21">
        <v>-6.0999999999999997E-4</v>
      </c>
      <c r="AJ27" s="21">
        <f>+'Exh 7_ Recon Rates_Alloc p3-4'!X26</f>
        <v>-5.210932140356871E-4</v>
      </c>
      <c r="AK27" s="21">
        <f t="shared" si="8"/>
        <v>8.8906785964312871E-5</v>
      </c>
      <c r="AL27" s="14"/>
      <c r="AM27" s="8"/>
      <c r="AN27" s="23">
        <v>0</v>
      </c>
      <c r="AO27" s="21">
        <f>'Exh 7_ Recon Rates_Alloc p3-4'!AA26</f>
        <v>-3.9866468793258656E-4</v>
      </c>
      <c r="AP27" s="21">
        <f t="shared" si="9"/>
        <v>-3.9866468793258656E-4</v>
      </c>
      <c r="AQ27" s="14"/>
      <c r="AR27" s="8"/>
      <c r="AS27" s="24">
        <v>-1.3999999999999999E-4</v>
      </c>
      <c r="AT27" s="85">
        <f>'Exh 7_ Recon Rates_Alloc p3-4'!AD26</f>
        <v>1.2902193557665783E-3</v>
      </c>
      <c r="AU27" s="21">
        <f t="shared" si="10"/>
        <v>1.4302193557665782E-3</v>
      </c>
      <c r="AV27" s="14"/>
      <c r="AW27" s="8"/>
      <c r="AX27" s="23">
        <v>1.5100000000000001E-3</v>
      </c>
      <c r="AY27" s="21">
        <f>+'Exh 7_ Recon Rates_Alloc p5'!R32</f>
        <v>2.547184405788772E-3</v>
      </c>
      <c r="AZ27" s="21">
        <f t="shared" si="11"/>
        <v>1.037184405788772E-3</v>
      </c>
      <c r="BA27" s="14"/>
      <c r="BB27" s="8"/>
      <c r="BC27" s="23">
        <v>0</v>
      </c>
      <c r="BD27" s="21">
        <f>+'Exh 7_ Recon Rates_Alloc p3-4'!AG26</f>
        <v>0</v>
      </c>
      <c r="BE27" s="21">
        <f t="shared" si="12"/>
        <v>0</v>
      </c>
      <c r="BF27" s="14"/>
      <c r="BG27" s="8"/>
      <c r="BH27" s="23">
        <v>0</v>
      </c>
      <c r="BI27" s="22">
        <f>'Exh 7_ Recon Rates_Alloc p3-4'!AJ26</f>
        <v>2.974316146156021E-5</v>
      </c>
      <c r="BJ27" s="21">
        <f t="shared" si="13"/>
        <v>2.974316146156021E-5</v>
      </c>
      <c r="BK27" s="14"/>
      <c r="BL27" s="8"/>
      <c r="BM27" s="23">
        <v>0</v>
      </c>
      <c r="BN27" s="21">
        <f>'Exh 7_ Recon Rates_Alloc p3-4'!AM26</f>
        <v>5.2460132398150468E-4</v>
      </c>
      <c r="BO27" s="21">
        <f t="shared" si="14"/>
        <v>5.2460132398150468E-4</v>
      </c>
      <c r="BP27" s="14"/>
      <c r="BQ27" s="8"/>
      <c r="BR27" s="23">
        <v>0</v>
      </c>
      <c r="BS27" s="21">
        <f>+'Exh 7_ Recon Rates_Alloc p3-4'!AP26</f>
        <v>2.3099287206286238E-3</v>
      </c>
      <c r="BT27" s="21">
        <f t="shared" si="15"/>
        <v>2.3099287206286238E-3</v>
      </c>
      <c r="BU27" s="14"/>
      <c r="BV27" s="8"/>
      <c r="BW27" s="23">
        <v>0</v>
      </c>
      <c r="BX27" s="21">
        <f>'Exh 7_ Recon Rates_Alloc p3-4'!AS26</f>
        <v>6.1464406754131306E-4</v>
      </c>
      <c r="BY27" s="21">
        <f t="shared" si="16"/>
        <v>6.1464406754131306E-4</v>
      </c>
      <c r="BZ27" s="14"/>
      <c r="CA27" s="8"/>
      <c r="CB27" s="23">
        <v>0</v>
      </c>
      <c r="CC27" s="22">
        <f>'Exh 7_ Recon Rates_Alloc p3-4'!AV26</f>
        <v>-9.3046843685882401E-4</v>
      </c>
      <c r="CD27" s="21">
        <f t="shared" si="17"/>
        <v>-9.3046843685882401E-4</v>
      </c>
    </row>
    <row r="28" spans="1:82" x14ac:dyDescent="0.25">
      <c r="A28" s="7">
        <f>IF(B28&lt;&gt;"",COUNTA($B$11:B28),"")</f>
        <v>18</v>
      </c>
      <c r="B28" s="19" t="s">
        <v>125</v>
      </c>
      <c r="C28" s="20" t="s">
        <v>128</v>
      </c>
      <c r="D28" s="8">
        <f t="shared" si="0"/>
        <v>23</v>
      </c>
      <c r="E28" s="21">
        <f t="shared" si="1"/>
        <v>6.3899999999999998E-3</v>
      </c>
      <c r="F28" s="22">
        <f t="shared" si="1"/>
        <v>7.6829735744102755E-3</v>
      </c>
      <c r="G28" s="21">
        <f t="shared" si="2"/>
        <v>1.2929735744102756E-3</v>
      </c>
      <c r="H28" s="14"/>
      <c r="I28" s="8"/>
      <c r="J28" s="23">
        <v>1.14E-3</v>
      </c>
      <c r="K28" s="21">
        <f>'Exh 7_ Recon Rates_Alloc p3-4'!I27</f>
        <v>1.560503241006028E-3</v>
      </c>
      <c r="L28" s="21">
        <f t="shared" si="3"/>
        <v>4.2050324100602809E-4</v>
      </c>
      <c r="M28" s="14"/>
      <c r="N28" s="8"/>
      <c r="O28" s="24">
        <v>2.2499999999999998E-3</v>
      </c>
      <c r="P28" s="25">
        <f>'Exh 7_ Recon Rates_Alloc p3-4'!L27</f>
        <v>2.0347710521963491E-3</v>
      </c>
      <c r="Q28" s="21">
        <f t="shared" si="4"/>
        <v>-2.152289478036507E-4</v>
      </c>
      <c r="R28" s="14"/>
      <c r="S28" s="8"/>
      <c r="T28" s="24">
        <v>2.3600000000000001E-3</v>
      </c>
      <c r="U28" s="25">
        <f>'Exh 7_ Recon Rates_Alloc p3-4'!O27</f>
        <v>1.7357128782064517E-3</v>
      </c>
      <c r="V28" s="21">
        <f t="shared" si="5"/>
        <v>-6.242871217935484E-4</v>
      </c>
      <c r="W28" s="14"/>
      <c r="X28" s="8"/>
      <c r="Y28" s="23">
        <v>1.0000000000000001E-5</v>
      </c>
      <c r="Z28" s="21">
        <f>'Exh 7_ Recon Rates_Alloc p3-4'!R27</f>
        <v>3.2764746894909385E-6</v>
      </c>
      <c r="AA28" s="21">
        <f t="shared" si="6"/>
        <v>-6.7235253105090623E-6</v>
      </c>
      <c r="AB28" s="14"/>
      <c r="AC28" s="8"/>
      <c r="AD28" s="23">
        <v>6.0999999999999997E-4</v>
      </c>
      <c r="AE28" s="21">
        <f>'Exh 7_ Recon Rates_Alloc p3-4'!U27</f>
        <v>-7.743599476323288E-5</v>
      </c>
      <c r="AF28" s="21">
        <f t="shared" si="7"/>
        <v>-6.8743599476323285E-4</v>
      </c>
      <c r="AG28" s="14"/>
      <c r="AH28" s="8"/>
      <c r="AI28" s="21">
        <v>-6.0999999999999997E-4</v>
      </c>
      <c r="AJ28" s="21">
        <f>+'Exh 7_ Recon Rates_Alloc p3-4'!X27</f>
        <v>-5.210932140356871E-4</v>
      </c>
      <c r="AK28" s="21">
        <f t="shared" si="8"/>
        <v>8.8906785964312871E-5</v>
      </c>
      <c r="AL28" s="14"/>
      <c r="AM28" s="8"/>
      <c r="AN28" s="23">
        <v>0</v>
      </c>
      <c r="AO28" s="21">
        <f>'Exh 7_ Recon Rates_Alloc p3-4'!AA27</f>
        <v>-1.8471277980287143E-4</v>
      </c>
      <c r="AP28" s="21">
        <f t="shared" si="9"/>
        <v>-1.8471277980287143E-4</v>
      </c>
      <c r="AQ28" s="14"/>
      <c r="AR28" s="8"/>
      <c r="AS28" s="24">
        <v>-6.9999999999999994E-5</v>
      </c>
      <c r="AT28" s="85">
        <f>'Exh 7_ Recon Rates_Alloc p3-4'!AD27</f>
        <v>6.6590728759621473E-4</v>
      </c>
      <c r="AU28" s="21">
        <f t="shared" si="10"/>
        <v>7.3590728759621469E-4</v>
      </c>
      <c r="AV28" s="14"/>
      <c r="AW28" s="8"/>
      <c r="AX28" s="23">
        <v>6.9999999999999999E-4</v>
      </c>
      <c r="AY28" s="21">
        <f>+'Exh 7_ Recon Rates_Alloc p5'!R33</f>
        <v>1.1633323100801282E-3</v>
      </c>
      <c r="AZ28" s="21">
        <f t="shared" si="11"/>
        <v>4.6333231008012824E-4</v>
      </c>
      <c r="BA28" s="14"/>
      <c r="BB28" s="8"/>
      <c r="BC28" s="23">
        <v>0</v>
      </c>
      <c r="BD28" s="21">
        <f>+'Exh 7_ Recon Rates_Alloc p3-4'!AG27</f>
        <v>0</v>
      </c>
      <c r="BE28" s="21">
        <f t="shared" si="12"/>
        <v>0</v>
      </c>
      <c r="BF28" s="14"/>
      <c r="BG28" s="8"/>
      <c r="BH28" s="23">
        <v>0</v>
      </c>
      <c r="BI28" s="22">
        <f>'Exh 7_ Recon Rates_Alloc p3-4'!AJ27</f>
        <v>1.3780859454046848E-5</v>
      </c>
      <c r="BJ28" s="21">
        <f t="shared" si="13"/>
        <v>1.3780859454046848E-5</v>
      </c>
      <c r="BK28" s="14"/>
      <c r="BL28" s="8"/>
      <c r="BM28" s="23">
        <v>0</v>
      </c>
      <c r="BN28" s="21">
        <f>'Exh 7_ Recon Rates_Alloc p3-4'!AM27</f>
        <v>2.4306283394047727E-4</v>
      </c>
      <c r="BO28" s="21">
        <f t="shared" si="14"/>
        <v>2.4306283394047727E-4</v>
      </c>
      <c r="BP28" s="14"/>
      <c r="BQ28" s="8"/>
      <c r="BR28" s="23">
        <v>0</v>
      </c>
      <c r="BS28" s="21">
        <f>+'Exh 7_ Recon Rates_Alloc p3-4'!AP27</f>
        <v>1.1921991109647297E-3</v>
      </c>
      <c r="BT28" s="21">
        <f t="shared" si="15"/>
        <v>1.1921991109647297E-3</v>
      </c>
      <c r="BU28" s="14"/>
      <c r="BV28" s="8"/>
      <c r="BW28" s="23">
        <v>0</v>
      </c>
      <c r="BX28" s="21">
        <f>'Exh 7_ Recon Rates_Alloc p3-4'!AS27</f>
        <v>2.8478221859493596E-4</v>
      </c>
      <c r="BY28" s="21">
        <f t="shared" si="16"/>
        <v>2.8478221859493596E-4</v>
      </c>
      <c r="BZ28" s="14"/>
      <c r="CA28" s="8"/>
      <c r="CB28" s="23">
        <v>0</v>
      </c>
      <c r="CC28" s="22">
        <f>'Exh 7_ Recon Rates_Alloc p3-4'!AV27</f>
        <v>-4.3111270371678546E-4</v>
      </c>
      <c r="CD28" s="21">
        <f t="shared" si="17"/>
        <v>-4.3111270371678546E-4</v>
      </c>
    </row>
    <row r="29" spans="1:82" x14ac:dyDescent="0.25">
      <c r="A29" s="7">
        <f>IF(B29&lt;&gt;"",COUNTA($B$11:B29),"")</f>
        <v>19</v>
      </c>
      <c r="B29" s="19" t="s">
        <v>114</v>
      </c>
      <c r="C29" s="20" t="s">
        <v>129</v>
      </c>
      <c r="D29" s="8">
        <f t="shared" si="0"/>
        <v>24</v>
      </c>
      <c r="E29" s="21">
        <f t="shared" si="1"/>
        <v>2.0379999999999995E-2</v>
      </c>
      <c r="F29" s="22">
        <f t="shared" si="1"/>
        <v>1.380659795229504E-2</v>
      </c>
      <c r="G29" s="21">
        <f t="shared" si="2"/>
        <v>-6.5734020477049553E-3</v>
      </c>
      <c r="H29" s="14"/>
      <c r="I29" s="8"/>
      <c r="J29" s="23">
        <v>1.0189999999999999E-2</v>
      </c>
      <c r="K29" s="21">
        <f>'Exh 7_ Recon Rates_Alloc p3-4'!I28</f>
        <v>3.6549690375720515E-3</v>
      </c>
      <c r="L29" s="21">
        <f t="shared" si="3"/>
        <v>-6.5350309624279479E-3</v>
      </c>
      <c r="M29" s="14"/>
      <c r="N29" s="8"/>
      <c r="O29" s="24">
        <v>4.4299999999999999E-3</v>
      </c>
      <c r="P29" s="25">
        <f>'Exh 7_ Recon Rates_Alloc p3-4'!L28</f>
        <v>4.765786445615483E-3</v>
      </c>
      <c r="Q29" s="21">
        <f t="shared" si="4"/>
        <v>3.3578644561548313E-4</v>
      </c>
      <c r="R29" s="14"/>
      <c r="S29" s="8"/>
      <c r="T29" s="24">
        <v>3.31E-3</v>
      </c>
      <c r="U29" s="25">
        <f>'Exh 7_ Recon Rates_Alloc p3-4'!O28</f>
        <v>1.7357128782064517E-3</v>
      </c>
      <c r="V29" s="21">
        <f t="shared" si="5"/>
        <v>-1.5742871217935483E-3</v>
      </c>
      <c r="W29" s="14"/>
      <c r="X29" s="8"/>
      <c r="Y29" s="23">
        <v>3.0000000000000001E-5</v>
      </c>
      <c r="Z29" s="21">
        <f>'Exh 7_ Recon Rates_Alloc p3-4'!R28</f>
        <v>7.6740715608879795E-6</v>
      </c>
      <c r="AA29" s="21">
        <f t="shared" si="6"/>
        <v>-2.2325928439112023E-5</v>
      </c>
      <c r="AB29" s="14"/>
      <c r="AC29" s="8"/>
      <c r="AD29" s="23">
        <v>2.1000000000000001E-4</v>
      </c>
      <c r="AE29" s="21">
        <f>'Exh 7_ Recon Rates_Alloc p3-4'!U28</f>
        <v>-1.8136851998509521E-4</v>
      </c>
      <c r="AF29" s="21">
        <f t="shared" si="7"/>
        <v>-3.9136851998509525E-4</v>
      </c>
      <c r="AG29" s="14"/>
      <c r="AH29" s="8"/>
      <c r="AI29" s="21">
        <v>-1.7099999999999999E-3</v>
      </c>
      <c r="AJ29" s="21">
        <f>+'Exh 7_ Recon Rates_Alloc p3-4'!X28</f>
        <v>-5.210932140356871E-4</v>
      </c>
      <c r="AK29" s="21">
        <f t="shared" si="8"/>
        <v>1.1889067859643127E-3</v>
      </c>
      <c r="AL29" s="14"/>
      <c r="AM29" s="8"/>
      <c r="AN29" s="23">
        <v>5.6999999999999998E-4</v>
      </c>
      <c r="AO29" s="21">
        <f>'Exh 7_ Recon Rates_Alloc p3-4'!AA28</f>
        <v>-4.3262934243450975E-4</v>
      </c>
      <c r="AP29" s="21">
        <f t="shared" si="9"/>
        <v>-1.0026293424345097E-3</v>
      </c>
      <c r="AQ29" s="14"/>
      <c r="AR29" s="8"/>
      <c r="AS29" s="24">
        <v>1.1100000000000001E-3</v>
      </c>
      <c r="AT29" s="85">
        <f>'Exh 7_ Recon Rates_Alloc p3-4'!AD28</f>
        <v>6.3544669373927351E-4</v>
      </c>
      <c r="AU29" s="21">
        <f t="shared" si="10"/>
        <v>-4.7455330626072659E-4</v>
      </c>
      <c r="AV29" s="14"/>
      <c r="AW29" s="8"/>
      <c r="AX29" s="23">
        <v>2.3700000000000001E-3</v>
      </c>
      <c r="AY29" s="21">
        <f>+'Exh 7_ Recon Rates_Alloc p5'!R34</f>
        <v>2.7455944627379335E-3</v>
      </c>
      <c r="AZ29" s="21">
        <f t="shared" si="11"/>
        <v>3.755944627379334E-4</v>
      </c>
      <c r="BA29" s="14"/>
      <c r="BB29" s="8"/>
      <c r="BC29" s="23">
        <v>0</v>
      </c>
      <c r="BD29" s="21">
        <f>+'Exh 7_ Recon Rates_Alloc p3-4'!AG28</f>
        <v>0</v>
      </c>
      <c r="BE29" s="21">
        <f t="shared" si="12"/>
        <v>0</v>
      </c>
      <c r="BF29" s="14"/>
      <c r="BG29" s="8"/>
      <c r="BH29" s="23">
        <v>-1.2999999999999999E-4</v>
      </c>
      <c r="BI29" s="22">
        <f>'Exh 7_ Recon Rates_Alloc p3-4'!AJ28</f>
        <v>3.2277161169624727E-5</v>
      </c>
      <c r="BJ29" s="21">
        <f t="shared" si="13"/>
        <v>1.6227716116962472E-4</v>
      </c>
      <c r="BK29" s="14"/>
      <c r="BL29" s="8"/>
      <c r="BM29" s="23">
        <v>0</v>
      </c>
      <c r="BN29" s="21">
        <f>'Exh 7_ Recon Rates_Alloc p3-4'!AM28</f>
        <v>5.6929528173503476E-4</v>
      </c>
      <c r="BO29" s="21">
        <f t="shared" si="14"/>
        <v>5.6929528173503476E-4</v>
      </c>
      <c r="BP29" s="14"/>
      <c r="BQ29" s="8"/>
      <c r="BR29" s="23">
        <v>0</v>
      </c>
      <c r="BS29" s="21">
        <f>+'Exh 7_ Recon Rates_Alloc p3-4'!AP28</f>
        <v>1.1376643527601861E-3</v>
      </c>
      <c r="BT29" s="21">
        <f t="shared" si="15"/>
        <v>1.1376643527601861E-3</v>
      </c>
      <c r="BU29" s="14"/>
      <c r="BV29" s="8"/>
      <c r="BW29" s="23">
        <v>0</v>
      </c>
      <c r="BX29" s="21">
        <f>'Exh 7_ Recon Rates_Alloc p3-4'!AS28</f>
        <v>6.6700931088392763E-4</v>
      </c>
      <c r="BY29" s="21">
        <f t="shared" si="16"/>
        <v>6.6700931088392763E-4</v>
      </c>
      <c r="BZ29" s="14"/>
      <c r="CA29" s="8"/>
      <c r="CB29" s="23">
        <v>0</v>
      </c>
      <c r="CC29" s="22">
        <f>'Exh 7_ Recon Rates_Alloc p3-4'!AV28</f>
        <v>-1.0097406672305252E-3</v>
      </c>
      <c r="CD29" s="21">
        <f t="shared" si="17"/>
        <v>-1.0097406672305252E-3</v>
      </c>
    </row>
    <row r="30" spans="1:82" x14ac:dyDescent="0.25">
      <c r="A30" s="7">
        <f>IF(B30&lt;&gt;"",COUNTA($B$11:B30),"")</f>
        <v>20</v>
      </c>
      <c r="B30" s="19" t="s">
        <v>114</v>
      </c>
      <c r="C30" s="20" t="s">
        <v>130</v>
      </c>
      <c r="D30" s="8">
        <f t="shared" si="0"/>
        <v>25</v>
      </c>
      <c r="E30" s="21">
        <f t="shared" si="1"/>
        <v>1.328E-2</v>
      </c>
      <c r="F30" s="22">
        <f t="shared" si="1"/>
        <v>9.1800762310181132E-3</v>
      </c>
      <c r="G30" s="21">
        <f t="shared" si="2"/>
        <v>-4.099923768981887E-3</v>
      </c>
      <c r="H30" s="14"/>
      <c r="I30" s="8"/>
      <c r="J30" s="23">
        <v>6.3800000000000003E-3</v>
      </c>
      <c r="K30" s="21">
        <f>'Exh 7_ Recon Rates_Alloc p3-4'!I29</f>
        <v>2.3421778515185011E-3</v>
      </c>
      <c r="L30" s="21">
        <f t="shared" si="3"/>
        <v>-4.0378221484814996E-3</v>
      </c>
      <c r="M30" s="14"/>
      <c r="N30" s="8"/>
      <c r="O30" s="24">
        <v>2.7699999999999999E-3</v>
      </c>
      <c r="P30" s="25">
        <f>'Exh 7_ Recon Rates_Alloc p3-4'!L29</f>
        <v>3.0540120431232572E-3</v>
      </c>
      <c r="Q30" s="21">
        <f t="shared" si="4"/>
        <v>2.8401204312325729E-4</v>
      </c>
      <c r="R30" s="14"/>
      <c r="S30" s="8"/>
      <c r="T30" s="24">
        <v>3.31E-3</v>
      </c>
      <c r="U30" s="25">
        <f>'Exh 7_ Recon Rates_Alloc p3-4'!O29</f>
        <v>1.7357128782064517E-3</v>
      </c>
      <c r="V30" s="21">
        <f t="shared" si="5"/>
        <v>-1.5742871217935483E-3</v>
      </c>
      <c r="W30" s="14"/>
      <c r="X30" s="8"/>
      <c r="Y30" s="23">
        <v>2.0000000000000002E-5</v>
      </c>
      <c r="Z30" s="21">
        <f>'Exh 7_ Recon Rates_Alloc p3-4'!R29</f>
        <v>4.9176997824363946E-6</v>
      </c>
      <c r="AA30" s="21">
        <f t="shared" si="6"/>
        <v>-1.5082300217563607E-5</v>
      </c>
      <c r="AB30" s="14"/>
      <c r="AC30" s="8"/>
      <c r="AD30" s="23">
        <v>1.2999999999999999E-4</v>
      </c>
      <c r="AE30" s="21">
        <f>'Exh 7_ Recon Rates_Alloc p3-4'!U29</f>
        <v>-1.1622460439609306E-4</v>
      </c>
      <c r="AF30" s="21">
        <f t="shared" si="7"/>
        <v>-2.4622460439609303E-4</v>
      </c>
      <c r="AG30" s="14"/>
      <c r="AH30" s="8"/>
      <c r="AI30" s="21">
        <v>-1.7099999999999999E-3</v>
      </c>
      <c r="AJ30" s="21">
        <f>+'Exh 7_ Recon Rates_Alloc p3-4'!X29</f>
        <v>-5.210932140356871E-4</v>
      </c>
      <c r="AK30" s="21">
        <f t="shared" si="8"/>
        <v>1.1889067859643127E-3</v>
      </c>
      <c r="AL30" s="14"/>
      <c r="AM30" s="8"/>
      <c r="AN30" s="23">
        <v>3.5E-4</v>
      </c>
      <c r="AO30" s="21">
        <f>'Exh 7_ Recon Rates_Alloc p3-4'!AA29</f>
        <v>-2.7723760539439223E-4</v>
      </c>
      <c r="AP30" s="21">
        <f t="shared" si="9"/>
        <v>-6.2723760539439228E-4</v>
      </c>
      <c r="AQ30" s="14"/>
      <c r="AR30" s="8"/>
      <c r="AS30" s="24">
        <v>6.3000000000000003E-4</v>
      </c>
      <c r="AT30" s="85">
        <f>'Exh 7_ Recon Rates_Alloc p3-4'!AD29</f>
        <v>3.6999520574663471E-4</v>
      </c>
      <c r="AU30" s="21">
        <f t="shared" si="10"/>
        <v>-2.6000479425336532E-4</v>
      </c>
      <c r="AV30" s="14"/>
      <c r="AW30" s="8"/>
      <c r="AX30" s="23">
        <v>1.48E-3</v>
      </c>
      <c r="AY30" s="21">
        <f>+'Exh 7_ Recon Rates_Alloc p5'!R35</f>
        <v>1.7595289185586933E-3</v>
      </c>
      <c r="AZ30" s="21">
        <f t="shared" si="11"/>
        <v>2.7952891855869333E-4</v>
      </c>
      <c r="BA30" s="14"/>
      <c r="BB30" s="8"/>
      <c r="BC30" s="23">
        <v>0</v>
      </c>
      <c r="BD30" s="21">
        <f>+'Exh 7_ Recon Rates_Alloc p3-4'!AG29</f>
        <v>0</v>
      </c>
      <c r="BE30" s="21">
        <f t="shared" si="12"/>
        <v>0</v>
      </c>
      <c r="BF30" s="14"/>
      <c r="BG30" s="8"/>
      <c r="BH30" s="23">
        <v>-8.0000000000000007E-5</v>
      </c>
      <c r="BI30" s="22">
        <f>'Exh 7_ Recon Rates_Alloc p3-4'!AJ29</f>
        <v>2.0683855656300545E-5</v>
      </c>
      <c r="BJ30" s="21">
        <f t="shared" si="13"/>
        <v>1.0068385565630055E-4</v>
      </c>
      <c r="BK30" s="14"/>
      <c r="BL30" s="8"/>
      <c r="BM30" s="23">
        <v>0</v>
      </c>
      <c r="BN30" s="21">
        <f>'Exh 7_ Recon Rates_Alloc p3-4'!AM29</f>
        <v>3.6481589478512734E-4</v>
      </c>
      <c r="BO30" s="21">
        <f t="shared" si="14"/>
        <v>3.6481589478512734E-4</v>
      </c>
      <c r="BP30" s="14"/>
      <c r="BQ30" s="8"/>
      <c r="BR30" s="23">
        <v>0</v>
      </c>
      <c r="BS30" s="21">
        <f>+'Exh 7_ Recon Rates_Alloc p3-4'!AP29</f>
        <v>6.6241647083433667E-4</v>
      </c>
      <c r="BT30" s="21">
        <f t="shared" si="15"/>
        <v>6.6241647083433667E-4</v>
      </c>
      <c r="BU30" s="14"/>
      <c r="BV30" s="8"/>
      <c r="BW30" s="23">
        <v>0</v>
      </c>
      <c r="BX30" s="21">
        <f>'Exh 7_ Recon Rates_Alloc p3-4'!AS29</f>
        <v>4.2743301479422087E-4</v>
      </c>
      <c r="BY30" s="21">
        <f t="shared" si="16"/>
        <v>4.2743301479422087E-4</v>
      </c>
      <c r="BZ30" s="14"/>
      <c r="CA30" s="8"/>
      <c r="CB30" s="23">
        <v>0</v>
      </c>
      <c r="CC30" s="22">
        <f>'Exh 7_ Recon Rates_Alloc p3-4'!AV29</f>
        <v>-6.4706217816167411E-4</v>
      </c>
      <c r="CD30" s="21">
        <f t="shared" si="17"/>
        <v>-6.4706217816167411E-4</v>
      </c>
    </row>
    <row r="31" spans="1:82" x14ac:dyDescent="0.25">
      <c r="A31" s="7">
        <f>IF(B31&lt;&gt;"",COUNTA($B$11:B31),"")</f>
        <v>21</v>
      </c>
      <c r="B31" s="19" t="s">
        <v>114</v>
      </c>
      <c r="C31" s="20" t="s">
        <v>131</v>
      </c>
      <c r="D31" s="8">
        <f t="shared" si="0"/>
        <v>26</v>
      </c>
      <c r="E31" s="21">
        <f t="shared" si="1"/>
        <v>1.0280000000000001E-2</v>
      </c>
      <c r="F31" s="22">
        <f t="shared" si="1"/>
        <v>7.1755132089572826E-3</v>
      </c>
      <c r="G31" s="21">
        <f t="shared" si="2"/>
        <v>-3.1044867910427184E-3</v>
      </c>
      <c r="H31" s="14"/>
      <c r="I31" s="8"/>
      <c r="J31" s="23">
        <v>4.7099999999999998E-3</v>
      </c>
      <c r="K31" s="21">
        <f>'Exh 7_ Recon Rates_Alloc p3-4'!I30</f>
        <v>1.7278138150720853E-3</v>
      </c>
      <c r="L31" s="21">
        <f t="shared" si="3"/>
        <v>-2.9821861849279145E-3</v>
      </c>
      <c r="M31" s="14"/>
      <c r="N31" s="8"/>
      <c r="O31" s="24">
        <v>2.0500000000000002E-3</v>
      </c>
      <c r="P31" s="25">
        <f>'Exh 7_ Recon Rates_Alloc p3-4'!L30</f>
        <v>2.2529306201421943E-3</v>
      </c>
      <c r="Q31" s="21">
        <f t="shared" si="4"/>
        <v>2.0293062014219414E-4</v>
      </c>
      <c r="R31" s="14"/>
      <c r="S31" s="8"/>
      <c r="T31" s="24">
        <v>3.31E-3</v>
      </c>
      <c r="U31" s="25">
        <f>'Exh 7_ Recon Rates_Alloc p3-4'!O30</f>
        <v>1.7357128782064517E-3</v>
      </c>
      <c r="V31" s="21">
        <f t="shared" si="5"/>
        <v>-1.5742871217935483E-3</v>
      </c>
      <c r="W31" s="14"/>
      <c r="X31" s="8"/>
      <c r="Y31" s="23">
        <v>1.0000000000000001E-5</v>
      </c>
      <c r="Z31" s="21">
        <f>'Exh 7_ Recon Rates_Alloc p3-4'!R30</f>
        <v>3.6277644829413051E-6</v>
      </c>
      <c r="AA31" s="21">
        <f t="shared" si="6"/>
        <v>-6.3722355170586957E-6</v>
      </c>
      <c r="AB31" s="14"/>
      <c r="AC31" s="8"/>
      <c r="AD31" s="23">
        <v>1E-4</v>
      </c>
      <c r="AE31" s="21">
        <f>'Exh 7_ Recon Rates_Alloc p3-4'!U30</f>
        <v>-8.5738355435588986E-5</v>
      </c>
      <c r="AF31" s="21">
        <f t="shared" si="7"/>
        <v>-1.8573835543558899E-4</v>
      </c>
      <c r="AG31" s="14"/>
      <c r="AH31" s="8"/>
      <c r="AI31" s="21">
        <v>-1.7099999999999999E-3</v>
      </c>
      <c r="AJ31" s="21">
        <f>+'Exh 7_ Recon Rates_Alloc p3-4'!X30</f>
        <v>-5.210932140356871E-4</v>
      </c>
      <c r="AK31" s="21">
        <f t="shared" si="8"/>
        <v>1.1889067859643127E-3</v>
      </c>
      <c r="AL31" s="14"/>
      <c r="AM31" s="8"/>
      <c r="AN31" s="23">
        <v>2.5999999999999998E-4</v>
      </c>
      <c r="AO31" s="21">
        <f>'Exh 7_ Recon Rates_Alloc p3-4'!AA30</f>
        <v>-2.0451690478900868E-4</v>
      </c>
      <c r="AP31" s="21">
        <f t="shared" si="9"/>
        <v>-4.6451690478900869E-4</v>
      </c>
      <c r="AQ31" s="14"/>
      <c r="AR31" s="8"/>
      <c r="AS31" s="24">
        <v>5.1999999999999995E-4</v>
      </c>
      <c r="AT31" s="85">
        <f>'Exh 7_ Recon Rates_Alloc p3-4'!AD30</f>
        <v>3.0338314162327095E-4</v>
      </c>
      <c r="AU31" s="21">
        <f t="shared" si="10"/>
        <v>-2.16616858376729E-4</v>
      </c>
      <c r="AV31" s="14"/>
      <c r="AW31" s="8"/>
      <c r="AX31" s="23">
        <v>1.09E-3</v>
      </c>
      <c r="AY31" s="21">
        <f>+'Exh 7_ Recon Rates_Alloc p5'!R36</f>
        <v>1.2978731332331617E-3</v>
      </c>
      <c r="AZ31" s="21">
        <f t="shared" si="11"/>
        <v>2.0787313323316161E-4</v>
      </c>
      <c r="BA31" s="14"/>
      <c r="BB31" s="8"/>
      <c r="BC31" s="23">
        <v>0</v>
      </c>
      <c r="BD31" s="21">
        <f>+'Exh 7_ Recon Rates_Alloc p3-4'!AG30</f>
        <v>0</v>
      </c>
      <c r="BE31" s="21">
        <f t="shared" si="12"/>
        <v>0</v>
      </c>
      <c r="BF31" s="14"/>
      <c r="BG31" s="8"/>
      <c r="BH31" s="23">
        <v>-6.0000000000000002E-5</v>
      </c>
      <c r="BI31" s="22">
        <f>'Exh 7_ Recon Rates_Alloc p3-4'!AJ30</f>
        <v>1.5258385066165281E-5</v>
      </c>
      <c r="BJ31" s="21">
        <f t="shared" si="13"/>
        <v>7.5258385066165277E-5</v>
      </c>
      <c r="BK31" s="14"/>
      <c r="BL31" s="8"/>
      <c r="BM31" s="23">
        <v>0</v>
      </c>
      <c r="BN31" s="21">
        <f>'Exh 7_ Recon Rates_Alloc p3-4'!AM30</f>
        <v>2.6912300556465585E-4</v>
      </c>
      <c r="BO31" s="21">
        <f t="shared" si="14"/>
        <v>2.6912300556465585E-4</v>
      </c>
      <c r="BP31" s="14"/>
      <c r="BQ31" s="8"/>
      <c r="BR31" s="23">
        <v>0</v>
      </c>
      <c r="BS31" s="21">
        <f>+'Exh 7_ Recon Rates_Alloc p3-4'!AP30</f>
        <v>5.4315836222574828E-4</v>
      </c>
      <c r="BT31" s="21">
        <f t="shared" si="15"/>
        <v>5.4315836222574828E-4</v>
      </c>
      <c r="BU31" s="14"/>
      <c r="BV31" s="8"/>
      <c r="BW31" s="23">
        <v>0</v>
      </c>
      <c r="BX31" s="21">
        <f>'Exh 7_ Recon Rates_Alloc p3-4'!AS30</f>
        <v>3.1531536663646575E-4</v>
      </c>
      <c r="BY31" s="21">
        <f t="shared" si="16"/>
        <v>3.1531536663646575E-4</v>
      </c>
      <c r="BZ31" s="14"/>
      <c r="CA31" s="8"/>
      <c r="CB31" s="23">
        <v>0</v>
      </c>
      <c r="CC31" s="22">
        <f>'Exh 7_ Recon Rates_Alloc p3-4'!AV30</f>
        <v>-4.7733478903557309E-4</v>
      </c>
      <c r="CD31" s="21">
        <f t="shared" si="17"/>
        <v>-4.7733478903557309E-4</v>
      </c>
    </row>
    <row r="32" spans="1:82" x14ac:dyDescent="0.25">
      <c r="A32" s="7">
        <f>IF(B32&lt;&gt;"",COUNTA($B$11:B32),"")</f>
        <v>22</v>
      </c>
      <c r="B32" s="19" t="s">
        <v>114</v>
      </c>
      <c r="C32" s="20" t="s">
        <v>132</v>
      </c>
      <c r="D32" s="8">
        <f t="shared" si="0"/>
        <v>27</v>
      </c>
      <c r="E32" s="21">
        <f t="shared" si="1"/>
        <v>6.3100000000000005E-3</v>
      </c>
      <c r="F32" s="22">
        <f t="shared" si="1"/>
        <v>4.5753898055599018E-3</v>
      </c>
      <c r="G32" s="21">
        <f t="shared" si="2"/>
        <v>-1.7346101944400987E-3</v>
      </c>
      <c r="H32" s="14"/>
      <c r="I32" s="8"/>
      <c r="J32" s="23">
        <v>2.5300000000000001E-3</v>
      </c>
      <c r="K32" s="21">
        <f>'Exh 7_ Recon Rates_Alloc p3-4'!I31</f>
        <v>9.5555291485414483E-4</v>
      </c>
      <c r="L32" s="21">
        <f t="shared" si="3"/>
        <v>-1.5744470851458553E-3</v>
      </c>
      <c r="M32" s="14"/>
      <c r="N32" s="8"/>
      <c r="O32" s="24">
        <v>1.1000000000000001E-3</v>
      </c>
      <c r="P32" s="25">
        <f>'Exh 7_ Recon Rates_Alloc p3-4'!L31</f>
        <v>1.245964352328792E-3</v>
      </c>
      <c r="Q32" s="21">
        <f t="shared" si="4"/>
        <v>1.4596435232879196E-4</v>
      </c>
      <c r="R32" s="14"/>
      <c r="S32" s="8"/>
      <c r="T32" s="24">
        <v>3.31E-3</v>
      </c>
      <c r="U32" s="25">
        <f>'Exh 7_ Recon Rates_Alloc p3-4'!O31</f>
        <v>1.7357128782064517E-3</v>
      </c>
      <c r="V32" s="21">
        <f t="shared" si="5"/>
        <v>-1.5742871217935483E-3</v>
      </c>
      <c r="W32" s="14"/>
      <c r="X32" s="8"/>
      <c r="Y32" s="23">
        <v>1.0000000000000001E-5</v>
      </c>
      <c r="Z32" s="21">
        <f>'Exh 7_ Recon Rates_Alloc p3-4'!R31</f>
        <v>2.0063046700053608E-6</v>
      </c>
      <c r="AA32" s="21">
        <f t="shared" si="6"/>
        <v>-7.99369532999464E-6</v>
      </c>
      <c r="AB32" s="14"/>
      <c r="AC32" s="8"/>
      <c r="AD32" s="23">
        <v>5.0000000000000002E-5</v>
      </c>
      <c r="AE32" s="21">
        <f>'Exh 7_ Recon Rates_Alloc p3-4'!U31</f>
        <v>-4.7416877175426284E-5</v>
      </c>
      <c r="AF32" s="21">
        <f t="shared" si="7"/>
        <v>-9.7416877175426279E-5</v>
      </c>
      <c r="AG32" s="14"/>
      <c r="AH32" s="8"/>
      <c r="AI32" s="21">
        <v>-1.7099999999999999E-3</v>
      </c>
      <c r="AJ32" s="21">
        <f>+'Exh 7_ Recon Rates_Alloc p3-4'!X31</f>
        <v>-5.210932140356871E-4</v>
      </c>
      <c r="AK32" s="21">
        <f t="shared" si="8"/>
        <v>1.1889067859643127E-3</v>
      </c>
      <c r="AL32" s="14"/>
      <c r="AM32" s="8"/>
      <c r="AN32" s="23">
        <v>1.3999999999999999E-4</v>
      </c>
      <c r="AO32" s="21">
        <f>'Exh 7_ Recon Rates_Alloc p3-4'!AA31</f>
        <v>-1.1310635602246967E-4</v>
      </c>
      <c r="AP32" s="21">
        <f t="shared" si="9"/>
        <v>-2.5310635602246966E-4</v>
      </c>
      <c r="AQ32" s="14"/>
      <c r="AR32" s="8"/>
      <c r="AS32" s="24">
        <v>3.2000000000000003E-4</v>
      </c>
      <c r="AT32" s="85">
        <f>'Exh 7_ Recon Rates_Alloc p3-4'!AD31</f>
        <v>1.9064964853894673E-4</v>
      </c>
      <c r="AU32" s="21">
        <f t="shared" si="10"/>
        <v>-1.2935035146105329E-4</v>
      </c>
      <c r="AV32" s="14"/>
      <c r="AW32" s="8"/>
      <c r="AX32" s="23">
        <v>5.9000000000000003E-4</v>
      </c>
      <c r="AY32" s="21">
        <f>+'Exh 7_ Recon Rates_Alloc p5'!R37</f>
        <v>7.1812158818119901E-4</v>
      </c>
      <c r="AZ32" s="21">
        <f t="shared" si="11"/>
        <v>1.2812158818119898E-4</v>
      </c>
      <c r="BA32" s="14"/>
      <c r="BB32" s="8"/>
      <c r="BC32" s="23">
        <v>0</v>
      </c>
      <c r="BD32" s="21">
        <f>+'Exh 7_ Recon Rates_Alloc p3-4'!AG31</f>
        <v>0</v>
      </c>
      <c r="BE32" s="21">
        <f t="shared" si="12"/>
        <v>0</v>
      </c>
      <c r="BF32" s="14"/>
      <c r="BG32" s="8"/>
      <c r="BH32" s="23">
        <v>-3.0000000000000001E-5</v>
      </c>
      <c r="BI32" s="22">
        <f>'Exh 7_ Recon Rates_Alloc p3-4'!AJ31</f>
        <v>8.4385216733163439E-6</v>
      </c>
      <c r="BJ32" s="21">
        <f t="shared" si="13"/>
        <v>3.8438521673316348E-5</v>
      </c>
      <c r="BK32" s="14"/>
      <c r="BL32" s="8"/>
      <c r="BM32" s="23">
        <v>0</v>
      </c>
      <c r="BN32" s="21">
        <f>'Exh 7_ Recon Rates_Alloc p3-4'!AM31</f>
        <v>1.4883621729282575E-4</v>
      </c>
      <c r="BO32" s="21">
        <f t="shared" si="14"/>
        <v>1.4883621729282575E-4</v>
      </c>
      <c r="BP32" s="14"/>
      <c r="BQ32" s="8"/>
      <c r="BR32" s="23">
        <v>0</v>
      </c>
      <c r="BS32" s="21">
        <f>+'Exh 7_ Recon Rates_Alloc p3-4'!AP31</f>
        <v>3.4132730746099513E-4</v>
      </c>
      <c r="BT32" s="21">
        <f t="shared" si="15"/>
        <v>3.4132730746099513E-4</v>
      </c>
      <c r="BU32" s="14"/>
      <c r="BV32" s="8"/>
      <c r="BW32" s="23">
        <v>0</v>
      </c>
      <c r="BX32" s="21">
        <f>'Exh 7_ Recon Rates_Alloc p3-4'!AS31</f>
        <v>1.7438251451601445E-4</v>
      </c>
      <c r="BY32" s="21">
        <f t="shared" si="16"/>
        <v>1.7438251451601445E-4</v>
      </c>
      <c r="BZ32" s="14"/>
      <c r="CA32" s="8"/>
      <c r="CB32" s="23">
        <v>0</v>
      </c>
      <c r="CC32" s="22">
        <f>'Exh 7_ Recon Rates_Alloc p3-4'!AV31</f>
        <v>-2.6398599492920521E-4</v>
      </c>
      <c r="CD32" s="21">
        <f t="shared" si="17"/>
        <v>-2.6398599492920521E-4</v>
      </c>
    </row>
    <row r="33" spans="1:82" x14ac:dyDescent="0.25">
      <c r="A33" s="7">
        <f>IF(B33&lt;&gt;"",COUNTA($B$11:B33),"")</f>
        <v>23</v>
      </c>
      <c r="B33" s="19" t="s">
        <v>111</v>
      </c>
      <c r="C33" s="20" t="s">
        <v>133</v>
      </c>
      <c r="D33" s="8">
        <f t="shared" si="0"/>
        <v>28</v>
      </c>
      <c r="E33" s="21">
        <f t="shared" ref="E33:F35" si="18">+J33+O33+T33+Y33+AD33+AI33+AN33+AS33+AX33+BC33+BH33+BM33+BR33+BW33+CB33</f>
        <v>9.9400000000000009E-3</v>
      </c>
      <c r="F33" s="22">
        <f t="shared" si="18"/>
        <v>1.5141300273903074E-2</v>
      </c>
      <c r="G33" s="21">
        <f t="shared" si="2"/>
        <v>5.2013002739030728E-3</v>
      </c>
      <c r="H33" s="14"/>
      <c r="I33" s="8"/>
      <c r="J33" s="23">
        <v>2.0400000000000001E-3</v>
      </c>
      <c r="K33" s="21">
        <f>'Exh 7_ Recon Rates_Alloc p3-4'!I32</f>
        <v>2.7045275645598515E-3</v>
      </c>
      <c r="L33" s="21">
        <f t="shared" si="3"/>
        <v>6.6452756455985139E-4</v>
      </c>
      <c r="M33" s="14"/>
      <c r="N33" s="8"/>
      <c r="O33" s="24">
        <v>4.0200000000000001E-3</v>
      </c>
      <c r="P33" s="25">
        <f>'Exh 7_ Recon Rates_Alloc p3-4'!L32</f>
        <v>3.5264870034398218E-3</v>
      </c>
      <c r="Q33" s="21">
        <f t="shared" si="4"/>
        <v>-4.9351299656017833E-4</v>
      </c>
      <c r="R33" s="14"/>
      <c r="S33" s="8"/>
      <c r="T33" s="24">
        <v>2.3600000000000001E-3</v>
      </c>
      <c r="U33" s="25">
        <f>'Exh 7_ Recon Rates_Alloc p3-4'!O32</f>
        <v>1.7357128782064517E-3</v>
      </c>
      <c r="V33" s="21">
        <f t="shared" si="5"/>
        <v>-6.242871217935484E-4</v>
      </c>
      <c r="W33" s="14"/>
      <c r="X33" s="8"/>
      <c r="Y33" s="23">
        <v>2.0000000000000002E-5</v>
      </c>
      <c r="Z33" s="21">
        <f>'Exh 7_ Recon Rates_Alloc p3-4'!R32</f>
        <v>5.6784990120226812E-6</v>
      </c>
      <c r="AA33" s="21">
        <f t="shared" si="6"/>
        <v>-1.432150098797732E-5</v>
      </c>
      <c r="AB33" s="14"/>
      <c r="AC33" s="8"/>
      <c r="AD33" s="23">
        <v>1.09E-3</v>
      </c>
      <c r="AE33" s="21">
        <f>'Exh 7_ Recon Rates_Alloc p3-4'!U32</f>
        <v>-1.3420528507922952E-4</v>
      </c>
      <c r="AF33" s="21">
        <f t="shared" si="7"/>
        <v>-1.2242052850792297E-3</v>
      </c>
      <c r="AG33" s="14"/>
      <c r="AH33" s="8"/>
      <c r="AI33" s="21">
        <v>-6.0999999999999997E-4</v>
      </c>
      <c r="AJ33" s="21">
        <f>+'Exh 7_ Recon Rates_Alloc p3-4'!X32</f>
        <v>-5.210932140356871E-4</v>
      </c>
      <c r="AK33" s="21">
        <f t="shared" si="8"/>
        <v>8.8906785964312871E-5</v>
      </c>
      <c r="AL33" s="14"/>
      <c r="AM33" s="8"/>
      <c r="AN33" s="23">
        <v>0</v>
      </c>
      <c r="AO33" s="21">
        <f>'Exh 7_ Recon Rates_Alloc p3-4'!AA32</f>
        <v>-3.201280147174075E-4</v>
      </c>
      <c r="AP33" s="21">
        <f t="shared" si="9"/>
        <v>-3.201280147174075E-4</v>
      </c>
      <c r="AQ33" s="14"/>
      <c r="AR33" s="8"/>
      <c r="AS33" s="24">
        <v>-2.4000000000000001E-4</v>
      </c>
      <c r="AT33" s="85">
        <f>'Exh 7_ Recon Rates_Alloc p3-4'!AD32</f>
        <v>2.1165106032834352E-3</v>
      </c>
      <c r="AU33" s="21">
        <f t="shared" si="10"/>
        <v>2.3565106032834354E-3</v>
      </c>
      <c r="AV33" s="14"/>
      <c r="AW33" s="8"/>
      <c r="AX33" s="23">
        <v>1.2600000000000001E-3</v>
      </c>
      <c r="AY33" s="21">
        <f>+'Exh 7_ Recon Rates_Alloc p5'!R38</f>
        <v>2.0470090971587843E-3</v>
      </c>
      <c r="AZ33" s="21">
        <f t="shared" si="11"/>
        <v>7.8700909715878425E-4</v>
      </c>
      <c r="BA33" s="14"/>
      <c r="BB33" s="8"/>
      <c r="BC33" s="23">
        <v>0</v>
      </c>
      <c r="BD33" s="21">
        <f>+'Exh 7_ Recon Rates_Alloc p3-4'!AG32</f>
        <v>0</v>
      </c>
      <c r="BE33" s="21">
        <f t="shared" si="12"/>
        <v>0</v>
      </c>
      <c r="BF33" s="14"/>
      <c r="BG33" s="8"/>
      <c r="BH33" s="23">
        <v>0</v>
      </c>
      <c r="BI33" s="22">
        <f>'Exh 7_ Recon Rates_Alloc p3-4'!AJ32</f>
        <v>2.3883778820457414E-5</v>
      </c>
      <c r="BJ33" s="21">
        <f t="shared" si="13"/>
        <v>2.3883778820457414E-5</v>
      </c>
      <c r="BK33" s="14"/>
      <c r="BL33" s="8"/>
      <c r="BM33" s="23">
        <v>0</v>
      </c>
      <c r="BN33" s="21">
        <f>'Exh 7_ Recon Rates_Alloc p3-4'!AM32</f>
        <v>4.2125521885379743E-4</v>
      </c>
      <c r="BO33" s="21">
        <f t="shared" si="14"/>
        <v>4.2125521885379743E-4</v>
      </c>
      <c r="BP33" s="14"/>
      <c r="BQ33" s="8"/>
      <c r="BR33" s="23">
        <v>0</v>
      </c>
      <c r="BS33" s="21">
        <f>+'Exh 7_ Recon Rates_Alloc p3-4'!AP32</f>
        <v>3.7892693271018621E-3</v>
      </c>
      <c r="BT33" s="21">
        <f t="shared" si="15"/>
        <v>3.7892693271018621E-3</v>
      </c>
      <c r="BU33" s="14"/>
      <c r="BV33" s="8"/>
      <c r="BW33" s="23">
        <v>0</v>
      </c>
      <c r="BX33" s="21">
        <f>'Exh 7_ Recon Rates_Alloc p3-4'!AS32</f>
        <v>4.9355960298421331E-4</v>
      </c>
      <c r="BY33" s="21">
        <f t="shared" si="16"/>
        <v>4.9355960298421331E-4</v>
      </c>
      <c r="BZ33" s="14"/>
      <c r="CA33" s="8"/>
      <c r="CB33" s="23">
        <v>0</v>
      </c>
      <c r="CC33" s="22">
        <f>'Exh 7_ Recon Rates_Alloc p3-4'!AV32</f>
        <v>-7.4716678568530215E-4</v>
      </c>
      <c r="CD33" s="21">
        <f t="shared" si="17"/>
        <v>-7.4716678568530215E-4</v>
      </c>
    </row>
    <row r="34" spans="1:82" x14ac:dyDescent="0.25">
      <c r="A34" s="7">
        <f>IF(B34&lt;&gt;"",COUNTA($B$11:B34),"")</f>
        <v>24</v>
      </c>
      <c r="B34" s="19" t="s">
        <v>114</v>
      </c>
      <c r="C34" s="20" t="s">
        <v>133</v>
      </c>
      <c r="D34" s="8">
        <f t="shared" si="0"/>
        <v>29</v>
      </c>
      <c r="E34" s="26">
        <f t="shared" si="18"/>
        <v>1.6889999999999999E-2</v>
      </c>
      <c r="F34" s="27">
        <f t="shared" si="18"/>
        <v>1.4677209699572697E-2</v>
      </c>
      <c r="G34" s="26">
        <f t="shared" si="2"/>
        <v>-2.212790300427302E-3</v>
      </c>
      <c r="H34" s="14"/>
      <c r="I34" s="8"/>
      <c r="J34" s="28">
        <v>6.5700000000000003E-3</v>
      </c>
      <c r="K34" s="26">
        <f>'Exh 7_ Recon Rates_Alloc p3-4'!I33</f>
        <v>2.411094090080427E-3</v>
      </c>
      <c r="L34" s="26">
        <f t="shared" si="3"/>
        <v>-4.1589059099195729E-3</v>
      </c>
      <c r="M34" s="14"/>
      <c r="N34" s="8"/>
      <c r="O34" s="29">
        <v>2.8600000000000001E-3</v>
      </c>
      <c r="P34" s="30">
        <f>'Exh 7_ Recon Rates_Alloc p3-4'!L33</f>
        <v>3.1438732901666547E-3</v>
      </c>
      <c r="Q34" s="26">
        <f t="shared" si="4"/>
        <v>2.8387329016665462E-4</v>
      </c>
      <c r="R34" s="14"/>
      <c r="S34" s="8"/>
      <c r="T34" s="29">
        <v>3.31E-3</v>
      </c>
      <c r="U34" s="30">
        <f>'Exh 7_ Recon Rates_Alloc p3-4'!O33</f>
        <v>1.7357128782064517E-3</v>
      </c>
      <c r="V34" s="26">
        <f t="shared" si="5"/>
        <v>-1.5742871217935483E-3</v>
      </c>
      <c r="W34" s="14"/>
      <c r="X34" s="8"/>
      <c r="Y34" s="28">
        <v>2.0000000000000002E-5</v>
      </c>
      <c r="Z34" s="26">
        <f>'Exh 7_ Recon Rates_Alloc p3-4'!R33</f>
        <v>5.0623981754993283E-6</v>
      </c>
      <c r="AA34" s="26">
        <f t="shared" si="6"/>
        <v>-1.4937601824500673E-5</v>
      </c>
      <c r="AB34" s="14"/>
      <c r="AC34" s="8"/>
      <c r="AD34" s="28">
        <v>1.3999999999999999E-4</v>
      </c>
      <c r="AE34" s="26">
        <f>'Exh 7_ Recon Rates_Alloc p3-4'!U33</f>
        <v>-1.1964439702974541E-4</v>
      </c>
      <c r="AF34" s="26">
        <f t="shared" si="7"/>
        <v>-2.5964439702974541E-4</v>
      </c>
      <c r="AG34" s="14"/>
      <c r="AH34" s="8"/>
      <c r="AI34" s="26">
        <v>-1.7099999999999999E-3</v>
      </c>
      <c r="AJ34" s="26">
        <f>+'Exh 7_ Recon Rates_Alloc p3-4'!X33</f>
        <v>-5.210932140356871E-4</v>
      </c>
      <c r="AK34" s="26">
        <f t="shared" si="8"/>
        <v>1.1889067859643127E-3</v>
      </c>
      <c r="AL34" s="14"/>
      <c r="AM34" s="8"/>
      <c r="AN34" s="28">
        <v>3.6999999999999999E-4</v>
      </c>
      <c r="AO34" s="26">
        <f>'Exh 7_ Recon Rates_Alloc p3-4'!AA33</f>
        <v>-2.8539504439472691E-4</v>
      </c>
      <c r="AP34" s="26">
        <f t="shared" si="9"/>
        <v>-6.5539504439472685E-4</v>
      </c>
      <c r="AQ34" s="14"/>
      <c r="AR34" s="8"/>
      <c r="AS34" s="29">
        <v>3.8800000000000002E-3</v>
      </c>
      <c r="AT34" s="100">
        <f>'Exh 7_ Recon Rates_Alloc p3-4'!AD33</f>
        <v>2.266378391503308E-3</v>
      </c>
      <c r="AU34" s="26">
        <f t="shared" si="10"/>
        <v>-1.6136216084966922E-3</v>
      </c>
      <c r="AV34" s="14"/>
      <c r="AW34" s="8"/>
      <c r="AX34" s="28">
        <v>1.5299999999999999E-3</v>
      </c>
      <c r="AY34" s="26">
        <f>+'Exh 7_ Recon Rates_Alloc p5'!R39</f>
        <v>1.8128868228867261E-3</v>
      </c>
      <c r="AZ34" s="26">
        <f t="shared" si="11"/>
        <v>2.828868228867262E-4</v>
      </c>
      <c r="BA34" s="14"/>
      <c r="BB34" s="8"/>
      <c r="BC34" s="28">
        <v>0</v>
      </c>
      <c r="BD34" s="26">
        <f>+'Exh 7_ Recon Rates_Alloc p3-4'!AG33</f>
        <v>0</v>
      </c>
      <c r="BE34" s="26">
        <f t="shared" si="12"/>
        <v>0</v>
      </c>
      <c r="BF34" s="14"/>
      <c r="BG34" s="8"/>
      <c r="BH34" s="28">
        <v>-8.0000000000000007E-5</v>
      </c>
      <c r="BI34" s="27">
        <f>'Exh 7_ Recon Rates_Alloc p3-4'!AJ33</f>
        <v>2.1292457402690511E-5</v>
      </c>
      <c r="BJ34" s="26">
        <f t="shared" si="13"/>
        <v>1.0129245740269052E-4</v>
      </c>
      <c r="BK34" s="14"/>
      <c r="BL34" s="8"/>
      <c r="BM34" s="28">
        <v>0</v>
      </c>
      <c r="BN34" s="26">
        <f>'Exh 7_ Recon Rates_Alloc p3-4'!AM33</f>
        <v>3.7555023727747658E-4</v>
      </c>
      <c r="BO34" s="26">
        <f t="shared" si="14"/>
        <v>3.7555023727747658E-4</v>
      </c>
      <c r="BP34" s="14"/>
      <c r="BQ34" s="8"/>
      <c r="BR34" s="28">
        <v>0</v>
      </c>
      <c r="BS34" s="26">
        <f>+'Exh 7_ Recon Rates_Alloc p3-4'!AP33</f>
        <v>4.0575833209657124E-3</v>
      </c>
      <c r="BT34" s="26">
        <f t="shared" si="15"/>
        <v>4.0575833209657124E-3</v>
      </c>
      <c r="BU34" s="14"/>
      <c r="BV34" s="8"/>
      <c r="BW34" s="28">
        <v>0</v>
      </c>
      <c r="BX34" s="26">
        <f>'Exh 7_ Recon Rates_Alloc p3-4'!AS33</f>
        <v>4.4000980335778101E-4</v>
      </c>
      <c r="BY34" s="26">
        <f t="shared" si="16"/>
        <v>4.4000980335778101E-4</v>
      </c>
      <c r="BZ34" s="14"/>
      <c r="CA34" s="8"/>
      <c r="CB34" s="28">
        <v>0</v>
      </c>
      <c r="CC34" s="27">
        <f>'Exh 7_ Recon Rates_Alloc p3-4'!AV33</f>
        <v>-6.6610133498987091E-4</v>
      </c>
      <c r="CD34" s="26">
        <f t="shared" si="17"/>
        <v>-6.6610133498987091E-4</v>
      </c>
    </row>
    <row r="35" spans="1:82" x14ac:dyDescent="0.25">
      <c r="A35" s="7">
        <f>IF(B35&lt;&gt;"",COUNTA($B$11:B35),"")</f>
        <v>25</v>
      </c>
      <c r="B35" s="19" t="s">
        <v>46</v>
      </c>
      <c r="C35" s="20" t="s">
        <v>47</v>
      </c>
      <c r="E35" s="21">
        <f t="shared" si="18"/>
        <v>1.3270000000000001E-2</v>
      </c>
      <c r="F35" s="22">
        <f t="shared" si="18"/>
        <v>1.3016080244415659E-2</v>
      </c>
      <c r="G35" s="21">
        <f t="shared" si="2"/>
        <v>-2.5391975558434164E-4</v>
      </c>
      <c r="H35" s="31"/>
      <c r="J35" s="23">
        <v>3.4499999999999999E-3</v>
      </c>
      <c r="K35" s="21">
        <f>'Exh 7_ Recon Rates_Alloc p3-4'!I34</f>
        <v>3.4037747084828215E-3</v>
      </c>
      <c r="L35" s="21">
        <f t="shared" si="3"/>
        <v>-4.6225291517178451E-5</v>
      </c>
      <c r="M35" s="31"/>
      <c r="O35" s="24">
        <v>4.8799999999999998E-3</v>
      </c>
      <c r="P35" s="25">
        <f>'Exh 7_ Recon Rates_Alloc p3-4'!L34</f>
        <v>4.4382491897638791E-3</v>
      </c>
      <c r="Q35" s="21">
        <f t="shared" si="4"/>
        <v>-4.4175081023612069E-4</v>
      </c>
      <c r="R35" s="31"/>
      <c r="T35" s="24">
        <v>2.5000000000000001E-3</v>
      </c>
      <c r="U35" s="25">
        <f>'Exh 7_ Recon Rates_Alloc p3-4'!O34</f>
        <v>1.7357128782064517E-3</v>
      </c>
      <c r="V35" s="21">
        <f t="shared" si="5"/>
        <v>-7.6428712179354833E-4</v>
      </c>
      <c r="W35" s="31"/>
      <c r="Y35" s="23">
        <v>3.0000000000000001E-5</v>
      </c>
      <c r="Z35" s="21">
        <f>'Exh 7_ Recon Rates_Alloc p3-4'!R34</f>
        <v>7.1466571731588484E-6</v>
      </c>
      <c r="AA35" s="21">
        <f t="shared" si="6"/>
        <v>-2.2853342826841154E-5</v>
      </c>
      <c r="AB35" s="31"/>
      <c r="AD35" s="23">
        <v>1.1999999999999999E-3</v>
      </c>
      <c r="AE35" s="21">
        <f>'Exh 7_ Recon Rates_Alloc p3-4'!U34</f>
        <v>-1.6890364183503936E-4</v>
      </c>
      <c r="AF35" s="21">
        <f t="shared" si="7"/>
        <v>-1.3689036418350392E-3</v>
      </c>
      <c r="AG35" s="31"/>
      <c r="AI35" s="21">
        <v>-8.8999999999999995E-4</v>
      </c>
      <c r="AJ35" s="21">
        <f>+'Exh 7_ Recon Rates_Alloc p3-4'!X34</f>
        <v>-5.210932140356871E-4</v>
      </c>
      <c r="AK35" s="21">
        <f t="shared" si="8"/>
        <v>3.6890678596431285E-4</v>
      </c>
      <c r="AL35" s="31"/>
      <c r="AN35" s="23">
        <v>4.8000000000000001E-4</v>
      </c>
      <c r="AO35" s="21">
        <f>'Exh 7_ Recon Rates_Alloc p3-4'!AA34</f>
        <v>-4.0289611178330231E-4</v>
      </c>
      <c r="AP35" s="21">
        <f t="shared" si="9"/>
        <v>-8.8289611178330233E-4</v>
      </c>
      <c r="AQ35" s="31"/>
      <c r="AS35" s="24">
        <v>8.0000000000000007E-5</v>
      </c>
      <c r="AT35" s="85">
        <f>'Exh 7_ Recon Rates_Alloc p3-4'!AD34</f>
        <v>6.1157015834217474E-4</v>
      </c>
      <c r="AU35" s="21">
        <f t="shared" si="10"/>
        <v>5.3157015834217475E-4</v>
      </c>
      <c r="AV35" s="31"/>
      <c r="AX35" s="23">
        <v>1.65E-3</v>
      </c>
      <c r="AY35" s="21">
        <f>+'Exh 7_ Recon Rates_Alloc p5'!R40</f>
        <v>2.5765505688391888E-3</v>
      </c>
      <c r="AZ35" s="21">
        <f t="shared" si="11"/>
        <v>9.265505688391888E-4</v>
      </c>
      <c r="BA35" s="31"/>
      <c r="BC35" s="23">
        <v>0</v>
      </c>
      <c r="BD35" s="21">
        <f>+'Exh 7_ Recon Rates_Alloc p3-4'!AG34</f>
        <v>0</v>
      </c>
      <c r="BE35" s="21">
        <f t="shared" si="12"/>
        <v>0</v>
      </c>
      <c r="BF35" s="31"/>
      <c r="BH35" s="23">
        <v>-1.1E-4</v>
      </c>
      <c r="BI35" s="22">
        <f>'Exh 7_ Recon Rates_Alloc p3-4'!AJ34</f>
        <v>3.0058855142525041E-5</v>
      </c>
      <c r="BJ35" s="21">
        <f t="shared" si="13"/>
        <v>1.4005885514252505E-4</v>
      </c>
      <c r="BK35" s="31"/>
      <c r="BM35" s="23">
        <v>0</v>
      </c>
      <c r="BN35" s="21">
        <f>'Exh 7_ Recon Rates_Alloc p3-4'!AM34</f>
        <v>5.3016943829311831E-4</v>
      </c>
      <c r="BO35" s="21">
        <f t="shared" si="14"/>
        <v>5.3016943829311831E-4</v>
      </c>
      <c r="BP35" s="31"/>
      <c r="BR35" s="23">
        <v>0</v>
      </c>
      <c r="BS35" s="21">
        <f>+'Exh 7_ Recon Rates_Alloc p3-4'!AP34</f>
        <v>1.0949172845067454E-3</v>
      </c>
      <c r="BT35" s="21">
        <f t="shared" si="15"/>
        <v>1.0949172845067454E-3</v>
      </c>
      <c r="BU35" s="31"/>
      <c r="BW35" s="23">
        <v>0</v>
      </c>
      <c r="BX35" s="21">
        <f>'Exh 7_ Recon Rates_Alloc p3-4'!AS34</f>
        <v>6.211678948222862E-4</v>
      </c>
      <c r="BY35" s="21">
        <f t="shared" si="16"/>
        <v>6.211678948222862E-4</v>
      </c>
      <c r="BZ35" s="31"/>
      <c r="CB35" s="23">
        <v>0</v>
      </c>
      <c r="CC35" s="22">
        <f>'Exh 7_ Recon Rates_Alloc p3-4'!AV34</f>
        <v>-9.4034442150266173E-4</v>
      </c>
      <c r="CD35" s="21">
        <f t="shared" si="17"/>
        <v>-9.4034442150266173E-4</v>
      </c>
    </row>
    <row r="36" spans="1:82" x14ac:dyDescent="0.25">
      <c r="J36" s="33"/>
      <c r="K36" s="33"/>
      <c r="L36" s="33"/>
      <c r="O36" s="33"/>
      <c r="P36" s="33"/>
      <c r="Q36" s="33"/>
      <c r="T36" s="33"/>
      <c r="U36" s="33"/>
      <c r="V36" s="33"/>
      <c r="Y36" s="34"/>
      <c r="Z36" s="21"/>
      <c r="AA36" s="21"/>
      <c r="AD36" s="33"/>
      <c r="AE36" s="33"/>
      <c r="AF36" s="33"/>
    </row>
    <row r="37" spans="1:82" s="32" customFormat="1" x14ac:dyDescent="0.25">
      <c r="F37" s="775"/>
      <c r="J37" s="33"/>
      <c r="K37" s="775"/>
      <c r="L37" s="33"/>
      <c r="O37" s="34"/>
      <c r="P37" s="775"/>
      <c r="Q37" s="33"/>
      <c r="T37" s="21"/>
      <c r="U37" s="775"/>
      <c r="V37" s="33"/>
      <c r="Y37" s="34"/>
      <c r="Z37" s="775"/>
      <c r="AA37" s="21"/>
      <c r="AD37" s="33"/>
      <c r="AE37" s="775"/>
      <c r="AF37" s="33"/>
      <c r="AJ37" s="775"/>
      <c r="AO37" s="775"/>
      <c r="AT37" s="775"/>
      <c r="AY37" s="775"/>
      <c r="BD37" s="775"/>
      <c r="BI37" s="775"/>
      <c r="BN37" s="775"/>
      <c r="BS37" s="775"/>
      <c r="BX37" s="775"/>
    </row>
    <row r="38" spans="1:82" x14ac:dyDescent="0.25">
      <c r="B38" s="19" t="s">
        <v>134</v>
      </c>
      <c r="J38" s="35"/>
      <c r="K38" s="35"/>
      <c r="L38" s="35"/>
      <c r="O38" s="35"/>
      <c r="P38" s="35"/>
      <c r="Q38" s="35"/>
      <c r="T38" s="35"/>
      <c r="U38" s="35"/>
      <c r="V38" s="35"/>
      <c r="Y38" s="34"/>
      <c r="Z38" s="21"/>
      <c r="AA38" s="21"/>
      <c r="AD38" s="36"/>
      <c r="AE38" s="36"/>
      <c r="AF38" s="36"/>
    </row>
    <row r="39" spans="1:82" x14ac:dyDescent="0.25">
      <c r="B39" s="19" t="s">
        <v>135</v>
      </c>
      <c r="C39" s="37"/>
      <c r="D39" s="38"/>
      <c r="E39" s="38"/>
      <c r="F39" s="38"/>
      <c r="G39" s="39"/>
      <c r="H39" s="38"/>
      <c r="I39" s="38"/>
      <c r="J39" s="40"/>
      <c r="K39" s="40"/>
      <c r="L39" s="40"/>
      <c r="M39" s="38"/>
      <c r="N39" s="38"/>
      <c r="O39" s="40"/>
      <c r="P39" s="40"/>
      <c r="Q39" s="40"/>
      <c r="R39" s="38"/>
      <c r="S39" s="38"/>
      <c r="T39" s="40"/>
      <c r="U39" s="40"/>
      <c r="V39" s="40"/>
      <c r="W39" s="38"/>
      <c r="X39" s="38"/>
      <c r="Y39" s="41"/>
      <c r="Z39" s="42"/>
      <c r="AA39" s="42"/>
      <c r="AB39" s="38"/>
      <c r="AC39" s="38"/>
      <c r="AD39" s="43"/>
      <c r="AE39" s="43"/>
      <c r="AF39" s="43"/>
      <c r="AG39" s="38"/>
      <c r="AH39" s="38"/>
      <c r="AL39" s="38"/>
      <c r="AM39" s="38"/>
      <c r="AQ39" s="38"/>
      <c r="AR39" s="38"/>
      <c r="AV39" s="38"/>
      <c r="AW39" s="38"/>
      <c r="BA39" s="38"/>
      <c r="BB39" s="38"/>
      <c r="BF39" s="38"/>
      <c r="BG39" s="38"/>
      <c r="BK39" s="38"/>
      <c r="BL39" s="38"/>
      <c r="BP39" s="38"/>
      <c r="BQ39" s="38"/>
      <c r="BU39" s="38"/>
      <c r="BV39" s="38"/>
      <c r="BZ39" s="38"/>
      <c r="CA39" s="38"/>
    </row>
    <row r="40" spans="1:82" x14ac:dyDescent="0.25">
      <c r="B40" s="19" t="s">
        <v>136</v>
      </c>
      <c r="C40" s="37"/>
      <c r="D40" s="38"/>
      <c r="E40" s="38"/>
      <c r="F40" s="38"/>
      <c r="G40" s="39"/>
      <c r="H40" s="38"/>
      <c r="I40" s="38"/>
      <c r="J40" s="40"/>
      <c r="K40" s="40"/>
      <c r="L40" s="40"/>
      <c r="M40" s="38"/>
      <c r="N40" s="38"/>
      <c r="O40" s="40"/>
      <c r="P40" s="40"/>
      <c r="Q40" s="40"/>
      <c r="R40" s="38"/>
      <c r="S40" s="38"/>
      <c r="T40" s="40"/>
      <c r="U40" s="40"/>
      <c r="V40" s="40"/>
      <c r="W40" s="38"/>
      <c r="X40" s="38"/>
      <c r="Y40" s="41"/>
      <c r="Z40" s="37"/>
      <c r="AA40" s="37"/>
      <c r="AB40" s="38"/>
      <c r="AC40" s="38"/>
      <c r="AD40" s="43"/>
      <c r="AE40" s="43"/>
      <c r="AF40" s="43"/>
      <c r="AG40" s="38"/>
      <c r="AH40" s="38"/>
      <c r="AL40" s="38"/>
      <c r="AM40" s="38"/>
      <c r="AQ40" s="38"/>
      <c r="AR40" s="38"/>
      <c r="AV40" s="38"/>
      <c r="AW40" s="38"/>
      <c r="BA40" s="38"/>
      <c r="BB40" s="38"/>
      <c r="BF40" s="38"/>
      <c r="BG40" s="38"/>
      <c r="BK40" s="38"/>
      <c r="BL40" s="38"/>
      <c r="BP40" s="38"/>
      <c r="BQ40" s="38"/>
      <c r="BU40" s="38"/>
      <c r="BV40" s="38"/>
      <c r="BZ40" s="38"/>
      <c r="CA40" s="38"/>
    </row>
    <row r="41" spans="1:82" x14ac:dyDescent="0.25">
      <c r="B41" s="44"/>
      <c r="J41" s="45"/>
      <c r="K41" s="45"/>
      <c r="L41" s="45"/>
      <c r="O41" s="45"/>
      <c r="P41" s="45"/>
      <c r="Q41" s="45"/>
      <c r="T41" s="45"/>
      <c r="U41" s="45"/>
      <c r="V41" s="45"/>
      <c r="Y41" s="34"/>
      <c r="Z41" s="36"/>
      <c r="AA41" s="36"/>
      <c r="AD41" s="46"/>
      <c r="AE41" s="46"/>
      <c r="AF41" s="46"/>
    </row>
    <row r="42" spans="1:82" x14ac:dyDescent="0.25">
      <c r="B42" s="44"/>
      <c r="J42" s="45"/>
      <c r="K42" s="45"/>
      <c r="L42" s="45"/>
      <c r="O42" s="45"/>
      <c r="P42" s="45"/>
      <c r="Q42" s="45"/>
      <c r="T42" s="45"/>
      <c r="U42" s="45"/>
      <c r="V42" s="45"/>
      <c r="Y42" s="46"/>
      <c r="Z42" s="46"/>
      <c r="AA42" s="46"/>
      <c r="AD42" s="46"/>
      <c r="AE42" s="46"/>
      <c r="AF42" s="46"/>
    </row>
    <row r="43" spans="1:82" x14ac:dyDescent="0.25">
      <c r="B43" s="44"/>
      <c r="C43" s="47"/>
      <c r="D43" s="48"/>
      <c r="E43" s="48"/>
      <c r="F43" s="48"/>
      <c r="G43" s="49"/>
      <c r="H43" s="48"/>
      <c r="I43" s="48"/>
      <c r="J43" s="45"/>
      <c r="K43" s="45"/>
      <c r="L43" s="45"/>
      <c r="M43" s="48"/>
      <c r="N43" s="48"/>
      <c r="O43" s="45"/>
      <c r="P43" s="45"/>
      <c r="Q43" s="45"/>
      <c r="R43" s="48"/>
      <c r="S43" s="48"/>
      <c r="T43" s="45"/>
      <c r="U43" s="45"/>
      <c r="V43" s="45"/>
      <c r="W43" s="48"/>
      <c r="X43" s="48"/>
      <c r="Y43" s="46"/>
      <c r="Z43" s="46"/>
      <c r="AA43" s="46"/>
      <c r="AB43" s="48"/>
      <c r="AC43" s="48"/>
      <c r="AD43" s="46"/>
      <c r="AE43" s="46"/>
      <c r="AF43" s="46"/>
      <c r="AG43" s="48"/>
      <c r="AH43" s="48"/>
      <c r="AL43" s="48"/>
      <c r="AM43" s="48"/>
      <c r="AQ43" s="48"/>
      <c r="AR43" s="48"/>
      <c r="AV43" s="48"/>
      <c r="AW43" s="48"/>
      <c r="BA43" s="48"/>
      <c r="BB43" s="48"/>
      <c r="BF43" s="48"/>
      <c r="BG43" s="48"/>
      <c r="BK43" s="48"/>
      <c r="BL43" s="48"/>
      <c r="BP43" s="48"/>
      <c r="BQ43" s="48"/>
      <c r="BU43" s="48"/>
      <c r="BV43" s="48"/>
      <c r="BZ43" s="48"/>
      <c r="CA43" s="48"/>
    </row>
    <row r="44" spans="1:82" x14ac:dyDescent="0.25">
      <c r="B44" s="44"/>
    </row>
    <row r="45" spans="1:82" x14ac:dyDescent="0.25">
      <c r="B45" s="44"/>
    </row>
    <row r="46" spans="1:82" x14ac:dyDescent="0.25">
      <c r="B46" s="44"/>
      <c r="C46" s="47"/>
      <c r="D46" s="48"/>
      <c r="E46" s="48"/>
      <c r="F46" s="48"/>
      <c r="G46" s="49"/>
      <c r="H46" s="48"/>
      <c r="I46" s="48"/>
      <c r="M46" s="48"/>
      <c r="N46" s="48"/>
      <c r="R46" s="48"/>
      <c r="S46" s="48"/>
      <c r="W46" s="48"/>
      <c r="X46" s="48"/>
      <c r="AB46" s="48"/>
      <c r="AC46" s="48"/>
      <c r="AG46" s="48"/>
      <c r="AH46" s="48"/>
      <c r="AL46" s="48"/>
      <c r="AM46" s="48"/>
      <c r="AQ46" s="48"/>
      <c r="AR46" s="48"/>
      <c r="AV46" s="48"/>
      <c r="AW46" s="48"/>
      <c r="BA46" s="48"/>
      <c r="BB46" s="48"/>
      <c r="BF46" s="48"/>
      <c r="BG46" s="48"/>
      <c r="BK46" s="48"/>
      <c r="BL46" s="48"/>
      <c r="BP46" s="48"/>
      <c r="BQ46" s="48"/>
      <c r="BU46" s="48"/>
      <c r="BV46" s="48"/>
      <c r="BZ46" s="48"/>
      <c r="CA46" s="48"/>
    </row>
    <row r="47" spans="1:82" x14ac:dyDescent="0.25">
      <c r="B47" s="44"/>
    </row>
    <row r="48" spans="1:82" x14ac:dyDescent="0.25">
      <c r="B48" s="44"/>
    </row>
    <row r="49" spans="2:79" x14ac:dyDescent="0.25">
      <c r="B49" s="19"/>
      <c r="C49" s="50"/>
      <c r="D49" s="51"/>
      <c r="E49" s="51"/>
      <c r="F49" s="51"/>
      <c r="G49" s="52"/>
      <c r="H49" s="51"/>
      <c r="I49" s="51"/>
      <c r="J49" s="37"/>
      <c r="K49" s="37"/>
      <c r="L49" s="37"/>
      <c r="M49" s="51"/>
      <c r="N49" s="51"/>
      <c r="O49" s="37"/>
      <c r="P49" s="37"/>
      <c r="Q49" s="37"/>
      <c r="R49" s="51"/>
      <c r="S49" s="51"/>
      <c r="T49" s="37"/>
      <c r="U49" s="37"/>
      <c r="V49" s="37"/>
      <c r="W49" s="51"/>
      <c r="X49" s="51"/>
      <c r="Y49" s="37"/>
      <c r="AB49" s="51"/>
      <c r="AC49" s="51"/>
      <c r="AG49" s="51"/>
      <c r="AH49" s="51"/>
      <c r="AL49" s="51"/>
      <c r="AM49" s="51"/>
      <c r="AQ49" s="51"/>
      <c r="AR49" s="51"/>
      <c r="AV49" s="51"/>
      <c r="AW49" s="51"/>
      <c r="BA49" s="51"/>
      <c r="BB49" s="51"/>
      <c r="BF49" s="51"/>
      <c r="BG49" s="51"/>
      <c r="BK49" s="51"/>
      <c r="BL49" s="51"/>
      <c r="BP49" s="51"/>
      <c r="BQ49" s="51"/>
      <c r="BU49" s="51"/>
      <c r="BV49" s="51"/>
      <c r="BZ49" s="51"/>
      <c r="CA49" s="51"/>
    </row>
    <row r="50" spans="2:79" x14ac:dyDescent="0.25">
      <c r="B50" s="44"/>
    </row>
    <row r="51" spans="2:79" x14ac:dyDescent="0.25">
      <c r="B51" s="44"/>
    </row>
    <row r="52" spans="2:79" x14ac:dyDescent="0.25">
      <c r="B52" s="19"/>
      <c r="C52" s="50"/>
      <c r="D52" s="51"/>
      <c r="E52" s="51"/>
      <c r="F52" s="51"/>
      <c r="G52" s="52"/>
      <c r="H52" s="51"/>
      <c r="I52" s="51"/>
      <c r="M52" s="51"/>
      <c r="N52" s="51"/>
      <c r="R52" s="51"/>
      <c r="S52" s="51"/>
      <c r="W52" s="51"/>
      <c r="X52" s="51"/>
      <c r="AB52" s="51"/>
      <c r="AC52" s="51"/>
      <c r="AG52" s="51"/>
      <c r="AH52" s="51"/>
      <c r="AL52" s="51"/>
      <c r="AM52" s="51"/>
      <c r="AQ52" s="51"/>
      <c r="AR52" s="51"/>
      <c r="AV52" s="51"/>
      <c r="AW52" s="51"/>
      <c r="BA52" s="51"/>
      <c r="BB52" s="51"/>
      <c r="BF52" s="51"/>
      <c r="BG52" s="51"/>
      <c r="BK52" s="51"/>
      <c r="BL52" s="51"/>
      <c r="BP52" s="51"/>
      <c r="BQ52" s="51"/>
      <c r="BU52" s="51"/>
      <c r="BV52" s="51"/>
      <c r="BZ52" s="51"/>
      <c r="CA52" s="51"/>
    </row>
    <row r="53" spans="2:79" x14ac:dyDescent="0.25">
      <c r="B53" s="44"/>
    </row>
    <row r="54" spans="2:79" x14ac:dyDescent="0.25">
      <c r="B54" s="44"/>
    </row>
    <row r="55" spans="2:79" x14ac:dyDescent="0.25">
      <c r="B55" s="19"/>
      <c r="C55" s="50"/>
      <c r="D55" s="51"/>
      <c r="E55" s="51"/>
      <c r="F55" s="51"/>
      <c r="G55" s="52"/>
      <c r="H55" s="51"/>
      <c r="I55" s="51"/>
      <c r="M55" s="51"/>
      <c r="N55" s="51"/>
      <c r="R55" s="51"/>
      <c r="S55" s="51"/>
      <c r="W55" s="51"/>
      <c r="X55" s="51"/>
      <c r="AB55" s="51"/>
      <c r="AC55" s="51"/>
      <c r="AG55" s="51"/>
      <c r="AH55" s="51"/>
      <c r="AL55" s="51"/>
      <c r="AM55" s="51"/>
      <c r="AQ55" s="51"/>
      <c r="AR55" s="51"/>
      <c r="AV55" s="51"/>
      <c r="AW55" s="51"/>
      <c r="BA55" s="51"/>
      <c r="BB55" s="51"/>
      <c r="BF55" s="51"/>
      <c r="BG55" s="51"/>
      <c r="BK55" s="51"/>
      <c r="BL55" s="51"/>
      <c r="BP55" s="51"/>
      <c r="BQ55" s="51"/>
      <c r="BU55" s="51"/>
      <c r="BV55" s="51"/>
      <c r="BZ55" s="51"/>
      <c r="CA55" s="51"/>
    </row>
    <row r="56" spans="2:79" x14ac:dyDescent="0.25">
      <c r="B56" s="44"/>
    </row>
    <row r="57" spans="2:79" x14ac:dyDescent="0.25">
      <c r="B57" s="44"/>
    </row>
    <row r="58" spans="2:79" x14ac:dyDescent="0.25">
      <c r="B58" s="19"/>
      <c r="C58" s="50"/>
      <c r="D58" s="51"/>
      <c r="E58" s="51"/>
      <c r="F58" s="51"/>
      <c r="G58" s="52"/>
      <c r="H58" s="51"/>
      <c r="I58" s="51"/>
      <c r="M58" s="51"/>
      <c r="N58" s="51"/>
      <c r="R58" s="51"/>
      <c r="S58" s="51"/>
      <c r="W58" s="51"/>
      <c r="X58" s="51"/>
      <c r="AB58" s="51"/>
      <c r="AC58" s="51"/>
      <c r="AG58" s="51"/>
      <c r="AH58" s="51"/>
      <c r="AL58" s="51"/>
      <c r="AM58" s="51"/>
      <c r="AQ58" s="51"/>
      <c r="AR58" s="51"/>
      <c r="AV58" s="51"/>
      <c r="AW58" s="51"/>
      <c r="BA58" s="51"/>
      <c r="BB58" s="51"/>
      <c r="BF58" s="51"/>
      <c r="BG58" s="51"/>
      <c r="BK58" s="51"/>
      <c r="BL58" s="51"/>
      <c r="BP58" s="51"/>
      <c r="BQ58" s="51"/>
      <c r="BU58" s="51"/>
      <c r="BV58" s="51"/>
      <c r="BZ58" s="51"/>
      <c r="CA58" s="51"/>
    </row>
    <row r="59" spans="2:79" x14ac:dyDescent="0.25">
      <c r="B59" s="44"/>
    </row>
    <row r="60" spans="2:79" x14ac:dyDescent="0.25">
      <c r="B60" s="19"/>
    </row>
    <row r="61" spans="2:79" x14ac:dyDescent="0.25">
      <c r="B61" s="19"/>
      <c r="C61" s="34"/>
      <c r="D61" s="53"/>
      <c r="E61" s="53"/>
      <c r="F61" s="53"/>
      <c r="G61" s="54"/>
      <c r="H61" s="53"/>
      <c r="I61" s="53"/>
      <c r="M61" s="53"/>
      <c r="N61" s="53"/>
      <c r="R61" s="53"/>
      <c r="S61" s="53"/>
      <c r="W61" s="53"/>
      <c r="X61" s="53"/>
      <c r="AB61" s="53"/>
      <c r="AC61" s="53"/>
      <c r="AG61" s="53"/>
      <c r="AH61" s="53"/>
      <c r="AL61" s="53"/>
      <c r="AM61" s="53"/>
      <c r="AQ61" s="53"/>
      <c r="AR61" s="53"/>
      <c r="AV61" s="53"/>
      <c r="AW61" s="53"/>
      <c r="BA61" s="53"/>
      <c r="BB61" s="53"/>
      <c r="BF61" s="53"/>
      <c r="BG61" s="53"/>
      <c r="BK61" s="53"/>
      <c r="BL61" s="53"/>
      <c r="BP61" s="53"/>
      <c r="BQ61" s="53"/>
      <c r="BU61" s="53"/>
      <c r="BV61" s="53"/>
      <c r="BZ61" s="53"/>
      <c r="CA61" s="53"/>
    </row>
    <row r="62" spans="2:79" x14ac:dyDescent="0.25">
      <c r="B62" s="19"/>
      <c r="C62" s="34"/>
      <c r="D62" s="53"/>
      <c r="E62" s="53"/>
      <c r="F62" s="53"/>
      <c r="G62" s="54"/>
      <c r="H62" s="53"/>
      <c r="I62" s="53"/>
      <c r="M62" s="53"/>
      <c r="N62" s="53"/>
      <c r="R62" s="53"/>
      <c r="S62" s="53"/>
      <c r="W62" s="53"/>
      <c r="X62" s="53"/>
      <c r="AB62" s="53"/>
      <c r="AC62" s="53"/>
      <c r="AG62" s="53"/>
      <c r="AH62" s="53"/>
      <c r="AL62" s="53"/>
      <c r="AM62" s="53"/>
      <c r="AQ62" s="53"/>
      <c r="AR62" s="53"/>
      <c r="AV62" s="53"/>
      <c r="AW62" s="53"/>
      <c r="BA62" s="53"/>
      <c r="BB62" s="53"/>
      <c r="BF62" s="53"/>
      <c r="BG62" s="53"/>
      <c r="BK62" s="53"/>
      <c r="BL62" s="53"/>
      <c r="BP62" s="53"/>
      <c r="BQ62" s="53"/>
      <c r="BU62" s="53"/>
      <c r="BV62" s="53"/>
      <c r="BZ62" s="53"/>
      <c r="CA62" s="53"/>
    </row>
    <row r="63" spans="2:79" x14ac:dyDescent="0.25">
      <c r="B63" s="19"/>
      <c r="C63" s="55"/>
      <c r="D63" s="56"/>
      <c r="E63" s="56"/>
      <c r="F63" s="56"/>
      <c r="G63" s="57"/>
      <c r="H63" s="56"/>
      <c r="I63" s="56"/>
      <c r="M63" s="56"/>
      <c r="N63" s="56"/>
      <c r="R63" s="56"/>
      <c r="S63" s="56"/>
      <c r="W63" s="56"/>
      <c r="X63" s="56"/>
      <c r="AB63" s="56"/>
      <c r="AC63" s="56"/>
      <c r="AG63" s="56"/>
      <c r="AH63" s="56"/>
      <c r="AL63" s="56"/>
      <c r="AM63" s="56"/>
      <c r="AQ63" s="56"/>
      <c r="AR63" s="56"/>
      <c r="AV63" s="56"/>
      <c r="AW63" s="56"/>
      <c r="BA63" s="56"/>
      <c r="BB63" s="56"/>
      <c r="BF63" s="56"/>
      <c r="BG63" s="56"/>
      <c r="BK63" s="56"/>
      <c r="BL63" s="56"/>
      <c r="BP63" s="56"/>
      <c r="BQ63" s="56"/>
      <c r="BU63" s="56"/>
      <c r="BV63" s="56"/>
      <c r="BZ63" s="56"/>
      <c r="CA63" s="56"/>
    </row>
    <row r="64" spans="2:79" x14ac:dyDescent="0.25">
      <c r="B64" s="19"/>
      <c r="C64" s="34"/>
      <c r="D64" s="53"/>
      <c r="E64" s="53"/>
      <c r="F64" s="53"/>
      <c r="G64" s="54"/>
      <c r="H64" s="53"/>
      <c r="I64" s="53"/>
      <c r="M64" s="53"/>
      <c r="N64" s="53"/>
      <c r="R64" s="53"/>
      <c r="S64" s="53"/>
      <c r="W64" s="53"/>
      <c r="X64" s="53"/>
      <c r="AB64" s="53"/>
      <c r="AC64" s="53"/>
      <c r="AG64" s="53"/>
      <c r="AH64" s="53"/>
      <c r="AL64" s="53"/>
      <c r="AM64" s="53"/>
      <c r="AQ64" s="53"/>
      <c r="AR64" s="53"/>
      <c r="AV64" s="53"/>
      <c r="AW64" s="53"/>
      <c r="BA64" s="53"/>
      <c r="BB64" s="53"/>
      <c r="BF64" s="53"/>
      <c r="BG64" s="53"/>
      <c r="BK64" s="53"/>
      <c r="BL64" s="53"/>
      <c r="BP64" s="53"/>
      <c r="BQ64" s="53"/>
      <c r="BU64" s="53"/>
      <c r="BV64" s="53"/>
      <c r="BZ64" s="53"/>
      <c r="CA64" s="53"/>
    </row>
    <row r="65" spans="2:2" x14ac:dyDescent="0.25">
      <c r="B65" s="44"/>
    </row>
    <row r="66" spans="2:2" x14ac:dyDescent="0.25">
      <c r="B66" s="19"/>
    </row>
  </sheetData>
  <mergeCells count="31">
    <mergeCell ref="BR8:BT8"/>
    <mergeCell ref="BW8:BY8"/>
    <mergeCell ref="CB8:CD8"/>
    <mergeCell ref="AN8:AP8"/>
    <mergeCell ref="AS8:AU8"/>
    <mergeCell ref="AX8:AZ8"/>
    <mergeCell ref="BC8:BE8"/>
    <mergeCell ref="BH8:BJ8"/>
    <mergeCell ref="BM8:BO8"/>
    <mergeCell ref="BR7:BT7"/>
    <mergeCell ref="BW7:BY7"/>
    <mergeCell ref="CB7:CD7"/>
    <mergeCell ref="E8:G8"/>
    <mergeCell ref="J8:L8"/>
    <mergeCell ref="O8:Q8"/>
    <mergeCell ref="T8:V8"/>
    <mergeCell ref="Y8:AA8"/>
    <mergeCell ref="AD8:AF8"/>
    <mergeCell ref="AI8:AK8"/>
    <mergeCell ref="AN7:AP7"/>
    <mergeCell ref="AS7:AU7"/>
    <mergeCell ref="AX7:AZ7"/>
    <mergeCell ref="BC7:BE7"/>
    <mergeCell ref="BH7:BJ7"/>
    <mergeCell ref="BM7:BO7"/>
    <mergeCell ref="AD7:AF7"/>
    <mergeCell ref="E7:F7"/>
    <mergeCell ref="J7:L7"/>
    <mergeCell ref="O7:Q7"/>
    <mergeCell ref="T7:V7"/>
    <mergeCell ref="Y7:AA7"/>
  </mergeCells>
  <pageMargins left="0.7" right="0.7" top="0.75" bottom="0.75" header="0.3" footer="0.3"/>
  <pageSetup scale="43" fitToWidth="2" orientation="landscape" r:id="rId1"/>
  <headerFooter>
    <oddHeader>&amp;RNSTAR Electric Company
d/b/a Eversource Energy
D.P.U. 18-120 (Dec. 26, 2018)
Exhibit ES-MQ-7 (Revised)
Page &amp;P of &amp;N</oddHeader>
  </headerFooter>
  <colBreaks count="1" manualBreakCount="1">
    <brk id="43" max="39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7823A-EBB2-42C0-A4FB-2155787D01E5}">
  <sheetPr>
    <tabColor theme="9" tint="0.59999389629810485"/>
    <pageSetUpPr fitToPage="1"/>
  </sheetPr>
  <dimension ref="A3:Q73"/>
  <sheetViews>
    <sheetView workbookViewId="0"/>
  </sheetViews>
  <sheetFormatPr defaultRowHeight="12.5" x14ac:dyDescent="0.25"/>
  <cols>
    <col min="1" max="1" width="3.26953125" bestFit="1" customWidth="1"/>
    <col min="2" max="2" width="41.7265625" customWidth="1"/>
    <col min="3" max="3" width="8.7265625" customWidth="1"/>
    <col min="4" max="4" width="1.26953125" customWidth="1"/>
    <col min="5" max="5" width="15.7265625" customWidth="1"/>
    <col min="6" max="6" width="1.26953125" customWidth="1"/>
    <col min="7" max="7" width="13.7265625" customWidth="1"/>
    <col min="8" max="8" width="1.26953125" customWidth="1"/>
    <col min="9" max="9" width="15.7265625" customWidth="1"/>
    <col min="10" max="10" width="11" bestFit="1" customWidth="1"/>
    <col min="11" max="11" width="1.26953125" customWidth="1"/>
    <col min="12" max="12" width="13.7265625" customWidth="1"/>
    <col min="13" max="13" width="1.26953125" customWidth="1"/>
    <col min="14" max="14" width="15.7265625" customWidth="1"/>
  </cols>
  <sheetData>
    <row r="3" spans="1:17" ht="14" x14ac:dyDescent="0.3">
      <c r="A3" s="268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</row>
    <row r="4" spans="1:17" ht="14" x14ac:dyDescent="0.3">
      <c r="A4" s="748" t="s">
        <v>344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7" ht="14" x14ac:dyDescent="0.3">
      <c r="A5" s="748" t="s">
        <v>291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7" ht="14" x14ac:dyDescent="0.3">
      <c r="A6" s="268"/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</row>
    <row r="7" spans="1:17" ht="14" x14ac:dyDescent="0.3">
      <c r="A7" s="748" t="s">
        <v>292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7" ht="14" x14ac:dyDescent="0.3">
      <c r="B8" s="207"/>
      <c r="C8" s="207"/>
      <c r="D8" s="207"/>
      <c r="E8" s="213"/>
      <c r="F8" s="207"/>
      <c r="G8" s="753"/>
      <c r="H8" s="753"/>
      <c r="I8" s="753"/>
      <c r="J8" s="210"/>
      <c r="K8" s="210"/>
      <c r="L8" s="754"/>
      <c r="M8" s="754"/>
      <c r="N8" s="754"/>
    </row>
    <row r="9" spans="1:17" ht="14.5" thickBot="1" x14ac:dyDescent="0.35">
      <c r="A9" s="151"/>
      <c r="B9" s="216" t="s">
        <v>46</v>
      </c>
      <c r="C9" s="216"/>
      <c r="D9" s="216"/>
      <c r="E9" s="217" t="s">
        <v>144</v>
      </c>
      <c r="F9" s="216"/>
      <c r="G9" s="269" t="s">
        <v>63</v>
      </c>
      <c r="H9" s="269"/>
      <c r="I9" s="270"/>
      <c r="J9" s="218"/>
      <c r="K9" s="216"/>
      <c r="L9" s="271" t="s">
        <v>64</v>
      </c>
      <c r="M9" s="271"/>
      <c r="N9" s="271"/>
    </row>
    <row r="10" spans="1:17" ht="14" x14ac:dyDescent="0.3">
      <c r="A10" s="151">
        <f>IF(B10&lt;&gt;"",COUNTA($B$9:B10),"")</f>
        <v>2</v>
      </c>
      <c r="B10" s="219" t="s">
        <v>293</v>
      </c>
      <c r="C10" s="220" t="s">
        <v>294</v>
      </c>
      <c r="D10" s="220"/>
      <c r="E10" s="221" t="s">
        <v>295</v>
      </c>
      <c r="F10" s="222"/>
      <c r="G10" s="223" t="s">
        <v>211</v>
      </c>
      <c r="H10" s="223"/>
      <c r="I10" s="223" t="s">
        <v>148</v>
      </c>
      <c r="J10" s="224"/>
      <c r="K10" s="222"/>
      <c r="L10" s="225" t="s">
        <v>211</v>
      </c>
      <c r="M10" s="226"/>
      <c r="N10" s="227" t="s">
        <v>148</v>
      </c>
    </row>
    <row r="11" spans="1:17" ht="14" x14ac:dyDescent="0.3">
      <c r="A11" s="151" t="str">
        <f>IF(B11&lt;&gt;"",COUNTA($B$11:B11),"")</f>
        <v/>
      </c>
      <c r="B11" s="228"/>
      <c r="C11" s="220"/>
      <c r="D11" s="220"/>
      <c r="E11" s="213" t="s">
        <v>66</v>
      </c>
      <c r="F11" s="222"/>
      <c r="G11" s="229" t="s">
        <v>67</v>
      </c>
      <c r="H11" s="230"/>
      <c r="I11" s="231" t="s">
        <v>68</v>
      </c>
      <c r="J11" s="231" t="s">
        <v>69</v>
      </c>
      <c r="K11" s="222"/>
      <c r="L11" s="226" t="s">
        <v>70</v>
      </c>
      <c r="M11" s="230"/>
      <c r="N11" s="231" t="s">
        <v>71</v>
      </c>
      <c r="P11" s="154"/>
    </row>
    <row r="12" spans="1:17" ht="14" x14ac:dyDescent="0.3">
      <c r="A12" s="151">
        <f>IF(B12&lt;&gt;"",COUNTA($B$11:B12),"")</f>
        <v>1</v>
      </c>
      <c r="B12" s="232" t="str">
        <f>'R1 EMA'!B12</f>
        <v>Customer Charge</v>
      </c>
      <c r="C12" s="233" t="str">
        <f>'R1 EMA'!C12</f>
        <v>CUST</v>
      </c>
      <c r="D12" s="233"/>
      <c r="E12" s="234">
        <v>1626800.1479242437</v>
      </c>
      <c r="F12" s="207"/>
      <c r="G12" s="209">
        <v>7</v>
      </c>
      <c r="H12" s="209"/>
      <c r="I12" s="210">
        <f>E12*G12</f>
        <v>11387601.035469705</v>
      </c>
      <c r="J12" s="235"/>
      <c r="K12" s="210"/>
      <c r="L12" s="209">
        <v>7</v>
      </c>
      <c r="M12" s="211"/>
      <c r="N12" s="210">
        <f>L12*E12</f>
        <v>11387601.035469705</v>
      </c>
      <c r="O12" s="272"/>
      <c r="P12" s="234"/>
      <c r="Q12" s="154"/>
    </row>
    <row r="13" spans="1:17" ht="14" x14ac:dyDescent="0.3">
      <c r="A13" s="151">
        <f>IF(B13&lt;&gt;"",COUNTA($B$11:B13),"")</f>
        <v>2</v>
      </c>
      <c r="B13" s="207" t="str">
        <f>'R1 EMA'!B13</f>
        <v>Distribution Energy</v>
      </c>
      <c r="C13" s="233" t="str">
        <f>'R1 EMA'!C13</f>
        <v>DKWH</v>
      </c>
      <c r="D13" s="233"/>
      <c r="E13" s="234">
        <v>831552482.11613548</v>
      </c>
      <c r="F13" s="207"/>
      <c r="G13" s="236">
        <v>4.3720000000000002E-2</v>
      </c>
      <c r="H13" s="209"/>
      <c r="I13" s="237">
        <f>E13*G13</f>
        <v>36355474.518117443</v>
      </c>
      <c r="J13" s="235"/>
      <c r="K13" s="210"/>
      <c r="L13" s="236">
        <v>4.5629999999999997E-2</v>
      </c>
      <c r="M13" s="211"/>
      <c r="N13" s="237">
        <f t="shared" ref="N13" si="0">L13*E13</f>
        <v>37943739.758959256</v>
      </c>
      <c r="O13" s="272"/>
      <c r="P13" s="153"/>
    </row>
    <row r="14" spans="1:17" ht="14" x14ac:dyDescent="0.3">
      <c r="A14" s="151">
        <f>IF(B14&lt;&gt;"",COUNTA($B$11:B14),"")</f>
        <v>3</v>
      </c>
      <c r="B14" s="207" t="str">
        <f>'R1 EMA'!B14</f>
        <v>Total Distribution</v>
      </c>
      <c r="C14" s="233" t="str">
        <f>'R1 EMA'!C14</f>
        <v>DIST</v>
      </c>
      <c r="D14" s="233"/>
      <c r="E14" s="234"/>
      <c r="F14" s="207"/>
      <c r="G14" s="236"/>
      <c r="H14" s="209"/>
      <c r="I14" s="210">
        <f>SUM(I12:I13)</f>
        <v>47743075.553587146</v>
      </c>
      <c r="J14" s="235"/>
      <c r="K14" s="210"/>
      <c r="L14" s="238"/>
      <c r="M14" s="211"/>
      <c r="N14" s="210">
        <f>SUM(N12:N13)</f>
        <v>49331340.794428959</v>
      </c>
      <c r="O14" s="272"/>
      <c r="P14" s="273"/>
    </row>
    <row r="15" spans="1:17" ht="14" x14ac:dyDescent="0.3">
      <c r="A15" s="151" t="str">
        <f>IF(B15&lt;&gt;"",COUNTA($B$11:B15),"")</f>
        <v/>
      </c>
      <c r="B15" s="207"/>
      <c r="C15" s="233"/>
      <c r="D15" s="233"/>
      <c r="E15" s="234"/>
      <c r="F15" s="207"/>
      <c r="G15" s="236"/>
      <c r="H15" s="209"/>
      <c r="I15" s="210"/>
      <c r="J15" s="235"/>
      <c r="K15" s="210"/>
      <c r="L15" s="238"/>
      <c r="M15" s="211"/>
      <c r="N15" s="210"/>
      <c r="O15" s="272"/>
      <c r="P15" s="273"/>
    </row>
    <row r="16" spans="1:17" ht="14" x14ac:dyDescent="0.3">
      <c r="A16" s="151">
        <f>IF(B16&lt;&gt;"",COUNTA($B$11:B16),"")</f>
        <v>4</v>
      </c>
      <c r="B16" s="228" t="s">
        <v>302</v>
      </c>
      <c r="F16" s="239"/>
      <c r="G16" s="240"/>
      <c r="H16" s="211"/>
      <c r="I16" s="210"/>
      <c r="K16" s="210"/>
      <c r="L16" s="241"/>
      <c r="M16" s="211"/>
      <c r="N16" s="210"/>
      <c r="O16" s="272"/>
    </row>
    <row r="17" spans="1:17" ht="14" x14ac:dyDescent="0.3">
      <c r="A17" s="151">
        <f>IF(B17&lt;&gt;"",COUNTA($B$11:B17),"")</f>
        <v>5</v>
      </c>
      <c r="B17" s="207" t="str">
        <f>'R1 EMA'!B17</f>
        <v>Revenue Decoupling</v>
      </c>
      <c r="C17" s="233" t="str">
        <f>'R1 EMA'!C17</f>
        <v>RDAF</v>
      </c>
      <c r="D17" s="233"/>
      <c r="E17" s="242"/>
      <c r="F17" s="239"/>
      <c r="G17" s="236">
        <v>7.5000000000000002E-4</v>
      </c>
      <c r="H17" s="211"/>
      <c r="I17" s="210">
        <f>G17*($E$13)</f>
        <v>623664.36158710159</v>
      </c>
      <c r="K17" s="210"/>
      <c r="L17" s="236">
        <v>-5.7076909658183481E-4</v>
      </c>
      <c r="M17" s="211"/>
      <c r="N17" s="210">
        <f>($E$13)*L17</f>
        <v>-474624.458977809</v>
      </c>
      <c r="O17" s="272"/>
      <c r="P17" s="234"/>
    </row>
    <row r="18" spans="1:17" ht="14" x14ac:dyDescent="0.3">
      <c r="A18" s="151">
        <f>IF(B18&lt;&gt;"",COUNTA($B$11:B18),"")</f>
        <v>6</v>
      </c>
      <c r="B18" s="207" t="str">
        <f>'R1 EMA'!B18</f>
        <v>Residential Assistance Adjustment Factor</v>
      </c>
      <c r="C18" s="233" t="str">
        <f>'R1 EMA'!C18</f>
        <v>RAAF</v>
      </c>
      <c r="D18" s="243"/>
      <c r="E18" s="206"/>
      <c r="F18" s="239"/>
      <c r="G18" s="236">
        <v>1.323E-2</v>
      </c>
      <c r="H18" s="211"/>
      <c r="I18" s="210">
        <f t="shared" ref="I18:I36" si="1">G18*($E$13)</f>
        <v>11001439.338396473</v>
      </c>
      <c r="K18" s="210"/>
      <c r="L18" s="236">
        <v>4.8220108323451796E-3</v>
      </c>
      <c r="M18" s="211"/>
      <c r="N18" s="210">
        <f t="shared" ref="N18:N36" si="2">($E$13)*L18</f>
        <v>4009755.0764275263</v>
      </c>
      <c r="O18" s="272"/>
      <c r="P18" s="234"/>
      <c r="Q18" s="210"/>
    </row>
    <row r="19" spans="1:17" ht="14" x14ac:dyDescent="0.3">
      <c r="A19" s="151">
        <f>IF(B19&lt;&gt;"",COUNTA($B$11:B19),"")</f>
        <v>7</v>
      </c>
      <c r="B19" s="207" t="str">
        <f>'R1 EMA'!B19</f>
        <v>Pension Adjustment Factor</v>
      </c>
      <c r="C19" s="233" t="str">
        <f>'R1 EMA'!C19</f>
        <v>PAF</v>
      </c>
      <c r="D19" s="243"/>
      <c r="E19" s="206"/>
      <c r="F19" s="239"/>
      <c r="G19" s="236">
        <v>1.4300000000000001E-3</v>
      </c>
      <c r="H19" s="211"/>
      <c r="I19" s="210">
        <f t="shared" si="1"/>
        <v>1189120.0494260737</v>
      </c>
      <c r="K19" s="210"/>
      <c r="L19" s="236">
        <v>9.3055115118339735E-4</v>
      </c>
      <c r="M19" s="211"/>
      <c r="N19" s="210">
        <f t="shared" si="2"/>
        <v>773802.11950258131</v>
      </c>
      <c r="O19" s="272"/>
      <c r="P19" s="274"/>
    </row>
    <row r="20" spans="1:17" ht="14" x14ac:dyDescent="0.3">
      <c r="A20" s="151">
        <f>IF(B20&lt;&gt;"",COUNTA($B$11:B20),"")</f>
        <v>8</v>
      </c>
      <c r="B20" s="207" t="str">
        <f>'R1 EMA'!B20</f>
        <v>Net Metering Recovery Surcharge</v>
      </c>
      <c r="C20" s="233" t="str">
        <f>'R1 EMA'!C20</f>
        <v>NMRS</v>
      </c>
      <c r="D20" s="243"/>
      <c r="E20" s="206"/>
      <c r="F20" s="239"/>
      <c r="G20" s="236">
        <v>5.7499999999999999E-3</v>
      </c>
      <c r="H20" s="211"/>
      <c r="I20" s="210">
        <f t="shared" si="1"/>
        <v>4781426.7721677786</v>
      </c>
      <c r="K20" s="210"/>
      <c r="L20" s="236">
        <v>6.2875153330074329E-3</v>
      </c>
      <c r="M20" s="211"/>
      <c r="N20" s="210">
        <f t="shared" si="2"/>
        <v>5228398.9815055905</v>
      </c>
      <c r="O20" s="272"/>
      <c r="P20" s="274"/>
    </row>
    <row r="21" spans="1:17" ht="14" x14ac:dyDescent="0.3">
      <c r="A21" s="151">
        <f>IF(B21&lt;&gt;"",COUNTA($B$11:B21),"")</f>
        <v>9</v>
      </c>
      <c r="B21" s="207" t="str">
        <f>'R1 EMA'!B21</f>
        <v>Long Term Renewable Contract Adjustment</v>
      </c>
      <c r="C21" s="233" t="str">
        <f>'R1 EMA'!C21</f>
        <v>LTRCA</v>
      </c>
      <c r="D21" s="243"/>
      <c r="E21" s="206"/>
      <c r="F21" s="239"/>
      <c r="G21" s="236">
        <v>3.31E-3</v>
      </c>
      <c r="H21" s="211"/>
      <c r="I21" s="210">
        <f t="shared" si="1"/>
        <v>2752438.7158044083</v>
      </c>
      <c r="K21" s="210"/>
      <c r="L21" s="236">
        <v>1.7357128782064517E-3</v>
      </c>
      <c r="M21" s="211"/>
      <c r="N21" s="210">
        <f t="shared" si="2"/>
        <v>1443336.3521135165</v>
      </c>
      <c r="O21" s="272"/>
      <c r="P21" s="275"/>
    </row>
    <row r="22" spans="1:17" ht="14" x14ac:dyDescent="0.3">
      <c r="A22" s="151">
        <f>IF(B22&lt;&gt;"",COUNTA($B$11:B22),"")</f>
        <v>10</v>
      </c>
      <c r="B22" s="207" t="str">
        <f>'R1 EMA'!B22</f>
        <v>AG Consulting Expense</v>
      </c>
      <c r="C22" s="233" t="str">
        <f>'R1 EMA'!C22</f>
        <v>AGCE</v>
      </c>
      <c r="D22" s="243"/>
      <c r="E22" s="206"/>
      <c r="F22" s="239"/>
      <c r="G22" s="236">
        <v>4.0000000000000003E-5</v>
      </c>
      <c r="H22" s="211"/>
      <c r="I22" s="210">
        <f t="shared" si="1"/>
        <v>33262.099284645425</v>
      </c>
      <c r="K22" s="210"/>
      <c r="L22" s="236">
        <v>1.0124423986742032E-5</v>
      </c>
      <c r="M22" s="211"/>
      <c r="N22" s="210">
        <f t="shared" si="2"/>
        <v>8418.9898961714771</v>
      </c>
      <c r="O22" s="272"/>
      <c r="P22" s="274"/>
    </row>
    <row r="23" spans="1:17" ht="14" x14ac:dyDescent="0.3">
      <c r="A23" s="151">
        <f>IF(B23&lt;&gt;"",COUNTA($B$11:B23),"")</f>
        <v>11</v>
      </c>
      <c r="B23" s="207" t="str">
        <f>'R1 EMA'!B23</f>
        <v>Storm Cost Recovery Adjustment Factor</v>
      </c>
      <c r="C23" s="233" t="str">
        <f>'R1 EMA'!C23</f>
        <v>SCRA</v>
      </c>
      <c r="D23" s="243"/>
      <c r="E23" s="206"/>
      <c r="F23" s="239"/>
      <c r="G23" s="236">
        <v>3.0699999999999998E-3</v>
      </c>
      <c r="H23" s="211"/>
      <c r="I23" s="210">
        <f t="shared" si="1"/>
        <v>2552866.1200965359</v>
      </c>
      <c r="K23" s="210"/>
      <c r="L23" s="236">
        <v>3.6709986943481553E-3</v>
      </c>
      <c r="M23" s="211"/>
      <c r="N23" s="210">
        <f t="shared" si="2"/>
        <v>3052628.0761303012</v>
      </c>
      <c r="O23" s="272"/>
      <c r="P23" s="274"/>
    </row>
    <row r="24" spans="1:17" ht="14" x14ac:dyDescent="0.3">
      <c r="A24" s="151">
        <f>IF(B24&lt;&gt;"",COUNTA($B$11:B24),"")</f>
        <v>12</v>
      </c>
      <c r="B24" s="207" t="str">
        <f>'R1 EMA'!B24</f>
        <v>Storm Reserve Adjustment</v>
      </c>
      <c r="C24" s="233" t="str">
        <f>'R1 EMA'!C24</f>
        <v>SRA</v>
      </c>
      <c r="D24" s="243"/>
      <c r="E24" s="206"/>
      <c r="F24" s="239"/>
      <c r="G24" s="236">
        <v>0</v>
      </c>
      <c r="H24" s="211"/>
      <c r="I24" s="210">
        <f t="shared" si="1"/>
        <v>0</v>
      </c>
      <c r="K24" s="210"/>
      <c r="L24" s="236">
        <v>0</v>
      </c>
      <c r="M24" s="211"/>
      <c r="N24" s="210">
        <f t="shared" si="2"/>
        <v>0</v>
      </c>
      <c r="O24" s="272"/>
      <c r="P24" s="274"/>
    </row>
    <row r="25" spans="1:17" ht="14" x14ac:dyDescent="0.3">
      <c r="A25" s="151">
        <f>IF(B25&lt;&gt;"",COUNTA($B$11:B25),"")</f>
        <v>13</v>
      </c>
      <c r="B25" s="207" t="str">
        <f>'R1 EMA'!B25</f>
        <v>Basic Service Cost True Up Factor</v>
      </c>
      <c r="C25" s="233" t="str">
        <f>'R1 EMA'!C25</f>
        <v>BSTF</v>
      </c>
      <c r="D25" s="243"/>
      <c r="E25" s="206"/>
      <c r="F25" s="239"/>
      <c r="G25" s="236">
        <v>2.7E-4</v>
      </c>
      <c r="H25" s="211"/>
      <c r="I25" s="210">
        <f t="shared" si="1"/>
        <v>224519.17017135659</v>
      </c>
      <c r="K25" s="210"/>
      <c r="L25" s="236">
        <v>-2.3927999362629402E-4</v>
      </c>
      <c r="M25" s="211"/>
      <c r="N25" s="210">
        <f t="shared" si="2"/>
        <v>-198973.87262067787</v>
      </c>
      <c r="O25" s="272"/>
      <c r="P25" s="274"/>
    </row>
    <row r="26" spans="1:17" ht="14" x14ac:dyDescent="0.3">
      <c r="A26" s="151">
        <f>IF(B26&lt;&gt;"",COUNTA($B$11:B26),"")</f>
        <v>14</v>
      </c>
      <c r="B26" s="207" t="str">
        <f>'R1 EMA'!B26</f>
        <v>Solar Program Cost Adjustment Factor</v>
      </c>
      <c r="C26" s="233" t="str">
        <f>'R1 EMA'!C26</f>
        <v>SPCA</v>
      </c>
      <c r="D26" s="233"/>
      <c r="E26" s="206"/>
      <c r="F26" s="239"/>
      <c r="G26" s="236">
        <v>-1.6000000000000001E-4</v>
      </c>
      <c r="H26" s="211"/>
      <c r="I26" s="210">
        <f t="shared" si="1"/>
        <v>-133048.3971385817</v>
      </c>
      <c r="K26" s="210"/>
      <c r="L26" s="236">
        <v>4.2583348640532346E-5</v>
      </c>
      <c r="M26" s="211"/>
      <c r="N26" s="210">
        <f t="shared" si="2"/>
        <v>35410.289258851437</v>
      </c>
      <c r="O26" s="272"/>
      <c r="P26" s="276"/>
    </row>
    <row r="27" spans="1:17" ht="14" x14ac:dyDescent="0.3">
      <c r="A27" s="151">
        <f>IF(B27&lt;&gt;"",COUNTA($B$11:B27),"")</f>
        <v>15</v>
      </c>
      <c r="B27" s="207" t="str">
        <f>'R1 EMA'!B27</f>
        <v>Solar Expansion Cost Recovery Factor</v>
      </c>
      <c r="C27" s="233" t="str">
        <f>'R1 EMA'!C27</f>
        <v>SECRF</v>
      </c>
      <c r="D27" s="233"/>
      <c r="E27" s="206"/>
      <c r="F27" s="239"/>
      <c r="G27" s="236">
        <v>0</v>
      </c>
      <c r="H27" s="211"/>
      <c r="I27" s="210">
        <f t="shared" si="1"/>
        <v>0</v>
      </c>
      <c r="K27" s="210"/>
      <c r="L27" s="236">
        <v>7.5107285098997844E-4</v>
      </c>
      <c r="M27" s="211"/>
      <c r="N27" s="210">
        <f t="shared" si="2"/>
        <v>624556.49349075893</v>
      </c>
      <c r="O27" s="272"/>
      <c r="P27" s="276"/>
    </row>
    <row r="28" spans="1:17" ht="14" x14ac:dyDescent="0.3">
      <c r="A28" s="151">
        <f>IF(B28&lt;&gt;"",COUNTA($B$11:B28),"")</f>
        <v>16</v>
      </c>
      <c r="B28" s="207" t="str">
        <f>'R1 EMA'!B28</f>
        <v>Vegetation Management</v>
      </c>
      <c r="C28" s="233" t="str">
        <f>'R1 EMA'!C28</f>
        <v>RTWF</v>
      </c>
      <c r="D28" s="233"/>
      <c r="E28" s="206"/>
      <c r="F28" s="239"/>
      <c r="G28" s="236">
        <v>0</v>
      </c>
      <c r="H28" s="211"/>
      <c r="I28" s="210">
        <f t="shared" si="1"/>
        <v>0</v>
      </c>
      <c r="K28" s="210"/>
      <c r="L28" s="236">
        <v>1.6660010722404932E-3</v>
      </c>
      <c r="M28" s="211"/>
      <c r="N28" s="210">
        <f t="shared" si="2"/>
        <v>1385367.3268297252</v>
      </c>
      <c r="O28" s="272"/>
      <c r="P28" s="276"/>
    </row>
    <row r="29" spans="1:17" ht="14" x14ac:dyDescent="0.3">
      <c r="A29" s="151">
        <f>IF(B29&lt;&gt;"",COUNTA($B$11:B29),"")</f>
        <v>17</v>
      </c>
      <c r="B29" s="207" t="str">
        <f>'R1 EMA'!B29</f>
        <v>Solar Massachusetts Renewable Target</v>
      </c>
      <c r="C29" s="233" t="str">
        <f>'R1 EMA'!C29</f>
        <v>SMART</v>
      </c>
      <c r="D29" s="233"/>
      <c r="E29" s="206"/>
      <c r="F29" s="239"/>
      <c r="G29" s="236">
        <v>0</v>
      </c>
      <c r="H29" s="211"/>
      <c r="I29" s="210">
        <f t="shared" si="1"/>
        <v>0</v>
      </c>
      <c r="K29" s="210"/>
      <c r="L29" s="236">
        <v>8.7998724183282182E-4</v>
      </c>
      <c r="M29" s="211"/>
      <c r="N29" s="210">
        <f t="shared" si="2"/>
        <v>731755.57517661492</v>
      </c>
      <c r="O29" s="272"/>
      <c r="P29" s="276"/>
    </row>
    <row r="30" spans="1:17" ht="14" x14ac:dyDescent="0.3">
      <c r="A30" s="151">
        <f>IF(B30&lt;&gt;"",COUNTA($B$11:B30),"")</f>
        <v>18</v>
      </c>
      <c r="B30" s="207" t="str">
        <f>'R1 EMA'!B30</f>
        <v>Tax Act Credit Factor</v>
      </c>
      <c r="C30" s="233" t="str">
        <f>'R1 EMA'!C30</f>
        <v>TACF</v>
      </c>
      <c r="D30" s="233"/>
      <c r="E30" s="206"/>
      <c r="F30" s="239"/>
      <c r="G30" s="236">
        <v>0</v>
      </c>
      <c r="H30" s="211"/>
      <c r="I30" s="210">
        <f t="shared" si="1"/>
        <v>0</v>
      </c>
      <c r="K30" s="210"/>
      <c r="L30" s="236">
        <v>-1.3321536749540959E-3</v>
      </c>
      <c r="M30" s="211"/>
      <c r="N30" s="210">
        <f t="shared" si="2"/>
        <v>-1107755.6949682098</v>
      </c>
      <c r="O30" s="272"/>
      <c r="P30" s="276"/>
    </row>
    <row r="31" spans="1:17" ht="14" x14ac:dyDescent="0.3">
      <c r="A31" s="151">
        <f>IF(B31&lt;&gt;"",COUNTA($B$11:B31),"")</f>
        <v>19</v>
      </c>
      <c r="B31" s="207" t="str">
        <f>'R1 EMA'!B31</f>
        <v>Transition</v>
      </c>
      <c r="C31" s="233" t="str">
        <f>'R1 EMA'!C31</f>
        <v>TRNSN</v>
      </c>
      <c r="D31" s="233"/>
      <c r="E31" s="206"/>
      <c r="F31" s="239"/>
      <c r="G31" s="236">
        <v>-1.7099999999999999E-3</v>
      </c>
      <c r="H31" s="211"/>
      <c r="I31" s="210">
        <f t="shared" si="1"/>
        <v>-1421954.7444185917</v>
      </c>
      <c r="K31" s="210"/>
      <c r="L31" s="236">
        <v>-5.210932140356871E-4</v>
      </c>
      <c r="M31" s="211"/>
      <c r="N31" s="210">
        <f t="shared" si="2"/>
        <v>-433316.35554525023</v>
      </c>
      <c r="O31" s="272"/>
      <c r="P31" s="275"/>
    </row>
    <row r="32" spans="1:17" ht="14" x14ac:dyDescent="0.3">
      <c r="A32" s="151">
        <f>IF(B32&lt;&gt;"",COUNTA($B$11:B32),"")</f>
        <v>20</v>
      </c>
      <c r="B32" s="207" t="str">
        <f>'R1 EMA'!B32</f>
        <v>Transmission Energy</v>
      </c>
      <c r="C32" s="233" t="str">
        <f>'R1 EMA'!C32</f>
        <v>TMKWH</v>
      </c>
      <c r="D32" s="233"/>
      <c r="E32" s="206"/>
      <c r="F32" s="239"/>
      <c r="G32" s="236">
        <v>2.7969999999999998E-2</v>
      </c>
      <c r="H32" s="211"/>
      <c r="I32" s="210">
        <f t="shared" si="1"/>
        <v>23258522.924788307</v>
      </c>
      <c r="K32" s="210"/>
      <c r="L32" s="236">
        <v>2.5850370762662271E-2</v>
      </c>
      <c r="M32" s="211"/>
      <c r="N32" s="210">
        <f t="shared" si="2"/>
        <v>21495939.971314188</v>
      </c>
      <c r="O32" s="272"/>
      <c r="P32" s="275"/>
    </row>
    <row r="33" spans="1:16" ht="14" x14ac:dyDescent="0.3">
      <c r="A33" s="151">
        <f>IF(B33&lt;&gt;"",COUNTA($B$11:B33),"")</f>
        <v>21</v>
      </c>
      <c r="B33" s="207" t="str">
        <f>'R1 EMA'!B33</f>
        <v>Energy Efficiency Reconciliation Factor</v>
      </c>
      <c r="C33" s="233" t="str">
        <f>'R1 EMA'!C33</f>
        <v>EERF</v>
      </c>
      <c r="D33" s="233"/>
      <c r="E33" s="206"/>
      <c r="F33" s="239"/>
      <c r="G33" s="236">
        <v>1.4019999999999999E-2</v>
      </c>
      <c r="H33" s="211"/>
      <c r="I33" s="210">
        <f t="shared" si="1"/>
        <v>11658365.79926822</v>
      </c>
      <c r="K33" s="210"/>
      <c r="L33" s="236">
        <v>1.4019999999999999E-2</v>
      </c>
      <c r="M33" s="211"/>
      <c r="N33" s="210">
        <f t="shared" si="2"/>
        <v>11658365.79926822</v>
      </c>
      <c r="O33" s="272"/>
      <c r="P33" s="232"/>
    </row>
    <row r="34" spans="1:16" ht="14" x14ac:dyDescent="0.3">
      <c r="A34" s="151">
        <f>IF(B34&lt;&gt;"",COUNTA($B$11:B34),"")</f>
        <v>22</v>
      </c>
      <c r="B34" s="207" t="str">
        <f>'R1 EMA'!B34</f>
        <v>System Benefits Charge</v>
      </c>
      <c r="C34" s="233" t="str">
        <f>'R1 EMA'!C34</f>
        <v>SBC</v>
      </c>
      <c r="D34" s="233"/>
      <c r="E34" s="206"/>
      <c r="F34" s="239"/>
      <c r="G34" s="236">
        <v>2.5000000000000001E-3</v>
      </c>
      <c r="H34" s="211"/>
      <c r="I34" s="210">
        <f t="shared" si="1"/>
        <v>2078881.2052903387</v>
      </c>
      <c r="K34" s="210"/>
      <c r="L34" s="236">
        <f>+G34</f>
        <v>2.5000000000000001E-3</v>
      </c>
      <c r="M34" s="211"/>
      <c r="N34" s="210">
        <f t="shared" si="2"/>
        <v>2078881.2052903387</v>
      </c>
      <c r="O34" s="272"/>
      <c r="P34" s="275"/>
    </row>
    <row r="35" spans="1:16" ht="14" x14ac:dyDescent="0.3">
      <c r="A35" s="151">
        <f>IF(B35&lt;&gt;"",COUNTA($B$11:B35),"")</f>
        <v>23</v>
      </c>
      <c r="B35" s="207" t="str">
        <f>'R1 EMA'!B35</f>
        <v>Renewable Energy Charge</v>
      </c>
      <c r="C35" s="233" t="str">
        <f>'R1 EMA'!C35</f>
        <v>RNEW</v>
      </c>
      <c r="D35" s="233"/>
      <c r="E35" s="206"/>
      <c r="F35" s="239"/>
      <c r="G35" s="236">
        <v>5.0000000000000001E-4</v>
      </c>
      <c r="H35" s="211"/>
      <c r="I35" s="210">
        <f t="shared" si="1"/>
        <v>415776.24105806777</v>
      </c>
      <c r="K35" s="210"/>
      <c r="L35" s="236">
        <f>+G35</f>
        <v>5.0000000000000001E-4</v>
      </c>
      <c r="M35" s="211"/>
      <c r="N35" s="210">
        <f t="shared" si="2"/>
        <v>415776.24105806777</v>
      </c>
      <c r="O35" s="272"/>
      <c r="P35" s="275"/>
    </row>
    <row r="36" spans="1:16" ht="14" x14ac:dyDescent="0.3">
      <c r="A36" s="151">
        <f>IF(B36&lt;&gt;"",COUNTA($B$11:B36),"")</f>
        <v>24</v>
      </c>
      <c r="B36" s="207" t="str">
        <f>'R1 EMA'!B36</f>
        <v>Basic Service Charge</v>
      </c>
      <c r="C36" s="233" t="str">
        <f>'R1 EMA'!C36</f>
        <v>BS</v>
      </c>
      <c r="D36" s="233"/>
      <c r="E36" s="206"/>
      <c r="F36" s="239"/>
      <c r="G36" s="277">
        <v>0.10002999999999999</v>
      </c>
      <c r="H36" s="211"/>
      <c r="I36" s="237">
        <f t="shared" si="1"/>
        <v>83180194.786077023</v>
      </c>
      <c r="K36" s="210"/>
      <c r="L36" s="236">
        <v>0.11677999999999999</v>
      </c>
      <c r="M36" s="211"/>
      <c r="N36" s="237">
        <f t="shared" si="2"/>
        <v>97108698.861522302</v>
      </c>
      <c r="O36" s="272"/>
      <c r="P36" s="232"/>
    </row>
    <row r="37" spans="1:16" ht="14" x14ac:dyDescent="0.3">
      <c r="A37" s="151" t="str">
        <f>IF(B37&lt;&gt;"",COUNTA($B$11:B37),"")</f>
        <v/>
      </c>
      <c r="B37" s="207"/>
      <c r="E37" s="206"/>
      <c r="F37" s="239"/>
      <c r="G37" s="241"/>
      <c r="H37" s="211"/>
      <c r="I37" s="244"/>
      <c r="K37" s="210"/>
      <c r="L37" s="241"/>
      <c r="M37" s="211"/>
      <c r="N37" s="244"/>
      <c r="O37" s="272"/>
    </row>
    <row r="38" spans="1:16" ht="14" x14ac:dyDescent="0.3">
      <c r="A38" s="151">
        <f>IF(B38&lt;&gt;"",COUNTA($B$11:B38),"")</f>
        <v>25</v>
      </c>
      <c r="B38" s="188" t="s">
        <v>46</v>
      </c>
      <c r="E38" s="188"/>
      <c r="G38" s="245" t="s">
        <v>324</v>
      </c>
      <c r="H38" s="246"/>
      <c r="I38" s="154">
        <f>SUM(I14:I37)</f>
        <v>189938549.99544629</v>
      </c>
      <c r="K38" s="247"/>
      <c r="L38" s="245"/>
      <c r="N38" s="154">
        <f>SUM(N14:N37)</f>
        <v>197167761.77110174</v>
      </c>
      <c r="P38" s="154"/>
    </row>
    <row r="39" spans="1:16" ht="14" x14ac:dyDescent="0.3">
      <c r="A39" s="151" t="str">
        <f>IF(B39&lt;&gt;"",COUNTA($B$11:B39),"")</f>
        <v/>
      </c>
      <c r="E39" s="188"/>
      <c r="H39" s="188"/>
      <c r="I39" s="154"/>
      <c r="K39" s="265"/>
      <c r="L39" s="278"/>
      <c r="N39" s="265"/>
      <c r="P39" s="154"/>
    </row>
    <row r="40" spans="1:16" ht="14" x14ac:dyDescent="0.3">
      <c r="A40" s="151">
        <f>IF(B40&lt;&gt;"",COUNTA($B$11:B40),"")</f>
        <v>26</v>
      </c>
      <c r="B40" s="188" t="s">
        <v>46</v>
      </c>
      <c r="E40" s="188"/>
      <c r="G40" s="188"/>
      <c r="H40" s="188"/>
      <c r="I40" s="188"/>
      <c r="J40" s="188"/>
      <c r="L40" s="248" t="s">
        <v>325</v>
      </c>
      <c r="N40" s="160">
        <f>+N38/I38-1</f>
        <v>3.8060792692314216E-2</v>
      </c>
    </row>
    <row r="41" spans="1:16" ht="14" x14ac:dyDescent="0.3">
      <c r="A41" s="151" t="str">
        <f>IF(B41&lt;&gt;"",COUNTA($B$11:B41),"")</f>
        <v/>
      </c>
      <c r="E41" s="188"/>
      <c r="G41" s="188"/>
      <c r="H41" s="188"/>
      <c r="I41" s="188"/>
      <c r="J41" s="188"/>
      <c r="L41" s="248"/>
      <c r="N41" s="160"/>
    </row>
    <row r="42" spans="1:16" ht="14" x14ac:dyDescent="0.3">
      <c r="A42" s="151" t="str">
        <f>IF(B42&lt;&gt;"",COUNTA($B$11:B42),"")</f>
        <v/>
      </c>
      <c r="E42" s="751"/>
      <c r="F42" s="751"/>
      <c r="G42" s="751"/>
      <c r="H42" s="188"/>
      <c r="I42" s="751"/>
      <c r="J42" s="751"/>
      <c r="L42" s="752"/>
      <c r="M42" s="752"/>
      <c r="N42" s="752"/>
    </row>
    <row r="43" spans="1:16" ht="14.5" thickBot="1" x14ac:dyDescent="0.35">
      <c r="A43" s="151">
        <f>IF(B43&lt;&gt;"",COUNTA($B$11:B43),"")</f>
        <v>27</v>
      </c>
      <c r="B43" s="188" t="s">
        <v>46</v>
      </c>
      <c r="E43" s="279" t="s">
        <v>326</v>
      </c>
      <c r="F43" s="135"/>
      <c r="G43" s="280"/>
      <c r="I43" s="279" t="s">
        <v>327</v>
      </c>
      <c r="J43" s="135"/>
      <c r="L43" s="279" t="s">
        <v>328</v>
      </c>
      <c r="M43" s="135"/>
      <c r="N43" s="137"/>
    </row>
    <row r="44" spans="1:16" ht="14" x14ac:dyDescent="0.3">
      <c r="A44" s="151">
        <f>IF(B44&lt;&gt;"",COUNTA($B$11:B44),"")</f>
        <v>28</v>
      </c>
      <c r="B44" s="144" t="s">
        <v>329</v>
      </c>
      <c r="C44" s="144"/>
      <c r="D44" s="144"/>
      <c r="E44" s="249" t="s">
        <v>148</v>
      </c>
      <c r="F44" s="250"/>
      <c r="G44" s="251" t="s">
        <v>330</v>
      </c>
      <c r="I44" s="249" t="s">
        <v>148</v>
      </c>
      <c r="J44" s="251" t="s">
        <v>330</v>
      </c>
      <c r="K44" s="212"/>
      <c r="L44" s="249" t="s">
        <v>148</v>
      </c>
      <c r="M44" s="252"/>
      <c r="N44" s="251" t="s">
        <v>330</v>
      </c>
    </row>
    <row r="45" spans="1:16" ht="14" x14ac:dyDescent="0.3">
      <c r="A45" s="151">
        <f>IF(B45&lt;&gt;"",COUNTA($B$11:B45),"")</f>
        <v>29</v>
      </c>
      <c r="B45" s="130" t="str">
        <f>'R1 EMA'!B45</f>
        <v>Distribution</v>
      </c>
      <c r="C45" s="253" t="str">
        <f>'R1 EMA'!C45</f>
        <v>DIST</v>
      </c>
      <c r="D45" s="253"/>
      <c r="E45" s="154">
        <f t="shared" ref="E45:E60" si="3">SUMIF($C$12:$C$36,$C45,$I$12:$I$36)</f>
        <v>47743075.553587146</v>
      </c>
      <c r="G45" s="254">
        <f>+E45/$E$13*100</f>
        <v>5.7414386440276779</v>
      </c>
      <c r="I45" s="154">
        <f t="shared" ref="I45:I60" si="4">SUMIF($C$12:$C$36,$C45,$N$12:$N$36)</f>
        <v>49331340.794428959</v>
      </c>
      <c r="J45" s="254">
        <f>+I45/$E$13*100</f>
        <v>5.9324386440276777</v>
      </c>
      <c r="L45" s="154">
        <f t="shared" ref="L45:L65" si="5">I45-E45</f>
        <v>1588265.2408418134</v>
      </c>
      <c r="N45" s="254">
        <f>+L45/$E$13*100</f>
        <v>0.19099999999999936</v>
      </c>
      <c r="O45" s="272"/>
    </row>
    <row r="46" spans="1:16" ht="14" x14ac:dyDescent="0.3">
      <c r="A46" s="151">
        <f>IF(B46&lt;&gt;"",COUNTA($B$11:B46),"")</f>
        <v>30</v>
      </c>
      <c r="B46" s="130" t="str">
        <f>'R1 EMA'!B46</f>
        <v>Revenue Decoupling</v>
      </c>
      <c r="C46" s="253" t="str">
        <f>'R1 EMA'!C46</f>
        <v>RDAF</v>
      </c>
      <c r="D46" s="253"/>
      <c r="E46" s="154">
        <f t="shared" si="3"/>
        <v>623664.36158710159</v>
      </c>
      <c r="G46" s="254">
        <f t="shared" ref="G46:G66" si="6">+E46/$E$13*100</f>
        <v>7.4999999999999997E-2</v>
      </c>
      <c r="I46" s="154">
        <f t="shared" si="4"/>
        <v>-474624.458977809</v>
      </c>
      <c r="J46" s="254">
        <f t="shared" ref="J46:J66" si="7">+I46/$E$13*100</f>
        <v>-5.7076909658183482E-2</v>
      </c>
      <c r="L46" s="154">
        <f>I46-E46</f>
        <v>-1098288.8205649105</v>
      </c>
      <c r="N46" s="254">
        <f t="shared" ref="N46:N66" si="8">+L46/$E$13*100</f>
        <v>-0.13207690965818347</v>
      </c>
      <c r="O46" s="272"/>
    </row>
    <row r="47" spans="1:16" ht="14" x14ac:dyDescent="0.3">
      <c r="A47" s="151">
        <f>IF(B47&lt;&gt;"",COUNTA($B$11:B47),"")</f>
        <v>31</v>
      </c>
      <c r="B47" s="130" t="str">
        <f>'R1 EMA'!B47</f>
        <v>Residential Assistance Adjustment Factor</v>
      </c>
      <c r="C47" s="253" t="str">
        <f>'R1 EMA'!C47</f>
        <v>RAAF</v>
      </c>
      <c r="D47" s="253"/>
      <c r="E47" s="154">
        <f t="shared" si="3"/>
        <v>11001439.338396473</v>
      </c>
      <c r="G47" s="254">
        <f t="shared" si="6"/>
        <v>1.323</v>
      </c>
      <c r="I47" s="154">
        <f t="shared" si="4"/>
        <v>4009755.0764275263</v>
      </c>
      <c r="J47" s="254">
        <f t="shared" si="7"/>
        <v>0.48220108323451794</v>
      </c>
      <c r="L47" s="154">
        <f t="shared" si="5"/>
        <v>-6991684.2619689461</v>
      </c>
      <c r="N47" s="254">
        <f t="shared" si="8"/>
        <v>-0.84079891676548202</v>
      </c>
      <c r="O47" s="272"/>
    </row>
    <row r="48" spans="1:16" ht="14" x14ac:dyDescent="0.3">
      <c r="A48" s="151">
        <f>IF(B48&lt;&gt;"",COUNTA($B$11:B48),"")</f>
        <v>32</v>
      </c>
      <c r="B48" s="130" t="str">
        <f>'R1 EMA'!B48</f>
        <v>Pension Adjustment Factor</v>
      </c>
      <c r="C48" s="253" t="str">
        <f>'R1 EMA'!C48</f>
        <v>PAF</v>
      </c>
      <c r="D48" s="253"/>
      <c r="E48" s="154">
        <f t="shared" si="3"/>
        <v>1189120.0494260737</v>
      </c>
      <c r="G48" s="254">
        <f t="shared" si="6"/>
        <v>0.14299999999999999</v>
      </c>
      <c r="I48" s="154">
        <f t="shared" si="4"/>
        <v>773802.11950258131</v>
      </c>
      <c r="J48" s="254">
        <f t="shared" si="7"/>
        <v>9.3055115118339735E-2</v>
      </c>
      <c r="L48" s="154">
        <f t="shared" si="5"/>
        <v>-415317.92992349237</v>
      </c>
      <c r="N48" s="254">
        <f t="shared" si="8"/>
        <v>-4.9944884881660261E-2</v>
      </c>
      <c r="O48" s="272"/>
    </row>
    <row r="49" spans="1:15" ht="14" x14ac:dyDescent="0.3">
      <c r="A49" s="151">
        <f>IF(B49&lt;&gt;"",COUNTA($B$11:B49),"")</f>
        <v>33</v>
      </c>
      <c r="B49" s="130" t="str">
        <f>'R1 EMA'!B49</f>
        <v>Net Metering Recovery Surcharge</v>
      </c>
      <c r="C49" s="253" t="str">
        <f>'R1 EMA'!C49</f>
        <v>NMRS</v>
      </c>
      <c r="D49" s="253"/>
      <c r="E49" s="154">
        <f t="shared" si="3"/>
        <v>4781426.7721677786</v>
      </c>
      <c r="G49" s="254">
        <f t="shared" si="6"/>
        <v>0.57499999999999996</v>
      </c>
      <c r="I49" s="154">
        <f t="shared" si="4"/>
        <v>5228398.9815055905</v>
      </c>
      <c r="J49" s="254">
        <f t="shared" si="7"/>
        <v>0.62875153330074318</v>
      </c>
      <c r="L49" s="154">
        <f t="shared" si="5"/>
        <v>446972.20933781192</v>
      </c>
      <c r="N49" s="254">
        <f t="shared" si="8"/>
        <v>5.3751533300743282E-2</v>
      </c>
      <c r="O49" s="272"/>
    </row>
    <row r="50" spans="1:15" ht="14" x14ac:dyDescent="0.3">
      <c r="A50" s="151">
        <f>IF(B50&lt;&gt;"",COUNTA($B$11:B50),"")</f>
        <v>34</v>
      </c>
      <c r="B50" s="130" t="str">
        <f>'R1 EMA'!B50</f>
        <v>Long Term Renewable Contract Adjustment</v>
      </c>
      <c r="C50" s="253" t="str">
        <f>'R1 EMA'!C50</f>
        <v>LTRCA</v>
      </c>
      <c r="D50" s="253"/>
      <c r="E50" s="154">
        <f t="shared" si="3"/>
        <v>2752438.7158044083</v>
      </c>
      <c r="G50" s="254">
        <f t="shared" si="6"/>
        <v>0.33100000000000002</v>
      </c>
      <c r="I50" s="154">
        <f t="shared" si="4"/>
        <v>1443336.3521135165</v>
      </c>
      <c r="J50" s="254">
        <f t="shared" si="7"/>
        <v>0.17357128782064518</v>
      </c>
      <c r="L50" s="154">
        <f t="shared" si="5"/>
        <v>-1309102.3636908918</v>
      </c>
      <c r="N50" s="254">
        <f t="shared" si="8"/>
        <v>-0.15742871217935481</v>
      </c>
      <c r="O50" s="272"/>
    </row>
    <row r="51" spans="1:15" ht="14" x14ac:dyDescent="0.3">
      <c r="A51" s="151">
        <f>IF(B51&lt;&gt;"",COUNTA($B$11:B51),"")</f>
        <v>35</v>
      </c>
      <c r="B51" s="130" t="str">
        <f>'R1 EMA'!B51</f>
        <v>AG Consulting Expense</v>
      </c>
      <c r="C51" s="253" t="str">
        <f>'R1 EMA'!C51</f>
        <v>AGCE</v>
      </c>
      <c r="D51" s="253"/>
      <c r="E51" s="154">
        <f t="shared" si="3"/>
        <v>33262.099284645425</v>
      </c>
      <c r="G51" s="254">
        <f t="shared" si="6"/>
        <v>4.0000000000000001E-3</v>
      </c>
      <c r="I51" s="154">
        <f t="shared" si="4"/>
        <v>8418.9898961714771</v>
      </c>
      <c r="J51" s="254">
        <f t="shared" si="7"/>
        <v>1.0124423986742031E-3</v>
      </c>
      <c r="L51" s="154">
        <f t="shared" si="5"/>
        <v>-24843.109388473946</v>
      </c>
      <c r="N51" s="254">
        <f t="shared" si="8"/>
        <v>-2.9875576013257974E-3</v>
      </c>
      <c r="O51" s="272"/>
    </row>
    <row r="52" spans="1:15" ht="14" x14ac:dyDescent="0.3">
      <c r="A52" s="151">
        <f>IF(B52&lt;&gt;"",COUNTA($B$11:B52),"")</f>
        <v>36</v>
      </c>
      <c r="B52" s="130" t="str">
        <f>'R1 EMA'!B52</f>
        <v>Storm Cost Recovery Adjustment Factor</v>
      </c>
      <c r="C52" s="253" t="str">
        <f>'R1 EMA'!C52</f>
        <v>SCRA</v>
      </c>
      <c r="D52" s="253"/>
      <c r="E52" s="154">
        <f t="shared" si="3"/>
        <v>2552866.1200965359</v>
      </c>
      <c r="G52" s="254">
        <f t="shared" si="6"/>
        <v>0.307</v>
      </c>
      <c r="I52" s="154">
        <f t="shared" si="4"/>
        <v>3052628.0761303012</v>
      </c>
      <c r="J52" s="254">
        <f t="shared" si="7"/>
        <v>0.36709986943481554</v>
      </c>
      <c r="L52" s="154">
        <f>I52-E52</f>
        <v>499761.95603376534</v>
      </c>
      <c r="N52" s="254">
        <f t="shared" si="8"/>
        <v>6.0099869434815552E-2</v>
      </c>
      <c r="O52" s="272"/>
    </row>
    <row r="53" spans="1:15" ht="14" x14ac:dyDescent="0.3">
      <c r="A53" s="151">
        <f>IF(B53&lt;&gt;"",COUNTA($B$11:B53),"")</f>
        <v>37</v>
      </c>
      <c r="B53" s="130" t="str">
        <f>'R1 EMA'!B53</f>
        <v>Storm Reserve Adjustment</v>
      </c>
      <c r="C53" s="253" t="str">
        <f>'R1 EMA'!C53</f>
        <v>SRA</v>
      </c>
      <c r="D53" s="253"/>
      <c r="E53" s="154">
        <f t="shared" si="3"/>
        <v>0</v>
      </c>
      <c r="G53" s="254">
        <f t="shared" si="6"/>
        <v>0</v>
      </c>
      <c r="I53" s="154">
        <f t="shared" si="4"/>
        <v>0</v>
      </c>
      <c r="J53" s="254">
        <f t="shared" si="7"/>
        <v>0</v>
      </c>
      <c r="L53" s="154">
        <f>I53-E53</f>
        <v>0</v>
      </c>
      <c r="N53" s="254">
        <f t="shared" si="8"/>
        <v>0</v>
      </c>
      <c r="O53" s="272"/>
    </row>
    <row r="54" spans="1:15" ht="14" x14ac:dyDescent="0.3">
      <c r="A54" s="151">
        <f>IF(B54&lt;&gt;"",COUNTA($B$11:B54),"")</f>
        <v>38</v>
      </c>
      <c r="B54" s="130" t="str">
        <f>'R1 EMA'!B54</f>
        <v>Basic Service Cost True Up Factor</v>
      </c>
      <c r="C54" s="253" t="str">
        <f>'R1 EMA'!C54</f>
        <v>BSTF</v>
      </c>
      <c r="D54" s="253"/>
      <c r="E54" s="154">
        <f t="shared" si="3"/>
        <v>224519.17017135659</v>
      </c>
      <c r="G54" s="254">
        <f t="shared" si="6"/>
        <v>2.7E-2</v>
      </c>
      <c r="I54" s="154">
        <f t="shared" si="4"/>
        <v>-198973.87262067787</v>
      </c>
      <c r="J54" s="254">
        <f t="shared" si="7"/>
        <v>-2.3927999362629401E-2</v>
      </c>
      <c r="L54" s="154">
        <f t="shared" ref="L54:L60" si="9">I54-E54</f>
        <v>-423493.04279203445</v>
      </c>
      <c r="N54" s="254">
        <f t="shared" si="8"/>
        <v>-5.0927999362629407E-2</v>
      </c>
      <c r="O54" s="272"/>
    </row>
    <row r="55" spans="1:15" ht="14" x14ac:dyDescent="0.3">
      <c r="A55" s="151">
        <f>IF(B55&lt;&gt;"",COUNTA($B$11:B55),"")</f>
        <v>39</v>
      </c>
      <c r="B55" s="130" t="str">
        <f>'R1 EMA'!B55</f>
        <v>Solar Program Cost Adjustment Factor</v>
      </c>
      <c r="C55" s="253" t="str">
        <f>'R1 EMA'!C55</f>
        <v>SPCA</v>
      </c>
      <c r="D55" s="253"/>
      <c r="E55" s="154">
        <f t="shared" si="3"/>
        <v>-133048.3971385817</v>
      </c>
      <c r="G55" s="254">
        <f t="shared" si="6"/>
        <v>-1.6E-2</v>
      </c>
      <c r="I55" s="154">
        <f t="shared" si="4"/>
        <v>35410.289258851437</v>
      </c>
      <c r="J55" s="254">
        <f t="shared" si="7"/>
        <v>4.2583348640532342E-3</v>
      </c>
      <c r="L55" s="154">
        <f t="shared" si="9"/>
        <v>168458.68639743314</v>
      </c>
      <c r="N55" s="254">
        <f t="shared" si="8"/>
        <v>2.0258334864053238E-2</v>
      </c>
    </row>
    <row r="56" spans="1:15" ht="14" x14ac:dyDescent="0.3">
      <c r="A56" s="151">
        <f>IF(B56&lt;&gt;"",COUNTA($B$11:B56),"")</f>
        <v>40</v>
      </c>
      <c r="B56" s="130" t="str">
        <f>'R1 EMA'!B56</f>
        <v>Solar Expansion Cost Recovery Factor</v>
      </c>
      <c r="C56" s="253" t="str">
        <f>'R1 EMA'!C56</f>
        <v>SECRF</v>
      </c>
      <c r="D56" s="253"/>
      <c r="E56" s="154">
        <f t="shared" si="3"/>
        <v>0</v>
      </c>
      <c r="G56" s="254">
        <f t="shared" si="6"/>
        <v>0</v>
      </c>
      <c r="I56" s="154">
        <f t="shared" si="4"/>
        <v>624556.49349075893</v>
      </c>
      <c r="J56" s="254">
        <f t="shared" si="7"/>
        <v>7.5107285098997847E-2</v>
      </c>
      <c r="L56" s="154">
        <f t="shared" si="9"/>
        <v>624556.49349075893</v>
      </c>
      <c r="N56" s="254">
        <f t="shared" si="8"/>
        <v>7.5107285098997847E-2</v>
      </c>
    </row>
    <row r="57" spans="1:15" ht="14" x14ac:dyDescent="0.3">
      <c r="A57" s="151">
        <f>IF(B57&lt;&gt;"",COUNTA($B$11:B57),"")</f>
        <v>41</v>
      </c>
      <c r="B57" s="130" t="str">
        <f>'R1 EMA'!B57</f>
        <v>Vegetation Management</v>
      </c>
      <c r="C57" s="253" t="str">
        <f>'R1 EMA'!C57</f>
        <v>RTWF</v>
      </c>
      <c r="D57" s="253"/>
      <c r="E57" s="154">
        <f t="shared" si="3"/>
        <v>0</v>
      </c>
      <c r="G57" s="254">
        <f t="shared" si="6"/>
        <v>0</v>
      </c>
      <c r="I57" s="154">
        <f t="shared" si="4"/>
        <v>1385367.3268297252</v>
      </c>
      <c r="J57" s="254">
        <f t="shared" si="7"/>
        <v>0.1666001072240493</v>
      </c>
      <c r="L57" s="154">
        <f t="shared" si="9"/>
        <v>1385367.3268297252</v>
      </c>
      <c r="N57" s="254">
        <f t="shared" si="8"/>
        <v>0.1666001072240493</v>
      </c>
    </row>
    <row r="58" spans="1:15" ht="14" x14ac:dyDescent="0.3">
      <c r="A58" s="151">
        <f>IF(B58&lt;&gt;"",COUNTA($B$11:B58),"")</f>
        <v>42</v>
      </c>
      <c r="B58" s="130" t="str">
        <f>'R1 EMA'!B58</f>
        <v>Solar Massachusetts Renewable Target</v>
      </c>
      <c r="C58" s="253" t="str">
        <f>'R1 EMA'!C58</f>
        <v>SMART</v>
      </c>
      <c r="D58" s="253"/>
      <c r="E58" s="154">
        <f t="shared" si="3"/>
        <v>0</v>
      </c>
      <c r="G58" s="254">
        <f t="shared" si="6"/>
        <v>0</v>
      </c>
      <c r="I58" s="154">
        <f t="shared" si="4"/>
        <v>731755.57517661492</v>
      </c>
      <c r="J58" s="254">
        <f t="shared" si="7"/>
        <v>8.7998724183282181E-2</v>
      </c>
      <c r="L58" s="154">
        <f t="shared" si="9"/>
        <v>731755.57517661492</v>
      </c>
      <c r="N58" s="254">
        <f t="shared" si="8"/>
        <v>8.7998724183282181E-2</v>
      </c>
    </row>
    <row r="59" spans="1:15" ht="14" x14ac:dyDescent="0.3">
      <c r="A59" s="151">
        <f>IF(B59&lt;&gt;"",COUNTA($B$11:B59),"")</f>
        <v>43</v>
      </c>
      <c r="B59" s="130" t="str">
        <f>'R1 EMA'!B59</f>
        <v>Tax Act Credit Factor</v>
      </c>
      <c r="C59" s="253" t="str">
        <f>'R1 EMA'!C59</f>
        <v>TACF</v>
      </c>
      <c r="D59" s="253"/>
      <c r="E59" s="154">
        <f t="shared" si="3"/>
        <v>0</v>
      </c>
      <c r="G59" s="254">
        <f t="shared" si="6"/>
        <v>0</v>
      </c>
      <c r="I59" s="154">
        <f t="shared" si="4"/>
        <v>-1107755.6949682098</v>
      </c>
      <c r="J59" s="254">
        <f t="shared" si="7"/>
        <v>-0.13321536749540958</v>
      </c>
      <c r="L59" s="154">
        <f t="shared" si="9"/>
        <v>-1107755.6949682098</v>
      </c>
      <c r="N59" s="254">
        <f t="shared" si="8"/>
        <v>-0.13321536749540958</v>
      </c>
    </row>
    <row r="60" spans="1:15" ht="14" x14ac:dyDescent="0.3">
      <c r="A60" s="151">
        <f>IF(B60&lt;&gt;"",COUNTA($B$11:B60),"")</f>
        <v>44</v>
      </c>
      <c r="B60" s="130" t="str">
        <f>'R1 EMA'!B60</f>
        <v>Transition</v>
      </c>
      <c r="C60" s="253" t="str">
        <f>'R1 EMA'!C60</f>
        <v>TRNSN</v>
      </c>
      <c r="D60" s="253"/>
      <c r="E60" s="154">
        <f t="shared" si="3"/>
        <v>-1421954.7444185917</v>
      </c>
      <c r="G60" s="254">
        <f t="shared" si="6"/>
        <v>-0.17100000000000001</v>
      </c>
      <c r="I60" s="154">
        <f t="shared" si="4"/>
        <v>-433316.35554525023</v>
      </c>
      <c r="J60" s="254">
        <f t="shared" si="7"/>
        <v>-5.2109321403568713E-2</v>
      </c>
      <c r="L60" s="154">
        <f t="shared" si="9"/>
        <v>988638.38887334149</v>
      </c>
      <c r="N60" s="254">
        <f t="shared" si="8"/>
        <v>0.11889067859643129</v>
      </c>
    </row>
    <row r="61" spans="1:15" ht="14" x14ac:dyDescent="0.3">
      <c r="A61" s="151">
        <f>IF(B61&lt;&gt;"",COUNTA($B$11:B61),"")</f>
        <v>45</v>
      </c>
      <c r="B61" s="130" t="str">
        <f>'R1 EMA'!B61</f>
        <v>Transmission</v>
      </c>
      <c r="C61" s="253" t="str">
        <f>'R1 EMA'!C61</f>
        <v>TRNSM</v>
      </c>
      <c r="D61" s="253"/>
      <c r="E61" s="154">
        <f>SUM(SUMIF($C$12:$C$36,{"TMKW","TMKWH"},$I$12:$I$36))</f>
        <v>23258522.924788307</v>
      </c>
      <c r="G61" s="254">
        <f t="shared" si="6"/>
        <v>2.7969999999999997</v>
      </c>
      <c r="I61" s="154">
        <f>SUM(SUMIF($C$12:$C$36,{"TMKW","TMKWH"},$N$12:$N$36))</f>
        <v>21495939.971314188</v>
      </c>
      <c r="J61" s="254">
        <f t="shared" si="7"/>
        <v>2.5850370762662269</v>
      </c>
      <c r="L61" s="154">
        <f t="shared" si="5"/>
        <v>-1762582.9534741193</v>
      </c>
      <c r="N61" s="254">
        <f t="shared" si="8"/>
        <v>-0.21196292373377285</v>
      </c>
    </row>
    <row r="62" spans="1:15" ht="14" x14ac:dyDescent="0.3">
      <c r="A62" s="151">
        <f>IF(B62&lt;&gt;"",COUNTA($B$11:B62),"")</f>
        <v>46</v>
      </c>
      <c r="B62" s="130" t="str">
        <f>'R1 EMA'!B62</f>
        <v>Energy Efficiency Reconciliation Factor</v>
      </c>
      <c r="C62" s="253" t="str">
        <f>'R1 EMA'!C62</f>
        <v>EERF</v>
      </c>
      <c r="D62" s="253"/>
      <c r="E62" s="154">
        <f>SUMIF($C$12:$C$36,$C62,$I$12:$I$36)</f>
        <v>11658365.79926822</v>
      </c>
      <c r="G62" s="254">
        <f t="shared" si="6"/>
        <v>1.4019999999999999</v>
      </c>
      <c r="I62" s="154">
        <f>SUMIF($C$12:$C$36,$C62,$N$12:$N$36)</f>
        <v>11658365.79926822</v>
      </c>
      <c r="J62" s="254">
        <f t="shared" si="7"/>
        <v>1.4019999999999999</v>
      </c>
      <c r="L62" s="154">
        <f t="shared" si="5"/>
        <v>0</v>
      </c>
      <c r="N62" s="254">
        <f t="shared" si="8"/>
        <v>0</v>
      </c>
    </row>
    <row r="63" spans="1:15" ht="14" x14ac:dyDescent="0.3">
      <c r="A63" s="151">
        <f>IF(B63&lt;&gt;"",COUNTA($B$11:B63),"")</f>
        <v>47</v>
      </c>
      <c r="B63" s="130" t="str">
        <f>'R1 EMA'!B63</f>
        <v>System Benefits Charge</v>
      </c>
      <c r="C63" s="253" t="str">
        <f>'R1 EMA'!C63</f>
        <v>SBC</v>
      </c>
      <c r="D63" s="253"/>
      <c r="E63" s="154">
        <f>SUMIF($C$12:$C$36,$C63,$I$12:$I$36)</f>
        <v>2078881.2052903387</v>
      </c>
      <c r="G63" s="254">
        <f t="shared" si="6"/>
        <v>0.25</v>
      </c>
      <c r="I63" s="154">
        <f>SUMIF($C$12:$C$36,$C63,$N$12:$N$36)</f>
        <v>2078881.2052903387</v>
      </c>
      <c r="J63" s="254">
        <f t="shared" si="7"/>
        <v>0.25</v>
      </c>
      <c r="L63" s="154">
        <f t="shared" si="5"/>
        <v>0</v>
      </c>
      <c r="N63" s="254">
        <f t="shared" si="8"/>
        <v>0</v>
      </c>
    </row>
    <row r="64" spans="1:15" ht="14" x14ac:dyDescent="0.3">
      <c r="A64" s="151">
        <f>IF(B64&lt;&gt;"",COUNTA($B$11:B64),"")</f>
        <v>48</v>
      </c>
      <c r="B64" s="130" t="str">
        <f>'R1 EMA'!B64</f>
        <v>Renewable Energy Charge</v>
      </c>
      <c r="C64" s="253" t="str">
        <f>'R1 EMA'!C64</f>
        <v>RNEW</v>
      </c>
      <c r="D64" s="253"/>
      <c r="E64" s="154">
        <f>SUMIF($C$12:$C$36,$C64,$I$12:$I$36)</f>
        <v>415776.24105806777</v>
      </c>
      <c r="G64" s="254">
        <f t="shared" si="6"/>
        <v>0.05</v>
      </c>
      <c r="I64" s="154">
        <f>SUMIF($C$12:$C$36,$C64,$N$12:$N$36)</f>
        <v>415776.24105806777</v>
      </c>
      <c r="J64" s="254">
        <f t="shared" si="7"/>
        <v>0.05</v>
      </c>
      <c r="L64" s="154">
        <f>I64-E64</f>
        <v>0</v>
      </c>
      <c r="N64" s="254">
        <f t="shared" si="8"/>
        <v>0</v>
      </c>
    </row>
    <row r="65" spans="1:14" ht="14" x14ac:dyDescent="0.3">
      <c r="A65" s="151">
        <f>IF(B65&lt;&gt;"",COUNTA($B$11:B65),"")</f>
        <v>49</v>
      </c>
      <c r="B65" s="130" t="str">
        <f>'R1 EMA'!B65</f>
        <v>Basic Service Charge</v>
      </c>
      <c r="C65" s="253" t="str">
        <f>'R1 EMA'!C65</f>
        <v>BS</v>
      </c>
      <c r="D65" s="253"/>
      <c r="E65" s="255">
        <f>SUMIF($C$12:$C$36,$C65,$I$12:$I$36)</f>
        <v>83180194.786077023</v>
      </c>
      <c r="F65" s="256"/>
      <c r="G65" s="257">
        <f t="shared" si="6"/>
        <v>10.003</v>
      </c>
      <c r="H65" s="258"/>
      <c r="I65" s="255">
        <f>SUMIF($C$12:$C$36,$C65,$N$12:$N$36)</f>
        <v>97108698.861522302</v>
      </c>
      <c r="J65" s="257">
        <f t="shared" si="7"/>
        <v>11.677999999999999</v>
      </c>
      <c r="K65" s="255"/>
      <c r="L65" s="255">
        <f t="shared" si="5"/>
        <v>13928504.075445279</v>
      </c>
      <c r="M65" s="259"/>
      <c r="N65" s="257">
        <f t="shared" si="8"/>
        <v>1.6750000000000012</v>
      </c>
    </row>
    <row r="66" spans="1:14" ht="14" x14ac:dyDescent="0.3">
      <c r="A66" s="151">
        <f>IF(B66&lt;&gt;"",COUNTA($B$11:B66),"")</f>
        <v>50</v>
      </c>
      <c r="B66" s="130" t="str">
        <f>'R1 EMA'!B66</f>
        <v>Total</v>
      </c>
      <c r="C66" s="130"/>
      <c r="D66" s="130"/>
      <c r="E66" s="154">
        <f>SUM(E45:E65)</f>
        <v>189938549.99544629</v>
      </c>
      <c r="G66" s="254">
        <f t="shared" si="6"/>
        <v>22.841438644027676</v>
      </c>
      <c r="I66" s="154">
        <f>SUM(I45:I65)</f>
        <v>197167761.77110174</v>
      </c>
      <c r="J66" s="254">
        <f t="shared" si="7"/>
        <v>23.710801905052229</v>
      </c>
      <c r="L66" s="154">
        <f>SUM(L45:L65)</f>
        <v>7229211.7756554661</v>
      </c>
      <c r="N66" s="254">
        <f t="shared" si="8"/>
        <v>0.86936326102455519</v>
      </c>
    </row>
    <row r="67" spans="1:14" ht="14" x14ac:dyDescent="0.3">
      <c r="A67" s="151"/>
    </row>
    <row r="68" spans="1:14" ht="14" x14ac:dyDescent="0.3">
      <c r="A68" s="151"/>
      <c r="B68" s="188" t="str">
        <f>'R1 EMA'!B69</f>
        <v>Col. (a): Company's forecast</v>
      </c>
      <c r="E68" s="188"/>
      <c r="G68" s="188"/>
      <c r="H68" s="188"/>
      <c r="I68" s="188"/>
      <c r="J68" s="188"/>
      <c r="K68" s="188"/>
      <c r="L68" s="188"/>
      <c r="M68" s="188"/>
      <c r="N68" s="188"/>
    </row>
    <row r="69" spans="1:14" ht="14" x14ac:dyDescent="0.3">
      <c r="A69" s="151"/>
      <c r="B69" s="188" t="str">
        <f>'R1 EMA'!B70</f>
        <v>Col. (b): Current rates</v>
      </c>
    </row>
    <row r="70" spans="1:14" ht="14" x14ac:dyDescent="0.3">
      <c r="A70" s="151"/>
      <c r="B70" s="188" t="str">
        <f>'R1 EMA'!B71</f>
        <v>Col. (c): Col. (a) x Col. (b)</v>
      </c>
    </row>
    <row r="71" spans="1:14" ht="14" x14ac:dyDescent="0.3">
      <c r="A71" s="151"/>
      <c r="B71" s="188" t="str">
        <f>'R1 EMA'!B72</f>
        <v>Col. (e): Proposed rates</v>
      </c>
    </row>
    <row r="72" spans="1:14" ht="14" x14ac:dyDescent="0.3">
      <c r="A72" s="151"/>
      <c r="B72" s="188" t="str">
        <f>'R1 EMA'!B73</f>
        <v>Col. (f): Col. (a), Line 1 or Line 2  x Col. (e)</v>
      </c>
    </row>
    <row r="73" spans="1:14" ht="14" x14ac:dyDescent="0.3">
      <c r="A73" s="151"/>
      <c r="B73" s="188"/>
    </row>
  </sheetData>
  <mergeCells count="8">
    <mergeCell ref="E42:G42"/>
    <mergeCell ref="I42:J42"/>
    <mergeCell ref="L42:N42"/>
    <mergeCell ref="A4:N4"/>
    <mergeCell ref="A5:N5"/>
    <mergeCell ref="A7:N7"/>
    <mergeCell ref="G8:I8"/>
    <mergeCell ref="L8:N8"/>
  </mergeCells>
  <pageMargins left="0.7" right="0.7" top="0.75" bottom="0.75" header="0.3" footer="0.3"/>
  <pageSetup scale="63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A3A38-C1A2-47B4-804E-BEC6510CF325}">
  <sheetPr>
    <tabColor theme="3" tint="0.59999389629810485"/>
    <pageSetUpPr fitToPage="1"/>
  </sheetPr>
  <dimension ref="A1:AF114"/>
  <sheetViews>
    <sheetView zoomScaleNormal="100" workbookViewId="0"/>
  </sheetViews>
  <sheetFormatPr defaultRowHeight="12.5" x14ac:dyDescent="0.25"/>
  <cols>
    <col min="1" max="1" width="4" customWidth="1"/>
    <col min="2" max="2" width="4.453125" bestFit="1" customWidth="1"/>
    <col min="3" max="3" width="9.7265625" customWidth="1"/>
    <col min="4" max="4" width="10.7265625" customWidth="1"/>
    <col min="5" max="7" width="14.54296875" customWidth="1"/>
    <col min="8" max="8" width="1.7265625" customWidth="1"/>
    <col min="9" max="11" width="14.54296875" customWidth="1"/>
    <col min="12" max="12" width="1.7265625" customWidth="1"/>
    <col min="13" max="14" width="11.7265625" customWidth="1"/>
    <col min="15" max="16" width="10.1796875" bestFit="1" customWidth="1"/>
    <col min="17" max="17" width="11.81640625" bestFit="1" customWidth="1"/>
    <col min="18" max="19" width="9.26953125" bestFit="1" customWidth="1"/>
  </cols>
  <sheetData>
    <row r="1" spans="1:32" ht="14" x14ac:dyDescent="0.3">
      <c r="C1" s="528"/>
      <c r="D1" s="675"/>
      <c r="E1" s="675"/>
      <c r="F1" s="675"/>
      <c r="G1" s="528"/>
    </row>
    <row r="2" spans="1:32" ht="14" x14ac:dyDescent="0.3">
      <c r="C2" s="676"/>
      <c r="D2" s="585"/>
      <c r="E2" s="676"/>
      <c r="F2" s="585"/>
      <c r="G2" s="528"/>
      <c r="H2" s="676"/>
      <c r="I2" s="676"/>
      <c r="J2" s="676"/>
      <c r="K2" s="676"/>
      <c r="L2" s="676"/>
    </row>
    <row r="3" spans="1:32" ht="14" x14ac:dyDescent="0.3">
      <c r="A3" s="593"/>
      <c r="B3" s="593"/>
      <c r="C3" s="676"/>
      <c r="D3" s="676"/>
      <c r="E3" s="676"/>
      <c r="F3" s="676"/>
      <c r="G3" s="528"/>
      <c r="H3" s="676"/>
      <c r="I3" s="676"/>
      <c r="J3" s="676"/>
      <c r="K3" s="676"/>
      <c r="L3" s="676"/>
    </row>
    <row r="4" spans="1:32" ht="14" x14ac:dyDescent="0.3">
      <c r="A4" s="757" t="str">
        <f>+'Bill_WMA 23'!A4</f>
        <v>Western Massachusetts</v>
      </c>
      <c r="B4" s="757"/>
      <c r="C4" s="757"/>
      <c r="D4" s="757"/>
      <c r="E4" s="757"/>
      <c r="F4" s="757"/>
      <c r="G4" s="757"/>
      <c r="H4" s="757"/>
      <c r="I4" s="757"/>
      <c r="J4" s="757"/>
      <c r="K4" s="757"/>
      <c r="L4" s="757"/>
      <c r="M4" s="757"/>
      <c r="N4" s="757"/>
    </row>
    <row r="5" spans="1:32" ht="14" x14ac:dyDescent="0.3">
      <c r="A5" s="757" t="str">
        <f>+'Bill_WMA 23'!A5</f>
        <v>Calculation of Monthly Typical Bill</v>
      </c>
      <c r="B5" s="757"/>
      <c r="C5" s="757"/>
      <c r="D5" s="757"/>
      <c r="E5" s="757"/>
      <c r="F5" s="757"/>
      <c r="G5" s="757"/>
      <c r="H5" s="757"/>
      <c r="I5" s="757"/>
      <c r="J5" s="757"/>
      <c r="K5" s="757"/>
      <c r="L5" s="757"/>
      <c r="M5" s="757"/>
      <c r="N5" s="757"/>
    </row>
    <row r="6" spans="1:32" ht="14" x14ac:dyDescent="0.3">
      <c r="A6" s="757" t="str">
        <f>+'Bill_WMA 23'!A6</f>
        <v>Proposed January 1, 2019</v>
      </c>
      <c r="B6" s="757"/>
      <c r="C6" s="757"/>
      <c r="D6" s="757"/>
      <c r="E6" s="757"/>
      <c r="F6" s="757"/>
      <c r="G6" s="757"/>
      <c r="H6" s="757"/>
      <c r="I6" s="757"/>
      <c r="J6" s="757"/>
      <c r="K6" s="757"/>
      <c r="L6" s="757"/>
      <c r="M6" s="757"/>
      <c r="N6" s="757"/>
    </row>
    <row r="7" spans="1:32" ht="14" x14ac:dyDescent="0.3">
      <c r="A7" s="518"/>
      <c r="B7" s="518"/>
      <c r="D7" s="555"/>
      <c r="E7" s="555"/>
      <c r="F7" s="555"/>
      <c r="G7" s="676"/>
      <c r="H7" s="676"/>
      <c r="I7" s="676"/>
      <c r="J7" s="676"/>
      <c r="K7" s="676"/>
      <c r="L7" s="676"/>
    </row>
    <row r="8" spans="1:32" ht="14" x14ac:dyDescent="0.3">
      <c r="A8" s="757" t="s">
        <v>518</v>
      </c>
      <c r="B8" s="757"/>
      <c r="C8" s="757"/>
      <c r="D8" s="757"/>
      <c r="E8" s="757"/>
      <c r="F8" s="757"/>
      <c r="G8" s="757"/>
      <c r="H8" s="757"/>
      <c r="I8" s="757"/>
      <c r="J8" s="757"/>
      <c r="K8" s="757"/>
      <c r="L8" s="757"/>
      <c r="M8" s="757"/>
      <c r="N8" s="757"/>
    </row>
    <row r="9" spans="1:32" ht="14" x14ac:dyDescent="0.3">
      <c r="A9" s="518"/>
      <c r="B9" s="518"/>
      <c r="D9" s="676"/>
      <c r="E9" s="676"/>
      <c r="F9" s="676"/>
      <c r="G9" s="676"/>
      <c r="H9" s="676"/>
      <c r="I9" s="676"/>
      <c r="J9" s="676"/>
      <c r="K9" s="676"/>
      <c r="L9" s="676"/>
    </row>
    <row r="10" spans="1:32" ht="14" x14ac:dyDescent="0.3">
      <c r="C10" s="676"/>
      <c r="D10" s="676"/>
      <c r="E10" s="676"/>
      <c r="F10" s="676"/>
      <c r="G10" s="676"/>
      <c r="H10" s="676"/>
      <c r="I10" s="676"/>
      <c r="J10" s="676"/>
      <c r="K10" s="676"/>
      <c r="L10" s="676"/>
    </row>
    <row r="11" spans="1:32" ht="14" x14ac:dyDescent="0.3">
      <c r="A11" s="329">
        <f>IF(C11&lt;&gt;"",COUNTA($C11:C$11),"")</f>
        <v>1</v>
      </c>
      <c r="B11" s="329"/>
      <c r="C11" s="677" t="str">
        <f>+'Bill_WMA G0'!C11</f>
        <v>Monthly</v>
      </c>
      <c r="D11" s="677" t="str">
        <f>+'Bill_WMA G0'!D11</f>
        <v>Monthly</v>
      </c>
      <c r="E11" s="771" t="str">
        <f>+'Bill_WMA 23'!D11</f>
        <v>Current Monthly Bill</v>
      </c>
      <c r="F11" s="771"/>
      <c r="G11" s="771"/>
      <c r="H11" s="676"/>
      <c r="I11" s="771" t="str">
        <f>+'Bill_WMA 23'!H11</f>
        <v>Proposed Monthly Bill</v>
      </c>
      <c r="J11" s="771"/>
      <c r="K11" s="771"/>
      <c r="L11" s="676"/>
      <c r="M11" s="772" t="str">
        <f>+'Bill_WMA 23'!L11</f>
        <v>Total Bill Impact</v>
      </c>
      <c r="N11" s="772"/>
      <c r="O11" s="650"/>
      <c r="P11" s="650"/>
      <c r="Q11" s="650"/>
      <c r="R11" s="650"/>
      <c r="S11" s="650"/>
      <c r="T11" s="650"/>
      <c r="U11" s="650"/>
      <c r="V11" s="650"/>
      <c r="W11" s="650"/>
      <c r="X11" s="650"/>
      <c r="Y11" s="650"/>
      <c r="Z11" s="650"/>
      <c r="AA11" s="650"/>
      <c r="AB11" s="650"/>
      <c r="AC11" s="650"/>
      <c r="AD11" s="650"/>
      <c r="AE11" s="650"/>
      <c r="AF11" s="650"/>
    </row>
    <row r="12" spans="1:32" ht="14" x14ac:dyDescent="0.3">
      <c r="A12" s="329">
        <f>IF(C12&lt;&gt;"",COUNTA($C$11:C12),"")</f>
        <v>2</v>
      </c>
      <c r="B12" s="329"/>
      <c r="C12" s="678" t="str">
        <f>+'Bill_WMA G0'!C12</f>
        <v>kW</v>
      </c>
      <c r="D12" s="678" t="str">
        <f>+'Bill_WMA G0'!D12</f>
        <v>kWh</v>
      </c>
      <c r="E12" s="678" t="str">
        <f>+'Bill_WMA 23'!D12</f>
        <v>Delivery</v>
      </c>
      <c r="F12" s="678" t="str">
        <f>+'Bill_WMA 23'!E12</f>
        <v>Supplier</v>
      </c>
      <c r="G12" s="678" t="str">
        <f>+'Bill_WMA 23'!F12</f>
        <v>Total</v>
      </c>
      <c r="H12" s="676"/>
      <c r="I12" s="678" t="str">
        <f>+'Bill_WMA 23'!H12</f>
        <v>Delivery</v>
      </c>
      <c r="J12" s="678" t="str">
        <f>+'Bill_WMA 23'!I12</f>
        <v>Supplier</v>
      </c>
      <c r="K12" s="678" t="str">
        <f>+'Bill_WMA 23'!J12</f>
        <v>Total</v>
      </c>
      <c r="L12" s="679"/>
      <c r="M12" s="678" t="str">
        <f>+'Bill_WMA 23'!L12</f>
        <v>Change</v>
      </c>
      <c r="N12" s="678" t="str">
        <f>+'Bill_WMA 23'!M12</f>
        <v>% Change</v>
      </c>
      <c r="O12" s="650"/>
      <c r="P12" s="650"/>
      <c r="Q12" s="650"/>
      <c r="R12" s="650"/>
      <c r="S12" s="650"/>
      <c r="T12" s="650"/>
      <c r="U12" s="650"/>
      <c r="V12" s="650"/>
      <c r="W12" s="650"/>
      <c r="X12" s="650"/>
      <c r="Y12" s="650"/>
      <c r="Z12" s="650"/>
      <c r="AA12" s="650"/>
      <c r="AB12" s="650"/>
      <c r="AC12" s="650"/>
      <c r="AD12" s="650"/>
      <c r="AE12" s="650"/>
      <c r="AF12" s="650"/>
    </row>
    <row r="13" spans="1:32" ht="14" x14ac:dyDescent="0.3">
      <c r="A13" s="329" t="str">
        <f>IF(C13&lt;&gt;"",COUNTA($C$11:C13),"")</f>
        <v/>
      </c>
      <c r="C13" s="676"/>
      <c r="D13" s="676"/>
      <c r="E13" s="592"/>
      <c r="H13" s="676"/>
      <c r="I13" s="592"/>
      <c r="J13" s="592"/>
      <c r="K13" s="592"/>
      <c r="L13" s="592"/>
      <c r="M13" s="676"/>
      <c r="N13" s="680"/>
      <c r="O13" s="650"/>
      <c r="P13" s="650"/>
      <c r="Q13" s="650"/>
      <c r="R13" s="650"/>
      <c r="S13" s="650"/>
      <c r="T13" s="650"/>
      <c r="U13" s="650"/>
      <c r="V13" s="650"/>
      <c r="W13" s="650"/>
      <c r="X13" s="650"/>
      <c r="Y13" s="650"/>
      <c r="Z13" s="650"/>
      <c r="AA13" s="650"/>
      <c r="AB13" s="650"/>
      <c r="AC13" s="650"/>
      <c r="AD13" s="650"/>
      <c r="AE13" s="650"/>
      <c r="AF13" s="650"/>
    </row>
    <row r="14" spans="1:32" ht="14" x14ac:dyDescent="0.3">
      <c r="A14" s="329">
        <f>IF(C14&lt;&gt;"",COUNTA($C$11:C14),"")</f>
        <v>3</v>
      </c>
      <c r="C14" s="647" t="str">
        <f>+'Bill_WMA G2'!C14</f>
        <v>Hours Use: 250</v>
      </c>
      <c r="D14" s="647"/>
      <c r="E14" s="592"/>
      <c r="H14" s="676"/>
      <c r="I14" s="592"/>
      <c r="J14" s="592"/>
      <c r="K14" s="592"/>
      <c r="L14" s="592"/>
      <c r="M14" s="676"/>
      <c r="N14" s="680"/>
      <c r="O14" s="650"/>
      <c r="P14" s="650"/>
      <c r="Q14" s="650"/>
      <c r="R14" s="650"/>
      <c r="S14" s="650"/>
      <c r="T14" s="650"/>
      <c r="U14" s="650"/>
      <c r="V14" s="650"/>
      <c r="W14" s="650"/>
      <c r="X14" s="650"/>
      <c r="Y14" s="650"/>
      <c r="Z14" s="650"/>
      <c r="AA14" s="650"/>
      <c r="AB14" s="650"/>
      <c r="AC14" s="650"/>
      <c r="AD14" s="650"/>
      <c r="AE14" s="650"/>
      <c r="AF14" s="650"/>
    </row>
    <row r="15" spans="1:32" ht="14" x14ac:dyDescent="0.3">
      <c r="A15" s="329">
        <f>IF(C15&lt;&gt;"",COUNTA($C$11:C15),"")</f>
        <v>4</v>
      </c>
      <c r="C15" s="592">
        <f>+'Bill_WMA G2'!C15</f>
        <v>50</v>
      </c>
      <c r="D15" s="654">
        <f>+C15*250</f>
        <v>12500</v>
      </c>
      <c r="E15" s="681">
        <f t="shared" ref="E15:E21" si="0">$G$44+$G$45*MIN(50,$C15)+$G$46*MAX(0,$C15-50)+(($G$48*E$71+$G$49*E$72)*$D15)+$C15*$G$47+$D15*SUM($G$50:$G$68)</f>
        <v>1165.9475</v>
      </c>
      <c r="F15" s="681">
        <f t="shared" ref="F15:F21" si="1">+$D15*$G$69</f>
        <v>1423.375</v>
      </c>
      <c r="G15" s="681">
        <f>SUM(E15:F15)</f>
        <v>2589.3225000000002</v>
      </c>
      <c r="H15" s="682"/>
      <c r="I15" s="681">
        <f t="shared" ref="I15:I21" si="2">$I$44+$I$45*MIN(50,$C15)+$I$46*MAX(0,$C15-50)+($I$48*E$71+$I$49*E$72)*$D15+$I$47*$C15+$D15*SUM($I$50:$I$68)</f>
        <v>1073.2725</v>
      </c>
      <c r="J15" s="681">
        <f t="shared" ref="J15:J21" si="3">+$D15*$I$69</f>
        <v>1854.8750000000002</v>
      </c>
      <c r="K15" s="681">
        <f>SUM(I15:J15)</f>
        <v>2928.1475</v>
      </c>
      <c r="L15" s="681"/>
      <c r="M15" s="681">
        <f>K15-G15</f>
        <v>338.82499999999982</v>
      </c>
      <c r="N15" s="571">
        <f>M15/G15</f>
        <v>0.13085469268505556</v>
      </c>
      <c r="O15" s="658"/>
      <c r="P15" s="658"/>
      <c r="Q15" s="658"/>
      <c r="R15" s="658"/>
      <c r="S15" s="658"/>
      <c r="T15" s="658"/>
      <c r="U15" s="658"/>
      <c r="V15" s="658"/>
      <c r="W15" s="658"/>
      <c r="X15" s="658"/>
      <c r="Y15" s="658"/>
      <c r="Z15" s="658"/>
      <c r="AA15" s="658"/>
      <c r="AB15" s="658"/>
      <c r="AC15" s="658"/>
      <c r="AD15" s="658"/>
      <c r="AE15" s="658"/>
      <c r="AF15" s="658">
        <f t="shared" ref="AF15:AF21" si="4">+AE15-K15</f>
        <v>-2928.1475</v>
      </c>
    </row>
    <row r="16" spans="1:32" ht="14" x14ac:dyDescent="0.3">
      <c r="A16" s="329">
        <f>IF(C16&lt;&gt;"",COUNTA($C$11:C16),"")</f>
        <v>5</v>
      </c>
      <c r="C16" s="592">
        <f>+'Bill_WMA G2'!C16</f>
        <v>75</v>
      </c>
      <c r="D16" s="654">
        <f t="shared" ref="D16:D21" si="5">+C16*250</f>
        <v>18750</v>
      </c>
      <c r="E16" s="681">
        <f t="shared" si="0"/>
        <v>1721.6712499999999</v>
      </c>
      <c r="F16" s="681">
        <f t="shared" si="1"/>
        <v>2135.0625</v>
      </c>
      <c r="G16" s="681">
        <f>SUM(E16:F16)</f>
        <v>3856.7337499999999</v>
      </c>
      <c r="H16" s="682"/>
      <c r="I16" s="681">
        <f t="shared" si="2"/>
        <v>1591.1587500000001</v>
      </c>
      <c r="J16" s="681">
        <f t="shared" si="3"/>
        <v>2782.3125000000005</v>
      </c>
      <c r="K16" s="681">
        <f>SUM(I16:J16)</f>
        <v>4373.4712500000005</v>
      </c>
      <c r="L16" s="681"/>
      <c r="M16" s="681">
        <f t="shared" ref="M16:M39" si="6">K16-G16</f>
        <v>516.73750000000064</v>
      </c>
      <c r="N16" s="571">
        <f t="shared" ref="N16:N39" si="7">M16/G16</f>
        <v>0.13398319238397016</v>
      </c>
      <c r="O16" s="658"/>
      <c r="P16" s="658"/>
      <c r="Q16" s="658"/>
      <c r="R16" s="658"/>
      <c r="S16" s="658"/>
      <c r="T16" s="658"/>
      <c r="U16" s="658"/>
      <c r="V16" s="658"/>
      <c r="W16" s="658"/>
      <c r="X16" s="658"/>
      <c r="Y16" s="658"/>
      <c r="Z16" s="658"/>
      <c r="AA16" s="658"/>
      <c r="AB16" s="658"/>
      <c r="AC16" s="658"/>
      <c r="AD16" s="658"/>
      <c r="AE16" s="658"/>
      <c r="AF16" s="658">
        <f t="shared" si="4"/>
        <v>-4373.4712500000005</v>
      </c>
    </row>
    <row r="17" spans="1:32" ht="14" x14ac:dyDescent="0.3">
      <c r="A17" s="329">
        <f>IF(C17&lt;&gt;"",COUNTA($C$11:C17),"")</f>
        <v>6</v>
      </c>
      <c r="C17" s="592">
        <f>+'Bill_WMA G2'!C17</f>
        <v>100</v>
      </c>
      <c r="D17" s="654">
        <f t="shared" si="5"/>
        <v>25000</v>
      </c>
      <c r="E17" s="681">
        <f t="shared" si="0"/>
        <v>2277.395</v>
      </c>
      <c r="F17" s="681">
        <f t="shared" si="1"/>
        <v>2846.75</v>
      </c>
      <c r="G17" s="681">
        <f>SUM(E17:F17)</f>
        <v>5124.1450000000004</v>
      </c>
      <c r="H17" s="682"/>
      <c r="I17" s="681">
        <f t="shared" si="2"/>
        <v>2109.0450000000001</v>
      </c>
      <c r="J17" s="681">
        <f t="shared" si="3"/>
        <v>3709.7500000000005</v>
      </c>
      <c r="K17" s="681">
        <f>SUM(I17:J17)</f>
        <v>5818.7950000000001</v>
      </c>
      <c r="L17" s="681"/>
      <c r="M17" s="681">
        <f t="shared" si="6"/>
        <v>694.64999999999964</v>
      </c>
      <c r="N17" s="571">
        <f t="shared" si="7"/>
        <v>0.13556407947081894</v>
      </c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>
        <f t="shared" si="4"/>
        <v>-5818.7950000000001</v>
      </c>
    </row>
    <row r="18" spans="1:32" ht="14" x14ac:dyDescent="0.3">
      <c r="A18" s="329">
        <f>IF(C18&lt;&gt;"",COUNTA($C$11:C18),"")</f>
        <v>7</v>
      </c>
      <c r="C18" s="592">
        <f>+'Bill_WMA G2'!C18</f>
        <v>150</v>
      </c>
      <c r="D18" s="654">
        <f t="shared" si="5"/>
        <v>37500</v>
      </c>
      <c r="E18" s="681">
        <f t="shared" si="0"/>
        <v>3388.8424999999997</v>
      </c>
      <c r="F18" s="681">
        <f t="shared" si="1"/>
        <v>4270.125</v>
      </c>
      <c r="G18" s="681">
        <f t="shared" ref="G18:G21" si="8">SUM(E18:F18)</f>
        <v>7658.9674999999997</v>
      </c>
      <c r="H18" s="682"/>
      <c r="I18" s="681">
        <f t="shared" si="2"/>
        <v>3144.8175000000001</v>
      </c>
      <c r="J18" s="681">
        <f t="shared" si="3"/>
        <v>5564.6250000000009</v>
      </c>
      <c r="K18" s="681">
        <f t="shared" ref="K18:K21" si="9">SUM(I18:J18)</f>
        <v>8709.442500000001</v>
      </c>
      <c r="L18" s="681"/>
      <c r="M18" s="681">
        <f t="shared" si="6"/>
        <v>1050.4750000000013</v>
      </c>
      <c r="N18" s="571">
        <f t="shared" si="7"/>
        <v>0.13715621589985874</v>
      </c>
      <c r="O18" s="658"/>
      <c r="P18" s="658"/>
      <c r="Q18" s="658"/>
      <c r="R18" s="658"/>
      <c r="S18" s="658"/>
      <c r="T18" s="658"/>
      <c r="U18" s="658"/>
      <c r="V18" s="658"/>
      <c r="W18" s="658"/>
      <c r="X18" s="658"/>
      <c r="Y18" s="658"/>
      <c r="Z18" s="658"/>
      <c r="AA18" s="658"/>
      <c r="AB18" s="658"/>
      <c r="AC18" s="658"/>
      <c r="AD18" s="658"/>
      <c r="AE18" s="658"/>
      <c r="AF18" s="658">
        <f t="shared" si="4"/>
        <v>-8709.442500000001</v>
      </c>
    </row>
    <row r="19" spans="1:32" ht="14" x14ac:dyDescent="0.3">
      <c r="A19" s="329">
        <f>IF(C19&lt;&gt;"",COUNTA($C$11:C19),"")</f>
        <v>8</v>
      </c>
      <c r="C19" s="592">
        <f>+'Bill_WMA G2'!C19</f>
        <v>200</v>
      </c>
      <c r="D19" s="654">
        <f t="shared" si="5"/>
        <v>50000</v>
      </c>
      <c r="E19" s="681">
        <f t="shared" si="0"/>
        <v>4500.29</v>
      </c>
      <c r="F19" s="681">
        <f t="shared" si="1"/>
        <v>5693.5</v>
      </c>
      <c r="G19" s="681">
        <f t="shared" si="8"/>
        <v>10193.790000000001</v>
      </c>
      <c r="H19" s="682"/>
      <c r="I19" s="681">
        <f t="shared" si="2"/>
        <v>4180.59</v>
      </c>
      <c r="J19" s="681">
        <f t="shared" si="3"/>
        <v>7419.5000000000009</v>
      </c>
      <c r="K19" s="681">
        <f t="shared" si="9"/>
        <v>11600.09</v>
      </c>
      <c r="L19" s="681"/>
      <c r="M19" s="681">
        <f t="shared" si="6"/>
        <v>1406.2999999999993</v>
      </c>
      <c r="N19" s="571">
        <f t="shared" si="7"/>
        <v>0.13795654020732223</v>
      </c>
      <c r="O19" s="658"/>
      <c r="P19" s="658"/>
      <c r="Q19" s="658"/>
      <c r="R19" s="658"/>
      <c r="S19" s="658"/>
      <c r="T19" s="658"/>
      <c r="U19" s="658"/>
      <c r="V19" s="658"/>
      <c r="W19" s="658"/>
      <c r="X19" s="658"/>
      <c r="Y19" s="658"/>
      <c r="Z19" s="658"/>
      <c r="AA19" s="658"/>
      <c r="AB19" s="658"/>
      <c r="AC19" s="658"/>
      <c r="AD19" s="658"/>
      <c r="AE19" s="658"/>
      <c r="AF19" s="658">
        <f t="shared" si="4"/>
        <v>-11600.09</v>
      </c>
    </row>
    <row r="20" spans="1:32" ht="14" x14ac:dyDescent="0.3">
      <c r="A20" s="329">
        <f>IF(C20&lt;&gt;"",COUNTA($C$11:C20),"")</f>
        <v>9</v>
      </c>
      <c r="C20" s="592">
        <f>+'Bill_WMA G2'!C20</f>
        <v>300</v>
      </c>
      <c r="D20" s="654">
        <f t="shared" si="5"/>
        <v>75000</v>
      </c>
      <c r="E20" s="681">
        <f t="shared" si="0"/>
        <v>6723.1849999999995</v>
      </c>
      <c r="F20" s="681">
        <f t="shared" si="1"/>
        <v>8540.25</v>
      </c>
      <c r="G20" s="681">
        <f t="shared" si="8"/>
        <v>15263.434999999999</v>
      </c>
      <c r="H20" s="682"/>
      <c r="I20" s="681">
        <f t="shared" si="2"/>
        <v>6252.1350000000002</v>
      </c>
      <c r="J20" s="681">
        <f t="shared" si="3"/>
        <v>11129.250000000002</v>
      </c>
      <c r="K20" s="681">
        <f t="shared" si="9"/>
        <v>17381.385000000002</v>
      </c>
      <c r="L20" s="681"/>
      <c r="M20" s="681">
        <f t="shared" si="6"/>
        <v>2117.9500000000025</v>
      </c>
      <c r="N20" s="571">
        <f t="shared" si="7"/>
        <v>0.13875972217263038</v>
      </c>
      <c r="O20" s="658"/>
      <c r="P20" s="658"/>
      <c r="Q20" s="658"/>
      <c r="R20" s="658"/>
      <c r="S20" s="658"/>
      <c r="T20" s="658"/>
      <c r="U20" s="658"/>
      <c r="V20" s="658"/>
      <c r="W20" s="658"/>
      <c r="X20" s="658"/>
      <c r="Y20" s="658"/>
      <c r="Z20" s="658"/>
      <c r="AA20" s="658"/>
      <c r="AB20" s="658"/>
      <c r="AC20" s="658"/>
      <c r="AD20" s="658"/>
      <c r="AE20" s="658"/>
      <c r="AF20" s="658">
        <f t="shared" si="4"/>
        <v>-17381.385000000002</v>
      </c>
    </row>
    <row r="21" spans="1:32" ht="14" x14ac:dyDescent="0.3">
      <c r="A21" s="329">
        <f>IF(C21&lt;&gt;"",COUNTA($C$11:C21),"")</f>
        <v>10</v>
      </c>
      <c r="B21" s="585" t="s">
        <v>554</v>
      </c>
      <c r="C21" s="592">
        <v>70</v>
      </c>
      <c r="D21" s="654">
        <f t="shared" si="5"/>
        <v>17500</v>
      </c>
      <c r="E21" s="681">
        <f t="shared" si="0"/>
        <v>1610.5264999999999</v>
      </c>
      <c r="F21" s="681">
        <f t="shared" si="1"/>
        <v>1992.7249999999999</v>
      </c>
      <c r="G21" s="681">
        <f t="shared" si="8"/>
        <v>3603.2514999999999</v>
      </c>
      <c r="H21" s="682"/>
      <c r="I21" s="681">
        <f t="shared" si="2"/>
        <v>1487.5815000000002</v>
      </c>
      <c r="J21" s="681">
        <f t="shared" si="3"/>
        <v>2596.8250000000003</v>
      </c>
      <c r="K21" s="681">
        <f t="shared" si="9"/>
        <v>4084.4065000000005</v>
      </c>
      <c r="L21" s="681"/>
      <c r="M21" s="681">
        <f t="shared" si="6"/>
        <v>481.15500000000065</v>
      </c>
      <c r="N21" s="571">
        <f t="shared" si="7"/>
        <v>0.13353355989722079</v>
      </c>
      <c r="O21" s="658"/>
      <c r="P21" s="658"/>
      <c r="Q21" s="658"/>
      <c r="R21" s="658"/>
      <c r="S21" s="658"/>
      <c r="T21" s="658"/>
      <c r="U21" s="658"/>
      <c r="V21" s="658"/>
      <c r="W21" s="658"/>
      <c r="X21" s="658"/>
      <c r="Y21" s="658"/>
      <c r="Z21" s="658"/>
      <c r="AA21" s="658"/>
      <c r="AB21" s="658"/>
      <c r="AC21" s="658"/>
      <c r="AD21" s="658"/>
      <c r="AE21" s="658"/>
      <c r="AF21" s="658">
        <f t="shared" si="4"/>
        <v>-4084.4065000000005</v>
      </c>
    </row>
    <row r="22" spans="1:32" ht="14" x14ac:dyDescent="0.3">
      <c r="A22" s="329" t="str">
        <f>IF(C22&lt;&gt;"",COUNTA($C$11:C22),"")</f>
        <v/>
      </c>
      <c r="C22" s="683"/>
      <c r="D22" s="684"/>
      <c r="E22" s="681"/>
      <c r="F22" s="681"/>
      <c r="G22" s="681"/>
      <c r="H22" s="682"/>
      <c r="I22" s="681"/>
      <c r="J22" s="681"/>
      <c r="K22" s="681"/>
      <c r="L22" s="681"/>
      <c r="M22" s="681"/>
      <c r="N22" s="571"/>
      <c r="O22" s="650"/>
      <c r="P22" s="650"/>
      <c r="Q22" s="650"/>
      <c r="R22" s="650"/>
      <c r="S22" s="650"/>
      <c r="T22" s="650"/>
      <c r="U22" s="650"/>
      <c r="V22" s="650"/>
      <c r="W22" s="650"/>
      <c r="X22" s="650"/>
      <c r="Y22" s="650"/>
      <c r="Z22" s="650"/>
      <c r="AA22" s="650"/>
      <c r="AB22" s="650"/>
      <c r="AC22" s="650"/>
      <c r="AD22" s="650"/>
      <c r="AE22" s="650"/>
      <c r="AF22" s="650"/>
    </row>
    <row r="23" spans="1:32" ht="14" x14ac:dyDescent="0.3">
      <c r="A23" s="329">
        <f>IF(C23&lt;&gt;"",COUNTA($C$11:C23),"")</f>
        <v>11</v>
      </c>
      <c r="C23" s="647" t="str">
        <f>+'Bill_WMA G2'!C23</f>
        <v>Hours Use: 350</v>
      </c>
      <c r="D23" s="685"/>
      <c r="E23" s="681" t="s">
        <v>46</v>
      </c>
      <c r="F23" s="681"/>
      <c r="G23" s="681"/>
      <c r="H23" s="686"/>
      <c r="I23" s="681" t="s">
        <v>46</v>
      </c>
      <c r="J23" s="681"/>
      <c r="K23" s="681"/>
      <c r="L23" s="681"/>
      <c r="M23" s="681"/>
      <c r="N23" s="571"/>
      <c r="O23" s="650"/>
      <c r="P23" s="650"/>
      <c r="Q23" s="650"/>
      <c r="R23" s="650"/>
      <c r="S23" s="650"/>
      <c r="T23" s="650"/>
      <c r="U23" s="650"/>
      <c r="V23" s="650"/>
      <c r="W23" s="650"/>
      <c r="X23" s="650"/>
      <c r="Y23" s="650"/>
      <c r="Z23" s="650"/>
      <c r="AA23" s="650"/>
      <c r="AB23" s="650"/>
      <c r="AC23" s="650"/>
      <c r="AD23" s="650"/>
      <c r="AE23" s="650"/>
      <c r="AF23" s="650"/>
    </row>
    <row r="24" spans="1:32" ht="14" x14ac:dyDescent="0.3">
      <c r="A24" s="329">
        <f>IF(C24&lt;&gt;"",COUNTA($C$11:C24),"")</f>
        <v>12</v>
      </c>
      <c r="C24" s="687">
        <f>+'Bill_WMA G2'!C24</f>
        <v>50</v>
      </c>
      <c r="D24" s="688">
        <f>C24*350</f>
        <v>17500</v>
      </c>
      <c r="E24" s="681">
        <f t="shared" ref="E24:E30" si="10">$G$44+$G$45*MIN(50,$C24)+$G$46*MAX(0,$C24-50)+(($G$48*E$71+$G$49*E$72)*$D24)+$C24*$G$47+$D24*SUM($G$50:$G$68)</f>
        <v>1301.9265</v>
      </c>
      <c r="F24" s="681">
        <f t="shared" ref="F24:F30" si="11">+$D24*$G$69</f>
        <v>1992.7249999999999</v>
      </c>
      <c r="G24" s="681">
        <f t="shared" ref="G24:G30" si="12">SUM(E24:F24)</f>
        <v>3294.6514999999999</v>
      </c>
      <c r="H24" s="682"/>
      <c r="I24" s="681">
        <f t="shared" ref="I24:I30" si="13">$I$44+$I$45*MIN(50,$C24)+$I$46*MAX(0,$C24-50)+($I$48*E$71+$I$49*E$72)*$D24+$I$47*$C24+$D24*SUM($I$50:$I$68)</f>
        <v>1188.9814999999999</v>
      </c>
      <c r="J24" s="681">
        <f t="shared" ref="J24:J30" si="14">+$D24*$I$69</f>
        <v>2596.8250000000003</v>
      </c>
      <c r="K24" s="681">
        <f t="shared" ref="K24:K30" si="15">SUM(I24:J24)</f>
        <v>3785.8065000000001</v>
      </c>
      <c r="L24" s="681"/>
      <c r="M24" s="681">
        <f t="shared" si="6"/>
        <v>491.1550000000002</v>
      </c>
      <c r="N24" s="571">
        <f t="shared" si="7"/>
        <v>0.14907646529534313</v>
      </c>
      <c r="O24" s="658"/>
      <c r="P24" s="658"/>
      <c r="Q24" s="658"/>
      <c r="R24" s="658"/>
      <c r="S24" s="658"/>
      <c r="T24" s="658"/>
      <c r="U24" s="658"/>
      <c r="V24" s="658"/>
      <c r="W24" s="658"/>
      <c r="X24" s="658"/>
      <c r="Y24" s="658"/>
      <c r="Z24" s="658"/>
      <c r="AA24" s="658"/>
      <c r="AB24" s="658"/>
      <c r="AC24" s="658"/>
      <c r="AD24" s="658"/>
      <c r="AE24" s="658"/>
      <c r="AF24" s="658">
        <f t="shared" ref="AF24:AF30" si="16">+AE24-K24</f>
        <v>-3785.8065000000001</v>
      </c>
    </row>
    <row r="25" spans="1:32" ht="14" x14ac:dyDescent="0.3">
      <c r="A25" s="329">
        <f>IF(C25&lt;&gt;"",COUNTA($C$11:C25),"")</f>
        <v>13</v>
      </c>
      <c r="C25" s="687">
        <f>+'Bill_WMA G2'!C25</f>
        <v>75</v>
      </c>
      <c r="D25" s="688">
        <f t="shared" ref="D25:D30" si="17">C25*350</f>
        <v>26250</v>
      </c>
      <c r="E25" s="681">
        <f t="shared" si="10"/>
        <v>1925.63975</v>
      </c>
      <c r="F25" s="681">
        <f t="shared" si="11"/>
        <v>2989.0875000000001</v>
      </c>
      <c r="G25" s="681">
        <f t="shared" si="12"/>
        <v>4914.7272499999999</v>
      </c>
      <c r="H25" s="682"/>
      <c r="I25" s="681">
        <f t="shared" si="13"/>
        <v>1764.7222499999998</v>
      </c>
      <c r="J25" s="681">
        <f t="shared" si="14"/>
        <v>3895.2375000000006</v>
      </c>
      <c r="K25" s="681">
        <f t="shared" si="15"/>
        <v>5659.95975</v>
      </c>
      <c r="L25" s="681"/>
      <c r="M25" s="681">
        <f t="shared" si="6"/>
        <v>745.23250000000007</v>
      </c>
      <c r="N25" s="571">
        <f t="shared" si="7"/>
        <v>0.15163252447020331</v>
      </c>
      <c r="O25" s="658"/>
      <c r="P25" s="658"/>
      <c r="Q25" s="658"/>
      <c r="R25" s="658"/>
      <c r="S25" s="658"/>
      <c r="T25" s="658"/>
      <c r="U25" s="658"/>
      <c r="V25" s="658"/>
      <c r="W25" s="658"/>
      <c r="X25" s="658"/>
      <c r="Y25" s="658"/>
      <c r="Z25" s="658"/>
      <c r="AA25" s="658"/>
      <c r="AB25" s="658"/>
      <c r="AC25" s="658"/>
      <c r="AD25" s="658"/>
      <c r="AE25" s="658"/>
      <c r="AF25" s="658">
        <f t="shared" si="16"/>
        <v>-5659.95975</v>
      </c>
    </row>
    <row r="26" spans="1:32" ht="14" x14ac:dyDescent="0.3">
      <c r="A26" s="329">
        <f>IF(C26&lt;&gt;"",COUNTA($C$11:C26),"")</f>
        <v>14</v>
      </c>
      <c r="C26" s="687">
        <f>+'Bill_WMA G2'!C26</f>
        <v>100</v>
      </c>
      <c r="D26" s="688">
        <f t="shared" si="17"/>
        <v>35000</v>
      </c>
      <c r="E26" s="681">
        <f t="shared" si="10"/>
        <v>2549.3530000000001</v>
      </c>
      <c r="F26" s="681">
        <f t="shared" si="11"/>
        <v>3985.45</v>
      </c>
      <c r="G26" s="681">
        <f t="shared" si="12"/>
        <v>6534.8029999999999</v>
      </c>
      <c r="H26" s="682"/>
      <c r="I26" s="681">
        <f t="shared" si="13"/>
        <v>2340.4629999999997</v>
      </c>
      <c r="J26" s="681">
        <f t="shared" si="14"/>
        <v>5193.6500000000005</v>
      </c>
      <c r="K26" s="681">
        <f t="shared" si="15"/>
        <v>7534.1130000000003</v>
      </c>
      <c r="L26" s="681"/>
      <c r="M26" s="681">
        <f t="shared" si="6"/>
        <v>999.3100000000004</v>
      </c>
      <c r="N26" s="571">
        <f t="shared" si="7"/>
        <v>0.15292121277412654</v>
      </c>
      <c r="O26" s="658"/>
      <c r="P26" s="658"/>
      <c r="Q26" s="658"/>
      <c r="R26" s="658"/>
      <c r="S26" s="658"/>
      <c r="T26" s="658"/>
      <c r="U26" s="658"/>
      <c r="V26" s="658"/>
      <c r="W26" s="658"/>
      <c r="X26" s="658"/>
      <c r="Y26" s="658"/>
      <c r="Z26" s="658"/>
      <c r="AA26" s="658"/>
      <c r="AB26" s="658"/>
      <c r="AC26" s="658"/>
      <c r="AD26" s="658"/>
      <c r="AE26" s="658"/>
      <c r="AF26" s="658">
        <f t="shared" si="16"/>
        <v>-7534.1130000000003</v>
      </c>
    </row>
    <row r="27" spans="1:32" ht="14" x14ac:dyDescent="0.3">
      <c r="A27" s="329">
        <f>IF(C27&lt;&gt;"",COUNTA($C$11:C27),"")</f>
        <v>15</v>
      </c>
      <c r="C27" s="687">
        <f>+'Bill_WMA G2'!C27</f>
        <v>150</v>
      </c>
      <c r="D27" s="688">
        <f t="shared" si="17"/>
        <v>52500</v>
      </c>
      <c r="E27" s="681">
        <f t="shared" si="10"/>
        <v>3796.7795000000001</v>
      </c>
      <c r="F27" s="681">
        <f t="shared" si="11"/>
        <v>5978.1750000000002</v>
      </c>
      <c r="G27" s="681">
        <f t="shared" si="12"/>
        <v>9774.9544999999998</v>
      </c>
      <c r="H27" s="682"/>
      <c r="I27" s="681">
        <f t="shared" si="13"/>
        <v>3491.9444999999996</v>
      </c>
      <c r="J27" s="681">
        <f t="shared" si="14"/>
        <v>7790.4750000000013</v>
      </c>
      <c r="K27" s="681">
        <f t="shared" si="15"/>
        <v>11282.4195</v>
      </c>
      <c r="L27" s="681"/>
      <c r="M27" s="681">
        <f t="shared" si="6"/>
        <v>1507.4650000000001</v>
      </c>
      <c r="N27" s="571">
        <f t="shared" si="7"/>
        <v>0.15421708612556714</v>
      </c>
      <c r="O27" s="658"/>
      <c r="P27" s="658"/>
      <c r="Q27" s="658"/>
      <c r="R27" s="658"/>
      <c r="S27" s="658"/>
      <c r="T27" s="658"/>
      <c r="U27" s="658"/>
      <c r="V27" s="658"/>
      <c r="W27" s="658"/>
      <c r="X27" s="658"/>
      <c r="Y27" s="658"/>
      <c r="Z27" s="658"/>
      <c r="AA27" s="658"/>
      <c r="AB27" s="658"/>
      <c r="AC27" s="658"/>
      <c r="AD27" s="658"/>
      <c r="AE27" s="658"/>
      <c r="AF27" s="658">
        <f t="shared" si="16"/>
        <v>-11282.4195</v>
      </c>
    </row>
    <row r="28" spans="1:32" ht="14" x14ac:dyDescent="0.3">
      <c r="A28" s="329">
        <f>IF(C28&lt;&gt;"",COUNTA($C$11:C28),"")</f>
        <v>16</v>
      </c>
      <c r="C28" s="687">
        <f>+'Bill_WMA G2'!C28</f>
        <v>200</v>
      </c>
      <c r="D28" s="688">
        <f t="shared" si="17"/>
        <v>70000</v>
      </c>
      <c r="E28" s="681">
        <f t="shared" si="10"/>
        <v>5044.2060000000001</v>
      </c>
      <c r="F28" s="681">
        <f t="shared" si="11"/>
        <v>7970.9</v>
      </c>
      <c r="G28" s="681">
        <f t="shared" si="12"/>
        <v>13015.106</v>
      </c>
      <c r="H28" s="682"/>
      <c r="I28" s="681">
        <f t="shared" si="13"/>
        <v>4643.4259999999995</v>
      </c>
      <c r="J28" s="681">
        <f t="shared" si="14"/>
        <v>10387.300000000001</v>
      </c>
      <c r="K28" s="681">
        <f t="shared" si="15"/>
        <v>15030.726000000001</v>
      </c>
      <c r="L28" s="681"/>
      <c r="M28" s="681">
        <f t="shared" si="6"/>
        <v>2015.6200000000008</v>
      </c>
      <c r="N28" s="571">
        <f t="shared" si="7"/>
        <v>0.15486773599846215</v>
      </c>
      <c r="O28" s="658"/>
      <c r="P28" s="658"/>
      <c r="Q28" s="658"/>
      <c r="R28" s="658"/>
      <c r="S28" s="658"/>
      <c r="T28" s="658"/>
      <c r="U28" s="658"/>
      <c r="V28" s="658"/>
      <c r="W28" s="658"/>
      <c r="X28" s="658"/>
      <c r="Y28" s="658"/>
      <c r="Z28" s="658"/>
      <c r="AA28" s="658"/>
      <c r="AB28" s="658"/>
      <c r="AC28" s="658"/>
      <c r="AD28" s="658"/>
      <c r="AE28" s="658"/>
      <c r="AF28" s="658">
        <f t="shared" si="16"/>
        <v>-15030.726000000001</v>
      </c>
    </row>
    <row r="29" spans="1:32" ht="14" x14ac:dyDescent="0.3">
      <c r="A29" s="329">
        <f>IF(C29&lt;&gt;"",COUNTA($C$11:C29),"")</f>
        <v>17</v>
      </c>
      <c r="C29" s="687">
        <f>+'Bill_WMA G2'!C29</f>
        <v>300</v>
      </c>
      <c r="D29" s="688">
        <f t="shared" si="17"/>
        <v>105000</v>
      </c>
      <c r="E29" s="681">
        <f t="shared" si="10"/>
        <v>7539.0590000000002</v>
      </c>
      <c r="F29" s="681">
        <f t="shared" si="11"/>
        <v>11956.35</v>
      </c>
      <c r="G29" s="681">
        <f t="shared" si="12"/>
        <v>19495.409</v>
      </c>
      <c r="H29" s="682"/>
      <c r="I29" s="681">
        <f t="shared" si="13"/>
        <v>6946.3889999999992</v>
      </c>
      <c r="J29" s="681">
        <f t="shared" si="14"/>
        <v>15580.950000000003</v>
      </c>
      <c r="K29" s="681">
        <f t="shared" si="15"/>
        <v>22527.339</v>
      </c>
      <c r="L29" s="681"/>
      <c r="M29" s="681">
        <f t="shared" si="6"/>
        <v>3031.9300000000003</v>
      </c>
      <c r="N29" s="571">
        <f t="shared" si="7"/>
        <v>0.15552020478257217</v>
      </c>
      <c r="O29" s="658"/>
      <c r="P29" s="658"/>
      <c r="Q29" s="658"/>
      <c r="R29" s="658"/>
      <c r="S29" s="658"/>
      <c r="T29" s="658"/>
      <c r="U29" s="658"/>
      <c r="V29" s="658"/>
      <c r="W29" s="658"/>
      <c r="X29" s="658"/>
      <c r="Y29" s="658"/>
      <c r="Z29" s="658"/>
      <c r="AA29" s="658"/>
      <c r="AB29" s="658"/>
      <c r="AC29" s="658"/>
      <c r="AD29" s="658"/>
      <c r="AE29" s="658"/>
      <c r="AF29" s="658">
        <f t="shared" si="16"/>
        <v>-22527.339</v>
      </c>
    </row>
    <row r="30" spans="1:32" ht="14" x14ac:dyDescent="0.3">
      <c r="A30" s="329">
        <f>IF(C30&lt;&gt;"",COUNTA($C$11:C30),"")</f>
        <v>18</v>
      </c>
      <c r="B30" s="585" t="s">
        <v>554</v>
      </c>
      <c r="C30" s="687">
        <v>106</v>
      </c>
      <c r="D30" s="688">
        <f t="shared" si="17"/>
        <v>37100</v>
      </c>
      <c r="E30" s="681">
        <f t="shared" si="10"/>
        <v>2699.0441799999999</v>
      </c>
      <c r="F30" s="681">
        <f t="shared" si="11"/>
        <v>4224.5770000000002</v>
      </c>
      <c r="G30" s="681">
        <f t="shared" si="12"/>
        <v>6923.6211800000001</v>
      </c>
      <c r="H30" s="682"/>
      <c r="I30" s="681">
        <f t="shared" si="13"/>
        <v>2478.6407799999997</v>
      </c>
      <c r="J30" s="681">
        <f t="shared" si="14"/>
        <v>5505.2690000000011</v>
      </c>
      <c r="K30" s="681">
        <f t="shared" si="15"/>
        <v>7983.9097800000009</v>
      </c>
      <c r="L30" s="681"/>
      <c r="M30" s="681">
        <f t="shared" si="6"/>
        <v>1060.2886000000008</v>
      </c>
      <c r="N30" s="571">
        <f t="shared" si="7"/>
        <v>0.15314075863405352</v>
      </c>
      <c r="O30" s="658"/>
      <c r="P30" s="658"/>
      <c r="Q30" s="658"/>
      <c r="R30" s="658"/>
      <c r="S30" s="658"/>
      <c r="T30" s="658"/>
      <c r="U30" s="658"/>
      <c r="V30" s="658"/>
      <c r="W30" s="658"/>
      <c r="X30" s="658"/>
      <c r="Y30" s="658"/>
      <c r="Z30" s="658"/>
      <c r="AA30" s="658"/>
      <c r="AB30" s="658"/>
      <c r="AC30" s="658"/>
      <c r="AD30" s="658"/>
      <c r="AE30" s="658"/>
      <c r="AF30" s="658">
        <f t="shared" si="16"/>
        <v>-7983.9097800000009</v>
      </c>
    </row>
    <row r="31" spans="1:32" ht="14" x14ac:dyDescent="0.3">
      <c r="A31" s="329" t="str">
        <f>IF(C31&lt;&gt;"",COUNTA($C$11:C31),"")</f>
        <v/>
      </c>
      <c r="C31" s="685"/>
      <c r="D31" s="685"/>
      <c r="E31" s="681" t="s">
        <v>46</v>
      </c>
      <c r="F31" s="681"/>
      <c r="G31" s="681"/>
      <c r="H31" s="686"/>
      <c r="I31" s="681" t="s">
        <v>46</v>
      </c>
      <c r="J31" s="681"/>
      <c r="K31" s="681"/>
      <c r="L31" s="681"/>
      <c r="M31" s="681"/>
      <c r="N31" s="571"/>
      <c r="O31" s="650"/>
      <c r="P31" s="650"/>
      <c r="Q31" s="650"/>
      <c r="R31" s="650"/>
      <c r="S31" s="650"/>
      <c r="T31" s="650"/>
      <c r="U31" s="650"/>
      <c r="V31" s="650"/>
      <c r="W31" s="650"/>
      <c r="X31" s="650"/>
      <c r="Y31" s="650"/>
      <c r="Z31" s="650"/>
      <c r="AA31" s="650"/>
      <c r="AB31" s="650"/>
      <c r="AC31" s="650"/>
      <c r="AD31" s="650"/>
      <c r="AE31" s="650"/>
      <c r="AF31" s="650"/>
    </row>
    <row r="32" spans="1:32" ht="14" x14ac:dyDescent="0.3">
      <c r="A32" s="329">
        <f>IF(C32&lt;&gt;"",COUNTA($C$11:C32),"")</f>
        <v>19</v>
      </c>
      <c r="C32" s="647" t="str">
        <f>+'Bill_WMA G2'!C32</f>
        <v>Hours Use: 450</v>
      </c>
      <c r="D32" s="685"/>
      <c r="E32" s="681"/>
      <c r="F32" s="681"/>
      <c r="G32" s="681"/>
      <c r="H32" s="686"/>
      <c r="I32" s="681"/>
      <c r="J32" s="681"/>
      <c r="K32" s="681"/>
      <c r="L32" s="681"/>
      <c r="M32" s="681"/>
      <c r="N32" s="571"/>
      <c r="O32" s="650"/>
      <c r="P32" s="650"/>
      <c r="Q32" s="650"/>
      <c r="R32" s="650"/>
      <c r="S32" s="650"/>
      <c r="T32" s="650"/>
      <c r="U32" s="650"/>
      <c r="V32" s="650"/>
      <c r="W32" s="650"/>
      <c r="X32" s="650"/>
      <c r="Y32" s="650"/>
      <c r="Z32" s="650"/>
      <c r="AA32" s="650"/>
      <c r="AB32" s="650"/>
      <c r="AC32" s="650"/>
      <c r="AD32" s="650"/>
      <c r="AE32" s="650"/>
      <c r="AF32" s="650"/>
    </row>
    <row r="33" spans="1:32" ht="14" x14ac:dyDescent="0.3">
      <c r="A33" s="329">
        <f>IF(C33&lt;&gt;"",COUNTA($C$11:C33),"")</f>
        <v>20</v>
      </c>
      <c r="C33" s="687">
        <f>+'Bill_WMA G2'!C33</f>
        <v>50</v>
      </c>
      <c r="D33" s="688">
        <f>C33*450</f>
        <v>22500</v>
      </c>
      <c r="E33" s="681">
        <f t="shared" ref="E33:E39" si="18">$G$44+$G$45*MIN(50,$C33)+$G$46*MAX(0,$C33-50)+(($G$48*E$71+$G$49*E$72)*$D33)+$C33*$G$47+$D33*SUM($G$50:$G$68)</f>
        <v>1437.9055000000001</v>
      </c>
      <c r="F33" s="681">
        <f t="shared" ref="F33:F39" si="19">+$D33*$G$69</f>
        <v>2562.0749999999998</v>
      </c>
      <c r="G33" s="681">
        <f t="shared" ref="G33:G39" si="20">SUM(E33:F33)</f>
        <v>3999.9804999999997</v>
      </c>
      <c r="H33" s="682"/>
      <c r="I33" s="681">
        <f t="shared" ref="I33:I39" si="21">$I$44+$I$45*MIN(50,$C33)+$I$46*MAX(0,$C33-50)+($I$48*E$71+$I$49*E$72)*$D33+$I$47*$C33+$D33*SUM($I$50:$I$68)</f>
        <v>1304.6904999999999</v>
      </c>
      <c r="J33" s="681">
        <f t="shared" ref="J33:J39" si="22">+$D33*$I$69</f>
        <v>3338.7750000000005</v>
      </c>
      <c r="K33" s="681">
        <f t="shared" ref="K33:K39" si="23">SUM(I33:J33)</f>
        <v>4643.4655000000002</v>
      </c>
      <c r="L33" s="681"/>
      <c r="M33" s="681">
        <f t="shared" si="6"/>
        <v>643.48500000000058</v>
      </c>
      <c r="N33" s="571">
        <f t="shared" si="7"/>
        <v>0.16087203425116714</v>
      </c>
      <c r="O33" s="658"/>
      <c r="P33" s="658"/>
      <c r="Q33" s="658"/>
      <c r="R33" s="658"/>
      <c r="S33" s="658"/>
      <c r="T33" s="658"/>
      <c r="U33" s="658"/>
      <c r="V33" s="658"/>
      <c r="W33" s="658"/>
      <c r="X33" s="658"/>
      <c r="Y33" s="658"/>
      <c r="Z33" s="658"/>
      <c r="AA33" s="658"/>
      <c r="AB33" s="658"/>
      <c r="AC33" s="658"/>
      <c r="AD33" s="658"/>
      <c r="AE33" s="658"/>
      <c r="AF33" s="658">
        <f t="shared" ref="AF33:AF39" si="24">+AE33-K33</f>
        <v>-4643.4655000000002</v>
      </c>
    </row>
    <row r="34" spans="1:32" ht="14" x14ac:dyDescent="0.3">
      <c r="A34" s="329">
        <f>IF(C34&lt;&gt;"",COUNTA($C$11:C34),"")</f>
        <v>21</v>
      </c>
      <c r="C34" s="687">
        <f>+'Bill_WMA G2'!C34</f>
        <v>75</v>
      </c>
      <c r="D34" s="688">
        <f t="shared" ref="D34:D39" si="25">C34*450</f>
        <v>33750</v>
      </c>
      <c r="E34" s="681">
        <f t="shared" si="18"/>
        <v>2129.6082500000002</v>
      </c>
      <c r="F34" s="681">
        <f t="shared" si="19"/>
        <v>3843.1125000000002</v>
      </c>
      <c r="G34" s="681">
        <f t="shared" si="20"/>
        <v>5972.7207500000004</v>
      </c>
      <c r="H34" s="682"/>
      <c r="I34" s="681">
        <f t="shared" si="21"/>
        <v>1938.28575</v>
      </c>
      <c r="J34" s="681">
        <f t="shared" si="22"/>
        <v>5008.1625000000004</v>
      </c>
      <c r="K34" s="681">
        <f t="shared" si="23"/>
        <v>6946.4482500000004</v>
      </c>
      <c r="L34" s="681"/>
      <c r="M34" s="681">
        <f t="shared" si="6"/>
        <v>973.72749999999996</v>
      </c>
      <c r="N34" s="571">
        <f t="shared" si="7"/>
        <v>0.16302913542375139</v>
      </c>
      <c r="O34" s="658"/>
      <c r="P34" s="658"/>
      <c r="Q34" s="658"/>
      <c r="R34" s="658"/>
      <c r="S34" s="658"/>
      <c r="T34" s="658"/>
      <c r="U34" s="658"/>
      <c r="V34" s="658"/>
      <c r="W34" s="658"/>
      <c r="X34" s="658"/>
      <c r="Y34" s="658"/>
      <c r="Z34" s="658"/>
      <c r="AA34" s="658"/>
      <c r="AB34" s="658"/>
      <c r="AC34" s="658"/>
      <c r="AD34" s="658"/>
      <c r="AE34" s="658"/>
      <c r="AF34" s="658">
        <f t="shared" si="24"/>
        <v>-6946.4482500000004</v>
      </c>
    </row>
    <row r="35" spans="1:32" ht="14" x14ac:dyDescent="0.3">
      <c r="A35" s="329">
        <f>IF(C35&lt;&gt;"",COUNTA($C$11:C35),"")</f>
        <v>22</v>
      </c>
      <c r="C35" s="687">
        <f>+'Bill_WMA G2'!C35</f>
        <v>100</v>
      </c>
      <c r="D35" s="688">
        <f t="shared" si="25"/>
        <v>45000</v>
      </c>
      <c r="E35" s="681">
        <f t="shared" si="18"/>
        <v>2821.3110000000001</v>
      </c>
      <c r="F35" s="681">
        <f t="shared" si="19"/>
        <v>5124.1499999999996</v>
      </c>
      <c r="G35" s="681">
        <f t="shared" si="20"/>
        <v>7945.4609999999993</v>
      </c>
      <c r="H35" s="682"/>
      <c r="I35" s="681">
        <f t="shared" si="21"/>
        <v>2571.8809999999999</v>
      </c>
      <c r="J35" s="681">
        <f t="shared" si="22"/>
        <v>6677.5500000000011</v>
      </c>
      <c r="K35" s="681">
        <f t="shared" si="23"/>
        <v>9249.4310000000005</v>
      </c>
      <c r="L35" s="681"/>
      <c r="M35" s="681">
        <f t="shared" si="6"/>
        <v>1303.9700000000012</v>
      </c>
      <c r="N35" s="571">
        <f t="shared" si="7"/>
        <v>0.16411508407127054</v>
      </c>
      <c r="O35" s="658"/>
      <c r="P35" s="658"/>
      <c r="Q35" s="658"/>
      <c r="R35" s="658"/>
      <c r="S35" s="658"/>
      <c r="T35" s="658"/>
      <c r="U35" s="658"/>
      <c r="V35" s="658"/>
      <c r="W35" s="658"/>
      <c r="X35" s="658"/>
      <c r="Y35" s="658"/>
      <c r="Z35" s="658"/>
      <c r="AA35" s="658"/>
      <c r="AB35" s="658"/>
      <c r="AC35" s="658"/>
      <c r="AD35" s="658"/>
      <c r="AE35" s="658"/>
      <c r="AF35" s="658">
        <f t="shared" si="24"/>
        <v>-9249.4310000000005</v>
      </c>
    </row>
    <row r="36" spans="1:32" ht="14" x14ac:dyDescent="0.3">
      <c r="A36" s="329">
        <f>IF(C36&lt;&gt;"",COUNTA($C$11:C36),"")</f>
        <v>23</v>
      </c>
      <c r="C36" s="687">
        <f>+'Bill_WMA G2'!C36</f>
        <v>150</v>
      </c>
      <c r="D36" s="688">
        <f t="shared" si="25"/>
        <v>67500</v>
      </c>
      <c r="E36" s="681">
        <f t="shared" si="18"/>
        <v>4204.7165000000005</v>
      </c>
      <c r="F36" s="681">
        <f t="shared" si="19"/>
        <v>7686.2250000000004</v>
      </c>
      <c r="G36" s="681">
        <f t="shared" si="20"/>
        <v>11890.941500000001</v>
      </c>
      <c r="H36" s="682"/>
      <c r="I36" s="681">
        <f t="shared" si="21"/>
        <v>3839.0715</v>
      </c>
      <c r="J36" s="681">
        <f t="shared" si="22"/>
        <v>10016.325000000001</v>
      </c>
      <c r="K36" s="681">
        <f t="shared" si="23"/>
        <v>13855.396500000001</v>
      </c>
      <c r="L36" s="681"/>
      <c r="M36" s="681">
        <f t="shared" si="6"/>
        <v>1964.4549999999999</v>
      </c>
      <c r="N36" s="571">
        <f t="shared" si="7"/>
        <v>0.16520600996985813</v>
      </c>
      <c r="O36" s="658"/>
      <c r="P36" s="658"/>
      <c r="Q36" s="658"/>
      <c r="R36" s="658"/>
      <c r="S36" s="658"/>
      <c r="T36" s="658"/>
      <c r="U36" s="658"/>
      <c r="V36" s="658"/>
      <c r="W36" s="658"/>
      <c r="X36" s="658"/>
      <c r="Y36" s="658"/>
      <c r="Z36" s="658"/>
      <c r="AA36" s="658"/>
      <c r="AB36" s="658"/>
      <c r="AC36" s="658"/>
      <c r="AD36" s="658"/>
      <c r="AE36" s="658"/>
      <c r="AF36" s="658">
        <f t="shared" si="24"/>
        <v>-13855.396500000001</v>
      </c>
    </row>
    <row r="37" spans="1:32" ht="14" x14ac:dyDescent="0.3">
      <c r="A37" s="329">
        <f>IF(C37&lt;&gt;"",COUNTA($C$11:C37),"")</f>
        <v>24</v>
      </c>
      <c r="C37" s="687">
        <f>+'Bill_WMA G2'!C37</f>
        <v>200</v>
      </c>
      <c r="D37" s="688">
        <f t="shared" si="25"/>
        <v>90000</v>
      </c>
      <c r="E37" s="681">
        <f t="shared" si="18"/>
        <v>5588.1220000000003</v>
      </c>
      <c r="F37" s="681">
        <f t="shared" si="19"/>
        <v>10248.299999999999</v>
      </c>
      <c r="G37" s="681">
        <f t="shared" si="20"/>
        <v>15836.421999999999</v>
      </c>
      <c r="H37" s="682"/>
      <c r="I37" s="681">
        <f t="shared" si="21"/>
        <v>5106.2619999999997</v>
      </c>
      <c r="J37" s="681">
        <f t="shared" si="22"/>
        <v>13355.100000000002</v>
      </c>
      <c r="K37" s="681">
        <f t="shared" si="23"/>
        <v>18461.362000000001</v>
      </c>
      <c r="L37" s="681"/>
      <c r="M37" s="681">
        <f t="shared" si="6"/>
        <v>2624.9400000000023</v>
      </c>
      <c r="N37" s="571">
        <f t="shared" si="7"/>
        <v>0.16575335009385342</v>
      </c>
      <c r="O37" s="658"/>
      <c r="P37" s="658"/>
      <c r="Q37" s="658"/>
      <c r="R37" s="658"/>
      <c r="S37" s="658"/>
      <c r="T37" s="658"/>
      <c r="U37" s="658"/>
      <c r="V37" s="658"/>
      <c r="W37" s="658"/>
      <c r="X37" s="658"/>
      <c r="Y37" s="658"/>
      <c r="Z37" s="658"/>
      <c r="AA37" s="658"/>
      <c r="AB37" s="658"/>
      <c r="AC37" s="658"/>
      <c r="AD37" s="658"/>
      <c r="AE37" s="658"/>
      <c r="AF37" s="658">
        <f t="shared" si="24"/>
        <v>-18461.362000000001</v>
      </c>
    </row>
    <row r="38" spans="1:32" ht="14" x14ac:dyDescent="0.3">
      <c r="A38" s="329">
        <f>IF(C38&lt;&gt;"",COUNTA($C$11:C38),"")</f>
        <v>25</v>
      </c>
      <c r="C38" s="687">
        <f>+'Bill_WMA G2'!C38</f>
        <v>300</v>
      </c>
      <c r="D38" s="688">
        <f t="shared" si="25"/>
        <v>135000</v>
      </c>
      <c r="E38" s="681">
        <f t="shared" si="18"/>
        <v>8354.9330000000009</v>
      </c>
      <c r="F38" s="681">
        <f t="shared" si="19"/>
        <v>15372.45</v>
      </c>
      <c r="G38" s="681">
        <f t="shared" si="20"/>
        <v>23727.383000000002</v>
      </c>
      <c r="H38" s="682"/>
      <c r="I38" s="681">
        <f t="shared" si="21"/>
        <v>7640.643</v>
      </c>
      <c r="J38" s="681">
        <f t="shared" si="22"/>
        <v>20032.650000000001</v>
      </c>
      <c r="K38" s="681">
        <f t="shared" si="23"/>
        <v>27673.293000000001</v>
      </c>
      <c r="L38" s="681"/>
      <c r="M38" s="681">
        <f t="shared" si="6"/>
        <v>3945.91</v>
      </c>
      <c r="N38" s="571">
        <f t="shared" si="7"/>
        <v>0.16630194741661986</v>
      </c>
      <c r="O38" s="658"/>
      <c r="P38" s="658"/>
      <c r="Q38" s="658"/>
      <c r="R38" s="658"/>
      <c r="S38" s="658"/>
      <c r="T38" s="658"/>
      <c r="U38" s="658"/>
      <c r="V38" s="658"/>
      <c r="W38" s="658"/>
      <c r="X38" s="658"/>
      <c r="Y38" s="658"/>
      <c r="Z38" s="658"/>
      <c r="AA38" s="658"/>
      <c r="AB38" s="658"/>
      <c r="AC38" s="658"/>
      <c r="AD38" s="658"/>
      <c r="AE38" s="658"/>
      <c r="AF38" s="658">
        <f t="shared" si="24"/>
        <v>-27673.293000000001</v>
      </c>
    </row>
    <row r="39" spans="1:32" ht="14" x14ac:dyDescent="0.3">
      <c r="A39" s="329">
        <f>IF(C39&lt;&gt;"",COUNTA($C$11:C39),"")</f>
        <v>26</v>
      </c>
      <c r="B39" s="585" t="s">
        <v>554</v>
      </c>
      <c r="C39" s="687">
        <v>119</v>
      </c>
      <c r="D39" s="688">
        <f t="shared" si="25"/>
        <v>53550</v>
      </c>
      <c r="E39" s="681">
        <f t="shared" si="18"/>
        <v>3347.0050899999997</v>
      </c>
      <c r="F39" s="681">
        <f t="shared" si="19"/>
        <v>6097.7385000000004</v>
      </c>
      <c r="G39" s="681">
        <f t="shared" si="20"/>
        <v>9444.74359</v>
      </c>
      <c r="H39" s="682"/>
      <c r="I39" s="681">
        <f t="shared" si="21"/>
        <v>3053.4133899999997</v>
      </c>
      <c r="J39" s="681">
        <f t="shared" si="22"/>
        <v>7946.2845000000016</v>
      </c>
      <c r="K39" s="681">
        <f t="shared" si="23"/>
        <v>10999.697890000001</v>
      </c>
      <c r="L39" s="681"/>
      <c r="M39" s="681">
        <f t="shared" si="6"/>
        <v>1554.9543000000012</v>
      </c>
      <c r="N39" s="571">
        <f t="shared" si="7"/>
        <v>0.16463700524875777</v>
      </c>
      <c r="O39" s="658"/>
      <c r="P39" s="658"/>
      <c r="Q39" s="658"/>
      <c r="R39" s="658"/>
      <c r="S39" s="658"/>
      <c r="T39" s="658"/>
      <c r="U39" s="658"/>
      <c r="V39" s="658"/>
      <c r="W39" s="658"/>
      <c r="X39" s="658"/>
      <c r="Y39" s="658"/>
      <c r="Z39" s="658"/>
      <c r="AA39" s="658"/>
      <c r="AB39" s="658"/>
      <c r="AC39" s="658"/>
      <c r="AD39" s="658"/>
      <c r="AE39" s="658"/>
      <c r="AF39" s="658">
        <f t="shared" si="24"/>
        <v>-10999.697890000001</v>
      </c>
    </row>
    <row r="40" spans="1:32" ht="14" x14ac:dyDescent="0.3">
      <c r="A40" s="329" t="str">
        <f>IF(C40&lt;&gt;"",COUNTA($C$11:C40),"")</f>
        <v/>
      </c>
      <c r="C40" s="685"/>
      <c r="D40" s="685"/>
      <c r="E40" s="681" t="s">
        <v>46</v>
      </c>
      <c r="F40" s="681"/>
      <c r="G40" s="681"/>
      <c r="H40" s="686"/>
      <c r="I40" s="681" t="s">
        <v>46</v>
      </c>
      <c r="J40" s="681"/>
      <c r="K40" s="681"/>
      <c r="L40" s="681"/>
      <c r="M40" s="681"/>
      <c r="N40" s="571"/>
    </row>
    <row r="41" spans="1:32" ht="14" x14ac:dyDescent="0.3">
      <c r="A41" s="329" t="str">
        <f>IF(C41&lt;&gt;"",COUNTA($C$11:C41),"")</f>
        <v/>
      </c>
      <c r="B41" s="689"/>
      <c r="C41" s="676"/>
      <c r="D41" s="676"/>
      <c r="E41" s="686"/>
      <c r="F41" s="686"/>
      <c r="G41" s="686"/>
      <c r="H41" s="686"/>
      <c r="I41" s="686"/>
      <c r="J41" s="686"/>
      <c r="K41" s="686"/>
      <c r="L41" s="686"/>
      <c r="M41" s="690"/>
    </row>
    <row r="42" spans="1:32" ht="14" x14ac:dyDescent="0.3">
      <c r="A42" s="329">
        <f>IF(C42&lt;&gt;"",COUNTA($C$11:C42),"")</f>
        <v>27</v>
      </c>
      <c r="C42" s="676" t="s">
        <v>46</v>
      </c>
      <c r="D42" s="676"/>
      <c r="G42" s="395" t="str">
        <f>+'Bill_WMA 23'!F23</f>
        <v>Current</v>
      </c>
      <c r="H42" s="395"/>
      <c r="I42" s="395" t="str">
        <f>+'Bill_WMA 23'!H23</f>
        <v>Proposed</v>
      </c>
      <c r="J42" s="676"/>
      <c r="K42" s="676"/>
      <c r="L42" s="676"/>
    </row>
    <row r="43" spans="1:32" ht="17" x14ac:dyDescent="0.6">
      <c r="A43" s="329">
        <f>IF(C43&lt;&gt;"",COUNTA($C$11:C43),"")</f>
        <v>28</v>
      </c>
      <c r="C43" s="274" t="s">
        <v>46</v>
      </c>
      <c r="D43" s="676"/>
      <c r="G43" s="396" t="str">
        <f>+'Bill_WMA 23'!F24</f>
        <v>Rates</v>
      </c>
      <c r="H43" s="396"/>
      <c r="I43" s="396" t="str">
        <f>+'Bill_WMA 23'!H24</f>
        <v>Rates</v>
      </c>
      <c r="J43" s="396" t="str">
        <f>+'Bill_WMA 23'!I24</f>
        <v>Change</v>
      </c>
      <c r="K43" s="676"/>
      <c r="L43" s="676"/>
    </row>
    <row r="44" spans="1:32" ht="14" x14ac:dyDescent="0.3">
      <c r="A44" s="329">
        <f>IF(C44&lt;&gt;"",COUNTA($C$11:C44),"")</f>
        <v>29</v>
      </c>
      <c r="C44" s="330" t="str">
        <f>+'Bill_WMA G2'!C44</f>
        <v>Customer Charge</v>
      </c>
      <c r="D44" s="274"/>
      <c r="G44" s="454">
        <v>353</v>
      </c>
      <c r="H44" s="691"/>
      <c r="I44" s="454">
        <f>G44</f>
        <v>353</v>
      </c>
      <c r="J44" s="421">
        <f>+I44-G44</f>
        <v>0</v>
      </c>
      <c r="K44" s="676"/>
      <c r="L44" s="676"/>
    </row>
    <row r="45" spans="1:32" ht="14" x14ac:dyDescent="0.3">
      <c r="A45" s="329">
        <f>IF(C45&lt;&gt;"",COUNTA($C$11:C45),"")</f>
        <v>30</v>
      </c>
      <c r="C45" s="330" t="str">
        <f>+'Bill_WMA G2'!C45</f>
        <v>Distribution Demand &lt;= 50 kW</v>
      </c>
      <c r="D45" s="274"/>
      <c r="G45" s="454">
        <v>1.61</v>
      </c>
      <c r="H45" s="691"/>
      <c r="I45" s="397">
        <v>1.7</v>
      </c>
      <c r="J45" s="421">
        <f t="shared" ref="J45:J69" si="26">+I45-G45</f>
        <v>8.9999999999999858E-2</v>
      </c>
      <c r="K45" s="676"/>
      <c r="L45" s="676"/>
    </row>
    <row r="46" spans="1:32" ht="14" x14ac:dyDescent="0.3">
      <c r="A46" s="329">
        <f>IF(C46&lt;&gt;"",COUNTA($C$11:C46),"")</f>
        <v>31</v>
      </c>
      <c r="C46" s="330" t="str">
        <f>+'Bill_WMA G2'!C46</f>
        <v xml:space="preserve">Distribution Demand Charge &gt;50 kW </v>
      </c>
      <c r="D46" s="274"/>
      <c r="G46" s="454">
        <v>7.58</v>
      </c>
      <c r="H46" s="691"/>
      <c r="I46" s="397">
        <v>8.01</v>
      </c>
      <c r="J46" s="421">
        <f t="shared" si="26"/>
        <v>0.42999999999999972</v>
      </c>
      <c r="K46" s="676"/>
      <c r="L46" s="676"/>
    </row>
    <row r="47" spans="1:32" ht="14" x14ac:dyDescent="0.3">
      <c r="A47" s="329">
        <f>IF(C47&lt;&gt;"",COUNTA($C$11:C47),"")</f>
        <v>32</v>
      </c>
      <c r="C47" s="330" t="str">
        <f>+'Bill_WMA G2'!C47</f>
        <v>Transmission Demand</v>
      </c>
      <c r="D47" s="274"/>
      <c r="G47" s="454">
        <v>7.85</v>
      </c>
      <c r="H47" s="691"/>
      <c r="I47" s="397">
        <v>6.92</v>
      </c>
      <c r="J47" s="421">
        <f t="shared" si="26"/>
        <v>-0.92999999999999972</v>
      </c>
      <c r="K47" s="676"/>
      <c r="L47" s="676"/>
    </row>
    <row r="48" spans="1:32" ht="14" x14ac:dyDescent="0.3">
      <c r="A48" s="329">
        <f>IF(C48&lt;&gt;"",COUNTA($C$11:C48),"")</f>
        <v>33</v>
      </c>
      <c r="C48" s="555" t="str">
        <f>+'Bill_WMA T0'!C44</f>
        <v>Distribution Energy - Peak</v>
      </c>
      <c r="D48" s="274"/>
      <c r="G48" s="308">
        <v>2.5500000000000002E-3</v>
      </c>
      <c r="H48" s="692"/>
      <c r="I48" s="308">
        <v>2.6900000000000001E-3</v>
      </c>
      <c r="J48" s="354">
        <f t="shared" si="26"/>
        <v>1.3999999999999993E-4</v>
      </c>
      <c r="K48" s="676"/>
      <c r="L48" s="676"/>
    </row>
    <row r="49" spans="1:14" ht="14" x14ac:dyDescent="0.3">
      <c r="A49" s="329">
        <f>IF(C49&lt;&gt;"",COUNTA($C$11:C49),"")</f>
        <v>34</v>
      </c>
      <c r="C49" s="555" t="str">
        <f>+'Bill_WMA T0'!C45</f>
        <v>Distribution Energy - Off Peak</v>
      </c>
      <c r="D49" s="274"/>
      <c r="G49" s="308">
        <v>7.2000000000000005E-4</v>
      </c>
      <c r="H49" s="692"/>
      <c r="I49" s="308">
        <v>7.6000000000000004E-4</v>
      </c>
      <c r="J49" s="354">
        <f t="shared" si="26"/>
        <v>3.9999999999999996E-5</v>
      </c>
      <c r="K49" s="676"/>
      <c r="L49" s="676"/>
    </row>
    <row r="50" spans="1:14" ht="14" x14ac:dyDescent="0.3">
      <c r="A50" s="329">
        <f>IF(C50&lt;&gt;"",COUNTA($C$11:C50),"")</f>
        <v>35</v>
      </c>
      <c r="C50" s="335" t="str">
        <f>+'Bill_WMA T0'!C46</f>
        <v>Revenue Decoupling</v>
      </c>
      <c r="D50" s="274"/>
      <c r="G50" s="308">
        <v>3.5E-4</v>
      </c>
      <c r="H50" s="400"/>
      <c r="I50" s="277">
        <v>-2.7999999999999998E-4</v>
      </c>
      <c r="J50" s="354">
        <f t="shared" si="26"/>
        <v>-6.2999999999999992E-4</v>
      </c>
      <c r="K50" s="559"/>
      <c r="L50" s="559"/>
      <c r="M50" s="559"/>
      <c r="N50" s="559"/>
    </row>
    <row r="51" spans="1:14" ht="14" x14ac:dyDescent="0.3">
      <c r="A51" s="329">
        <f>IF(C51&lt;&gt;"",COUNTA($C$11:C51),"")</f>
        <v>36</v>
      </c>
      <c r="C51" s="335" t="str">
        <f>+'Bill_WMA T0'!C47</f>
        <v>Residential Assistance Adjustment Factor</v>
      </c>
      <c r="G51" s="277">
        <v>6.3800000000000003E-3</v>
      </c>
      <c r="H51" s="400"/>
      <c r="I51" s="277">
        <v>2.3400000000000001E-3</v>
      </c>
      <c r="J51" s="354">
        <f t="shared" si="26"/>
        <v>-4.0400000000000002E-3</v>
      </c>
      <c r="K51" s="559"/>
      <c r="L51" s="559"/>
      <c r="M51" s="559"/>
      <c r="N51" s="559"/>
    </row>
    <row r="52" spans="1:14" ht="14" x14ac:dyDescent="0.3">
      <c r="A52" s="329">
        <f>IF(C52&lt;&gt;"",COUNTA($C$11:C52),"")</f>
        <v>37</v>
      </c>
      <c r="C52" s="335" t="str">
        <f>+'Bill_WMA T0'!C48</f>
        <v>Pension Adjustment Factor</v>
      </c>
      <c r="D52" s="274"/>
      <c r="G52" s="277">
        <v>6.3000000000000003E-4</v>
      </c>
      <c r="H52" s="400"/>
      <c r="I52" s="277">
        <v>3.6999999999999999E-4</v>
      </c>
      <c r="J52" s="354">
        <f t="shared" si="26"/>
        <v>-2.6000000000000003E-4</v>
      </c>
      <c r="K52" s="559"/>
      <c r="L52" s="559"/>
      <c r="M52" s="559"/>
      <c r="N52" s="559"/>
    </row>
    <row r="53" spans="1:14" ht="14" x14ac:dyDescent="0.3">
      <c r="A53" s="329">
        <f>IF(C53&lt;&gt;"",COUNTA($C$11:C53),"")</f>
        <v>38</v>
      </c>
      <c r="C53" s="335" t="str">
        <f>+'Bill_WMA T0'!C49</f>
        <v>Net Metering Recovery Surcharge</v>
      </c>
      <c r="D53" s="274"/>
      <c r="G53" s="277">
        <v>2.7699999999999999E-3</v>
      </c>
      <c r="H53" s="400"/>
      <c r="I53" s="277">
        <v>3.0500000000000002E-3</v>
      </c>
      <c r="J53" s="354">
        <f t="shared" si="26"/>
        <v>2.800000000000003E-4</v>
      </c>
      <c r="K53" s="559"/>
      <c r="L53" s="559"/>
      <c r="M53" s="559"/>
      <c r="N53" s="559"/>
    </row>
    <row r="54" spans="1:14" ht="14" x14ac:dyDescent="0.3">
      <c r="A54" s="329">
        <f>IF(C54&lt;&gt;"",COUNTA($C$11:C54),"")</f>
        <v>39</v>
      </c>
      <c r="C54" s="335" t="str">
        <f>+'Bill_WMA T0'!C50</f>
        <v>Long Term Renewable Contract Adjustment</v>
      </c>
      <c r="D54" s="274"/>
      <c r="G54" s="277">
        <v>3.31E-3</v>
      </c>
      <c r="H54" s="400"/>
      <c r="I54" s="277">
        <v>1.74E-3</v>
      </c>
      <c r="J54" s="354">
        <f t="shared" si="26"/>
        <v>-1.57E-3</v>
      </c>
      <c r="K54" s="559"/>
      <c r="L54" s="559"/>
      <c r="M54" s="559"/>
      <c r="N54" s="559"/>
    </row>
    <row r="55" spans="1:14" ht="14" x14ac:dyDescent="0.3">
      <c r="A55" s="329">
        <f>IF(C55&lt;&gt;"",COUNTA($C$11:C55),"")</f>
        <v>40</v>
      </c>
      <c r="C55" s="335" t="str">
        <f>+'Bill_WMA T0'!C51</f>
        <v>AG Consulting Expense</v>
      </c>
      <c r="D55" s="274"/>
      <c r="G55" s="277">
        <v>2.0000000000000002E-5</v>
      </c>
      <c r="H55" s="400"/>
      <c r="I55" s="277">
        <v>0</v>
      </c>
      <c r="J55" s="354">
        <f t="shared" si="26"/>
        <v>-2.0000000000000002E-5</v>
      </c>
      <c r="K55" s="559"/>
      <c r="L55" s="559"/>
      <c r="M55" s="559"/>
      <c r="N55" s="559"/>
    </row>
    <row r="56" spans="1:14" ht="14" x14ac:dyDescent="0.3">
      <c r="A56" s="329">
        <f>IF(C56&lt;&gt;"",COUNTA($C$11:C56),"")</f>
        <v>41</v>
      </c>
      <c r="C56" s="335" t="str">
        <f>+'Bill_WMA T0'!C52</f>
        <v>Storm Cost Recovery Adjustment Factor</v>
      </c>
      <c r="D56" s="274"/>
      <c r="G56" s="277">
        <v>1.48E-3</v>
      </c>
      <c r="H56" s="400"/>
      <c r="I56" s="277">
        <v>1.7600000000000001E-3</v>
      </c>
      <c r="J56" s="354">
        <f t="shared" si="26"/>
        <v>2.8000000000000008E-4</v>
      </c>
      <c r="K56" s="559"/>
      <c r="L56" s="559"/>
      <c r="M56" s="559"/>
      <c r="N56" s="559"/>
    </row>
    <row r="57" spans="1:14" ht="14" x14ac:dyDescent="0.3">
      <c r="A57" s="329">
        <f>IF(C57&lt;&gt;"",COUNTA($C$11:C57),"")</f>
        <v>42</v>
      </c>
      <c r="C57" s="335" t="str">
        <f>+'Bill_WMA T0'!C53</f>
        <v>Storm Reserve Adjustment</v>
      </c>
      <c r="D57" s="274"/>
      <c r="G57" s="277">
        <v>0</v>
      </c>
      <c r="H57" s="400"/>
      <c r="I57" s="277">
        <v>0</v>
      </c>
      <c r="J57" s="354">
        <f t="shared" si="26"/>
        <v>0</v>
      </c>
      <c r="K57" s="559"/>
      <c r="L57" s="559"/>
      <c r="M57" s="559"/>
      <c r="N57" s="559"/>
    </row>
    <row r="58" spans="1:14" ht="14" x14ac:dyDescent="0.3">
      <c r="A58" s="329">
        <f>IF(C58&lt;&gt;"",COUNTA($C$11:C58),"")</f>
        <v>43</v>
      </c>
      <c r="C58" s="335" t="str">
        <f>+'Bill_WMA T0'!C54</f>
        <v>Basic Service Cost True Up Factor</v>
      </c>
      <c r="D58" s="274"/>
      <c r="G58" s="277">
        <v>1.2999999999999999E-4</v>
      </c>
      <c r="H58" s="400"/>
      <c r="I58" s="277">
        <v>-1.2E-4</v>
      </c>
      <c r="J58" s="354">
        <f t="shared" si="26"/>
        <v>-2.5000000000000001E-4</v>
      </c>
      <c r="K58" s="559"/>
      <c r="L58" s="559"/>
      <c r="M58" s="559"/>
      <c r="N58" s="559"/>
    </row>
    <row r="59" spans="1:14" ht="14" x14ac:dyDescent="0.3">
      <c r="A59" s="329">
        <f>IF(C59&lt;&gt;"",COUNTA($C$11:C59),"")</f>
        <v>44</v>
      </c>
      <c r="C59" s="335" t="str">
        <f>+'Bill_WMA T0'!C55</f>
        <v>Solar Program Cost Adjustment Factor</v>
      </c>
      <c r="D59" s="274"/>
      <c r="G59" s="277">
        <v>-8.0000000000000007E-5</v>
      </c>
      <c r="H59" s="400"/>
      <c r="I59" s="277">
        <v>2.0000000000000002E-5</v>
      </c>
      <c r="J59" s="354">
        <f t="shared" si="26"/>
        <v>1E-4</v>
      </c>
      <c r="K59" s="559"/>
      <c r="L59" s="559"/>
      <c r="M59" s="559"/>
      <c r="N59" s="559"/>
    </row>
    <row r="60" spans="1:14" ht="14" x14ac:dyDescent="0.3">
      <c r="A60" s="329">
        <f>IF(C60&lt;&gt;"",COUNTA($C$11:C60),"")</f>
        <v>45</v>
      </c>
      <c r="C60" s="335" t="str">
        <f>+'Bill_WMA T0'!C56</f>
        <v>Solar Expansion Cost Recovery Factor</v>
      </c>
      <c r="D60" s="274"/>
      <c r="G60" s="277">
        <v>0</v>
      </c>
      <c r="H60" s="400"/>
      <c r="I60" s="277">
        <v>3.6000000000000002E-4</v>
      </c>
      <c r="J60" s="354">
        <f t="shared" si="26"/>
        <v>3.6000000000000002E-4</v>
      </c>
      <c r="K60" s="559"/>
      <c r="L60" s="559"/>
      <c r="M60" s="559"/>
      <c r="N60" s="559"/>
    </row>
    <row r="61" spans="1:14" ht="14" x14ac:dyDescent="0.3">
      <c r="A61" s="329">
        <f>IF(C61&lt;&gt;"",COUNTA($C$11:C61),"")</f>
        <v>46</v>
      </c>
      <c r="C61" s="335" t="str">
        <f>+'Bill_WMA T0'!C57</f>
        <v>Vegetation Management</v>
      </c>
      <c r="D61" s="274"/>
      <c r="G61" s="277">
        <v>0</v>
      </c>
      <c r="H61" s="400"/>
      <c r="I61" s="277">
        <v>6.6E-4</v>
      </c>
      <c r="J61" s="354">
        <f t="shared" si="26"/>
        <v>6.6E-4</v>
      </c>
      <c r="K61" s="559"/>
      <c r="L61" s="559"/>
      <c r="M61" s="559"/>
      <c r="N61" s="559"/>
    </row>
    <row r="62" spans="1:14" ht="14" x14ac:dyDescent="0.3">
      <c r="A62" s="329">
        <f>IF(C62&lt;&gt;"",COUNTA($C$11:C62),"")</f>
        <v>47</v>
      </c>
      <c r="C62" s="335" t="str">
        <f>+'Bill_WMA T0'!C58</f>
        <v>Solar Massachusetts Renewable Target</v>
      </c>
      <c r="D62" s="339"/>
      <c r="E62" s="339"/>
      <c r="F62" s="277"/>
      <c r="G62" s="277">
        <v>0</v>
      </c>
      <c r="H62" s="277"/>
      <c r="I62" s="277">
        <v>4.2999999999999999E-4</v>
      </c>
      <c r="J62" s="354">
        <f t="shared" si="26"/>
        <v>4.2999999999999999E-4</v>
      </c>
      <c r="K62" s="339"/>
      <c r="L62" s="339"/>
    </row>
    <row r="63" spans="1:14" ht="14" x14ac:dyDescent="0.3">
      <c r="A63" s="329">
        <f>IF(C63&lt;&gt;"",COUNTA($C$11:C63),"")</f>
        <v>48</v>
      </c>
      <c r="C63" s="335" t="str">
        <f>+'Bill_WMA T0'!C59</f>
        <v>Tax Act Credit Factor</v>
      </c>
      <c r="D63" s="339"/>
      <c r="E63" s="339"/>
      <c r="F63" s="277"/>
      <c r="G63" s="277">
        <v>0</v>
      </c>
      <c r="H63" s="277"/>
      <c r="I63" s="277">
        <v>-6.4999999999999997E-4</v>
      </c>
      <c r="J63" s="354">
        <f t="shared" si="26"/>
        <v>-6.4999999999999997E-4</v>
      </c>
      <c r="K63" s="339"/>
      <c r="L63" s="339"/>
    </row>
    <row r="64" spans="1:14" ht="14" x14ac:dyDescent="0.3">
      <c r="A64" s="329">
        <f>IF(C64&lt;&gt;"",COUNTA($C$11:C64),"")</f>
        <v>49</v>
      </c>
      <c r="C64" s="335" t="str">
        <f>+'Bill_WMA T0'!C60</f>
        <v>Transition</v>
      </c>
      <c r="D64" s="274"/>
      <c r="G64" s="308">
        <v>-1.7099999999999999E-3</v>
      </c>
      <c r="H64" s="400"/>
      <c r="I64" s="277">
        <v>-5.1999999999999995E-4</v>
      </c>
      <c r="J64" s="354">
        <f t="shared" si="26"/>
        <v>1.1900000000000001E-3</v>
      </c>
      <c r="K64" s="559"/>
      <c r="L64" s="559"/>
      <c r="M64" s="559"/>
      <c r="N64" s="559"/>
    </row>
    <row r="65" spans="1:14" ht="14" x14ac:dyDescent="0.3">
      <c r="A65" s="329">
        <f>IF(C65&lt;&gt;"",COUNTA($C$11:C65),"")</f>
        <v>50</v>
      </c>
      <c r="C65" s="335" t="str">
        <f>+'Bill_WMA T0'!C61</f>
        <v>Transmission Energy</v>
      </c>
      <c r="D65" s="274"/>
      <c r="G65" s="308">
        <v>0</v>
      </c>
      <c r="H65" s="574"/>
      <c r="I65" s="404">
        <v>0</v>
      </c>
      <c r="J65" s="354">
        <f t="shared" si="26"/>
        <v>0</v>
      </c>
      <c r="K65" s="559"/>
      <c r="L65" s="559"/>
      <c r="M65" s="559"/>
      <c r="N65" s="559"/>
    </row>
    <row r="66" spans="1:14" ht="14" x14ac:dyDescent="0.3">
      <c r="A66" s="329">
        <f>IF(C66&lt;&gt;"",COUNTA($C$11:C66),"")</f>
        <v>51</v>
      </c>
      <c r="C66" s="335" t="str">
        <f>+'Bill_WMA T0'!C62</f>
        <v>Energy Efficiency Reconciliation Factor</v>
      </c>
      <c r="D66" s="274"/>
      <c r="G66" s="308">
        <v>9.7199999999999995E-3</v>
      </c>
      <c r="H66" s="574"/>
      <c r="I66" s="308">
        <v>9.7199999999999995E-3</v>
      </c>
      <c r="J66" s="354">
        <f t="shared" si="26"/>
        <v>0</v>
      </c>
      <c r="K66" s="559"/>
      <c r="L66" s="559"/>
      <c r="M66" s="559"/>
      <c r="N66" s="559"/>
    </row>
    <row r="67" spans="1:14" ht="14" x14ac:dyDescent="0.3">
      <c r="A67" s="329">
        <f>IF(C67&lt;&gt;"",COUNTA($C$11:C67),"")</f>
        <v>52</v>
      </c>
      <c r="C67" s="335" t="str">
        <f>+'Bill_WMA T0'!C63</f>
        <v>System Benefits Charge</v>
      </c>
      <c r="D67" s="274"/>
      <c r="G67" s="308">
        <v>2.5000000000000001E-3</v>
      </c>
      <c r="H67" s="574"/>
      <c r="I67" s="308">
        <f>G67</f>
        <v>2.5000000000000001E-3</v>
      </c>
      <c r="J67" s="354">
        <f t="shared" si="26"/>
        <v>0</v>
      </c>
      <c r="K67" s="559"/>
      <c r="L67" s="559"/>
      <c r="M67" s="559"/>
      <c r="N67" s="559"/>
    </row>
    <row r="68" spans="1:14" ht="14" x14ac:dyDescent="0.3">
      <c r="A68" s="329">
        <f>IF(C68&lt;&gt;"",COUNTA($C$11:C68),"")</f>
        <v>53</v>
      </c>
      <c r="C68" s="335" t="str">
        <f>+'Bill_WMA T0'!C64</f>
        <v>Renewable Energy Charge</v>
      </c>
      <c r="D68" s="274"/>
      <c r="G68" s="308">
        <v>5.0000000000000001E-4</v>
      </c>
      <c r="H68" s="574"/>
      <c r="I68" s="308">
        <f>G68</f>
        <v>5.0000000000000001E-4</v>
      </c>
      <c r="J68" s="354">
        <f t="shared" si="26"/>
        <v>0</v>
      </c>
      <c r="K68" s="559"/>
      <c r="L68" s="559"/>
      <c r="M68" s="559"/>
      <c r="N68" s="559"/>
    </row>
    <row r="69" spans="1:14" ht="14" x14ac:dyDescent="0.3">
      <c r="A69" s="329">
        <f>IF(C69&lt;&gt;"",COUNTA($C$11:C69),"")</f>
        <v>54</v>
      </c>
      <c r="C69" s="335" t="str">
        <f>+'Bill_WMA T0'!C65</f>
        <v>Basic Service Charge</v>
      </c>
      <c r="D69" s="274"/>
      <c r="G69" s="308">
        <v>0.11387</v>
      </c>
      <c r="H69" s="574"/>
      <c r="I69" s="308">
        <v>0.14839000000000002</v>
      </c>
      <c r="J69" s="354">
        <f t="shared" si="26"/>
        <v>3.4520000000000023E-2</v>
      </c>
      <c r="K69" s="559"/>
      <c r="L69" s="559"/>
      <c r="M69" s="559"/>
      <c r="N69" s="559"/>
    </row>
    <row r="70" spans="1:14" ht="14" x14ac:dyDescent="0.3">
      <c r="A70" s="329" t="str">
        <f>IF(C70&lt;&gt;"",COUNTA($C$11:C70),"")</f>
        <v/>
      </c>
      <c r="C70" s="693"/>
      <c r="D70" s="676"/>
      <c r="E70" s="676"/>
      <c r="F70" s="676"/>
      <c r="G70" s="692"/>
      <c r="H70" s="692"/>
      <c r="I70" s="694"/>
      <c r="J70" s="694"/>
    </row>
    <row r="71" spans="1:14" ht="14" x14ac:dyDescent="0.3">
      <c r="A71" s="329">
        <f>IF(C71&lt;&gt;"",COUNTA($C$11:C71),"")</f>
        <v>55</v>
      </c>
      <c r="C71" s="695" t="s">
        <v>585</v>
      </c>
      <c r="E71" s="696">
        <v>0.26</v>
      </c>
      <c r="G71" s="694"/>
      <c r="H71" s="692"/>
      <c r="I71" s="692"/>
      <c r="J71" s="692"/>
      <c r="K71" s="697"/>
      <c r="L71" s="676"/>
    </row>
    <row r="72" spans="1:14" ht="14" x14ac:dyDescent="0.3">
      <c r="A72" s="329">
        <f>IF(C72&lt;&gt;"",COUNTA($C$11:C72),"")</f>
        <v>56</v>
      </c>
      <c r="C72" s="695" t="s">
        <v>586</v>
      </c>
      <c r="E72" s="696">
        <v>0.74</v>
      </c>
      <c r="G72" s="694"/>
      <c r="H72" s="694"/>
      <c r="I72" s="694"/>
      <c r="J72" s="694"/>
      <c r="K72" s="697"/>
    </row>
    <row r="73" spans="1:14" ht="14" x14ac:dyDescent="0.3">
      <c r="G73" s="694"/>
      <c r="H73" s="694"/>
      <c r="I73" s="694"/>
      <c r="J73" s="694"/>
      <c r="K73" s="397"/>
    </row>
    <row r="74" spans="1:14" ht="14" x14ac:dyDescent="0.3">
      <c r="G74" s="694"/>
      <c r="H74" s="694"/>
      <c r="I74" s="694"/>
      <c r="J74" s="694"/>
    </row>
    <row r="75" spans="1:14" ht="14" x14ac:dyDescent="0.3">
      <c r="C75" s="698" t="str">
        <f>+'Bill_WMA G2'!C71</f>
        <v>Total Demand &lt;=50 kW</v>
      </c>
      <c r="G75" s="690">
        <f>+G45+G47</f>
        <v>9.4599999999999991</v>
      </c>
      <c r="H75" s="694"/>
      <c r="I75" s="690">
        <f>+I45+I47</f>
        <v>8.6199999999999992</v>
      </c>
      <c r="J75" s="421">
        <f t="shared" ref="J75:J79" si="27">+I75-G75</f>
        <v>-0.83999999999999986</v>
      </c>
    </row>
    <row r="76" spans="1:14" ht="14" x14ac:dyDescent="0.3">
      <c r="C76" s="698" t="str">
        <f>+'Bill_WMA G2'!C72</f>
        <v>Total Demand &gt;50 kW</v>
      </c>
      <c r="G76" s="690">
        <f>+G46+G47</f>
        <v>15.43</v>
      </c>
      <c r="H76" s="694"/>
      <c r="I76" s="690">
        <f>+I46+I47</f>
        <v>14.93</v>
      </c>
      <c r="J76" s="421">
        <f t="shared" si="27"/>
        <v>-0.5</v>
      </c>
    </row>
    <row r="77" spans="1:14" ht="14" x14ac:dyDescent="0.3">
      <c r="C77" s="698" t="str">
        <f>+'Bill_WMA T0'!C72</f>
        <v>Total Energy - Peak</v>
      </c>
      <c r="G77" s="694">
        <f>SUM(G48,G$50:G$68)</f>
        <v>2.8549999999999999E-2</v>
      </c>
      <c r="H77" s="694"/>
      <c r="I77" s="694">
        <f>SUM(I48,I$50:I$68)</f>
        <v>2.4569999999999998E-2</v>
      </c>
      <c r="J77" s="354">
        <f t="shared" si="27"/>
        <v>-3.9800000000000009E-3</v>
      </c>
    </row>
    <row r="78" spans="1:14" ht="14" x14ac:dyDescent="0.3">
      <c r="C78" s="698" t="str">
        <f>+'Bill_WMA T0'!C73</f>
        <v>Total Energy - Off Peak</v>
      </c>
      <c r="G78" s="694">
        <f>SUM(G49,G$50:G$68)</f>
        <v>2.6720000000000001E-2</v>
      </c>
      <c r="H78" s="694"/>
      <c r="I78" s="694">
        <f>SUM(I49,I$50:I$68)</f>
        <v>2.2639999999999997E-2</v>
      </c>
      <c r="J78" s="354">
        <f t="shared" si="27"/>
        <v>-4.0800000000000038E-3</v>
      </c>
    </row>
    <row r="79" spans="1:14" ht="14" x14ac:dyDescent="0.3">
      <c r="C79" s="698" t="str">
        <f>+'Bill_WMA T0'!C74</f>
        <v>Total Basic Service</v>
      </c>
      <c r="G79" s="694">
        <f>+G69</f>
        <v>0.11387</v>
      </c>
      <c r="H79" s="694"/>
      <c r="I79" s="694">
        <f>+I69</f>
        <v>0.14839000000000002</v>
      </c>
      <c r="J79" s="354">
        <f t="shared" si="27"/>
        <v>3.4520000000000023E-2</v>
      </c>
    </row>
    <row r="80" spans="1:14" ht="14" x14ac:dyDescent="0.3">
      <c r="G80" s="694"/>
      <c r="H80" s="694"/>
      <c r="I80" s="694"/>
      <c r="J80" s="694"/>
    </row>
    <row r="81" spans="7:10" ht="14" x14ac:dyDescent="0.3">
      <c r="G81" s="694"/>
      <c r="H81" s="694"/>
      <c r="I81" s="694"/>
      <c r="J81" s="694"/>
    </row>
    <row r="82" spans="7:10" ht="14" x14ac:dyDescent="0.3">
      <c r="G82" s="694"/>
      <c r="H82" s="694"/>
      <c r="I82" s="694"/>
      <c r="J82" s="694"/>
    </row>
    <row r="83" spans="7:10" ht="14" x14ac:dyDescent="0.3">
      <c r="G83" s="694"/>
      <c r="H83" s="694"/>
      <c r="I83" s="694"/>
      <c r="J83" s="694"/>
    </row>
    <row r="84" spans="7:10" ht="14" x14ac:dyDescent="0.3">
      <c r="G84" s="694"/>
      <c r="H84" s="694"/>
      <c r="I84" s="694"/>
      <c r="J84" s="694"/>
    </row>
    <row r="85" spans="7:10" ht="14" x14ac:dyDescent="0.3">
      <c r="G85" s="694"/>
      <c r="H85" s="694"/>
      <c r="I85" s="694"/>
      <c r="J85" s="694"/>
    </row>
    <row r="86" spans="7:10" ht="14" x14ac:dyDescent="0.3">
      <c r="G86" s="694"/>
      <c r="H86" s="694"/>
      <c r="I86" s="694"/>
      <c r="J86" s="694"/>
    </row>
    <row r="87" spans="7:10" ht="14" x14ac:dyDescent="0.3">
      <c r="G87" s="694"/>
      <c r="H87" s="694"/>
      <c r="I87" s="694"/>
      <c r="J87" s="694"/>
    </row>
    <row r="88" spans="7:10" ht="14" x14ac:dyDescent="0.3">
      <c r="G88" s="694"/>
      <c r="H88" s="694"/>
      <c r="I88" s="694"/>
      <c r="J88" s="694"/>
    </row>
    <row r="89" spans="7:10" ht="14" x14ac:dyDescent="0.3">
      <c r="G89" s="694"/>
      <c r="H89" s="694"/>
      <c r="I89" s="694"/>
      <c r="J89" s="694"/>
    </row>
    <row r="90" spans="7:10" ht="14" x14ac:dyDescent="0.3">
      <c r="G90" s="694"/>
      <c r="H90" s="694"/>
      <c r="I90" s="694"/>
      <c r="J90" s="694"/>
    </row>
    <row r="91" spans="7:10" ht="14" x14ac:dyDescent="0.3">
      <c r="G91" s="694"/>
      <c r="H91" s="694"/>
      <c r="I91" s="694"/>
      <c r="J91" s="694"/>
    </row>
    <row r="92" spans="7:10" ht="14" x14ac:dyDescent="0.3">
      <c r="G92" s="694"/>
      <c r="H92" s="694"/>
      <c r="I92" s="694"/>
      <c r="J92" s="694"/>
    </row>
    <row r="93" spans="7:10" ht="14" x14ac:dyDescent="0.3">
      <c r="G93" s="694"/>
      <c r="H93" s="694"/>
      <c r="I93" s="694"/>
      <c r="J93" s="694"/>
    </row>
    <row r="94" spans="7:10" ht="14" x14ac:dyDescent="0.3">
      <c r="G94" s="694"/>
      <c r="H94" s="694"/>
      <c r="I94" s="694"/>
      <c r="J94" s="694"/>
    </row>
    <row r="95" spans="7:10" ht="14" x14ac:dyDescent="0.3">
      <c r="G95" s="694"/>
      <c r="H95" s="694"/>
      <c r="I95" s="694"/>
      <c r="J95" s="694"/>
    </row>
    <row r="96" spans="7:10" ht="14" x14ac:dyDescent="0.3">
      <c r="G96" s="694"/>
      <c r="H96" s="694"/>
      <c r="I96" s="694"/>
      <c r="J96" s="694"/>
    </row>
    <row r="97" spans="7:10" ht="14" x14ac:dyDescent="0.3">
      <c r="G97" s="694"/>
      <c r="H97" s="694"/>
      <c r="I97" s="694"/>
      <c r="J97" s="694"/>
    </row>
    <row r="98" spans="7:10" ht="14" x14ac:dyDescent="0.3">
      <c r="G98" s="694"/>
      <c r="H98" s="694"/>
      <c r="I98" s="694"/>
      <c r="J98" s="694"/>
    </row>
    <row r="99" spans="7:10" ht="14" x14ac:dyDescent="0.3">
      <c r="G99" s="694"/>
      <c r="H99" s="694"/>
      <c r="I99" s="694"/>
      <c r="J99" s="694"/>
    </row>
    <row r="100" spans="7:10" ht="14" x14ac:dyDescent="0.3">
      <c r="G100" s="694"/>
      <c r="H100" s="694"/>
      <c r="I100" s="694"/>
      <c r="J100" s="694"/>
    </row>
    <row r="101" spans="7:10" ht="14" x14ac:dyDescent="0.3">
      <c r="G101" s="694"/>
      <c r="H101" s="694"/>
      <c r="I101" s="694"/>
      <c r="J101" s="694"/>
    </row>
    <row r="102" spans="7:10" ht="14" x14ac:dyDescent="0.3">
      <c r="G102" s="694"/>
      <c r="H102" s="694"/>
      <c r="I102" s="694"/>
      <c r="J102" s="694"/>
    </row>
    <row r="103" spans="7:10" ht="14" x14ac:dyDescent="0.3">
      <c r="G103" s="694"/>
      <c r="H103" s="694"/>
      <c r="I103" s="694"/>
      <c r="J103" s="694"/>
    </row>
    <row r="104" spans="7:10" ht="14" x14ac:dyDescent="0.3">
      <c r="G104" s="694"/>
      <c r="H104" s="694"/>
      <c r="I104" s="694"/>
      <c r="J104" s="694"/>
    </row>
    <row r="105" spans="7:10" ht="14" x14ac:dyDescent="0.3">
      <c r="G105" s="694"/>
      <c r="H105" s="694"/>
      <c r="I105" s="694"/>
      <c r="J105" s="694"/>
    </row>
    <row r="106" spans="7:10" ht="14" x14ac:dyDescent="0.3">
      <c r="G106" s="694"/>
      <c r="H106" s="694"/>
      <c r="I106" s="694"/>
      <c r="J106" s="694"/>
    </row>
    <row r="107" spans="7:10" ht="14" x14ac:dyDescent="0.3">
      <c r="G107" s="694"/>
      <c r="H107" s="694"/>
      <c r="I107" s="694"/>
      <c r="J107" s="694"/>
    </row>
    <row r="108" spans="7:10" ht="14" x14ac:dyDescent="0.3">
      <c r="G108" s="694"/>
      <c r="H108" s="694"/>
      <c r="I108" s="694"/>
      <c r="J108" s="694"/>
    </row>
    <row r="109" spans="7:10" ht="14" x14ac:dyDescent="0.3">
      <c r="G109" s="694"/>
      <c r="H109" s="694"/>
      <c r="I109" s="694"/>
      <c r="J109" s="694"/>
    </row>
    <row r="110" spans="7:10" ht="14" x14ac:dyDescent="0.3">
      <c r="G110" s="694"/>
      <c r="H110" s="694"/>
      <c r="I110" s="694"/>
      <c r="J110" s="694"/>
    </row>
    <row r="111" spans="7:10" ht="14" x14ac:dyDescent="0.3">
      <c r="G111" s="694"/>
      <c r="H111" s="694"/>
      <c r="I111" s="694"/>
      <c r="J111" s="694"/>
    </row>
    <row r="112" spans="7:10" ht="14" x14ac:dyDescent="0.3">
      <c r="G112" s="694"/>
      <c r="H112" s="694"/>
      <c r="I112" s="694"/>
      <c r="J112" s="694"/>
    </row>
    <row r="113" spans="7:10" ht="14" x14ac:dyDescent="0.3">
      <c r="G113" s="694"/>
      <c r="H113" s="694"/>
      <c r="I113" s="694"/>
      <c r="J113" s="694"/>
    </row>
    <row r="114" spans="7:10" ht="14" x14ac:dyDescent="0.3">
      <c r="G114" s="694"/>
      <c r="H114" s="694"/>
      <c r="I114" s="694"/>
      <c r="J114" s="694"/>
    </row>
  </sheetData>
  <mergeCells count="7">
    <mergeCell ref="A4:N4"/>
    <mergeCell ref="A5:N5"/>
    <mergeCell ref="A6:N6"/>
    <mergeCell ref="A8:N8"/>
    <mergeCell ref="E11:G11"/>
    <mergeCell ref="I11:K11"/>
    <mergeCell ref="M11:N11"/>
  </mergeCells>
  <pageMargins left="0.7" right="0.7" top="0.75" bottom="0.75" header="0.3" footer="0.3"/>
  <pageSetup scale="64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1F0BF-2F0D-43B9-AF47-18A90FE972DB}">
  <sheetPr>
    <tabColor theme="3" tint="0.59999389629810485"/>
    <pageSetUpPr fitToPage="1"/>
  </sheetPr>
  <dimension ref="A1:AE85"/>
  <sheetViews>
    <sheetView zoomScaleNormal="100" workbookViewId="0"/>
  </sheetViews>
  <sheetFormatPr defaultRowHeight="12.5" x14ac:dyDescent="0.25"/>
  <cols>
    <col min="1" max="1" width="4" customWidth="1"/>
    <col min="2" max="2" width="4.453125" bestFit="1" customWidth="1"/>
    <col min="3" max="3" width="9.7265625" customWidth="1"/>
    <col min="4" max="4" width="10.7265625" customWidth="1"/>
    <col min="5" max="7" width="14.54296875" customWidth="1"/>
    <col min="8" max="8" width="1.7265625" customWidth="1"/>
    <col min="9" max="11" width="14.54296875" customWidth="1"/>
    <col min="12" max="12" width="1.7265625" customWidth="1"/>
    <col min="13" max="14" width="11.7265625" customWidth="1"/>
    <col min="15" max="15" width="11.81640625" bestFit="1" customWidth="1"/>
    <col min="16" max="16" width="13" bestFit="1" customWidth="1"/>
    <col min="17" max="18" width="10.1796875" bestFit="1" customWidth="1"/>
    <col min="19" max="19" width="12.54296875" bestFit="1" customWidth="1"/>
  </cols>
  <sheetData>
    <row r="1" spans="1:31" ht="14" x14ac:dyDescent="0.3">
      <c r="C1" s="527"/>
      <c r="D1" s="699"/>
      <c r="E1" s="699"/>
      <c r="F1" s="699"/>
      <c r="G1" s="619"/>
      <c r="H1" s="700"/>
    </row>
    <row r="2" spans="1:31" ht="14" x14ac:dyDescent="0.3">
      <c r="C2" s="528"/>
      <c r="D2" s="699"/>
      <c r="E2" s="699"/>
      <c r="F2" s="699"/>
      <c r="G2" s="528"/>
      <c r="H2" s="700"/>
    </row>
    <row r="3" spans="1:31" ht="14" x14ac:dyDescent="0.3">
      <c r="D3" s="585"/>
      <c r="F3" s="585"/>
      <c r="G3" s="528"/>
      <c r="H3" s="586"/>
    </row>
    <row r="4" spans="1:31" ht="14" x14ac:dyDescent="0.3">
      <c r="A4" s="757" t="str">
        <f>+'Bill_WMA 23'!A4</f>
        <v>Western Massachusetts</v>
      </c>
      <c r="B4" s="757"/>
      <c r="C4" s="757"/>
      <c r="D4" s="757"/>
      <c r="E4" s="757"/>
      <c r="F4" s="757"/>
      <c r="G4" s="757"/>
      <c r="H4" s="757"/>
      <c r="I4" s="757"/>
      <c r="J4" s="757"/>
      <c r="K4" s="757"/>
      <c r="L4" s="757"/>
      <c r="M4" s="757"/>
      <c r="N4" s="757"/>
    </row>
    <row r="5" spans="1:31" ht="14" x14ac:dyDescent="0.3">
      <c r="A5" s="757" t="str">
        <f>+'Bill_WMA 23'!A5</f>
        <v>Calculation of Monthly Typical Bill</v>
      </c>
      <c r="B5" s="757"/>
      <c r="C5" s="757"/>
      <c r="D5" s="757"/>
      <c r="E5" s="757"/>
      <c r="F5" s="757"/>
      <c r="G5" s="757"/>
      <c r="H5" s="757"/>
      <c r="I5" s="757"/>
      <c r="J5" s="757"/>
      <c r="K5" s="757"/>
      <c r="L5" s="757"/>
      <c r="M5" s="757"/>
      <c r="N5" s="757"/>
    </row>
    <row r="6" spans="1:31" ht="14" x14ac:dyDescent="0.3">
      <c r="A6" s="757" t="str">
        <f>+'Bill_WMA 23'!A6</f>
        <v>Proposed January 1, 2019</v>
      </c>
      <c r="B6" s="757"/>
      <c r="C6" s="757"/>
      <c r="D6" s="757"/>
      <c r="E6" s="757"/>
      <c r="F6" s="757"/>
      <c r="G6" s="757"/>
      <c r="H6" s="757"/>
      <c r="I6" s="757"/>
      <c r="J6" s="757"/>
      <c r="K6" s="757"/>
      <c r="L6" s="757"/>
      <c r="M6" s="757"/>
      <c r="N6" s="757"/>
    </row>
    <row r="7" spans="1:31" ht="14" x14ac:dyDescent="0.3">
      <c r="A7" s="518"/>
      <c r="B7" s="518"/>
      <c r="D7" s="555"/>
      <c r="E7" s="555"/>
      <c r="F7" s="555"/>
      <c r="G7" s="701"/>
      <c r="H7" s="701"/>
    </row>
    <row r="8" spans="1:31" ht="14" x14ac:dyDescent="0.3">
      <c r="A8" s="757" t="s">
        <v>519</v>
      </c>
      <c r="B8" s="757"/>
      <c r="C8" s="757"/>
      <c r="D8" s="757"/>
      <c r="E8" s="757"/>
      <c r="F8" s="757"/>
      <c r="G8" s="757"/>
      <c r="H8" s="757"/>
      <c r="I8" s="757"/>
      <c r="J8" s="757"/>
      <c r="K8" s="757"/>
      <c r="L8" s="757"/>
      <c r="M8" s="757"/>
      <c r="N8" s="757"/>
    </row>
    <row r="9" spans="1:31" ht="14" x14ac:dyDescent="0.3">
      <c r="A9" s="518"/>
      <c r="B9" s="518"/>
      <c r="D9" s="701"/>
      <c r="E9" s="701"/>
      <c r="F9" s="701"/>
      <c r="G9" s="701"/>
      <c r="H9" s="701"/>
    </row>
    <row r="10" spans="1:31" ht="14" x14ac:dyDescent="0.3">
      <c r="C10" s="701"/>
      <c r="D10" s="701"/>
      <c r="E10" s="701"/>
      <c r="F10" s="701"/>
      <c r="G10" s="701"/>
      <c r="H10" s="701"/>
    </row>
    <row r="11" spans="1:31" ht="14" x14ac:dyDescent="0.3">
      <c r="A11" s="329">
        <f>IF(C11&lt;&gt;"",COUNTA($C11:C$11),"")</f>
        <v>1</v>
      </c>
      <c r="B11" s="329"/>
      <c r="C11" s="702" t="str">
        <f>+'Bill_WMA G0'!C11</f>
        <v>Monthly</v>
      </c>
      <c r="D11" s="702" t="str">
        <f>+'Bill_WMA G0'!D11</f>
        <v>Monthly</v>
      </c>
      <c r="E11" s="773" t="str">
        <f>+'Bill_WMA 23'!D11</f>
        <v>Current Monthly Bill</v>
      </c>
      <c r="F11" s="773"/>
      <c r="G11" s="773"/>
      <c r="H11" s="701"/>
      <c r="I11" s="774" t="str">
        <f>+'Bill_WMA 23'!H11</f>
        <v>Proposed Monthly Bill</v>
      </c>
      <c r="J11" s="774"/>
      <c r="K11" s="774"/>
      <c r="M11" s="774" t="str">
        <f>+'Bill_WMA 23'!L11</f>
        <v>Total Bill Impact</v>
      </c>
      <c r="N11" s="774"/>
      <c r="O11" s="650"/>
      <c r="P11" s="650"/>
      <c r="Q11" s="650"/>
      <c r="R11" s="650"/>
      <c r="S11" s="650"/>
      <c r="T11" s="650"/>
      <c r="U11" s="650"/>
      <c r="V11" s="650"/>
      <c r="W11" s="650"/>
      <c r="X11" s="650"/>
      <c r="Y11" s="650"/>
      <c r="Z11" s="650"/>
      <c r="AA11" s="650"/>
      <c r="AB11" s="650"/>
      <c r="AC11" s="650"/>
      <c r="AD11" s="650"/>
      <c r="AE11" s="650"/>
    </row>
    <row r="12" spans="1:31" ht="14" x14ac:dyDescent="0.3">
      <c r="A12" s="329">
        <f>IF(C12&lt;&gt;"",COUNTA($C$11:C12),"")</f>
        <v>2</v>
      </c>
      <c r="B12" s="329"/>
      <c r="C12" s="703" t="str">
        <f>+'Bill_WMA G0'!C12</f>
        <v>kW</v>
      </c>
      <c r="D12" s="703" t="str">
        <f>+'Bill_WMA G0'!D12</f>
        <v>kWh</v>
      </c>
      <c r="E12" s="703" t="str">
        <f>+'Bill_WMA 23'!D12</f>
        <v>Delivery</v>
      </c>
      <c r="F12" s="703" t="str">
        <f>+'Bill_WMA 23'!E12</f>
        <v>Supplier</v>
      </c>
      <c r="G12" s="703" t="str">
        <f>+'Bill_WMA 23'!F12</f>
        <v>Total</v>
      </c>
      <c r="H12" s="704"/>
      <c r="I12" s="703" t="str">
        <f>+'Bill_WMA 23'!H12</f>
        <v>Delivery</v>
      </c>
      <c r="J12" s="703" t="str">
        <f>+'Bill_WMA 23'!I12</f>
        <v>Supplier</v>
      </c>
      <c r="K12" s="703" t="str">
        <f>+'Bill_WMA 23'!J12</f>
        <v>Total</v>
      </c>
      <c r="L12" s="703"/>
      <c r="M12" s="703" t="str">
        <f>+'Bill_WMA 23'!L12</f>
        <v>Change</v>
      </c>
      <c r="N12" s="703" t="str">
        <f>+'Bill_WMA 23'!M12</f>
        <v>% Change</v>
      </c>
      <c r="O12" s="650"/>
      <c r="P12" s="650"/>
      <c r="Q12" s="650"/>
      <c r="R12" s="650"/>
      <c r="S12" s="650"/>
      <c r="T12" s="650"/>
      <c r="U12" s="650"/>
      <c r="V12" s="650"/>
      <c r="W12" s="650"/>
      <c r="X12" s="650"/>
      <c r="Y12" s="650"/>
      <c r="Z12" s="650"/>
      <c r="AA12" s="650"/>
      <c r="AB12" s="650"/>
      <c r="AC12" s="650"/>
      <c r="AD12" s="650"/>
      <c r="AE12" s="650"/>
    </row>
    <row r="13" spans="1:31" ht="14" x14ac:dyDescent="0.3">
      <c r="A13" s="329" t="str">
        <f>IF(C13&lt;&gt;"",COUNTA($C$11:C13),"")</f>
        <v/>
      </c>
      <c r="C13" s="705"/>
      <c r="D13" s="701"/>
      <c r="E13" s="592"/>
      <c r="H13" s="706"/>
      <c r="I13" s="592"/>
      <c r="J13" s="592"/>
      <c r="K13" s="592"/>
      <c r="L13" s="592"/>
      <c r="M13" s="701"/>
      <c r="N13" s="707"/>
      <c r="O13" s="650"/>
      <c r="P13" s="650"/>
      <c r="Q13" s="650"/>
      <c r="R13" s="650"/>
      <c r="S13" s="650"/>
      <c r="T13" s="650"/>
      <c r="U13" s="650"/>
      <c r="V13" s="650"/>
      <c r="W13" s="650"/>
      <c r="X13" s="650"/>
      <c r="Y13" s="650"/>
      <c r="Z13" s="650"/>
      <c r="AA13" s="650"/>
      <c r="AB13" s="650"/>
      <c r="AC13" s="650"/>
      <c r="AD13" s="650"/>
      <c r="AE13" s="650"/>
    </row>
    <row r="14" spans="1:31" ht="14" x14ac:dyDescent="0.3">
      <c r="A14" s="329">
        <f>IF(C14&lt;&gt;"",COUNTA($C$11:C14),"")</f>
        <v>3</v>
      </c>
      <c r="C14" s="705" t="s">
        <v>580</v>
      </c>
      <c r="D14" s="701"/>
      <c r="E14" s="592"/>
      <c r="H14" s="706"/>
      <c r="I14" s="592"/>
      <c r="J14" s="592"/>
      <c r="K14" s="592"/>
      <c r="L14" s="592"/>
      <c r="M14" s="701"/>
      <c r="N14" s="707"/>
      <c r="O14" s="650"/>
      <c r="P14" s="650"/>
      <c r="Q14" s="650"/>
      <c r="R14" s="650"/>
      <c r="S14" s="650"/>
      <c r="T14" s="650"/>
      <c r="U14" s="650"/>
      <c r="V14" s="650"/>
      <c r="W14" s="650"/>
      <c r="X14" s="650"/>
      <c r="Y14" s="650"/>
      <c r="Z14" s="650"/>
      <c r="AA14" s="650"/>
      <c r="AB14" s="650"/>
      <c r="AC14" s="650"/>
      <c r="AD14" s="650"/>
      <c r="AE14" s="650"/>
    </row>
    <row r="15" spans="1:31" ht="14" x14ac:dyDescent="0.3">
      <c r="A15" s="329">
        <f>IF(C15&lt;&gt;"",COUNTA($C$11:C15),"")</f>
        <v>4</v>
      </c>
      <c r="C15" s="708">
        <v>350</v>
      </c>
      <c r="D15" s="709">
        <f>C15*350</f>
        <v>122500</v>
      </c>
      <c r="E15" s="710">
        <f>$G$47+$C15*SUM($G$50:$G$51)+$D15*(($G$52*$E$75+$G$53*$E$76)+SUM($G$54:$G$72))</f>
        <v>9063.5469999999987</v>
      </c>
      <c r="F15" s="710">
        <f t="shared" ref="F15:F22" si="0">+$D15*$G$73</f>
        <v>13949.075000000001</v>
      </c>
      <c r="G15" s="710">
        <f t="shared" ref="G15:G22" si="1">SUM(E15:F15)</f>
        <v>23012.621999999999</v>
      </c>
      <c r="H15" s="711"/>
      <c r="I15" s="710">
        <f>$I$47+$C15*SUM($I$50:$I$51)+$D15*(($I$52*$E$75+$I$53*$E$76)+SUM($I$54:$I$72))</f>
        <v>8575.255000000001</v>
      </c>
      <c r="J15" s="710">
        <f t="shared" ref="J15:J22" si="2">+$D15*$I$73</f>
        <v>18177.775000000001</v>
      </c>
      <c r="K15" s="710">
        <f t="shared" ref="K15:K22" si="3">SUM(I15:J15)</f>
        <v>26753.030000000002</v>
      </c>
      <c r="L15" s="710"/>
      <c r="M15" s="710">
        <f t="shared" ref="M15:M22" si="4">K15-G15</f>
        <v>3740.4080000000031</v>
      </c>
      <c r="N15" s="571">
        <f t="shared" ref="N15:N22" si="5">M15/G15</f>
        <v>0.16253723717358254</v>
      </c>
      <c r="O15" s="658"/>
      <c r="P15" s="658"/>
      <c r="Q15" s="658"/>
      <c r="R15" s="658"/>
      <c r="S15" s="658"/>
      <c r="T15" s="658"/>
      <c r="U15" s="658"/>
      <c r="V15" s="658"/>
      <c r="W15" s="658"/>
      <c r="X15" s="658"/>
      <c r="Y15" s="658"/>
      <c r="Z15" s="658"/>
      <c r="AA15" s="658"/>
      <c r="AB15" s="658"/>
      <c r="AC15" s="658"/>
      <c r="AD15" s="658"/>
      <c r="AE15" s="658"/>
    </row>
    <row r="16" spans="1:31" ht="14" x14ac:dyDescent="0.3">
      <c r="A16" s="329">
        <f>IF(C16&lt;&gt;"",COUNTA($C$11:C16),"")</f>
        <v>5</v>
      </c>
      <c r="C16" s="708">
        <v>425</v>
      </c>
      <c r="D16" s="709">
        <f t="shared" ref="D16:D22" si="6">C16*350</f>
        <v>148750</v>
      </c>
      <c r="E16" s="710">
        <f>$G$47+$C16*SUM($G$50:$G$51)+$D16*(($G$52*$E$75+$G$53*$E$76)+SUM($G$54:$G$72))</f>
        <v>10842.878499999999</v>
      </c>
      <c r="F16" s="710">
        <f t="shared" si="0"/>
        <v>16938.162499999999</v>
      </c>
      <c r="G16" s="710">
        <f t="shared" si="1"/>
        <v>27781.040999999997</v>
      </c>
      <c r="H16" s="712"/>
      <c r="I16" s="710">
        <f>$I$47+$C16*SUM($I$50:$I$51)+$D16*(($I$52*$E$75+$I$53*$E$76)+SUM($I$54:$I$72))</f>
        <v>10249.952499999999</v>
      </c>
      <c r="J16" s="710">
        <f t="shared" si="2"/>
        <v>22073.012500000004</v>
      </c>
      <c r="K16" s="710">
        <f t="shared" si="3"/>
        <v>32322.965000000004</v>
      </c>
      <c r="L16" s="710"/>
      <c r="M16" s="710">
        <f t="shared" si="4"/>
        <v>4541.9240000000063</v>
      </c>
      <c r="N16" s="571">
        <f t="shared" si="5"/>
        <v>0.16349005784196521</v>
      </c>
      <c r="O16" s="658"/>
      <c r="P16" s="658"/>
      <c r="Q16" s="658"/>
      <c r="R16" s="658"/>
      <c r="S16" s="658"/>
      <c r="T16" s="658"/>
      <c r="U16" s="658"/>
      <c r="V16" s="658"/>
      <c r="W16" s="658"/>
      <c r="X16" s="658"/>
      <c r="Y16" s="658"/>
      <c r="Z16" s="658"/>
      <c r="AA16" s="658"/>
      <c r="AB16" s="658"/>
      <c r="AC16" s="658"/>
      <c r="AD16" s="658"/>
      <c r="AE16" s="658"/>
    </row>
    <row r="17" spans="1:31" ht="14" x14ac:dyDescent="0.3">
      <c r="A17" s="329">
        <f>IF(C17&lt;&gt;"",COUNTA($C$11:C17),"")</f>
        <v>6</v>
      </c>
      <c r="C17" s="708">
        <v>500</v>
      </c>
      <c r="D17" s="709">
        <f t="shared" si="6"/>
        <v>175000</v>
      </c>
      <c r="E17" s="710">
        <f>$G$47+$C17*SUM($G$50:$G$51)+$D17*(($G$52*$E$75+$G$53*$E$76)+SUM($G$54:$G$72))</f>
        <v>12622.21</v>
      </c>
      <c r="F17" s="710">
        <f t="shared" si="0"/>
        <v>19927.25</v>
      </c>
      <c r="G17" s="710">
        <f t="shared" si="1"/>
        <v>32549.46</v>
      </c>
      <c r="H17" s="712"/>
      <c r="I17" s="710">
        <f>$I$47+$C17*SUM($I$50:$I$51)+$D17*(($I$52*$E$75+$I$53*$E$76)+SUM($I$54:$I$72))</f>
        <v>11924.65</v>
      </c>
      <c r="J17" s="710">
        <f t="shared" si="2"/>
        <v>25968.250000000004</v>
      </c>
      <c r="K17" s="710">
        <f t="shared" si="3"/>
        <v>37892.9</v>
      </c>
      <c r="L17" s="710"/>
      <c r="M17" s="710">
        <f t="shared" si="4"/>
        <v>5343.4400000000023</v>
      </c>
      <c r="N17" s="571">
        <f t="shared" si="5"/>
        <v>0.16416370655611498</v>
      </c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</row>
    <row r="18" spans="1:31" ht="14" x14ac:dyDescent="0.3">
      <c r="A18" s="329">
        <f>IF(C18&lt;&gt;"",COUNTA($C$11:C18),"")</f>
        <v>7</v>
      </c>
      <c r="C18" s="708">
        <v>650</v>
      </c>
      <c r="D18" s="709">
        <f t="shared" si="6"/>
        <v>227500</v>
      </c>
      <c r="E18" s="710">
        <f>$G$47+$C18*SUM($G$50:$G$51)+$D18*(($G$52*$E$75+$G$53*$E$76)+SUM($G$54:$G$72))</f>
        <v>16180.873</v>
      </c>
      <c r="F18" s="710">
        <f t="shared" si="0"/>
        <v>25905.424999999999</v>
      </c>
      <c r="G18" s="710">
        <f t="shared" si="1"/>
        <v>42086.297999999995</v>
      </c>
      <c r="H18" s="712"/>
      <c r="I18" s="710">
        <f>$I$47+$C18*SUM($I$50:$I$51)+$D18*(($I$52*$E$75+$I$53*$E$76)+SUM($I$54:$I$72))</f>
        <v>15274.045</v>
      </c>
      <c r="J18" s="710">
        <f t="shared" si="2"/>
        <v>33758.725000000006</v>
      </c>
      <c r="K18" s="710">
        <f t="shared" si="3"/>
        <v>49032.770000000004</v>
      </c>
      <c r="L18" s="710"/>
      <c r="M18" s="710">
        <f t="shared" si="4"/>
        <v>6946.4720000000088</v>
      </c>
      <c r="N18" s="571">
        <f t="shared" si="5"/>
        <v>0.16505305360903944</v>
      </c>
      <c r="O18" s="658"/>
      <c r="P18" s="658"/>
      <c r="Q18" s="658"/>
      <c r="R18" s="658"/>
      <c r="S18" s="658"/>
      <c r="T18" s="658"/>
      <c r="U18" s="658"/>
      <c r="V18" s="658"/>
      <c r="W18" s="658"/>
      <c r="X18" s="658"/>
      <c r="Y18" s="658"/>
      <c r="Z18" s="658"/>
      <c r="AA18" s="658"/>
      <c r="AB18" s="658"/>
      <c r="AC18" s="658"/>
      <c r="AD18" s="658"/>
      <c r="AE18" s="658"/>
    </row>
    <row r="19" spans="1:31" ht="14" x14ac:dyDescent="0.3">
      <c r="A19" s="329">
        <f>IF(C19&lt;&gt;"",COUNTA($C$11:C19),"")</f>
        <v>8</v>
      </c>
      <c r="C19" s="708">
        <v>1000</v>
      </c>
      <c r="D19" s="709">
        <f t="shared" si="6"/>
        <v>350000</v>
      </c>
      <c r="E19" s="710">
        <f>$G$48+$C19*SUM($G$50:$G$51)+$D19*(($G$52*$E$75+$G$53*$E$76)+SUM($G$54:$G$72))</f>
        <v>25349.42</v>
      </c>
      <c r="F19" s="710">
        <f t="shared" si="0"/>
        <v>39854.5</v>
      </c>
      <c r="G19" s="710">
        <f t="shared" si="1"/>
        <v>65203.92</v>
      </c>
      <c r="H19" s="712"/>
      <c r="I19" s="710">
        <f>$I$48+$C19*SUM($I$50:$I$51)+$D19*(($I$52*$E$75+$I$53*$E$76)+SUM($I$54:$I$72))</f>
        <v>23954.3</v>
      </c>
      <c r="J19" s="710">
        <f t="shared" si="2"/>
        <v>51936.500000000007</v>
      </c>
      <c r="K19" s="710">
        <f t="shared" si="3"/>
        <v>75890.8</v>
      </c>
      <c r="L19" s="710"/>
      <c r="M19" s="710">
        <f t="shared" si="4"/>
        <v>10686.880000000005</v>
      </c>
      <c r="N19" s="571">
        <f t="shared" si="5"/>
        <v>0.16389934838273534</v>
      </c>
      <c r="O19" s="658"/>
      <c r="P19" s="658"/>
      <c r="Q19" s="658"/>
      <c r="R19" s="658"/>
      <c r="S19" s="658"/>
      <c r="T19" s="658"/>
      <c r="U19" s="658"/>
      <c r="V19" s="658"/>
      <c r="W19" s="658"/>
      <c r="X19" s="658"/>
      <c r="Y19" s="658"/>
      <c r="Z19" s="658"/>
      <c r="AA19" s="658"/>
      <c r="AB19" s="658"/>
      <c r="AC19" s="658"/>
      <c r="AD19" s="658"/>
      <c r="AE19" s="658"/>
    </row>
    <row r="20" spans="1:31" ht="14" x14ac:dyDescent="0.3">
      <c r="A20" s="329">
        <f>IF(C20&lt;&gt;"",COUNTA($C$11:C20),"")</f>
        <v>9</v>
      </c>
      <c r="C20" s="708">
        <v>1500</v>
      </c>
      <c r="D20" s="709">
        <f t="shared" si="6"/>
        <v>525000</v>
      </c>
      <c r="E20" s="710">
        <f>$G$49+$C20*SUM($G$50:$G$51)+$D20*(($G$52*$E$75+$G$53*$E$76)+SUM($G$54:$G$72))</f>
        <v>38286.629999999997</v>
      </c>
      <c r="F20" s="710">
        <f t="shared" si="0"/>
        <v>59781.75</v>
      </c>
      <c r="G20" s="710">
        <f t="shared" si="1"/>
        <v>98068.38</v>
      </c>
      <c r="H20" s="712"/>
      <c r="I20" s="710">
        <f>$I$49+$C20*SUM($I$50:$I$51)+$D20*(($I$52*$E$75+$I$53*$E$76)+SUM($I$54:$I$72))</f>
        <v>36193.949999999997</v>
      </c>
      <c r="J20" s="710">
        <f t="shared" si="2"/>
        <v>77904.750000000015</v>
      </c>
      <c r="K20" s="710">
        <f t="shared" si="3"/>
        <v>114098.70000000001</v>
      </c>
      <c r="L20" s="710"/>
      <c r="M20" s="710">
        <f t="shared" si="4"/>
        <v>16030.320000000007</v>
      </c>
      <c r="N20" s="571">
        <f t="shared" si="5"/>
        <v>0.1634606383831364</v>
      </c>
      <c r="O20" s="658"/>
      <c r="P20" s="658"/>
      <c r="Q20" s="658"/>
      <c r="R20" s="658"/>
      <c r="S20" s="658"/>
      <c r="T20" s="658"/>
      <c r="U20" s="658"/>
      <c r="V20" s="658"/>
      <c r="W20" s="658"/>
      <c r="X20" s="658"/>
      <c r="Y20" s="658"/>
      <c r="Z20" s="658"/>
      <c r="AA20" s="658"/>
      <c r="AB20" s="658"/>
      <c r="AC20" s="658"/>
      <c r="AD20" s="658"/>
      <c r="AE20" s="658"/>
    </row>
    <row r="21" spans="1:31" ht="14" x14ac:dyDescent="0.3">
      <c r="A21" s="329">
        <f>IF(C21&lt;&gt;"",COUNTA($C$11:C21),"")</f>
        <v>10</v>
      </c>
      <c r="C21" s="708">
        <v>2000</v>
      </c>
      <c r="D21" s="709">
        <f t="shared" si="6"/>
        <v>700000</v>
      </c>
      <c r="E21" s="710">
        <f>$G$49+$C21*SUM($G$50:$G$51)+$D21*(($G$52*$E$75+$G$53*$E$76)+SUM($G$54:$G$72))</f>
        <v>50148.84</v>
      </c>
      <c r="F21" s="710">
        <f t="shared" si="0"/>
        <v>79709</v>
      </c>
      <c r="G21" s="710">
        <f t="shared" si="1"/>
        <v>129857.84</v>
      </c>
      <c r="H21" s="712"/>
      <c r="I21" s="710">
        <f>$I$49+$C21*SUM($I$50:$I$51)+$D21*(($I$52*$E$75+$I$53*$E$76)+SUM($I$54:$I$72))</f>
        <v>47358.6</v>
      </c>
      <c r="J21" s="710">
        <f t="shared" si="2"/>
        <v>103873.00000000001</v>
      </c>
      <c r="K21" s="710">
        <f t="shared" si="3"/>
        <v>151231.6</v>
      </c>
      <c r="L21" s="710"/>
      <c r="M21" s="710">
        <f t="shared" si="4"/>
        <v>21373.760000000009</v>
      </c>
      <c r="N21" s="571">
        <f t="shared" si="5"/>
        <v>0.16459352781472425</v>
      </c>
      <c r="O21" s="658"/>
      <c r="P21" s="658"/>
      <c r="Q21" s="658"/>
      <c r="R21" s="658"/>
      <c r="S21" s="658"/>
      <c r="T21" s="658"/>
      <c r="U21" s="658"/>
      <c r="V21" s="658"/>
      <c r="W21" s="658"/>
      <c r="X21" s="658"/>
      <c r="Y21" s="658"/>
      <c r="Z21" s="658"/>
      <c r="AA21" s="658"/>
      <c r="AB21" s="658"/>
      <c r="AC21" s="658"/>
      <c r="AD21" s="658"/>
      <c r="AE21" s="658"/>
    </row>
    <row r="22" spans="1:31" ht="14" x14ac:dyDescent="0.3">
      <c r="A22" s="329">
        <f>IF(C22&lt;&gt;"",COUNTA($C$11:C22),"")</f>
        <v>11</v>
      </c>
      <c r="B22" s="585" t="s">
        <v>554</v>
      </c>
      <c r="C22" s="708">
        <v>410</v>
      </c>
      <c r="D22" s="709">
        <f t="shared" si="6"/>
        <v>143500</v>
      </c>
      <c r="E22" s="710">
        <f>$G$47+$C22*SUM($G$50:$G$51)+$D22*(($G$52*$E$75+$G$53*$E$76)+SUM($G$54:$G$72))</f>
        <v>10487.012199999999</v>
      </c>
      <c r="F22" s="710">
        <f t="shared" si="0"/>
        <v>16340.344999999999</v>
      </c>
      <c r="G22" s="710">
        <f t="shared" si="1"/>
        <v>26827.357199999999</v>
      </c>
      <c r="H22" s="712"/>
      <c r="I22" s="710">
        <f>$I$47+$C22*SUM($I$50:$I$51)+$D22*(($I$52*$E$75+$I$53*$E$76)+SUM($I$54:$I$72))</f>
        <v>9915.0130000000008</v>
      </c>
      <c r="J22" s="710">
        <f t="shared" si="2"/>
        <v>21293.965000000004</v>
      </c>
      <c r="K22" s="710">
        <f t="shared" si="3"/>
        <v>31208.978000000003</v>
      </c>
      <c r="L22" s="710"/>
      <c r="M22" s="710">
        <f t="shared" si="4"/>
        <v>4381.6208000000042</v>
      </c>
      <c r="N22" s="571">
        <f t="shared" si="5"/>
        <v>0.1633265911112558</v>
      </c>
      <c r="O22" s="658"/>
      <c r="P22" s="658"/>
      <c r="Q22" s="658"/>
      <c r="R22" s="658"/>
      <c r="S22" s="658"/>
      <c r="T22" s="658"/>
      <c r="U22" s="658"/>
      <c r="V22" s="658"/>
      <c r="W22" s="658"/>
      <c r="X22" s="658"/>
      <c r="Y22" s="658"/>
      <c r="Z22" s="658"/>
      <c r="AA22" s="658"/>
      <c r="AB22" s="658"/>
      <c r="AC22" s="658"/>
      <c r="AD22" s="658"/>
      <c r="AE22" s="658"/>
    </row>
    <row r="23" spans="1:31" ht="14" x14ac:dyDescent="0.3">
      <c r="A23" s="329" t="str">
        <f>IF(C23&lt;&gt;"",COUNTA($C$11:C23),"")</f>
        <v/>
      </c>
      <c r="C23" s="713"/>
      <c r="D23" s="713"/>
      <c r="E23" s="710" t="s">
        <v>46</v>
      </c>
      <c r="F23" s="710"/>
      <c r="G23" s="710"/>
      <c r="H23" s="712"/>
      <c r="I23" s="710" t="s">
        <v>46</v>
      </c>
      <c r="J23" s="710"/>
      <c r="K23" s="710"/>
      <c r="L23" s="710"/>
      <c r="M23" s="710"/>
      <c r="N23" s="714"/>
    </row>
    <row r="24" spans="1:31" ht="14" x14ac:dyDescent="0.3">
      <c r="A24" s="329">
        <f>IF(C24&lt;&gt;"",COUNTA($C$11:C24),"")</f>
        <v>12</v>
      </c>
      <c r="C24" s="705" t="s">
        <v>578</v>
      </c>
      <c r="D24" s="713"/>
      <c r="E24" s="710"/>
      <c r="F24" s="710"/>
      <c r="G24" s="710"/>
      <c r="H24" s="712"/>
      <c r="I24" s="710"/>
      <c r="J24" s="710"/>
      <c r="K24" s="710"/>
      <c r="L24" s="710"/>
      <c r="M24" s="710"/>
      <c r="N24" s="714"/>
    </row>
    <row r="25" spans="1:31" ht="14" x14ac:dyDescent="0.3">
      <c r="A25" s="329">
        <f>IF(C25&lt;&gt;"",COUNTA($C$11:C25),"")</f>
        <v>13</v>
      </c>
      <c r="C25" s="709">
        <f t="shared" ref="C25:C31" si="7">+C15</f>
        <v>350</v>
      </c>
      <c r="D25" s="709">
        <f>C25*450</f>
        <v>157500</v>
      </c>
      <c r="E25" s="710">
        <f>$G$47+$C25*SUM($G$50:$G$51)+$D25*(($G$52*$E$75+$G$53*$E$76)+SUM($G$54:$G$72))</f>
        <v>9911.9889999999996</v>
      </c>
      <c r="F25" s="710">
        <f t="shared" ref="F25:F32" si="8">+$D25*$G$73</f>
        <v>17934.525000000001</v>
      </c>
      <c r="G25" s="710">
        <f t="shared" ref="G25:G32" si="9">SUM(E25:F25)</f>
        <v>27846.514000000003</v>
      </c>
      <c r="H25" s="712"/>
      <c r="I25" s="710">
        <f>$I$47+$C25*SUM($I$50:$I$51)+$D25*(($I$52*$E$75+$I$53*$E$76)+SUM($I$54:$I$72))</f>
        <v>9317.1850000000013</v>
      </c>
      <c r="J25" s="710">
        <f t="shared" ref="J25:J32" si="10">+$D25*$I$73</f>
        <v>23371.425000000003</v>
      </c>
      <c r="K25" s="710">
        <f t="shared" ref="K25:K32" si="11">SUM(I25:J25)</f>
        <v>32688.610000000004</v>
      </c>
      <c r="L25" s="710"/>
      <c r="M25" s="710">
        <f t="shared" ref="M25:M32" si="12">K25-G25</f>
        <v>4842.0960000000014</v>
      </c>
      <c r="N25" s="571">
        <f t="shared" ref="N25:N32" si="13">M25/G25</f>
        <v>0.17388517643536999</v>
      </c>
      <c r="O25" s="658"/>
      <c r="P25" s="658"/>
      <c r="Q25" s="658"/>
      <c r="R25" s="658"/>
      <c r="S25" s="658"/>
      <c r="T25" s="658"/>
      <c r="U25" s="658"/>
      <c r="V25" s="658"/>
      <c r="W25" s="658"/>
      <c r="X25" s="658"/>
      <c r="Y25" s="658"/>
      <c r="Z25" s="658"/>
      <c r="AA25" s="658"/>
      <c r="AB25" s="658"/>
      <c r="AC25" s="658"/>
      <c r="AD25" s="658"/>
      <c r="AE25" s="658"/>
    </row>
    <row r="26" spans="1:31" ht="14" x14ac:dyDescent="0.3">
      <c r="A26" s="329">
        <f>IF(C26&lt;&gt;"",COUNTA($C$11:C26),"")</f>
        <v>14</v>
      </c>
      <c r="C26" s="709">
        <f t="shared" si="7"/>
        <v>425</v>
      </c>
      <c r="D26" s="709">
        <f t="shared" ref="D26:D32" si="14">C26*450</f>
        <v>191250</v>
      </c>
      <c r="E26" s="710">
        <f>$G$47+$C26*SUM($G$50:$G$51)+$D26*(($G$52*$E$75+$G$53*$E$76)+SUM($G$54:$G$72))</f>
        <v>11873.129499999999</v>
      </c>
      <c r="F26" s="710">
        <f t="shared" si="8"/>
        <v>21777.637500000001</v>
      </c>
      <c r="G26" s="710">
        <f t="shared" si="9"/>
        <v>33650.767</v>
      </c>
      <c r="H26" s="712"/>
      <c r="I26" s="710">
        <f>$I$47+$C26*SUM($I$50:$I$51)+$D26*(($I$52*$E$75+$I$53*$E$76)+SUM($I$54:$I$72))</f>
        <v>11150.8675</v>
      </c>
      <c r="J26" s="710">
        <f t="shared" si="10"/>
        <v>28379.587500000005</v>
      </c>
      <c r="K26" s="710">
        <f t="shared" si="11"/>
        <v>39530.455000000002</v>
      </c>
      <c r="L26" s="710"/>
      <c r="M26" s="710">
        <f t="shared" si="12"/>
        <v>5879.6880000000019</v>
      </c>
      <c r="N26" s="571">
        <f t="shared" si="13"/>
        <v>0.17472671573875276</v>
      </c>
      <c r="O26" s="658"/>
      <c r="P26" s="658"/>
      <c r="Q26" s="658"/>
      <c r="R26" s="658"/>
      <c r="S26" s="658"/>
      <c r="T26" s="658"/>
      <c r="U26" s="658"/>
      <c r="V26" s="658"/>
      <c r="W26" s="658"/>
      <c r="X26" s="658"/>
      <c r="Y26" s="658"/>
      <c r="Z26" s="658"/>
      <c r="AA26" s="658"/>
      <c r="AB26" s="658"/>
      <c r="AC26" s="658"/>
      <c r="AD26" s="658"/>
      <c r="AE26" s="658"/>
    </row>
    <row r="27" spans="1:31" ht="14" x14ac:dyDescent="0.3">
      <c r="A27" s="329">
        <f>IF(C27&lt;&gt;"",COUNTA($C$11:C27),"")</f>
        <v>15</v>
      </c>
      <c r="C27" s="709">
        <f t="shared" si="7"/>
        <v>500</v>
      </c>
      <c r="D27" s="709">
        <f t="shared" si="14"/>
        <v>225000</v>
      </c>
      <c r="E27" s="710">
        <f>$G$47+$C27*SUM($G$50:$G$51)+$D27*(($G$52*$E$75+$G$53*$E$76)+SUM($G$54:$G$72))</f>
        <v>13834.27</v>
      </c>
      <c r="F27" s="710">
        <f t="shared" si="8"/>
        <v>25620.75</v>
      </c>
      <c r="G27" s="710">
        <f t="shared" si="9"/>
        <v>39455.020000000004</v>
      </c>
      <c r="H27" s="712"/>
      <c r="I27" s="710">
        <f>$I$47+$C27*SUM($I$50:$I$51)+$D27*(($I$52*$E$75+$I$53*$E$76)+SUM($I$54:$I$72))</f>
        <v>12984.55</v>
      </c>
      <c r="J27" s="710">
        <f t="shared" si="10"/>
        <v>33387.750000000007</v>
      </c>
      <c r="K27" s="710">
        <f t="shared" si="11"/>
        <v>46372.3</v>
      </c>
      <c r="L27" s="710"/>
      <c r="M27" s="710">
        <f t="shared" si="12"/>
        <v>6917.2799999999988</v>
      </c>
      <c r="N27" s="571">
        <f t="shared" si="13"/>
        <v>0.17532065628150734</v>
      </c>
      <c r="O27" s="658"/>
      <c r="P27" s="658"/>
      <c r="Q27" s="658"/>
      <c r="R27" s="658"/>
      <c r="S27" s="658"/>
      <c r="T27" s="658"/>
      <c r="U27" s="658"/>
      <c r="V27" s="658"/>
      <c r="W27" s="658"/>
      <c r="X27" s="658"/>
      <c r="Y27" s="658"/>
      <c r="Z27" s="658"/>
      <c r="AA27" s="658"/>
      <c r="AB27" s="658"/>
      <c r="AC27" s="658"/>
      <c r="AD27" s="658"/>
      <c r="AE27" s="658"/>
    </row>
    <row r="28" spans="1:31" ht="14" x14ac:dyDescent="0.3">
      <c r="A28" s="329">
        <f>IF(C28&lt;&gt;"",COUNTA($C$11:C28),"")</f>
        <v>16</v>
      </c>
      <c r="C28" s="709">
        <f t="shared" si="7"/>
        <v>650</v>
      </c>
      <c r="D28" s="709">
        <f t="shared" si="14"/>
        <v>292500</v>
      </c>
      <c r="E28" s="710">
        <f>$G$47+$C28*SUM($G$50:$G$51)+$D28*(($G$52*$E$75+$G$53*$E$76)+SUM($G$54:$G$72))</f>
        <v>17756.550999999999</v>
      </c>
      <c r="F28" s="710">
        <f t="shared" si="8"/>
        <v>33306.974999999999</v>
      </c>
      <c r="G28" s="710">
        <f t="shared" si="9"/>
        <v>51063.525999999998</v>
      </c>
      <c r="H28" s="712"/>
      <c r="I28" s="710">
        <f>$I$47+$C28*SUM($I$50:$I$51)+$D28*(($I$52*$E$75+$I$53*$E$76)+SUM($I$54:$I$72))</f>
        <v>16651.915000000001</v>
      </c>
      <c r="J28" s="710">
        <f t="shared" si="10"/>
        <v>43404.075000000004</v>
      </c>
      <c r="K28" s="710">
        <f t="shared" si="11"/>
        <v>60055.990000000005</v>
      </c>
      <c r="L28" s="710"/>
      <c r="M28" s="710">
        <f t="shared" si="12"/>
        <v>8992.4640000000072</v>
      </c>
      <c r="N28" s="571">
        <f t="shared" si="13"/>
        <v>0.17610346766887988</v>
      </c>
      <c r="O28" s="658"/>
      <c r="P28" s="658"/>
      <c r="Q28" s="658"/>
      <c r="R28" s="658"/>
      <c r="S28" s="658"/>
      <c r="T28" s="658"/>
      <c r="U28" s="658"/>
      <c r="V28" s="658"/>
      <c r="W28" s="658"/>
      <c r="X28" s="658"/>
      <c r="Y28" s="658"/>
      <c r="Z28" s="658"/>
      <c r="AA28" s="658"/>
      <c r="AB28" s="658"/>
      <c r="AC28" s="658"/>
      <c r="AD28" s="658"/>
      <c r="AE28" s="658"/>
    </row>
    <row r="29" spans="1:31" ht="14" x14ac:dyDescent="0.3">
      <c r="A29" s="329">
        <f>IF(C29&lt;&gt;"",COUNTA($C$11:C29),"")</f>
        <v>17</v>
      </c>
      <c r="C29" s="709">
        <f t="shared" si="7"/>
        <v>1000</v>
      </c>
      <c r="D29" s="709">
        <f t="shared" si="14"/>
        <v>450000</v>
      </c>
      <c r="E29" s="710">
        <f>$G$48+$C29*SUM($G$50:$G$51)+$D29*(($G$52*$E$75+$G$53*$E$76)+SUM($G$54:$G$72))</f>
        <v>27773.54</v>
      </c>
      <c r="F29" s="710">
        <f t="shared" si="8"/>
        <v>51241.5</v>
      </c>
      <c r="G29" s="710">
        <f t="shared" si="9"/>
        <v>79015.040000000008</v>
      </c>
      <c r="H29" s="712"/>
      <c r="I29" s="710">
        <f>$I$48+$C29*SUM($I$50:$I$51)+$D29*(($I$52*$E$75+$I$53*$E$76)+SUM($I$54:$I$72))</f>
        <v>26074.1</v>
      </c>
      <c r="J29" s="710">
        <f t="shared" si="10"/>
        <v>66775.500000000015</v>
      </c>
      <c r="K29" s="710">
        <f t="shared" si="11"/>
        <v>92849.600000000006</v>
      </c>
      <c r="L29" s="710"/>
      <c r="M29" s="710">
        <f t="shared" si="12"/>
        <v>13834.559999999998</v>
      </c>
      <c r="N29" s="571">
        <f t="shared" si="13"/>
        <v>0.17508767951012866</v>
      </c>
      <c r="O29" s="658"/>
      <c r="P29" s="658"/>
      <c r="Q29" s="658"/>
      <c r="R29" s="658"/>
      <c r="S29" s="658"/>
      <c r="T29" s="658"/>
      <c r="U29" s="658"/>
      <c r="V29" s="658"/>
      <c r="W29" s="658"/>
      <c r="X29" s="658"/>
      <c r="Y29" s="658"/>
      <c r="Z29" s="658"/>
      <c r="AA29" s="658"/>
      <c r="AB29" s="658"/>
      <c r="AC29" s="658"/>
      <c r="AD29" s="658"/>
      <c r="AE29" s="658"/>
    </row>
    <row r="30" spans="1:31" ht="14" x14ac:dyDescent="0.3">
      <c r="A30" s="329">
        <f>IF(C30&lt;&gt;"",COUNTA($C$11:C30),"")</f>
        <v>18</v>
      </c>
      <c r="C30" s="709">
        <f t="shared" si="7"/>
        <v>1500</v>
      </c>
      <c r="D30" s="709">
        <f t="shared" si="14"/>
        <v>675000</v>
      </c>
      <c r="E30" s="710">
        <f>$G$49+$C30*SUM($G$50:$G$51)+$D30*(($G$52*$E$75+$G$53*$E$76)+SUM($G$54:$G$72))</f>
        <v>41922.81</v>
      </c>
      <c r="F30" s="710">
        <f t="shared" si="8"/>
        <v>76862.25</v>
      </c>
      <c r="G30" s="710">
        <f t="shared" si="9"/>
        <v>118785.06</v>
      </c>
      <c r="H30" s="712"/>
      <c r="I30" s="710">
        <f>$I$49+$C30*SUM($I$50:$I$51)+$D30*(($I$52*$E$75+$I$53*$E$76)+SUM($I$54:$I$72))</f>
        <v>39373.65</v>
      </c>
      <c r="J30" s="710">
        <f t="shared" si="10"/>
        <v>100163.25000000001</v>
      </c>
      <c r="K30" s="710">
        <f t="shared" si="11"/>
        <v>139536.90000000002</v>
      </c>
      <c r="L30" s="710"/>
      <c r="M30" s="710">
        <f t="shared" si="12"/>
        <v>20751.840000000026</v>
      </c>
      <c r="N30" s="571">
        <f t="shared" si="13"/>
        <v>0.17470075782257488</v>
      </c>
      <c r="O30" s="658"/>
      <c r="P30" s="658"/>
      <c r="Q30" s="658"/>
      <c r="R30" s="658"/>
      <c r="S30" s="658"/>
      <c r="T30" s="658"/>
      <c r="U30" s="658"/>
      <c r="V30" s="658"/>
      <c r="W30" s="658"/>
      <c r="X30" s="658"/>
      <c r="Y30" s="658"/>
      <c r="Z30" s="658"/>
      <c r="AA30" s="658"/>
      <c r="AB30" s="658"/>
      <c r="AC30" s="658"/>
      <c r="AD30" s="658"/>
      <c r="AE30" s="658"/>
    </row>
    <row r="31" spans="1:31" ht="14" x14ac:dyDescent="0.3">
      <c r="A31" s="329">
        <f>IF(C31&lt;&gt;"",COUNTA($C$11:C31),"")</f>
        <v>19</v>
      </c>
      <c r="C31" s="709">
        <f t="shared" si="7"/>
        <v>2000</v>
      </c>
      <c r="D31" s="709">
        <f t="shared" si="14"/>
        <v>900000</v>
      </c>
      <c r="E31" s="710">
        <f>$G$49+$C31*SUM($G$50:$G$51)+$D31*(($G$52*$E$75+$G$53*$E$76)+SUM($G$54:$G$72))</f>
        <v>54997.08</v>
      </c>
      <c r="F31" s="710">
        <f t="shared" si="8"/>
        <v>102483</v>
      </c>
      <c r="G31" s="710">
        <f t="shared" si="9"/>
        <v>157480.08000000002</v>
      </c>
      <c r="H31" s="712"/>
      <c r="I31" s="710">
        <f>$I$49+$C31*SUM($I$50:$I$51)+$D31*(($I$52*$E$75+$I$53*$E$76)+SUM($I$54:$I$72))</f>
        <v>51598.2</v>
      </c>
      <c r="J31" s="710">
        <f t="shared" si="10"/>
        <v>133551.00000000003</v>
      </c>
      <c r="K31" s="710">
        <f t="shared" si="11"/>
        <v>185149.2</v>
      </c>
      <c r="L31" s="710"/>
      <c r="M31" s="710">
        <f t="shared" si="12"/>
        <v>27669.119999999995</v>
      </c>
      <c r="N31" s="571">
        <f t="shared" si="13"/>
        <v>0.17569917414316777</v>
      </c>
      <c r="O31" s="658"/>
      <c r="P31" s="658"/>
      <c r="Q31" s="658"/>
      <c r="R31" s="658"/>
      <c r="S31" s="658"/>
      <c r="T31" s="658"/>
      <c r="U31" s="658"/>
      <c r="V31" s="658"/>
      <c r="W31" s="658"/>
      <c r="X31" s="658"/>
      <c r="Y31" s="658"/>
      <c r="Z31" s="658"/>
      <c r="AA31" s="658"/>
      <c r="AB31" s="658"/>
      <c r="AC31" s="658"/>
      <c r="AD31" s="658"/>
      <c r="AE31" s="658"/>
    </row>
    <row r="32" spans="1:31" ht="14" x14ac:dyDescent="0.3">
      <c r="A32" s="329">
        <f>IF(C32&lt;&gt;"",COUNTA($C$11:C32),"")</f>
        <v>20</v>
      </c>
      <c r="B32" s="585" t="s">
        <v>554</v>
      </c>
      <c r="C32" s="709">
        <v>571</v>
      </c>
      <c r="D32" s="709">
        <f t="shared" si="14"/>
        <v>256950</v>
      </c>
      <c r="E32" s="710">
        <f>$G$47+$C32*SUM($G$50:$G$51)+$D32*(($G$52*$E$75+$G$53*$E$76)+SUM($G$54:$G$72))</f>
        <v>15690.816339999999</v>
      </c>
      <c r="F32" s="710">
        <f t="shared" si="8"/>
        <v>29258.896499999999</v>
      </c>
      <c r="G32" s="710">
        <f t="shared" si="9"/>
        <v>44949.71284</v>
      </c>
      <c r="H32" s="712"/>
      <c r="I32" s="710">
        <f>$I$47+$C32*SUM($I$50:$I$51)+$D32*(($I$52*$E$75+$I$53*$E$76)+SUM($I$54:$I$72))</f>
        <v>14720.436100000001</v>
      </c>
      <c r="J32" s="710">
        <f t="shared" si="10"/>
        <v>38128.810500000007</v>
      </c>
      <c r="K32" s="710">
        <f t="shared" si="11"/>
        <v>52849.246600000006</v>
      </c>
      <c r="L32" s="710"/>
      <c r="M32" s="710">
        <f t="shared" si="12"/>
        <v>7899.5337600000057</v>
      </c>
      <c r="N32" s="571">
        <f t="shared" si="13"/>
        <v>0.17574158455958683</v>
      </c>
      <c r="O32" s="658"/>
      <c r="P32" s="658"/>
      <c r="Q32" s="658"/>
      <c r="R32" s="658"/>
      <c r="S32" s="658"/>
      <c r="T32" s="658"/>
      <c r="U32" s="658"/>
      <c r="V32" s="658"/>
      <c r="W32" s="658"/>
      <c r="X32" s="658"/>
      <c r="Y32" s="658"/>
      <c r="Z32" s="658"/>
      <c r="AA32" s="658"/>
      <c r="AB32" s="658"/>
      <c r="AC32" s="658"/>
      <c r="AD32" s="658"/>
      <c r="AE32" s="658"/>
    </row>
    <row r="33" spans="1:31" ht="14" x14ac:dyDescent="0.3">
      <c r="A33" s="329" t="str">
        <f>IF(C33&lt;&gt;"",COUNTA($C$11:C33),"")</f>
        <v/>
      </c>
      <c r="C33" s="708"/>
      <c r="D33" s="708"/>
      <c r="E33" s="710"/>
      <c r="F33" s="710"/>
      <c r="G33" s="710"/>
      <c r="H33" s="712"/>
      <c r="I33" s="710"/>
      <c r="J33" s="710"/>
      <c r="K33" s="710"/>
      <c r="L33" s="710"/>
      <c r="M33" s="710"/>
      <c r="N33" s="571"/>
    </row>
    <row r="34" spans="1:31" ht="14" x14ac:dyDescent="0.3">
      <c r="A34" s="329">
        <f>IF(C34&lt;&gt;"",COUNTA($C$11:C34),"")</f>
        <v>21</v>
      </c>
      <c r="C34" s="705" t="s">
        <v>583</v>
      </c>
      <c r="D34" s="713"/>
      <c r="E34" s="710" t="s">
        <v>46</v>
      </c>
      <c r="F34" s="710"/>
      <c r="G34" s="710"/>
      <c r="H34" s="712"/>
      <c r="I34" s="710" t="s">
        <v>46</v>
      </c>
      <c r="J34" s="710"/>
      <c r="K34" s="710"/>
      <c r="L34" s="710"/>
      <c r="M34" s="710"/>
      <c r="N34" s="714"/>
    </row>
    <row r="35" spans="1:31" ht="14" x14ac:dyDescent="0.3">
      <c r="A35" s="329">
        <f>IF(C35&lt;&gt;"",COUNTA($C$11:C35),"")</f>
        <v>22</v>
      </c>
      <c r="C35" s="709">
        <f t="shared" ref="C35:C41" si="15">+C25</f>
        <v>350</v>
      </c>
      <c r="D35" s="709">
        <f>C35*550</f>
        <v>192500</v>
      </c>
      <c r="E35" s="710">
        <f>$G$47+$C35*SUM($G$50:$G$51)+$D35*(($G$52*$E$75+$G$53*$E$76)+SUM($G$54:$G$72))</f>
        <v>10760.431</v>
      </c>
      <c r="F35" s="710">
        <f t="shared" ref="F35:F42" si="16">+$D35*$G$73</f>
        <v>21919.974999999999</v>
      </c>
      <c r="G35" s="710">
        <f t="shared" ref="G35:G42" si="17">SUM(E35:F35)</f>
        <v>32680.405999999999</v>
      </c>
      <c r="H35" s="712"/>
      <c r="I35" s="710">
        <f>$I$47+$C35*SUM($I$50:$I$51)+$D35*(($I$52*$E$75+$I$53*$E$76)+SUM($I$54:$I$72))</f>
        <v>10059.115</v>
      </c>
      <c r="J35" s="710">
        <f t="shared" ref="J35:J42" si="18">+$D35*$I$73</f>
        <v>28565.075000000004</v>
      </c>
      <c r="K35" s="710">
        <f t="shared" ref="K35:K42" si="19">SUM(I35:J35)</f>
        <v>38624.19</v>
      </c>
      <c r="L35" s="710"/>
      <c r="M35" s="710">
        <f t="shared" ref="M35:M42" si="20">K35-G35</f>
        <v>5943.7840000000033</v>
      </c>
      <c r="N35" s="571">
        <f t="shared" ref="N35:N42" si="21">M35/G35</f>
        <v>0.18187607583577767</v>
      </c>
      <c r="O35" s="658"/>
      <c r="P35" s="658"/>
      <c r="Q35" s="658"/>
      <c r="R35" s="658"/>
      <c r="S35" s="658"/>
      <c r="T35" s="658"/>
      <c r="U35" s="658"/>
      <c r="V35" s="658"/>
      <c r="W35" s="658"/>
      <c r="X35" s="658"/>
      <c r="Y35" s="658"/>
      <c r="Z35" s="658"/>
      <c r="AA35" s="658"/>
      <c r="AB35" s="658"/>
      <c r="AC35" s="658"/>
      <c r="AD35" s="658"/>
      <c r="AE35" s="658"/>
    </row>
    <row r="36" spans="1:31" ht="14" x14ac:dyDescent="0.3">
      <c r="A36" s="329">
        <f>IF(C36&lt;&gt;"",COUNTA($C$11:C36),"")</f>
        <v>23</v>
      </c>
      <c r="C36" s="709">
        <f t="shared" si="15"/>
        <v>425</v>
      </c>
      <c r="D36" s="709">
        <f t="shared" ref="D36:D42" si="22">C36*550</f>
        <v>233750</v>
      </c>
      <c r="E36" s="710">
        <f>$G$47+$C36*SUM($G$50:$G$51)+$D36*(($G$52*$E$75+$G$53*$E$76)+SUM($G$54:$G$72))</f>
        <v>12903.380499999999</v>
      </c>
      <c r="F36" s="710">
        <f t="shared" si="16"/>
        <v>26617.112499999999</v>
      </c>
      <c r="G36" s="710">
        <f t="shared" si="17"/>
        <v>39520.493000000002</v>
      </c>
      <c r="H36" s="712"/>
      <c r="I36" s="710">
        <f>$I$47+$C36*SUM($I$50:$I$51)+$D36*(($I$52*$E$75+$I$53*$E$76)+SUM($I$54:$I$72))</f>
        <v>12051.782500000001</v>
      </c>
      <c r="J36" s="710">
        <f t="shared" si="18"/>
        <v>34686.162500000006</v>
      </c>
      <c r="K36" s="710">
        <f t="shared" si="19"/>
        <v>46737.945000000007</v>
      </c>
      <c r="L36" s="710"/>
      <c r="M36" s="710">
        <f t="shared" si="20"/>
        <v>7217.4520000000048</v>
      </c>
      <c r="N36" s="571">
        <f t="shared" si="21"/>
        <v>0.18262555580974166</v>
      </c>
      <c r="O36" s="658"/>
      <c r="P36" s="658"/>
      <c r="Q36" s="658"/>
      <c r="R36" s="658"/>
      <c r="S36" s="658"/>
      <c r="T36" s="658"/>
      <c r="U36" s="658"/>
      <c r="V36" s="658"/>
      <c r="W36" s="658"/>
      <c r="X36" s="658"/>
      <c r="Y36" s="658"/>
      <c r="Z36" s="658"/>
      <c r="AA36" s="658"/>
      <c r="AB36" s="658"/>
      <c r="AC36" s="658"/>
      <c r="AD36" s="658"/>
      <c r="AE36" s="658"/>
    </row>
    <row r="37" spans="1:31" ht="14" x14ac:dyDescent="0.3">
      <c r="A37" s="329">
        <f>IF(C37&lt;&gt;"",COUNTA($C$11:C37),"")</f>
        <v>24</v>
      </c>
      <c r="C37" s="709">
        <f t="shared" si="15"/>
        <v>500</v>
      </c>
      <c r="D37" s="709">
        <f t="shared" si="22"/>
        <v>275000</v>
      </c>
      <c r="E37" s="710">
        <f>$G$47+$C37*SUM($G$50:$G$51)+$D37*(($G$52*$E$75+$G$53*$E$76)+SUM($G$54:$G$72))</f>
        <v>15046.33</v>
      </c>
      <c r="F37" s="710">
        <f t="shared" si="16"/>
        <v>31314.25</v>
      </c>
      <c r="G37" s="710">
        <f t="shared" si="17"/>
        <v>46360.58</v>
      </c>
      <c r="H37" s="712"/>
      <c r="I37" s="710">
        <f>$I$47+$C37*SUM($I$50:$I$51)+$D37*(($I$52*$E$75+$I$53*$E$76)+SUM($I$54:$I$72))</f>
        <v>14044.45</v>
      </c>
      <c r="J37" s="710">
        <f t="shared" si="18"/>
        <v>40807.250000000007</v>
      </c>
      <c r="K37" s="710">
        <f t="shared" si="19"/>
        <v>54851.700000000012</v>
      </c>
      <c r="L37" s="710"/>
      <c r="M37" s="710">
        <f t="shared" si="20"/>
        <v>8491.1200000000099</v>
      </c>
      <c r="N37" s="571">
        <f t="shared" si="21"/>
        <v>0.18315387771248784</v>
      </c>
      <c r="O37" s="658"/>
      <c r="P37" s="658"/>
      <c r="Q37" s="658"/>
      <c r="R37" s="658"/>
      <c r="S37" s="658"/>
      <c r="T37" s="658"/>
      <c r="U37" s="658"/>
      <c r="V37" s="658"/>
      <c r="W37" s="658"/>
      <c r="X37" s="658"/>
      <c r="Y37" s="658"/>
      <c r="Z37" s="658"/>
      <c r="AA37" s="658"/>
      <c r="AB37" s="658"/>
      <c r="AC37" s="658"/>
      <c r="AD37" s="658"/>
      <c r="AE37" s="658"/>
    </row>
    <row r="38" spans="1:31" ht="14" x14ac:dyDescent="0.3">
      <c r="A38" s="329">
        <f>IF(C38&lt;&gt;"",COUNTA($C$11:C38),"")</f>
        <v>25</v>
      </c>
      <c r="C38" s="709">
        <f t="shared" si="15"/>
        <v>650</v>
      </c>
      <c r="D38" s="709">
        <f t="shared" si="22"/>
        <v>357500</v>
      </c>
      <c r="E38" s="710">
        <f>$G$47+$C38*SUM($G$50:$G$51)+$D38*(($G$52*$E$75+$G$53*$E$76)+SUM($G$54:$G$72))</f>
        <v>19332.228999999999</v>
      </c>
      <c r="F38" s="710">
        <f t="shared" si="16"/>
        <v>40708.525000000001</v>
      </c>
      <c r="G38" s="710">
        <f t="shared" si="17"/>
        <v>60040.754000000001</v>
      </c>
      <c r="H38" s="712"/>
      <c r="I38" s="710">
        <f>$I$47+$C38*SUM($I$50:$I$51)+$D38*(($I$52*$E$75+$I$53*$E$76)+SUM($I$54:$I$72))</f>
        <v>18029.785</v>
      </c>
      <c r="J38" s="710">
        <f t="shared" si="18"/>
        <v>53049.42500000001</v>
      </c>
      <c r="K38" s="710">
        <f t="shared" si="19"/>
        <v>71079.210000000006</v>
      </c>
      <c r="L38" s="710"/>
      <c r="M38" s="710">
        <f t="shared" si="20"/>
        <v>11038.456000000006</v>
      </c>
      <c r="N38" s="571">
        <f t="shared" si="21"/>
        <v>0.18384939003264358</v>
      </c>
      <c r="O38" s="658"/>
      <c r="P38" s="658"/>
      <c r="Q38" s="658"/>
      <c r="R38" s="658"/>
      <c r="S38" s="658"/>
      <c r="T38" s="658"/>
      <c r="U38" s="658"/>
      <c r="V38" s="658"/>
      <c r="W38" s="658"/>
      <c r="X38" s="658"/>
      <c r="Y38" s="658"/>
      <c r="Z38" s="658"/>
      <c r="AA38" s="658"/>
      <c r="AB38" s="658"/>
      <c r="AC38" s="658"/>
      <c r="AD38" s="658"/>
      <c r="AE38" s="658"/>
    </row>
    <row r="39" spans="1:31" ht="14" x14ac:dyDescent="0.3">
      <c r="A39" s="329">
        <f>IF(C39&lt;&gt;"",COUNTA($C$11:C39),"")</f>
        <v>26</v>
      </c>
      <c r="C39" s="709">
        <f t="shared" si="15"/>
        <v>1000</v>
      </c>
      <c r="D39" s="709">
        <f t="shared" si="22"/>
        <v>550000</v>
      </c>
      <c r="E39" s="710">
        <f>$G$48+$C39*SUM($G$50:$G$51)+$D39*(($G$52*$E$75+$G$53*$E$76)+SUM($G$54:$G$72))</f>
        <v>30197.66</v>
      </c>
      <c r="F39" s="710">
        <f t="shared" si="16"/>
        <v>62628.5</v>
      </c>
      <c r="G39" s="710">
        <f t="shared" si="17"/>
        <v>92826.16</v>
      </c>
      <c r="H39" s="712"/>
      <c r="I39" s="710">
        <f>$I$48+$C39*SUM($I$50:$I$51)+$D39*(($I$52*$E$75+$I$53*$E$76)+SUM($I$54:$I$72))</f>
        <v>28193.9</v>
      </c>
      <c r="J39" s="710">
        <f t="shared" si="18"/>
        <v>81614.500000000015</v>
      </c>
      <c r="K39" s="710">
        <f t="shared" si="19"/>
        <v>109808.40000000002</v>
      </c>
      <c r="L39" s="710"/>
      <c r="M39" s="710">
        <f t="shared" si="20"/>
        <v>16982.24000000002</v>
      </c>
      <c r="N39" s="571">
        <f t="shared" si="21"/>
        <v>0.18294670381711384</v>
      </c>
      <c r="O39" s="658"/>
      <c r="P39" s="658"/>
      <c r="Q39" s="658"/>
      <c r="R39" s="658"/>
      <c r="S39" s="658"/>
      <c r="T39" s="658"/>
      <c r="U39" s="658"/>
      <c r="V39" s="658"/>
      <c r="W39" s="658"/>
      <c r="X39" s="658"/>
      <c r="Y39" s="658"/>
      <c r="Z39" s="658"/>
      <c r="AA39" s="658"/>
      <c r="AB39" s="658"/>
      <c r="AC39" s="658"/>
      <c r="AD39" s="658"/>
      <c r="AE39" s="658"/>
    </row>
    <row r="40" spans="1:31" ht="14" x14ac:dyDescent="0.3">
      <c r="A40" s="329">
        <f>IF(C40&lt;&gt;"",COUNTA($C$11:C40),"")</f>
        <v>27</v>
      </c>
      <c r="C40" s="709">
        <f t="shared" si="15"/>
        <v>1500</v>
      </c>
      <c r="D40" s="709">
        <f t="shared" si="22"/>
        <v>825000</v>
      </c>
      <c r="E40" s="710">
        <f>$G$49+$C40*SUM($G$50:$G$51)+$D40*(($G$52*$E$75+$G$53*$E$76)+SUM($G$54:$G$72))</f>
        <v>45558.99</v>
      </c>
      <c r="F40" s="710">
        <f t="shared" si="16"/>
        <v>93942.75</v>
      </c>
      <c r="G40" s="710">
        <f t="shared" si="17"/>
        <v>139501.74</v>
      </c>
      <c r="H40" s="712"/>
      <c r="I40" s="710">
        <f>$I$49+$C40*SUM($I$50:$I$51)+$D40*(($I$52*$E$75+$I$53*$E$76)+SUM($I$54:$I$72))</f>
        <v>42553.350000000006</v>
      </c>
      <c r="J40" s="710">
        <f t="shared" si="18"/>
        <v>122421.75000000001</v>
      </c>
      <c r="K40" s="710">
        <f t="shared" si="19"/>
        <v>164975.10000000003</v>
      </c>
      <c r="L40" s="710"/>
      <c r="M40" s="710">
        <f t="shared" si="20"/>
        <v>25473.360000000044</v>
      </c>
      <c r="N40" s="571">
        <f t="shared" si="21"/>
        <v>0.18260245356079463</v>
      </c>
      <c r="O40" s="658"/>
      <c r="P40" s="658"/>
      <c r="Q40" s="658"/>
      <c r="R40" s="658"/>
      <c r="S40" s="658"/>
      <c r="T40" s="658"/>
      <c r="U40" s="658"/>
      <c r="V40" s="658"/>
      <c r="W40" s="658"/>
      <c r="X40" s="658"/>
      <c r="Y40" s="658"/>
      <c r="Z40" s="658"/>
      <c r="AA40" s="658"/>
      <c r="AB40" s="658"/>
      <c r="AC40" s="658"/>
      <c r="AD40" s="658"/>
      <c r="AE40" s="658"/>
    </row>
    <row r="41" spans="1:31" ht="14" x14ac:dyDescent="0.3">
      <c r="A41" s="329">
        <f>IF(C41&lt;&gt;"",COUNTA($C$11:C41),"")</f>
        <v>28</v>
      </c>
      <c r="C41" s="709">
        <f t="shared" si="15"/>
        <v>2000</v>
      </c>
      <c r="D41" s="709">
        <f t="shared" si="22"/>
        <v>1100000</v>
      </c>
      <c r="E41" s="710">
        <f>$G$49+$C41*SUM($G$50:$G$51)+$D41*(($G$52*$E$75+$G$53*$E$76)+SUM($G$54:$G$72))</f>
        <v>59845.32</v>
      </c>
      <c r="F41" s="710">
        <f t="shared" si="16"/>
        <v>125257</v>
      </c>
      <c r="G41" s="710">
        <f t="shared" si="17"/>
        <v>185102.32</v>
      </c>
      <c r="H41" s="712"/>
      <c r="I41" s="710">
        <f>$I$49+$C41*SUM($I$50:$I$51)+$D41*(($I$52*$E$75+$I$53*$E$76)+SUM($I$54:$I$72))</f>
        <v>55837.8</v>
      </c>
      <c r="J41" s="710">
        <f t="shared" si="18"/>
        <v>163229.00000000003</v>
      </c>
      <c r="K41" s="710">
        <f t="shared" si="19"/>
        <v>219066.80000000005</v>
      </c>
      <c r="L41" s="710"/>
      <c r="M41" s="710">
        <f t="shared" si="20"/>
        <v>33964.48000000004</v>
      </c>
      <c r="N41" s="571">
        <f t="shared" si="21"/>
        <v>0.18349029877097184</v>
      </c>
      <c r="O41" s="658"/>
      <c r="P41" s="658"/>
      <c r="Q41" s="658"/>
      <c r="R41" s="658"/>
      <c r="S41" s="658"/>
      <c r="T41" s="658"/>
      <c r="U41" s="658"/>
      <c r="V41" s="658"/>
      <c r="W41" s="658"/>
      <c r="X41" s="658"/>
      <c r="Y41" s="658"/>
      <c r="Z41" s="658"/>
      <c r="AA41" s="658"/>
      <c r="AB41" s="658"/>
      <c r="AC41" s="658"/>
      <c r="AD41" s="658"/>
      <c r="AE41" s="658"/>
    </row>
    <row r="42" spans="1:31" ht="14" x14ac:dyDescent="0.3">
      <c r="A42" s="329">
        <f>IF(C42&lt;&gt;"",COUNTA($C$11:C42),"")</f>
        <v>29</v>
      </c>
      <c r="B42" s="585" t="s">
        <v>554</v>
      </c>
      <c r="C42" s="709">
        <v>580</v>
      </c>
      <c r="D42" s="709">
        <f t="shared" si="22"/>
        <v>319000</v>
      </c>
      <c r="E42" s="710">
        <f>$G$47+$C42*SUM($G$50:$G$51)+$D42*(($G$52*$E$75+$G$53*$E$76)+SUM($G$54:$G$72))</f>
        <v>17332.142800000001</v>
      </c>
      <c r="F42" s="710">
        <f t="shared" si="16"/>
        <v>36324.53</v>
      </c>
      <c r="G42" s="710">
        <f t="shared" si="17"/>
        <v>53656.6728</v>
      </c>
      <c r="H42" s="712"/>
      <c r="I42" s="710">
        <f>$I$47+$C42*SUM($I$50:$I$51)+$D42*(($I$52*$E$75+$I$53*$E$76)+SUM($I$54:$I$72))</f>
        <v>16169.962</v>
      </c>
      <c r="J42" s="710">
        <f t="shared" si="18"/>
        <v>47336.41</v>
      </c>
      <c r="K42" s="710">
        <f t="shared" si="19"/>
        <v>63506.372000000003</v>
      </c>
      <c r="L42" s="710"/>
      <c r="M42" s="710">
        <f t="shared" si="20"/>
        <v>9849.6992000000027</v>
      </c>
      <c r="N42" s="571">
        <f t="shared" si="21"/>
        <v>0.18356895211735907</v>
      </c>
      <c r="O42" s="658"/>
      <c r="P42" s="658"/>
      <c r="Q42" s="658"/>
      <c r="R42" s="658"/>
      <c r="S42" s="658"/>
      <c r="T42" s="658"/>
      <c r="U42" s="658"/>
      <c r="V42" s="658"/>
      <c r="W42" s="658"/>
      <c r="X42" s="658"/>
      <c r="Y42" s="658"/>
      <c r="Z42" s="658"/>
      <c r="AA42" s="658"/>
      <c r="AB42" s="658"/>
      <c r="AC42" s="658"/>
      <c r="AD42" s="658"/>
      <c r="AE42" s="658"/>
    </row>
    <row r="43" spans="1:31" ht="14" x14ac:dyDescent="0.3">
      <c r="A43" s="329" t="str">
        <f>IF(C43&lt;&gt;"",COUNTA($C$11:C43),"")</f>
        <v/>
      </c>
      <c r="C43" s="708"/>
      <c r="D43" s="708"/>
      <c r="E43" s="710"/>
      <c r="F43" s="710"/>
      <c r="G43" s="710"/>
      <c r="H43" s="712"/>
      <c r="I43" s="710"/>
      <c r="J43" s="710"/>
      <c r="K43" s="710"/>
      <c r="L43" s="710"/>
      <c r="M43" s="710"/>
      <c r="N43" s="571"/>
    </row>
    <row r="44" spans="1:31" ht="14" x14ac:dyDescent="0.3">
      <c r="A44" s="329" t="str">
        <f>IF(C44&lt;&gt;"",COUNTA($C$11:C44),"")</f>
        <v/>
      </c>
      <c r="C44" s="708"/>
      <c r="D44" s="708"/>
      <c r="E44" s="712"/>
      <c r="F44" s="712"/>
      <c r="G44" s="712"/>
      <c r="H44" s="712"/>
      <c r="I44" s="715"/>
      <c r="J44" s="715"/>
      <c r="K44" s="715"/>
      <c r="L44" s="715"/>
      <c r="M44" s="715"/>
    </row>
    <row r="45" spans="1:31" ht="14" x14ac:dyDescent="0.3">
      <c r="A45" s="329">
        <f>IF(C45&lt;&gt;"",COUNTA($C$11:C45),"")</f>
        <v>30</v>
      </c>
      <c r="C45" s="701" t="s">
        <v>46</v>
      </c>
      <c r="D45" s="701"/>
      <c r="E45" s="715"/>
      <c r="F45" s="715"/>
      <c r="G45" s="508" t="str">
        <f>+'Bill_WMA 23'!F23</f>
        <v>Current</v>
      </c>
      <c r="H45" s="360"/>
      <c r="I45" s="508" t="str">
        <f>+'Bill_WMA 23'!H23</f>
        <v>Proposed</v>
      </c>
      <c r="J45" s="715"/>
      <c r="K45" s="715"/>
      <c r="L45" s="715"/>
      <c r="M45" s="715"/>
    </row>
    <row r="46" spans="1:31" ht="17" x14ac:dyDescent="0.6">
      <c r="A46" s="329">
        <f>IF(C46&lt;&gt;"",COUNTA($C$11:C46),"")</f>
        <v>31</v>
      </c>
      <c r="C46" s="274" t="s">
        <v>46</v>
      </c>
      <c r="D46" s="701"/>
      <c r="E46" s="715"/>
      <c r="F46" s="715"/>
      <c r="G46" s="510" t="str">
        <f>+'Bill_WMA 23'!F24</f>
        <v>Rates</v>
      </c>
      <c r="H46" s="360"/>
      <c r="I46" s="510" t="str">
        <f>+'Bill_WMA 23'!H24</f>
        <v>Rates</v>
      </c>
      <c r="J46" s="510" t="str">
        <f>+'Bill_WMA 23'!I24</f>
        <v>Change</v>
      </c>
      <c r="K46" s="715"/>
      <c r="L46" s="715"/>
      <c r="M46" s="715"/>
    </row>
    <row r="47" spans="1:31" ht="14" x14ac:dyDescent="0.3">
      <c r="A47" s="329">
        <f>IF(C47&lt;&gt;"",COUNTA($C$11:C48),"")</f>
        <v>33</v>
      </c>
      <c r="C47" s="701" t="s">
        <v>629</v>
      </c>
      <c r="D47" s="274"/>
      <c r="E47" s="715"/>
      <c r="F47" s="715"/>
      <c r="G47" s="454">
        <v>760</v>
      </c>
      <c r="H47" s="570"/>
      <c r="I47" s="454">
        <f t="shared" ref="I47:I48" si="23">G47</f>
        <v>760</v>
      </c>
      <c r="J47" s="421">
        <f>+I47-G47</f>
        <v>0</v>
      </c>
      <c r="K47" s="715"/>
      <c r="L47" s="715"/>
      <c r="M47" s="715"/>
    </row>
    <row r="48" spans="1:31" ht="14" x14ac:dyDescent="0.3">
      <c r="A48" s="329">
        <f>IF(C48&lt;&gt;"",COUNTA($C$11:C49),"")</f>
        <v>34</v>
      </c>
      <c r="C48" s="701" t="s">
        <v>630</v>
      </c>
      <c r="D48" s="701"/>
      <c r="E48" s="715"/>
      <c r="F48" s="715"/>
      <c r="G48" s="454">
        <v>1625</v>
      </c>
      <c r="H48" s="454"/>
      <c r="I48" s="454">
        <f t="shared" si="23"/>
        <v>1625</v>
      </c>
      <c r="J48" s="421">
        <f t="shared" ref="J48:J73" si="24">+I48-G48</f>
        <v>0</v>
      </c>
      <c r="K48" s="715"/>
      <c r="L48" s="715"/>
      <c r="M48" s="715"/>
    </row>
    <row r="49" spans="1:14" ht="14" x14ac:dyDescent="0.3">
      <c r="A49" s="329">
        <f>IF(C49&lt;&gt;"",COUNTA($C$11:C50),"")</f>
        <v>35</v>
      </c>
      <c r="C49" s="701" t="s">
        <v>631</v>
      </c>
      <c r="G49" s="454">
        <v>2700</v>
      </c>
      <c r="H49" s="454"/>
      <c r="I49" s="454">
        <f>G49</f>
        <v>2700</v>
      </c>
      <c r="J49" s="421">
        <f t="shared" si="24"/>
        <v>0</v>
      </c>
    </row>
    <row r="50" spans="1:14" ht="14" x14ac:dyDescent="0.3">
      <c r="A50" s="329">
        <f>IF(C50&lt;&gt;"",COUNTA($C$11:C51),"")</f>
        <v>36</v>
      </c>
      <c r="C50" s="701" t="s">
        <v>632</v>
      </c>
      <c r="D50" s="274"/>
      <c r="E50" s="715"/>
      <c r="F50" s="715"/>
      <c r="G50" s="454">
        <v>6.22</v>
      </c>
      <c r="H50" s="570"/>
      <c r="I50" s="397">
        <v>6.47</v>
      </c>
      <c r="J50" s="421">
        <f t="shared" si="24"/>
        <v>0.25</v>
      </c>
      <c r="K50" s="715"/>
      <c r="L50" s="715"/>
      <c r="M50" s="715"/>
    </row>
    <row r="51" spans="1:14" ht="14" x14ac:dyDescent="0.3">
      <c r="A51" s="329">
        <f>IF(C51&lt;&gt;"",COUNTA($C$11:C51),"")</f>
        <v>36</v>
      </c>
      <c r="C51" s="716" t="s">
        <v>633</v>
      </c>
      <c r="D51" s="274"/>
      <c r="E51" s="715"/>
      <c r="F51" s="715"/>
      <c r="G51" s="454">
        <v>9.02</v>
      </c>
      <c r="H51" s="570"/>
      <c r="I51" s="397">
        <v>8.44</v>
      </c>
      <c r="J51" s="421">
        <f t="shared" si="24"/>
        <v>-0.58000000000000007</v>
      </c>
      <c r="K51" s="715"/>
      <c r="L51" s="715"/>
      <c r="M51" s="715"/>
    </row>
    <row r="52" spans="1:14" ht="14" x14ac:dyDescent="0.3">
      <c r="A52" s="329">
        <f>IF(C52&lt;&gt;"",COUNTA($C$11:C52),"")</f>
        <v>37</v>
      </c>
      <c r="C52" s="555" t="s">
        <v>449</v>
      </c>
      <c r="D52" s="274"/>
      <c r="G52" s="308">
        <v>2.5300000000000001E-3</v>
      </c>
      <c r="H52" s="667"/>
      <c r="I52" s="308">
        <v>2.63E-3</v>
      </c>
      <c r="J52" s="354">
        <f t="shared" si="24"/>
        <v>9.9999999999999829E-5</v>
      </c>
    </row>
    <row r="53" spans="1:14" ht="14" x14ac:dyDescent="0.3">
      <c r="A53" s="329">
        <f>IF(C53&lt;&gt;"",COUNTA($C$11:C53),"")</f>
        <v>38</v>
      </c>
      <c r="C53" s="555" t="s">
        <v>514</v>
      </c>
      <c r="D53" s="274"/>
      <c r="G53" s="308">
        <v>7.3999999999999999E-4</v>
      </c>
      <c r="H53" s="667"/>
      <c r="I53" s="308">
        <v>7.7999999999999999E-4</v>
      </c>
      <c r="J53" s="354">
        <f t="shared" si="24"/>
        <v>3.9999999999999996E-5</v>
      </c>
    </row>
    <row r="54" spans="1:14" ht="14" x14ac:dyDescent="0.3">
      <c r="A54" s="329">
        <f>IF(C54&lt;&gt;"",COUNTA($C$11:C54),"")</f>
        <v>39</v>
      </c>
      <c r="C54" s="335" t="str">
        <f>+'Bill_WMA T4'!C50</f>
        <v>Revenue Decoupling</v>
      </c>
      <c r="D54" s="274"/>
      <c r="G54" s="277">
        <v>2.5999999999999998E-4</v>
      </c>
      <c r="H54" s="400"/>
      <c r="I54" s="277">
        <v>-2.0000000000000001E-4</v>
      </c>
      <c r="J54" s="354">
        <f t="shared" si="24"/>
        <v>-4.6000000000000001E-4</v>
      </c>
      <c r="K54" s="559"/>
      <c r="L54" s="559"/>
      <c r="M54" s="559"/>
      <c r="N54" s="559"/>
    </row>
    <row r="55" spans="1:14" ht="14" x14ac:dyDescent="0.3">
      <c r="A55" s="329">
        <f>IF(C55&lt;&gt;"",COUNTA($C$11:C55),"")</f>
        <v>40</v>
      </c>
      <c r="C55" s="335" t="str">
        <f>+'Bill_WMA T4'!C51</f>
        <v>Residential Assistance Adjustment Factor</v>
      </c>
      <c r="D55" s="274"/>
      <c r="G55" s="277">
        <v>4.7099999999999998E-3</v>
      </c>
      <c r="H55" s="400"/>
      <c r="I55" s="277">
        <v>1.73E-3</v>
      </c>
      <c r="J55" s="354">
        <f t="shared" si="24"/>
        <v>-2.98E-3</v>
      </c>
      <c r="K55" s="559"/>
      <c r="L55" s="559"/>
      <c r="M55" s="559"/>
      <c r="N55" s="559"/>
    </row>
    <row r="56" spans="1:14" ht="14" x14ac:dyDescent="0.3">
      <c r="A56" s="329">
        <f>IF(C56&lt;&gt;"",COUNTA($C$11:C56),"")</f>
        <v>41</v>
      </c>
      <c r="C56" s="335" t="str">
        <f>+'Bill_WMA T4'!C52</f>
        <v>Pension Adjustment Factor</v>
      </c>
      <c r="D56" s="274"/>
      <c r="G56" s="277">
        <v>5.1999999999999995E-4</v>
      </c>
      <c r="H56" s="400"/>
      <c r="I56" s="277">
        <v>2.9999999999999997E-4</v>
      </c>
      <c r="J56" s="354">
        <f t="shared" si="24"/>
        <v>-2.1999999999999998E-4</v>
      </c>
      <c r="K56" s="559"/>
      <c r="L56" s="559"/>
      <c r="M56" s="559"/>
      <c r="N56" s="559"/>
    </row>
    <row r="57" spans="1:14" ht="14" x14ac:dyDescent="0.3">
      <c r="A57" s="329">
        <f>IF(C57&lt;&gt;"",COUNTA($C$11:C57),"")</f>
        <v>42</v>
      </c>
      <c r="C57" s="335" t="str">
        <f>+'Bill_WMA T4'!C53</f>
        <v>Net Metering Recovery Surcharge</v>
      </c>
      <c r="D57" s="274"/>
      <c r="G57" s="277">
        <v>2.0500000000000002E-3</v>
      </c>
      <c r="H57" s="400"/>
      <c r="I57" s="277">
        <v>2.2499999999999998E-3</v>
      </c>
      <c r="J57" s="354">
        <f t="shared" si="24"/>
        <v>1.9999999999999966E-4</v>
      </c>
      <c r="K57" s="559"/>
      <c r="L57" s="559"/>
      <c r="M57" s="559"/>
      <c r="N57" s="559"/>
    </row>
    <row r="58" spans="1:14" ht="14" x14ac:dyDescent="0.3">
      <c r="A58" s="329">
        <f>IF(C58&lt;&gt;"",COUNTA($C$11:C58),"")</f>
        <v>43</v>
      </c>
      <c r="C58" s="335" t="str">
        <f>+'Bill_WMA T4'!C54</f>
        <v>Long Term Renewable Contract Adjustment</v>
      </c>
      <c r="D58" s="274"/>
      <c r="G58" s="277">
        <v>3.31E-3</v>
      </c>
      <c r="H58" s="400"/>
      <c r="I58" s="277">
        <v>1.74E-3</v>
      </c>
      <c r="J58" s="354">
        <f t="shared" si="24"/>
        <v>-1.57E-3</v>
      </c>
      <c r="K58" s="559"/>
      <c r="L58" s="559"/>
      <c r="M58" s="559"/>
      <c r="N58" s="559"/>
    </row>
    <row r="59" spans="1:14" ht="14" x14ac:dyDescent="0.3">
      <c r="A59" s="329">
        <f>IF(C59&lt;&gt;"",COUNTA($C$11:C59),"")</f>
        <v>44</v>
      </c>
      <c r="C59" s="335" t="str">
        <f>+'Bill_WMA T4'!C55</f>
        <v>AG Consulting Expense</v>
      </c>
      <c r="D59" s="274"/>
      <c r="G59" s="277">
        <v>1.0000000000000001E-5</v>
      </c>
      <c r="H59" s="400"/>
      <c r="I59" s="277">
        <v>0</v>
      </c>
      <c r="J59" s="354">
        <f t="shared" si="24"/>
        <v>-1.0000000000000001E-5</v>
      </c>
      <c r="K59" s="559"/>
      <c r="L59" s="559"/>
      <c r="M59" s="559"/>
      <c r="N59" s="559"/>
    </row>
    <row r="60" spans="1:14" ht="14" x14ac:dyDescent="0.3">
      <c r="A60" s="329">
        <f>IF(C60&lt;&gt;"",COUNTA($C$11:C60),"")</f>
        <v>45</v>
      </c>
      <c r="C60" s="335" t="str">
        <f>+'Bill_WMA T4'!C56</f>
        <v>Storm Cost Recovery Adjustment Factor</v>
      </c>
      <c r="D60" s="274"/>
      <c r="G60" s="277">
        <v>1.09E-3</v>
      </c>
      <c r="H60" s="400"/>
      <c r="I60" s="277">
        <v>1.2999999999999999E-3</v>
      </c>
      <c r="J60" s="354">
        <f t="shared" si="24"/>
        <v>2.099999999999999E-4</v>
      </c>
      <c r="K60" s="559"/>
      <c r="L60" s="559"/>
      <c r="M60" s="559"/>
      <c r="N60" s="559"/>
    </row>
    <row r="61" spans="1:14" ht="14" x14ac:dyDescent="0.3">
      <c r="A61" s="329">
        <f>IF(C61&lt;&gt;"",COUNTA($C$11:C61),"")</f>
        <v>46</v>
      </c>
      <c r="C61" s="335" t="str">
        <f>+'Bill_WMA T4'!C57</f>
        <v>Storm Reserve Adjustment</v>
      </c>
      <c r="D61" s="274"/>
      <c r="G61" s="277">
        <v>0</v>
      </c>
      <c r="H61" s="400"/>
      <c r="I61" s="277">
        <v>0</v>
      </c>
      <c r="J61" s="354">
        <f t="shared" si="24"/>
        <v>0</v>
      </c>
      <c r="K61" s="559"/>
      <c r="L61" s="559"/>
      <c r="M61" s="559"/>
      <c r="N61" s="559"/>
    </row>
    <row r="62" spans="1:14" ht="14" x14ac:dyDescent="0.3">
      <c r="A62" s="329">
        <f>IF(C62&lt;&gt;"",COUNTA($C$11:C62),"")</f>
        <v>47</v>
      </c>
      <c r="C62" s="335" t="str">
        <f>+'Bill_WMA T4'!C58</f>
        <v>Basic Service Cost True Up Factor</v>
      </c>
      <c r="D62" s="274"/>
      <c r="G62" s="277">
        <v>1E-4</v>
      </c>
      <c r="H62" s="400"/>
      <c r="I62" s="277">
        <v>-9.0000000000000006E-5</v>
      </c>
      <c r="J62" s="354">
        <f t="shared" si="24"/>
        <v>-1.9000000000000001E-4</v>
      </c>
      <c r="K62" s="559"/>
      <c r="L62" s="559"/>
      <c r="M62" s="559"/>
      <c r="N62" s="559"/>
    </row>
    <row r="63" spans="1:14" ht="14" x14ac:dyDescent="0.3">
      <c r="A63" s="329">
        <f>IF(C63&lt;&gt;"",COUNTA($C$11:C63),"")</f>
        <v>48</v>
      </c>
      <c r="C63" s="335" t="str">
        <f>+'Bill_WMA T4'!C59</f>
        <v>Solar Program Cost Adjustment Factor</v>
      </c>
      <c r="D63" s="274"/>
      <c r="G63" s="277">
        <v>-6.0000000000000002E-5</v>
      </c>
      <c r="H63" s="400"/>
      <c r="I63" s="277">
        <v>2.0000000000000002E-5</v>
      </c>
      <c r="J63" s="354">
        <f t="shared" si="24"/>
        <v>8.0000000000000007E-5</v>
      </c>
      <c r="K63" s="559"/>
      <c r="L63" s="559"/>
      <c r="M63" s="559"/>
      <c r="N63" s="559"/>
    </row>
    <row r="64" spans="1:14" ht="14" x14ac:dyDescent="0.3">
      <c r="A64" s="329">
        <f>IF(C64&lt;&gt;"",COUNTA($C$11:C64),"")</f>
        <v>49</v>
      </c>
      <c r="C64" s="335" t="str">
        <f>+'Bill_WMA T4'!C60</f>
        <v>Solar Expansion Cost Recovery Factor</v>
      </c>
      <c r="D64" s="274"/>
      <c r="G64" s="277">
        <v>0</v>
      </c>
      <c r="H64" s="400"/>
      <c r="I64" s="277">
        <v>2.7E-4</v>
      </c>
      <c r="J64" s="354">
        <f t="shared" si="24"/>
        <v>2.7E-4</v>
      </c>
      <c r="K64" s="559"/>
      <c r="L64" s="559"/>
      <c r="M64" s="559"/>
      <c r="N64" s="559"/>
    </row>
    <row r="65" spans="1:14" ht="14" x14ac:dyDescent="0.3">
      <c r="A65" s="329">
        <f>IF(C65&lt;&gt;"",COUNTA($C$11:C65),"")</f>
        <v>50</v>
      </c>
      <c r="C65" s="335" t="str">
        <f>+'Bill_WMA T4'!C61</f>
        <v>Vegetation Management</v>
      </c>
      <c r="D65" s="274"/>
      <c r="G65" s="277">
        <v>0</v>
      </c>
      <c r="H65" s="400"/>
      <c r="I65" s="277">
        <v>5.4000000000000001E-4</v>
      </c>
      <c r="J65" s="354">
        <f t="shared" si="24"/>
        <v>5.4000000000000001E-4</v>
      </c>
      <c r="K65" s="559"/>
      <c r="L65" s="559"/>
      <c r="M65" s="559"/>
      <c r="N65" s="559"/>
    </row>
    <row r="66" spans="1:14" ht="14" x14ac:dyDescent="0.3">
      <c r="A66" s="329">
        <f>IF(C66&lt;&gt;"",COUNTA($C$11:C66),"")</f>
        <v>51</v>
      </c>
      <c r="C66" s="335" t="str">
        <f>+'Bill_WMA T4'!C62</f>
        <v>Solar Massachusetts Renewable Target</v>
      </c>
      <c r="D66" s="339"/>
      <c r="E66" s="339"/>
      <c r="F66" s="277"/>
      <c r="G66" s="277">
        <v>0</v>
      </c>
      <c r="H66" s="277"/>
      <c r="I66" s="277">
        <v>3.2000000000000003E-4</v>
      </c>
      <c r="J66" s="354">
        <f t="shared" si="24"/>
        <v>3.2000000000000003E-4</v>
      </c>
      <c r="K66" s="339"/>
      <c r="L66" s="339"/>
    </row>
    <row r="67" spans="1:14" ht="14" x14ac:dyDescent="0.3">
      <c r="A67" s="329">
        <f>IF(C67&lt;&gt;"",COUNTA($C$11:C67),"")</f>
        <v>52</v>
      </c>
      <c r="C67" s="335" t="str">
        <f>+'Bill_WMA T4'!C63</f>
        <v>Tax Act Credit Factor</v>
      </c>
      <c r="D67" s="339"/>
      <c r="E67" s="339"/>
      <c r="F67" s="277"/>
      <c r="G67" s="277">
        <v>0</v>
      </c>
      <c r="H67" s="277"/>
      <c r="I67" s="277">
        <v>-4.8000000000000001E-4</v>
      </c>
      <c r="J67" s="354">
        <f t="shared" si="24"/>
        <v>-4.8000000000000001E-4</v>
      </c>
      <c r="K67" s="339"/>
      <c r="L67" s="339"/>
    </row>
    <row r="68" spans="1:14" ht="14" x14ac:dyDescent="0.3">
      <c r="A68" s="329">
        <f>IF(C68&lt;&gt;"",COUNTA($C$11:C68),"")</f>
        <v>53</v>
      </c>
      <c r="C68" s="335" t="str">
        <f>+'Bill_WMA T4'!C64</f>
        <v>Transition</v>
      </c>
      <c r="D68" s="274"/>
      <c r="G68" s="277">
        <v>-1.7099999999999999E-3</v>
      </c>
      <c r="H68" s="400"/>
      <c r="I68" s="277">
        <v>-5.1999999999999995E-4</v>
      </c>
      <c r="J68" s="354">
        <f t="shared" si="24"/>
        <v>1.1900000000000001E-3</v>
      </c>
      <c r="K68" s="559"/>
      <c r="L68" s="559"/>
      <c r="M68" s="559"/>
      <c r="N68" s="559"/>
    </row>
    <row r="69" spans="1:14" ht="14" x14ac:dyDescent="0.3">
      <c r="A69" s="329">
        <f>IF(C69&lt;&gt;"",COUNTA($C$11:C69),"")</f>
        <v>54</v>
      </c>
      <c r="C69" s="335" t="str">
        <f>+'Bill_WMA T4'!C65</f>
        <v>Transmission Energy</v>
      </c>
      <c r="D69" s="274"/>
      <c r="G69" s="277">
        <v>0</v>
      </c>
      <c r="H69" s="574"/>
      <c r="I69" s="404">
        <v>0</v>
      </c>
      <c r="J69" s="354">
        <f t="shared" si="24"/>
        <v>0</v>
      </c>
      <c r="K69" s="559"/>
      <c r="L69" s="559"/>
      <c r="M69" s="559"/>
      <c r="N69" s="559"/>
    </row>
    <row r="70" spans="1:14" ht="14" x14ac:dyDescent="0.3">
      <c r="A70" s="329">
        <f>IF(C70&lt;&gt;"",COUNTA($C$11:C70),"")</f>
        <v>55</v>
      </c>
      <c r="C70" s="335" t="str">
        <f>+'Bill_WMA T4'!C66</f>
        <v>Energy Efficiency Reconciliation Factor</v>
      </c>
      <c r="D70" s="274"/>
      <c r="G70" s="277">
        <v>9.7199999999999995E-3</v>
      </c>
      <c r="H70" s="574"/>
      <c r="I70" s="308">
        <v>9.7199999999999995E-3</v>
      </c>
      <c r="J70" s="354">
        <f t="shared" si="24"/>
        <v>0</v>
      </c>
      <c r="K70" s="559"/>
      <c r="L70" s="559"/>
      <c r="M70" s="559"/>
      <c r="N70" s="559"/>
    </row>
    <row r="71" spans="1:14" ht="14" x14ac:dyDescent="0.3">
      <c r="A71" s="329">
        <f>IF(C71&lt;&gt;"",COUNTA($C$11:C71),"")</f>
        <v>56</v>
      </c>
      <c r="C71" s="335" t="str">
        <f>+'Bill_WMA T4'!C67</f>
        <v>System Benefits Charge</v>
      </c>
      <c r="D71" s="274"/>
      <c r="G71" s="277">
        <v>2.5000000000000001E-3</v>
      </c>
      <c r="H71" s="574"/>
      <c r="I71" s="308">
        <f>G71</f>
        <v>2.5000000000000001E-3</v>
      </c>
      <c r="J71" s="354">
        <f t="shared" si="24"/>
        <v>0</v>
      </c>
      <c r="K71" s="559"/>
      <c r="L71" s="559"/>
      <c r="M71" s="559"/>
      <c r="N71" s="559"/>
    </row>
    <row r="72" spans="1:14" ht="14" x14ac:dyDescent="0.3">
      <c r="A72" s="329">
        <f>IF(C72&lt;&gt;"",COUNTA($C$11:C72),"")</f>
        <v>57</v>
      </c>
      <c r="C72" s="335" t="str">
        <f>+'Bill_WMA T4'!C68</f>
        <v>Renewable Energy Charge</v>
      </c>
      <c r="D72" s="274"/>
      <c r="G72" s="277">
        <v>5.0000000000000001E-4</v>
      </c>
      <c r="H72" s="574"/>
      <c r="I72" s="308">
        <f>G72</f>
        <v>5.0000000000000001E-4</v>
      </c>
      <c r="J72" s="354">
        <f t="shared" si="24"/>
        <v>0</v>
      </c>
      <c r="K72" s="559"/>
      <c r="L72" s="559"/>
      <c r="M72" s="559"/>
      <c r="N72" s="559"/>
    </row>
    <row r="73" spans="1:14" ht="14" x14ac:dyDescent="0.3">
      <c r="A73" s="329">
        <f>IF(C73&lt;&gt;"",COUNTA($C$11:C73),"")</f>
        <v>58</v>
      </c>
      <c r="C73" s="335" t="str">
        <f>+'Bill_WMA T4'!C69</f>
        <v>Basic Service Charge</v>
      </c>
      <c r="D73" s="274"/>
      <c r="G73" s="308">
        <v>0.11387</v>
      </c>
      <c r="H73" s="574"/>
      <c r="I73" s="308">
        <v>0.14839000000000002</v>
      </c>
      <c r="J73" s="354">
        <f t="shared" si="24"/>
        <v>3.4520000000000023E-2</v>
      </c>
      <c r="K73" s="559"/>
      <c r="L73" s="559"/>
      <c r="M73" s="559"/>
      <c r="N73" s="559"/>
    </row>
    <row r="74" spans="1:14" ht="14" x14ac:dyDescent="0.3">
      <c r="A74" s="329" t="str">
        <f>IF(C74&lt;&gt;"",COUNTA($C$11:C74),"")</f>
        <v/>
      </c>
      <c r="C74" s="335"/>
      <c r="D74" s="701"/>
      <c r="E74" s="717"/>
      <c r="F74" s="717"/>
      <c r="G74" s="718"/>
      <c r="H74" s="719"/>
      <c r="I74" s="720"/>
      <c r="J74" s="720"/>
    </row>
    <row r="75" spans="1:14" ht="14" x14ac:dyDescent="0.3">
      <c r="A75" s="329">
        <f>IF(C75&lt;&gt;"",COUNTA($C$11:C75),"")</f>
        <v>59</v>
      </c>
      <c r="C75" s="721" t="s">
        <v>585</v>
      </c>
      <c r="E75" s="722">
        <v>0.28000000000000003</v>
      </c>
      <c r="G75" s="720"/>
      <c r="H75" s="718"/>
      <c r="I75" s="720"/>
      <c r="J75" s="720"/>
    </row>
    <row r="76" spans="1:14" ht="14" x14ac:dyDescent="0.3">
      <c r="A76" s="329">
        <f>IF(C76&lt;&gt;"",COUNTA($C$11:C76),"")</f>
        <v>60</v>
      </c>
      <c r="C76" s="721" t="s">
        <v>586</v>
      </c>
      <c r="E76" s="722">
        <v>0.72</v>
      </c>
      <c r="G76" s="720"/>
      <c r="H76" s="720"/>
      <c r="I76" s="720"/>
      <c r="J76" s="720"/>
    </row>
    <row r="77" spans="1:14" ht="14" x14ac:dyDescent="0.3">
      <c r="G77" s="720"/>
      <c r="H77" s="720"/>
      <c r="I77" s="720"/>
      <c r="J77" s="720"/>
    </row>
    <row r="78" spans="1:14" ht="14" x14ac:dyDescent="0.3">
      <c r="G78" s="720"/>
      <c r="H78" s="720"/>
      <c r="I78" s="720"/>
      <c r="J78" s="720"/>
    </row>
    <row r="79" spans="1:14" ht="14" x14ac:dyDescent="0.3">
      <c r="C79" s="723" t="s">
        <v>634</v>
      </c>
      <c r="G79" s="715">
        <f>+G50+G51</f>
        <v>15.239999999999998</v>
      </c>
      <c r="H79" s="715"/>
      <c r="I79" s="715">
        <f>+I50+I51</f>
        <v>14.91</v>
      </c>
      <c r="J79" s="421">
        <f t="shared" ref="J79:J82" si="25">+I79-G79</f>
        <v>-0.32999999999999829</v>
      </c>
    </row>
    <row r="80" spans="1:14" ht="14" x14ac:dyDescent="0.3">
      <c r="C80" s="723" t="str">
        <f>+'Bill_WMA T4'!C77</f>
        <v>Total Energy - Peak</v>
      </c>
      <c r="G80" s="720">
        <f>SUM(G52,G$54:G$72)</f>
        <v>2.5530000000000001E-2</v>
      </c>
      <c r="H80" s="720"/>
      <c r="I80" s="720">
        <f>SUM(I52,I$54:I$72)</f>
        <v>2.2529999999999998E-2</v>
      </c>
      <c r="J80" s="354">
        <f t="shared" si="25"/>
        <v>-3.0000000000000027E-3</v>
      </c>
    </row>
    <row r="81" spans="3:10" ht="14" x14ac:dyDescent="0.3">
      <c r="C81" s="723" t="str">
        <f>+'Bill_WMA T4'!C78</f>
        <v>Total Energy - Off Peak</v>
      </c>
      <c r="G81" s="720">
        <f>SUM(G53,G$54:G$72)</f>
        <v>2.3740000000000001E-2</v>
      </c>
      <c r="H81" s="720"/>
      <c r="I81" s="720">
        <f>SUM(I53,I$54:I$72)</f>
        <v>2.068E-2</v>
      </c>
      <c r="J81" s="354">
        <f t="shared" si="25"/>
        <v>-3.0600000000000002E-3</v>
      </c>
    </row>
    <row r="82" spans="3:10" ht="14" x14ac:dyDescent="0.3">
      <c r="C82" s="723" t="str">
        <f>+'Bill_WMA T4'!C79</f>
        <v>Total Basic Service</v>
      </c>
      <c r="G82" s="720">
        <f>+G73</f>
        <v>0.11387</v>
      </c>
      <c r="H82" s="720"/>
      <c r="I82" s="720">
        <f>+I73</f>
        <v>0.14839000000000002</v>
      </c>
      <c r="J82" s="354">
        <f t="shared" si="25"/>
        <v>3.4520000000000023E-2</v>
      </c>
    </row>
    <row r="83" spans="3:10" ht="14" x14ac:dyDescent="0.3">
      <c r="G83" s="720"/>
      <c r="H83" s="720"/>
      <c r="I83" s="720"/>
      <c r="J83" s="720"/>
    </row>
    <row r="84" spans="3:10" ht="14" x14ac:dyDescent="0.3">
      <c r="G84" s="720"/>
      <c r="H84" s="720"/>
      <c r="I84" s="720"/>
      <c r="J84" s="720"/>
    </row>
    <row r="85" spans="3:10" ht="14" x14ac:dyDescent="0.3">
      <c r="G85" s="720"/>
      <c r="H85" s="720"/>
      <c r="I85" s="720"/>
      <c r="J85" s="720"/>
    </row>
  </sheetData>
  <mergeCells count="7">
    <mergeCell ref="A4:N4"/>
    <mergeCell ref="A5:N5"/>
    <mergeCell ref="A6:N6"/>
    <mergeCell ref="A8:N8"/>
    <mergeCell ref="E11:G11"/>
    <mergeCell ref="I11:K11"/>
    <mergeCell ref="M11:N11"/>
  </mergeCells>
  <pageMargins left="0.7" right="0.7" top="0.75" bottom="0.75" header="0.3" footer="0.3"/>
  <pageSetup scale="64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0516C-0116-4351-917E-EA614EC94520}">
  <sheetPr>
    <tabColor theme="3" tint="0.59999389629810485"/>
    <pageSetUpPr fitToPage="1"/>
  </sheetPr>
  <dimension ref="A1:AD78"/>
  <sheetViews>
    <sheetView zoomScaleNormal="100" workbookViewId="0"/>
  </sheetViews>
  <sheetFormatPr defaultRowHeight="12.5" x14ac:dyDescent="0.25"/>
  <cols>
    <col min="1" max="1" width="4" customWidth="1"/>
    <col min="2" max="2" width="4.453125" bestFit="1" customWidth="1"/>
    <col min="3" max="3" width="9.7265625" customWidth="1"/>
    <col min="4" max="4" width="10.7265625" customWidth="1"/>
    <col min="5" max="7" width="14.54296875" customWidth="1"/>
    <col min="8" max="8" width="1.7265625" customWidth="1"/>
    <col min="9" max="11" width="14.54296875" customWidth="1"/>
    <col min="12" max="12" width="1.7265625" customWidth="1"/>
    <col min="13" max="13" width="13" bestFit="1" customWidth="1"/>
    <col min="14" max="14" width="11.7265625" customWidth="1"/>
    <col min="15" max="15" width="11.81640625" bestFit="1" customWidth="1"/>
    <col min="16" max="16" width="13.26953125" bestFit="1" customWidth="1"/>
    <col min="17" max="17" width="11.81640625" bestFit="1" customWidth="1"/>
    <col min="18" max="18" width="10.81640625" bestFit="1" customWidth="1"/>
    <col min="19" max="19" width="13" bestFit="1" customWidth="1"/>
  </cols>
  <sheetData>
    <row r="1" spans="1:30" ht="14" x14ac:dyDescent="0.3">
      <c r="A1" s="724"/>
      <c r="B1" s="724"/>
      <c r="C1" s="527"/>
      <c r="D1" s="699"/>
      <c r="E1" s="699"/>
      <c r="F1" s="699"/>
      <c r="G1" s="619"/>
      <c r="H1" s="700"/>
    </row>
    <row r="2" spans="1:30" ht="14" x14ac:dyDescent="0.3">
      <c r="C2" s="528"/>
      <c r="D2" s="699"/>
      <c r="E2" s="699"/>
      <c r="F2" s="699"/>
      <c r="G2" s="528"/>
      <c r="H2" s="700"/>
    </row>
    <row r="3" spans="1:30" ht="14" x14ac:dyDescent="0.3">
      <c r="C3" s="701"/>
      <c r="D3" s="701"/>
      <c r="E3" s="701"/>
      <c r="F3" s="701"/>
      <c r="G3" s="528"/>
      <c r="H3" s="725"/>
    </row>
    <row r="4" spans="1:30" ht="14" x14ac:dyDescent="0.3">
      <c r="A4" s="757" t="str">
        <f>+'Bill_WMA 23'!A4</f>
        <v>Western Massachusetts</v>
      </c>
      <c r="B4" s="757"/>
      <c r="C4" s="757"/>
      <c r="D4" s="757"/>
      <c r="E4" s="757"/>
      <c r="F4" s="757"/>
      <c r="G4" s="757"/>
      <c r="H4" s="757"/>
      <c r="I4" s="757"/>
      <c r="J4" s="757"/>
      <c r="K4" s="757"/>
      <c r="L4" s="757"/>
      <c r="M4" s="757"/>
      <c r="N4" s="757"/>
    </row>
    <row r="5" spans="1:30" ht="14" x14ac:dyDescent="0.3">
      <c r="A5" s="757" t="str">
        <f>+'Bill_WMA 23'!A5</f>
        <v>Calculation of Monthly Typical Bill</v>
      </c>
      <c r="B5" s="757"/>
      <c r="C5" s="757"/>
      <c r="D5" s="757"/>
      <c r="E5" s="757"/>
      <c r="F5" s="757"/>
      <c r="G5" s="757"/>
      <c r="H5" s="757"/>
      <c r="I5" s="757"/>
      <c r="J5" s="757"/>
      <c r="K5" s="757"/>
      <c r="L5" s="757"/>
      <c r="M5" s="757"/>
      <c r="N5" s="757"/>
    </row>
    <row r="6" spans="1:30" ht="14" x14ac:dyDescent="0.3">
      <c r="A6" s="757" t="str">
        <f>+'Bill_WMA 23'!A6</f>
        <v>Proposed January 1, 2019</v>
      </c>
      <c r="B6" s="757"/>
      <c r="C6" s="757"/>
      <c r="D6" s="757"/>
      <c r="E6" s="757"/>
      <c r="F6" s="757"/>
      <c r="G6" s="757"/>
      <c r="H6" s="757"/>
      <c r="I6" s="757"/>
      <c r="J6" s="757"/>
      <c r="K6" s="757"/>
      <c r="L6" s="757"/>
      <c r="M6" s="757"/>
      <c r="N6" s="757"/>
    </row>
    <row r="7" spans="1:30" ht="14" x14ac:dyDescent="0.3">
      <c r="A7" s="518"/>
      <c r="B7" s="518"/>
      <c r="D7" s="555"/>
      <c r="E7" s="555"/>
      <c r="F7" s="555"/>
      <c r="G7" s="701"/>
      <c r="H7" s="701"/>
    </row>
    <row r="8" spans="1:30" ht="14" x14ac:dyDescent="0.3">
      <c r="A8" s="757" t="s">
        <v>525</v>
      </c>
      <c r="B8" s="757"/>
      <c r="C8" s="757"/>
      <c r="D8" s="757"/>
      <c r="E8" s="757"/>
      <c r="F8" s="757"/>
      <c r="G8" s="757"/>
      <c r="H8" s="757"/>
      <c r="I8" s="757"/>
      <c r="J8" s="757"/>
      <c r="K8" s="757"/>
      <c r="L8" s="757"/>
      <c r="M8" s="757"/>
      <c r="N8" s="757"/>
    </row>
    <row r="9" spans="1:30" ht="14" x14ac:dyDescent="0.3">
      <c r="A9" s="518"/>
      <c r="B9" s="518"/>
      <c r="D9" s="701"/>
      <c r="E9" s="701"/>
      <c r="F9" s="701"/>
      <c r="G9" s="701"/>
      <c r="H9" s="701"/>
    </row>
    <row r="10" spans="1:30" ht="14" x14ac:dyDescent="0.3">
      <c r="C10" s="726"/>
      <c r="D10" s="727"/>
      <c r="H10" s="701"/>
    </row>
    <row r="11" spans="1:30" ht="14" x14ac:dyDescent="0.3">
      <c r="A11" s="329">
        <f>IF(C11&lt;&gt;"",COUNTA($C11:C$11),"")</f>
        <v>1</v>
      </c>
      <c r="B11" s="329"/>
      <c r="C11" s="702" t="str">
        <f>+'Bill_WMA T2'!C11</f>
        <v>Monthly</v>
      </c>
      <c r="D11" s="702" t="str">
        <f>+'Bill_WMA T2'!D11</f>
        <v>Monthly</v>
      </c>
      <c r="E11" s="773" t="str">
        <f>+'Bill_WMA 23'!D11</f>
        <v>Current Monthly Bill</v>
      </c>
      <c r="F11" s="773"/>
      <c r="G11" s="773"/>
      <c r="H11" s="704"/>
      <c r="I11" s="774" t="str">
        <f>+'Bill_WMA 23'!H11</f>
        <v>Proposed Monthly Bill</v>
      </c>
      <c r="J11" s="774"/>
      <c r="K11" s="774"/>
      <c r="M11" s="774" t="str">
        <f>+'Bill_WMA 23'!L11</f>
        <v>Total Bill Impact</v>
      </c>
      <c r="N11" s="774"/>
      <c r="O11" s="650"/>
      <c r="P11" s="650"/>
      <c r="Q11" s="650"/>
      <c r="R11" s="650"/>
      <c r="S11" s="650"/>
      <c r="T11" s="650"/>
      <c r="U11" s="650"/>
      <c r="V11" s="650"/>
      <c r="W11" s="650"/>
      <c r="X11" s="650"/>
      <c r="Y11" s="650"/>
      <c r="Z11" s="650"/>
      <c r="AA11" s="650"/>
      <c r="AB11" s="650"/>
      <c r="AC11" s="650"/>
      <c r="AD11" s="650"/>
    </row>
    <row r="12" spans="1:30" ht="14" x14ac:dyDescent="0.3">
      <c r="A12" s="329">
        <f>IF(C12&lt;&gt;"",COUNTA($C$11:C12),"")</f>
        <v>2</v>
      </c>
      <c r="B12" s="329"/>
      <c r="C12" s="703" t="str">
        <f>+'Bill_WMA T2'!C12</f>
        <v>kW</v>
      </c>
      <c r="D12" s="703" t="str">
        <f>+'Bill_WMA T2'!D12</f>
        <v>kWh</v>
      </c>
      <c r="E12" s="703" t="str">
        <f>+'Bill_WMA 23'!D12</f>
        <v>Delivery</v>
      </c>
      <c r="F12" s="703" t="str">
        <f>+'Bill_WMA 23'!E12</f>
        <v>Supplier</v>
      </c>
      <c r="G12" s="703" t="str">
        <f>+'Bill_WMA 23'!F12</f>
        <v>Total</v>
      </c>
      <c r="H12" s="706"/>
      <c r="I12" s="703" t="str">
        <f>+'Bill_WMA 23'!H12</f>
        <v>Delivery</v>
      </c>
      <c r="J12" s="703" t="str">
        <f>+'Bill_WMA 23'!I12</f>
        <v>Supplier</v>
      </c>
      <c r="K12" s="703" t="str">
        <f>+'Bill_WMA 23'!J12</f>
        <v>Total</v>
      </c>
      <c r="L12" s="703"/>
      <c r="M12" s="703" t="str">
        <f>+'Bill_WMA 23'!L12</f>
        <v>Change</v>
      </c>
      <c r="N12" s="703" t="str">
        <f>+'Bill_WMA 23'!M12</f>
        <v>% Change</v>
      </c>
      <c r="O12" s="650"/>
      <c r="P12" s="650"/>
      <c r="Q12" s="650"/>
      <c r="R12" s="650"/>
      <c r="S12" s="650"/>
      <c r="T12" s="650"/>
      <c r="U12" s="650"/>
      <c r="V12" s="650"/>
      <c r="W12" s="650"/>
      <c r="X12" s="650"/>
      <c r="Y12" s="650"/>
      <c r="Z12" s="650"/>
      <c r="AA12" s="650"/>
      <c r="AB12" s="650"/>
      <c r="AC12" s="650"/>
      <c r="AD12" s="650"/>
    </row>
    <row r="13" spans="1:30" ht="14" x14ac:dyDescent="0.3">
      <c r="A13" s="329" t="str">
        <f>IF(C13&lt;&gt;"",COUNTA($C$11:C13),"")</f>
        <v/>
      </c>
      <c r="C13" s="703"/>
      <c r="D13" s="703"/>
      <c r="E13" s="592"/>
      <c r="H13" s="706"/>
      <c r="I13" s="592"/>
      <c r="J13" s="592"/>
      <c r="K13" s="592"/>
      <c r="L13" s="592"/>
      <c r="M13" s="701"/>
      <c r="N13" s="707"/>
      <c r="O13" s="650"/>
      <c r="P13" s="650"/>
      <c r="Q13" s="650"/>
      <c r="R13" s="650"/>
      <c r="S13" s="650"/>
      <c r="T13" s="650"/>
      <c r="U13" s="650"/>
      <c r="V13" s="650"/>
      <c r="W13" s="650"/>
      <c r="X13" s="650"/>
      <c r="Y13" s="650"/>
      <c r="Z13" s="650"/>
      <c r="AA13" s="650"/>
      <c r="AB13" s="650"/>
      <c r="AC13" s="650"/>
      <c r="AD13" s="650"/>
    </row>
    <row r="14" spans="1:30" ht="14" x14ac:dyDescent="0.3">
      <c r="A14" s="329">
        <f>IF(C14&lt;&gt;"",COUNTA($C$11:C14),"")</f>
        <v>3</v>
      </c>
      <c r="C14" s="705" t="s">
        <v>580</v>
      </c>
      <c r="D14" s="703"/>
      <c r="E14" s="592"/>
      <c r="H14" s="706"/>
      <c r="I14" s="592"/>
      <c r="J14" s="592"/>
      <c r="K14" s="592"/>
      <c r="L14" s="592"/>
      <c r="M14" s="701"/>
      <c r="N14" s="707"/>
      <c r="O14" s="650"/>
      <c r="P14" s="650"/>
      <c r="Q14" s="650"/>
      <c r="R14" s="650"/>
      <c r="S14" s="650"/>
      <c r="T14" s="650"/>
      <c r="U14" s="650"/>
      <c r="V14" s="650"/>
      <c r="W14" s="650"/>
      <c r="X14" s="650"/>
      <c r="Y14" s="650"/>
      <c r="Z14" s="650"/>
      <c r="AA14" s="650"/>
      <c r="AB14" s="650"/>
      <c r="AC14" s="650"/>
      <c r="AD14" s="650"/>
    </row>
    <row r="15" spans="1:30" ht="14" x14ac:dyDescent="0.3">
      <c r="A15" s="329">
        <f>IF(C15&lt;&gt;"",COUNTA($C$11:C15),"")</f>
        <v>4</v>
      </c>
      <c r="C15" s="708">
        <v>2500</v>
      </c>
      <c r="D15" s="709">
        <f>C15*350</f>
        <v>875000</v>
      </c>
      <c r="E15" s="710">
        <f>$G$38+$C15*SUM($G$39:$G$40)+$D15*(($G$41*$E$64+$G$42*$E$65)+SUM($G$43:$G$61))</f>
        <v>51505.387499999997</v>
      </c>
      <c r="F15" s="710">
        <f>+$D15*$G$62</f>
        <v>99636.25</v>
      </c>
      <c r="G15" s="710">
        <f>SUM(E15:F15)</f>
        <v>151141.63750000001</v>
      </c>
      <c r="H15" s="712"/>
      <c r="I15" s="710">
        <f>$I$38+$C15*SUM($I$39:$I$40)+$D15*(($I$41*$E$64+$I$42*$E$65)+SUM($I$43:$I$61))</f>
        <v>57418.175000000003</v>
      </c>
      <c r="J15" s="710">
        <f>+$D15*$I$62</f>
        <v>129841.25000000001</v>
      </c>
      <c r="K15" s="710">
        <f>SUM(I15:J15)</f>
        <v>187259.42500000002</v>
      </c>
      <c r="L15" s="710"/>
      <c r="M15" s="710">
        <f>K15-G15</f>
        <v>36117.787500000006</v>
      </c>
      <c r="N15" s="714">
        <f>M15/G15</f>
        <v>0.23896649591347721</v>
      </c>
      <c r="O15" s="658"/>
      <c r="P15" s="658"/>
      <c r="Q15" s="658"/>
      <c r="R15" s="658"/>
      <c r="S15" s="658"/>
      <c r="T15" s="658"/>
      <c r="U15" s="658"/>
      <c r="V15" s="658"/>
      <c r="W15" s="658"/>
      <c r="X15" s="658"/>
      <c r="Y15" s="658"/>
      <c r="Z15" s="658"/>
      <c r="AA15" s="658"/>
      <c r="AB15" s="658"/>
      <c r="AC15" s="658"/>
      <c r="AD15" s="658"/>
    </row>
    <row r="16" spans="1:30" ht="14" x14ac:dyDescent="0.3">
      <c r="A16" s="329">
        <f>IF(C16&lt;&gt;"",COUNTA($C$11:C16),"")</f>
        <v>5</v>
      </c>
      <c r="C16" s="708">
        <v>3000</v>
      </c>
      <c r="D16" s="709">
        <f t="shared" ref="D16:D19" si="0">C16*350</f>
        <v>1050000</v>
      </c>
      <c r="E16" s="710">
        <f>$G$38+$C16*SUM($G$39:$G$40)+$D16*(($G$41*$E$64+$G$42*$E$65)+SUM($G$43:$G$61))</f>
        <v>61046.464999999997</v>
      </c>
      <c r="F16" s="710">
        <f>+$D16*$G$62</f>
        <v>119563.5</v>
      </c>
      <c r="G16" s="710">
        <f t="shared" ref="G16:G33" si="1">SUM(E16:F16)</f>
        <v>180609.965</v>
      </c>
      <c r="H16" s="712"/>
      <c r="I16" s="710">
        <f>$I$38+$C16*SUM($I$39:$I$40)+$D16*(($I$41*$E$64+$I$42*$E$65)+SUM($I$43:$I$61))</f>
        <v>68141.810000000012</v>
      </c>
      <c r="J16" s="710">
        <f>+$D16*$I$62</f>
        <v>155809.50000000003</v>
      </c>
      <c r="K16" s="710">
        <f>SUM(I16:J16)</f>
        <v>223951.31000000006</v>
      </c>
      <c r="L16" s="710"/>
      <c r="M16" s="710">
        <f>K16-G16</f>
        <v>43341.345000000059</v>
      </c>
      <c r="N16" s="714">
        <f>M16/G16</f>
        <v>0.2399720580201655</v>
      </c>
      <c r="O16" s="658"/>
      <c r="P16" s="658"/>
      <c r="Q16" s="658"/>
      <c r="R16" s="658"/>
      <c r="S16" s="658"/>
      <c r="T16" s="658"/>
      <c r="U16" s="658"/>
      <c r="V16" s="658"/>
      <c r="W16" s="658"/>
      <c r="X16" s="658"/>
      <c r="Y16" s="658"/>
      <c r="Z16" s="658"/>
      <c r="AA16" s="658"/>
      <c r="AB16" s="658"/>
      <c r="AC16" s="658"/>
      <c r="AD16" s="658"/>
    </row>
    <row r="17" spans="1:30" ht="14" x14ac:dyDescent="0.3">
      <c r="A17" s="329">
        <f>IF(C17&lt;&gt;"",COUNTA($C$11:C17),"")</f>
        <v>6</v>
      </c>
      <c r="C17" s="708">
        <v>5000</v>
      </c>
      <c r="D17" s="709">
        <f t="shared" si="0"/>
        <v>1750000</v>
      </c>
      <c r="E17" s="710">
        <f>$G$38+$C17*SUM($G$39:$G$40)+$D17*(($G$41*$E$64+$G$42*$E$65)+SUM($G$43:$G$61))</f>
        <v>99210.774999999994</v>
      </c>
      <c r="F17" s="710">
        <f>+$D17*$G$62</f>
        <v>199272.5</v>
      </c>
      <c r="G17" s="710">
        <f t="shared" si="1"/>
        <v>298483.27500000002</v>
      </c>
      <c r="H17" s="712"/>
      <c r="I17" s="710">
        <f>$I$38+$C17*SUM($I$39:$I$40)+$D17*(($I$41*$E$64+$I$42*$E$65)+SUM($I$43:$I$61))</f>
        <v>111036.35</v>
      </c>
      <c r="J17" s="710">
        <f>+$D17*$I$62</f>
        <v>259682.50000000003</v>
      </c>
      <c r="K17" s="710">
        <f>SUM(I17:J17)</f>
        <v>370718.85000000003</v>
      </c>
      <c r="L17" s="710"/>
      <c r="M17" s="710">
        <f>K17-G17</f>
        <v>72235.575000000012</v>
      </c>
      <c r="N17" s="714">
        <f>M17/G17</f>
        <v>0.24200878591941208</v>
      </c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</row>
    <row r="18" spans="1:30" ht="14" x14ac:dyDescent="0.3">
      <c r="A18" s="329">
        <f>IF(C18&lt;&gt;"",COUNTA($C$11:C18),"")</f>
        <v>7</v>
      </c>
      <c r="C18" s="708">
        <v>10000</v>
      </c>
      <c r="D18" s="709">
        <f t="shared" si="0"/>
        <v>3500000</v>
      </c>
      <c r="E18" s="710">
        <f>$G$38+$C18*SUM($G$39:$G$40)+$D18*(($G$41*$E$64+$G$42*$E$65)+SUM($G$43:$G$61))</f>
        <v>194621.55</v>
      </c>
      <c r="F18" s="710">
        <f>+$D18*$G$62</f>
        <v>398545</v>
      </c>
      <c r="G18" s="710">
        <f t="shared" si="1"/>
        <v>593166.55000000005</v>
      </c>
      <c r="H18" s="712"/>
      <c r="I18" s="710">
        <f>$I$38+$C18*SUM($I$39:$I$40)+$D18*(($I$41*$E$64+$I$42*$E$65)+SUM($I$43:$I$61))</f>
        <v>218272.7</v>
      </c>
      <c r="J18" s="710">
        <f>+$D18*$I$62</f>
        <v>519365.00000000006</v>
      </c>
      <c r="K18" s="710">
        <f>SUM(I18:J18)</f>
        <v>737637.70000000007</v>
      </c>
      <c r="L18" s="710"/>
      <c r="M18" s="710">
        <f>K18-G18</f>
        <v>144471.15000000002</v>
      </c>
      <c r="N18" s="714">
        <f>M18/G18</f>
        <v>0.24355916563400282</v>
      </c>
      <c r="O18" s="658"/>
      <c r="P18" s="658"/>
      <c r="Q18" s="658"/>
      <c r="R18" s="658"/>
      <c r="S18" s="658"/>
      <c r="T18" s="658"/>
      <c r="U18" s="658"/>
      <c r="V18" s="658"/>
      <c r="W18" s="658"/>
      <c r="X18" s="658"/>
      <c r="Y18" s="658"/>
      <c r="Z18" s="658"/>
      <c r="AA18" s="658"/>
      <c r="AB18" s="658"/>
      <c r="AC18" s="658"/>
      <c r="AD18" s="658"/>
    </row>
    <row r="19" spans="1:30" ht="14" x14ac:dyDescent="0.3">
      <c r="A19" s="329">
        <f>IF(C19&lt;&gt;"",COUNTA($C$11:C19),"")</f>
        <v>8</v>
      </c>
      <c r="B19" s="585" t="s">
        <v>554</v>
      </c>
      <c r="C19" s="708">
        <v>3983</v>
      </c>
      <c r="D19" s="709">
        <f t="shared" si="0"/>
        <v>1394050</v>
      </c>
      <c r="E19" s="710">
        <f>$G$38+$C19*SUM($G$39:$G$40)+$D19*(($G$41*$E$64+$G$42*$E$65)+SUM($G$43:$G$61))</f>
        <v>79804.223364999998</v>
      </c>
      <c r="F19" s="710">
        <f>+$D19*$G$62</f>
        <v>158740.47349999999</v>
      </c>
      <c r="G19" s="710">
        <f t="shared" si="1"/>
        <v>238544.69686500001</v>
      </c>
      <c r="H19" s="712"/>
      <c r="I19" s="710">
        <f>$I$38+$C19*SUM($I$39:$I$40)+$D19*(($I$41*$E$64+$I$42*$E$65)+SUM($I$43:$I$61))</f>
        <v>89224.476410000003</v>
      </c>
      <c r="J19" s="710">
        <f>+$D19*$I$62</f>
        <v>206863.07950000002</v>
      </c>
      <c r="K19" s="710">
        <f>SUM(I19:J19)</f>
        <v>296087.55591</v>
      </c>
      <c r="L19" s="710"/>
      <c r="M19" s="710">
        <f>K19-G19</f>
        <v>57542.85904499999</v>
      </c>
      <c r="N19" s="714">
        <f>M19/G19</f>
        <v>0.24122464175996886</v>
      </c>
      <c r="O19" s="658"/>
      <c r="P19" s="658"/>
      <c r="Q19" s="658"/>
      <c r="R19" s="658"/>
      <c r="S19" s="658"/>
      <c r="T19" s="658"/>
      <c r="U19" s="658"/>
      <c r="V19" s="658"/>
      <c r="W19" s="658"/>
      <c r="X19" s="658"/>
      <c r="Y19" s="658"/>
      <c r="Z19" s="658"/>
      <c r="AA19" s="658"/>
      <c r="AB19" s="658"/>
      <c r="AC19" s="658"/>
      <c r="AD19" s="658"/>
    </row>
    <row r="20" spans="1:30" ht="14" x14ac:dyDescent="0.3">
      <c r="A20" s="329" t="str">
        <f>IF(C20&lt;&gt;"",COUNTA($C$11:C20),"")</f>
        <v/>
      </c>
      <c r="C20" s="713"/>
      <c r="D20" s="713"/>
      <c r="E20" s="710"/>
      <c r="F20" s="710"/>
      <c r="G20" s="710"/>
      <c r="H20" s="712"/>
      <c r="I20" s="710"/>
      <c r="J20" s="710"/>
      <c r="K20" s="710"/>
      <c r="L20" s="710"/>
      <c r="M20" s="710"/>
      <c r="N20" s="714"/>
    </row>
    <row r="21" spans="1:30" ht="14" x14ac:dyDescent="0.3">
      <c r="A21" s="329">
        <f>IF(C21&lt;&gt;"",COUNTA($C$11:C21),"")</f>
        <v>9</v>
      </c>
      <c r="C21" s="705" t="s">
        <v>578</v>
      </c>
      <c r="D21" s="713"/>
      <c r="E21" s="710"/>
      <c r="F21" s="710"/>
      <c r="G21" s="710"/>
      <c r="H21" s="712"/>
      <c r="I21" s="710"/>
      <c r="J21" s="710"/>
      <c r="K21" s="710"/>
      <c r="L21" s="710"/>
      <c r="M21" s="710"/>
      <c r="N21" s="714"/>
    </row>
    <row r="22" spans="1:30" ht="14" x14ac:dyDescent="0.3">
      <c r="A22" s="329">
        <f>IF(C22&lt;&gt;"",COUNTA($C$11:C22),"")</f>
        <v>10</v>
      </c>
      <c r="C22" s="709">
        <f>+C15</f>
        <v>2500</v>
      </c>
      <c r="D22" s="709">
        <f>C22*450</f>
        <v>1125000</v>
      </c>
      <c r="E22" s="710">
        <f>$G$38+$C22*SUM($G$39:$G$40)+$D22*(($G$41*$E$64+$G$42*$E$65)+SUM($G$43:$G$61))</f>
        <v>56571.212499999994</v>
      </c>
      <c r="F22" s="710">
        <f>+$D22*$G$62</f>
        <v>128103.75</v>
      </c>
      <c r="G22" s="710">
        <f t="shared" si="1"/>
        <v>184674.96249999999</v>
      </c>
      <c r="H22" s="712"/>
      <c r="I22" s="710">
        <f>$I$38+$C22*SUM($I$39:$I$40)+$D22*(($I$41*$E$64+$I$42*$E$65)+SUM($I$43:$I$61))</f>
        <v>62066.224999999999</v>
      </c>
      <c r="J22" s="710">
        <f>+$D22*$I$62</f>
        <v>166938.75000000003</v>
      </c>
      <c r="K22" s="710">
        <f>SUM(I22:J22)</f>
        <v>229004.97500000003</v>
      </c>
      <c r="L22" s="710"/>
      <c r="M22" s="710">
        <f>K22-G22</f>
        <v>44330.012500000041</v>
      </c>
      <c r="N22" s="714">
        <f>M22/G22</f>
        <v>0.24004343577435433</v>
      </c>
      <c r="O22" s="658"/>
      <c r="P22" s="658"/>
      <c r="Q22" s="658"/>
      <c r="R22" s="658"/>
      <c r="S22" s="658"/>
      <c r="T22" s="658"/>
      <c r="U22" s="658"/>
      <c r="V22" s="658"/>
      <c r="W22" s="658"/>
      <c r="X22" s="658"/>
      <c r="Y22" s="658"/>
      <c r="Z22" s="658"/>
      <c r="AA22" s="658"/>
      <c r="AB22" s="658"/>
      <c r="AC22" s="658"/>
      <c r="AD22" s="658"/>
    </row>
    <row r="23" spans="1:30" ht="14" x14ac:dyDescent="0.3">
      <c r="A23" s="329">
        <f>IF(C23&lt;&gt;"",COUNTA($C$11:C23),"")</f>
        <v>11</v>
      </c>
      <c r="C23" s="709">
        <f>+C16</f>
        <v>3000</v>
      </c>
      <c r="D23" s="709">
        <f t="shared" ref="D23:D26" si="2">C23*450</f>
        <v>1350000</v>
      </c>
      <c r="E23" s="710">
        <f>$G$38+$C23*SUM($G$39:$G$40)+$D23*(($G$41*$E$64+$G$42*$E$65)+SUM($G$43:$G$61))</f>
        <v>67125.455000000002</v>
      </c>
      <c r="F23" s="710">
        <f>+$D23*$G$62</f>
        <v>153724.5</v>
      </c>
      <c r="G23" s="710">
        <f t="shared" si="1"/>
        <v>220849.95500000002</v>
      </c>
      <c r="H23" s="712"/>
      <c r="I23" s="710">
        <f>$I$38+$C23*SUM($I$39:$I$40)+$D23*(($I$41*$E$64+$I$42*$E$65)+SUM($I$43:$I$61))</f>
        <v>73719.47</v>
      </c>
      <c r="J23" s="710">
        <f>+$D23*$I$62</f>
        <v>200326.50000000003</v>
      </c>
      <c r="K23" s="710">
        <f>SUM(I23:J23)</f>
        <v>274045.97000000003</v>
      </c>
      <c r="L23" s="710"/>
      <c r="M23" s="710">
        <f>K23-G23</f>
        <v>53196.015000000014</v>
      </c>
      <c r="N23" s="714">
        <f>M23/G23</f>
        <v>0.24086948534809532</v>
      </c>
      <c r="O23" s="658"/>
      <c r="P23" s="658"/>
      <c r="Q23" s="658"/>
      <c r="R23" s="658"/>
      <c r="S23" s="658"/>
      <c r="T23" s="658"/>
      <c r="U23" s="658"/>
      <c r="V23" s="658"/>
      <c r="W23" s="658"/>
      <c r="X23" s="658"/>
      <c r="Y23" s="658"/>
      <c r="Z23" s="658"/>
      <c r="AA23" s="658"/>
      <c r="AB23" s="658"/>
      <c r="AC23" s="658"/>
      <c r="AD23" s="658"/>
    </row>
    <row r="24" spans="1:30" ht="14" x14ac:dyDescent="0.3">
      <c r="A24" s="329">
        <f>IF(C24&lt;&gt;"",COUNTA($C$11:C24),"")</f>
        <v>12</v>
      </c>
      <c r="C24" s="709">
        <f>+C17</f>
        <v>5000</v>
      </c>
      <c r="D24" s="709">
        <f t="shared" si="2"/>
        <v>2250000</v>
      </c>
      <c r="E24" s="710">
        <f>$G$38+$C24*SUM($G$39:$G$40)+$D24*(($G$41*$E$64+$G$42*$E$65)+SUM($G$43:$G$61))</f>
        <v>109342.42499999999</v>
      </c>
      <c r="F24" s="710">
        <f>+$D24*$G$62</f>
        <v>256207.5</v>
      </c>
      <c r="G24" s="710">
        <f t="shared" si="1"/>
        <v>365549.92499999999</v>
      </c>
      <c r="H24" s="712"/>
      <c r="I24" s="710">
        <f>$I$38+$C24*SUM($I$39:$I$40)+$D24*(($I$41*$E$64+$I$42*$E$65)+SUM($I$43:$I$61))</f>
        <v>120332.45</v>
      </c>
      <c r="J24" s="710">
        <f>+$D24*$I$62</f>
        <v>333877.50000000006</v>
      </c>
      <c r="K24" s="710">
        <f>SUM(I24:J24)</f>
        <v>454209.95000000007</v>
      </c>
      <c r="L24" s="710"/>
      <c r="M24" s="710">
        <f>K24-G24</f>
        <v>88660.025000000081</v>
      </c>
      <c r="N24" s="714">
        <f>M24/G24</f>
        <v>0.24253875855671447</v>
      </c>
      <c r="O24" s="658"/>
      <c r="P24" s="658"/>
      <c r="Q24" s="658"/>
      <c r="R24" s="658"/>
      <c r="S24" s="658"/>
      <c r="T24" s="658"/>
      <c r="U24" s="658"/>
      <c r="V24" s="658"/>
      <c r="W24" s="658"/>
      <c r="X24" s="658"/>
      <c r="Y24" s="658"/>
      <c r="Z24" s="658"/>
      <c r="AA24" s="658"/>
      <c r="AB24" s="658"/>
      <c r="AC24" s="658"/>
      <c r="AD24" s="658"/>
    </row>
    <row r="25" spans="1:30" ht="14" x14ac:dyDescent="0.3">
      <c r="A25" s="329">
        <f>IF(C25&lt;&gt;"",COUNTA($C$11:C25),"")</f>
        <v>13</v>
      </c>
      <c r="C25" s="709">
        <f>+C18</f>
        <v>10000</v>
      </c>
      <c r="D25" s="709">
        <f t="shared" si="2"/>
        <v>4500000</v>
      </c>
      <c r="E25" s="710">
        <f>$G$38+$C25*SUM($G$39:$G$40)+$D25*(($G$41*$E$64+$G$42*$E$65)+SUM($G$43:$G$61))</f>
        <v>214884.84999999998</v>
      </c>
      <c r="F25" s="710">
        <f>+$D25*$G$62</f>
        <v>512415</v>
      </c>
      <c r="G25" s="710">
        <f t="shared" si="1"/>
        <v>727299.85</v>
      </c>
      <c r="H25" s="712"/>
      <c r="I25" s="710">
        <f>$I$38+$C25*SUM($I$39:$I$40)+$D25*(($I$41*$E$64+$I$42*$E$65)+SUM($I$43:$I$61))</f>
        <v>236864.9</v>
      </c>
      <c r="J25" s="710">
        <f>+$D25*$I$62</f>
        <v>667755.00000000012</v>
      </c>
      <c r="K25" s="710">
        <f>SUM(I25:J25)</f>
        <v>904619.90000000014</v>
      </c>
      <c r="L25" s="710"/>
      <c r="M25" s="710">
        <f>K25-G25</f>
        <v>177320.05000000016</v>
      </c>
      <c r="N25" s="714">
        <f>M25/G25</f>
        <v>0.2438059763108712</v>
      </c>
      <c r="O25" s="658"/>
      <c r="P25" s="658"/>
      <c r="Q25" s="658"/>
      <c r="R25" s="658"/>
      <c r="S25" s="658"/>
      <c r="T25" s="658"/>
      <c r="U25" s="658"/>
      <c r="V25" s="658"/>
      <c r="W25" s="658"/>
      <c r="X25" s="658"/>
      <c r="Y25" s="658"/>
      <c r="Z25" s="658"/>
      <c r="AA25" s="658"/>
      <c r="AB25" s="658"/>
      <c r="AC25" s="658"/>
      <c r="AD25" s="658"/>
    </row>
    <row r="26" spans="1:30" ht="14" x14ac:dyDescent="0.3">
      <c r="A26" s="329">
        <f>IF(C26&lt;&gt;"",COUNTA($C$11:C26),"")</f>
        <v>14</v>
      </c>
      <c r="B26" s="585" t="s">
        <v>554</v>
      </c>
      <c r="C26" s="709">
        <v>6855</v>
      </c>
      <c r="D26" s="709">
        <f t="shared" si="2"/>
        <v>3084750</v>
      </c>
      <c r="E26" s="710">
        <f>$G$38+$C26*SUM($G$39:$G$40)+$D26*(($G$41*$E$64+$G$42*$E$65)+SUM($G$43:$G$61))</f>
        <v>148498.66467500001</v>
      </c>
      <c r="F26" s="710">
        <f>+$D26*$G$62</f>
        <v>351260.48249999998</v>
      </c>
      <c r="G26" s="710">
        <f t="shared" si="1"/>
        <v>499759.14717499999</v>
      </c>
      <c r="H26" s="712"/>
      <c r="I26" s="710">
        <f>$I$38+$C26*SUM($I$39:$I$40)+$D26*(($I$41*$E$64+$I$42*$E$65)+SUM($I$43:$I$61))</f>
        <v>163565.98895000003</v>
      </c>
      <c r="J26" s="710">
        <f>+$D26*$I$62</f>
        <v>457746.05250000005</v>
      </c>
      <c r="K26" s="710">
        <f>SUM(I26:J26)</f>
        <v>621312.04145000014</v>
      </c>
      <c r="L26" s="710"/>
      <c r="M26" s="710">
        <f>K26-G26</f>
        <v>121552.89427500014</v>
      </c>
      <c r="N26" s="714">
        <f>M26/G26</f>
        <v>0.24322295041942701</v>
      </c>
      <c r="O26" s="658"/>
      <c r="P26" s="658"/>
      <c r="Q26" s="658"/>
      <c r="R26" s="658"/>
      <c r="S26" s="658"/>
      <c r="T26" s="658"/>
      <c r="U26" s="658"/>
      <c r="V26" s="658"/>
      <c r="W26" s="658"/>
      <c r="X26" s="658"/>
      <c r="Y26" s="658"/>
      <c r="Z26" s="658"/>
      <c r="AA26" s="658"/>
      <c r="AB26" s="658"/>
      <c r="AC26" s="658"/>
      <c r="AD26" s="658"/>
    </row>
    <row r="27" spans="1:30" ht="14" x14ac:dyDescent="0.3">
      <c r="A27" s="329" t="str">
        <f>IF(C27&lt;&gt;"",COUNTA($C$11:C27),"")</f>
        <v/>
      </c>
      <c r="C27" s="708"/>
      <c r="D27" s="708"/>
      <c r="E27" s="710"/>
      <c r="F27" s="710"/>
      <c r="G27" s="710"/>
      <c r="H27" s="712"/>
      <c r="I27" s="710"/>
      <c r="J27" s="710"/>
      <c r="K27" s="710"/>
      <c r="L27" s="710"/>
      <c r="M27" s="710"/>
      <c r="N27" s="714"/>
    </row>
    <row r="28" spans="1:30" ht="14" x14ac:dyDescent="0.3">
      <c r="A28" s="329">
        <f>IF(C28&lt;&gt;"",COUNTA($C$11:C28),"")</f>
        <v>15</v>
      </c>
      <c r="C28" s="705" t="s">
        <v>583</v>
      </c>
      <c r="D28" s="708"/>
      <c r="E28" s="710"/>
      <c r="F28" s="710"/>
      <c r="G28" s="710"/>
      <c r="H28" s="712"/>
      <c r="I28" s="710"/>
      <c r="J28" s="710"/>
      <c r="K28" s="710"/>
      <c r="L28" s="710"/>
      <c r="M28" s="710"/>
      <c r="N28" s="714"/>
    </row>
    <row r="29" spans="1:30" ht="14" x14ac:dyDescent="0.3">
      <c r="A29" s="329">
        <f>IF(C29&lt;&gt;"",COUNTA($C$11:C29),"")</f>
        <v>16</v>
      </c>
      <c r="C29" s="709">
        <f>+C22</f>
        <v>2500</v>
      </c>
      <c r="D29" s="709">
        <f>C29*550</f>
        <v>1375000</v>
      </c>
      <c r="E29" s="710">
        <f>$G$38+$C29*SUM($G$39:$G$40)+$D29*(($G$41*$E$64+$G$42*$E$65)+SUM($G$43:$G$61))</f>
        <v>61637.037499999999</v>
      </c>
      <c r="F29" s="710">
        <f>+$D29*$G$62</f>
        <v>156571.25</v>
      </c>
      <c r="G29" s="710">
        <f t="shared" si="1"/>
        <v>218208.28750000001</v>
      </c>
      <c r="H29" s="712"/>
      <c r="I29" s="710">
        <f>$I$38+$C29*SUM($I$39:$I$40)+$D29*(($I$41*$E$64+$I$42*$E$65)+SUM($I$43:$I$61))</f>
        <v>66714.274999999994</v>
      </c>
      <c r="J29" s="710">
        <f>+$D29*$I$62</f>
        <v>204036.25000000003</v>
      </c>
      <c r="K29" s="710">
        <f>SUM(I29:J29)</f>
        <v>270750.52500000002</v>
      </c>
      <c r="L29" s="710"/>
      <c r="M29" s="710">
        <f>K29-G29</f>
        <v>52542.237500000017</v>
      </c>
      <c r="N29" s="714">
        <f>M29/G29</f>
        <v>0.24078937652631555</v>
      </c>
      <c r="O29" s="658"/>
      <c r="P29" s="658"/>
      <c r="Q29" s="658"/>
      <c r="R29" s="658"/>
      <c r="S29" s="658"/>
      <c r="T29" s="658"/>
      <c r="U29" s="658"/>
      <c r="V29" s="658"/>
      <c r="W29" s="658"/>
      <c r="X29" s="658"/>
      <c r="Y29" s="658"/>
      <c r="Z29" s="658"/>
      <c r="AA29" s="658"/>
      <c r="AB29" s="658"/>
      <c r="AC29" s="658"/>
      <c r="AD29" s="658"/>
    </row>
    <row r="30" spans="1:30" ht="14" x14ac:dyDescent="0.3">
      <c r="A30" s="329">
        <f>IF(C30&lt;&gt;"",COUNTA($C$11:C30),"")</f>
        <v>17</v>
      </c>
      <c r="C30" s="709">
        <f>+C23</f>
        <v>3000</v>
      </c>
      <c r="D30" s="709">
        <f t="shared" ref="D30:D33" si="3">C30*550</f>
        <v>1650000</v>
      </c>
      <c r="E30" s="710">
        <f>$G$38+$C30*SUM($G$39:$G$40)+$D30*(($G$41*$E$64+$G$42*$E$65)+SUM($G$43:$G$61))</f>
        <v>73204.445000000007</v>
      </c>
      <c r="F30" s="710">
        <f>+$D30*$G$62</f>
        <v>187885.5</v>
      </c>
      <c r="G30" s="710">
        <f t="shared" si="1"/>
        <v>261089.94500000001</v>
      </c>
      <c r="H30" s="712"/>
      <c r="I30" s="710">
        <f>$I$38+$C30*SUM($I$39:$I$40)+$D30*(($I$41*$E$64+$I$42*$E$65)+SUM($I$43:$I$61))</f>
        <v>79297.13</v>
      </c>
      <c r="J30" s="710">
        <f>+$D30*$I$62</f>
        <v>244843.50000000003</v>
      </c>
      <c r="K30" s="710">
        <f>SUM(I30:J30)</f>
        <v>324140.63</v>
      </c>
      <c r="L30" s="710"/>
      <c r="M30" s="710">
        <f>K30-G30</f>
        <v>63050.684999999998</v>
      </c>
      <c r="N30" s="714">
        <f>M30/G30</f>
        <v>0.24149028412411669</v>
      </c>
      <c r="O30" s="658"/>
      <c r="P30" s="658"/>
      <c r="Q30" s="658"/>
      <c r="R30" s="658"/>
      <c r="S30" s="658"/>
      <c r="T30" s="658"/>
      <c r="U30" s="658"/>
      <c r="V30" s="658"/>
      <c r="W30" s="658"/>
      <c r="X30" s="658"/>
      <c r="Y30" s="658"/>
      <c r="Z30" s="658"/>
      <c r="AA30" s="658"/>
      <c r="AB30" s="658"/>
      <c r="AC30" s="658"/>
      <c r="AD30" s="658"/>
    </row>
    <row r="31" spans="1:30" ht="14" x14ac:dyDescent="0.3">
      <c r="A31" s="329">
        <f>IF(C31&lt;&gt;"",COUNTA($C$11:C31),"")</f>
        <v>18</v>
      </c>
      <c r="C31" s="709">
        <f>+C24</f>
        <v>5000</v>
      </c>
      <c r="D31" s="709">
        <f t="shared" si="3"/>
        <v>2750000</v>
      </c>
      <c r="E31" s="710">
        <f>$G$38+$C31*SUM($G$39:$G$40)+$D31*(($G$41*$E$64+$G$42*$E$65)+SUM($G$43:$G$61))</f>
        <v>119474.075</v>
      </c>
      <c r="F31" s="710">
        <f>+$D31*$G$62</f>
        <v>313142.5</v>
      </c>
      <c r="G31" s="710">
        <f t="shared" si="1"/>
        <v>432616.57500000001</v>
      </c>
      <c r="H31" s="712"/>
      <c r="I31" s="710">
        <f>$I$38+$C31*SUM($I$39:$I$40)+$D31*(($I$41*$E$64+$I$42*$E$65)+SUM($I$43:$I$61))</f>
        <v>129628.54999999999</v>
      </c>
      <c r="J31" s="710">
        <f>+$D31*$I$62</f>
        <v>408072.50000000006</v>
      </c>
      <c r="K31" s="710">
        <f>SUM(I31:J31)</f>
        <v>537701.05000000005</v>
      </c>
      <c r="L31" s="710"/>
      <c r="M31" s="710">
        <f>K31-G31</f>
        <v>105084.47500000003</v>
      </c>
      <c r="N31" s="714">
        <f>M31/G31</f>
        <v>0.24290441252742115</v>
      </c>
      <c r="O31" s="658"/>
      <c r="P31" s="658"/>
      <c r="Q31" s="658"/>
      <c r="R31" s="658"/>
      <c r="S31" s="658"/>
      <c r="T31" s="658"/>
      <c r="U31" s="658"/>
      <c r="V31" s="658"/>
      <c r="W31" s="658"/>
      <c r="X31" s="658"/>
      <c r="Y31" s="658"/>
      <c r="Z31" s="658"/>
      <c r="AA31" s="658"/>
      <c r="AB31" s="658"/>
      <c r="AC31" s="658"/>
      <c r="AD31" s="658"/>
    </row>
    <row r="32" spans="1:30" ht="14" x14ac:dyDescent="0.3">
      <c r="A32" s="329">
        <f>IF(C32&lt;&gt;"",COUNTA($C$11:C32),"")</f>
        <v>19</v>
      </c>
      <c r="C32" s="709">
        <f>+C25</f>
        <v>10000</v>
      </c>
      <c r="D32" s="709">
        <f t="shared" si="3"/>
        <v>5500000</v>
      </c>
      <c r="E32" s="710">
        <f>$G$38+$C32*SUM($G$39:$G$40)+$D32*(($G$41*$E$64+$G$42*$E$65)+SUM($G$43:$G$61))</f>
        <v>235148.15</v>
      </c>
      <c r="F32" s="710">
        <f>+$D32*$G$62</f>
        <v>626285</v>
      </c>
      <c r="G32" s="710">
        <f t="shared" si="1"/>
        <v>861433.15</v>
      </c>
      <c r="H32" s="712"/>
      <c r="I32" s="710">
        <f>$I$38+$C32*SUM($I$39:$I$40)+$D32*(($I$41*$E$64+$I$42*$E$65)+SUM($I$43:$I$61))</f>
        <v>255457.09999999998</v>
      </c>
      <c r="J32" s="710">
        <f>+$D32*$I$62</f>
        <v>816145.00000000012</v>
      </c>
      <c r="K32" s="710">
        <f>SUM(I32:J32)</f>
        <v>1071602.1000000001</v>
      </c>
      <c r="L32" s="710"/>
      <c r="M32" s="710">
        <f>K32-G32</f>
        <v>210168.95000000007</v>
      </c>
      <c r="N32" s="714">
        <f>M32/G32</f>
        <v>0.24397592546792524</v>
      </c>
      <c r="O32" s="658"/>
      <c r="P32" s="658"/>
      <c r="Q32" s="658"/>
      <c r="R32" s="658"/>
      <c r="S32" s="658"/>
      <c r="T32" s="658"/>
      <c r="U32" s="658"/>
      <c r="V32" s="658"/>
      <c r="W32" s="658"/>
      <c r="X32" s="658"/>
      <c r="Y32" s="658"/>
      <c r="Z32" s="658"/>
      <c r="AA32" s="658"/>
      <c r="AB32" s="658"/>
      <c r="AC32" s="658"/>
      <c r="AD32" s="658"/>
    </row>
    <row r="33" spans="1:30" ht="14" x14ac:dyDescent="0.3">
      <c r="A33" s="329">
        <f>IF(C33&lt;&gt;"",COUNTA($C$11:C33),"")</f>
        <v>20</v>
      </c>
      <c r="B33" s="585" t="s">
        <v>554</v>
      </c>
      <c r="C33" s="709">
        <v>4519</v>
      </c>
      <c r="D33" s="709">
        <f t="shared" si="3"/>
        <v>2485450</v>
      </c>
      <c r="E33" s="710">
        <f>$G$38+$C33*SUM($G$39:$G$40)+$D33*(($G$41*$E$64+$G$42*$E$65)+SUM($G$43:$G$61))</f>
        <v>108346.22898499999</v>
      </c>
      <c r="F33" s="710">
        <f>+$D33*$G$62</f>
        <v>283018.19150000002</v>
      </c>
      <c r="G33" s="710">
        <f t="shared" si="1"/>
        <v>391364.42048500001</v>
      </c>
      <c r="H33" s="712"/>
      <c r="I33" s="710">
        <f>$I$38+$C33*SUM($I$39:$I$40)+$D33*(($I$41*$E$64+$I$42*$E$65)+SUM($I$43:$I$61))</f>
        <v>117523.84349</v>
      </c>
      <c r="J33" s="710">
        <f>+$D33*$I$62</f>
        <v>368815.92550000007</v>
      </c>
      <c r="K33" s="710">
        <f>SUM(I33:J33)</f>
        <v>486339.76899000007</v>
      </c>
      <c r="L33" s="710"/>
      <c r="M33" s="710">
        <f>K33-G33</f>
        <v>94975.34850500006</v>
      </c>
      <c r="N33" s="714">
        <f>M33/G33</f>
        <v>0.24267752389780722</v>
      </c>
      <c r="O33" s="658"/>
      <c r="P33" s="658"/>
      <c r="Q33" s="658"/>
      <c r="R33" s="658"/>
      <c r="S33" s="658"/>
      <c r="T33" s="658"/>
      <c r="U33" s="658"/>
      <c r="V33" s="658"/>
      <c r="W33" s="658"/>
      <c r="X33" s="658"/>
      <c r="Y33" s="658"/>
      <c r="Z33" s="658"/>
      <c r="AA33" s="658"/>
      <c r="AB33" s="658"/>
      <c r="AC33" s="658"/>
      <c r="AD33" s="658"/>
    </row>
    <row r="34" spans="1:30" ht="14" x14ac:dyDescent="0.3">
      <c r="A34" s="329" t="str">
        <f>IF(C34&lt;&gt;"",COUNTA($C$11:C34),"")</f>
        <v/>
      </c>
      <c r="C34" s="708"/>
      <c r="D34" s="708"/>
      <c r="E34" s="728"/>
      <c r="F34" s="728"/>
      <c r="G34" s="728"/>
      <c r="H34" s="729"/>
      <c r="I34" s="728"/>
      <c r="J34" s="728"/>
      <c r="K34" s="728"/>
      <c r="L34" s="728"/>
      <c r="M34" s="710"/>
      <c r="N34" s="714"/>
    </row>
    <row r="35" spans="1:30" ht="14" x14ac:dyDescent="0.3">
      <c r="A35" s="329" t="str">
        <f>IF(C35&lt;&gt;"",COUNTA($C$11:C35),"")</f>
        <v/>
      </c>
      <c r="C35" s="730"/>
      <c r="D35" s="730"/>
      <c r="E35" s="731"/>
      <c r="F35" s="731"/>
      <c r="G35" s="731"/>
      <c r="H35" s="729"/>
    </row>
    <row r="36" spans="1:30" ht="14" x14ac:dyDescent="0.3">
      <c r="A36" s="329">
        <f>IF(C36&lt;&gt;"",COUNTA($C$11:C36),"")</f>
        <v>21</v>
      </c>
      <c r="C36" s="701" t="s">
        <v>46</v>
      </c>
      <c r="D36" s="701"/>
      <c r="G36" s="395" t="str">
        <f>+'Bill_WMA 23'!F23</f>
        <v>Current</v>
      </c>
      <c r="H36" s="701"/>
      <c r="I36" s="395" t="str">
        <f>+'Bill_WMA 23'!H23</f>
        <v>Proposed</v>
      </c>
    </row>
    <row r="37" spans="1:30" ht="17" x14ac:dyDescent="0.6">
      <c r="A37" s="329">
        <f>IF(C37&lt;&gt;"",COUNTA($C$11:C37),"")</f>
        <v>22</v>
      </c>
      <c r="C37" s="274" t="s">
        <v>46</v>
      </c>
      <c r="D37" s="701"/>
      <c r="G37" s="396" t="str">
        <f>+'Bill_WMA 23'!F24</f>
        <v>Rates</v>
      </c>
      <c r="H37" s="701"/>
      <c r="I37" s="396" t="str">
        <f>+'Bill_WMA 23'!H24</f>
        <v>Rates</v>
      </c>
      <c r="J37" s="396" t="str">
        <f>+'Bill_WMA 23'!I24</f>
        <v>Change</v>
      </c>
    </row>
    <row r="38" spans="1:30" ht="14" x14ac:dyDescent="0.3">
      <c r="A38" s="329">
        <f>IF(C38&lt;&gt;"",COUNTA($C$11:C38),"")</f>
        <v>23</v>
      </c>
      <c r="C38" s="701" t="s">
        <v>296</v>
      </c>
      <c r="D38" s="274"/>
      <c r="G38" s="454">
        <v>3800</v>
      </c>
      <c r="H38" s="712"/>
      <c r="I38" s="454">
        <f>G38</f>
        <v>3800</v>
      </c>
      <c r="J38" s="421">
        <f>+I38-G38</f>
        <v>0</v>
      </c>
    </row>
    <row r="39" spans="1:30" ht="14" x14ac:dyDescent="0.3">
      <c r="A39" s="329">
        <f>IF(C39&lt;&gt;"",COUNTA($C$11:C39),"")</f>
        <v>24</v>
      </c>
      <c r="C39" s="701" t="str">
        <f>+'Bill_WMA T2'!C50</f>
        <v>Distribution Demand - Peak</v>
      </c>
      <c r="D39" s="274"/>
      <c r="G39" s="454">
        <v>4.4400000000000004</v>
      </c>
      <c r="H39" s="712"/>
      <c r="I39" s="397">
        <v>4.62</v>
      </c>
      <c r="J39" s="421">
        <f t="shared" ref="J39:J62" si="4">+I39-G39</f>
        <v>0.17999999999999972</v>
      </c>
    </row>
    <row r="40" spans="1:30" ht="14" x14ac:dyDescent="0.3">
      <c r="A40" s="329">
        <f>IF(C40&lt;&gt;"",COUNTA($C$11:C40),"")</f>
        <v>25</v>
      </c>
      <c r="C40" s="701" t="str">
        <f>+'Bill_WMA T2'!C51</f>
        <v>Transmission Demand - Peak</v>
      </c>
      <c r="D40" s="274"/>
      <c r="G40" s="454">
        <v>7.55</v>
      </c>
      <c r="H40" s="712"/>
      <c r="I40" s="454">
        <v>10.32</v>
      </c>
      <c r="J40" s="421">
        <f t="shared" si="4"/>
        <v>2.7700000000000005</v>
      </c>
    </row>
    <row r="41" spans="1:30" ht="14" x14ac:dyDescent="0.3">
      <c r="A41" s="329">
        <f>IF(C41&lt;&gt;"",COUNTA($C$11:C41),"")</f>
        <v>26</v>
      </c>
      <c r="C41" s="701" t="str">
        <f>+'Bill_WMA T2'!C52</f>
        <v>Distribution Energy - Peak</v>
      </c>
      <c r="D41" s="274"/>
      <c r="G41" s="308">
        <v>2.5400000000000002E-3</v>
      </c>
      <c r="H41" s="718"/>
      <c r="I41" s="308">
        <v>2.64E-3</v>
      </c>
      <c r="J41" s="354">
        <f t="shared" si="4"/>
        <v>9.9999999999999829E-5</v>
      </c>
    </row>
    <row r="42" spans="1:30" ht="14" x14ac:dyDescent="0.3">
      <c r="A42" s="329">
        <f>IF(C42&lt;&gt;"",COUNTA($C$11:C42),"")</f>
        <v>27</v>
      </c>
      <c r="C42" s="701" t="str">
        <f>+'Bill_WMA T2'!C53</f>
        <v>Distribution Energy - Off Peak</v>
      </c>
      <c r="D42" s="274"/>
      <c r="G42" s="308">
        <v>7.5000000000000002E-4</v>
      </c>
      <c r="H42" s="718"/>
      <c r="I42" s="308">
        <v>7.7999999999999999E-4</v>
      </c>
      <c r="J42" s="354">
        <f t="shared" si="4"/>
        <v>2.999999999999997E-5</v>
      </c>
    </row>
    <row r="43" spans="1:30" ht="14" x14ac:dyDescent="0.3">
      <c r="A43" s="329">
        <f>IF(C43&lt;&gt;"",COUNTA($C$11:C43),"")</f>
        <v>28</v>
      </c>
      <c r="C43" s="335" t="str">
        <f>+'Bill_WMA T2'!C54</f>
        <v>Revenue Decoupling</v>
      </c>
      <c r="D43" s="274"/>
      <c r="G43" s="308">
        <v>1.3999999999999999E-4</v>
      </c>
      <c r="H43" s="400"/>
      <c r="I43" s="277">
        <v>-1.1E-4</v>
      </c>
      <c r="J43" s="354">
        <f t="shared" si="4"/>
        <v>-2.5000000000000001E-4</v>
      </c>
      <c r="K43" s="559"/>
      <c r="L43" s="559"/>
      <c r="M43" s="559"/>
      <c r="N43" s="559"/>
    </row>
    <row r="44" spans="1:30" ht="14" x14ac:dyDescent="0.3">
      <c r="A44" s="329">
        <f>IF(C44&lt;&gt;"",COUNTA($C$11:C44),"")</f>
        <v>29</v>
      </c>
      <c r="C44" s="335" t="str">
        <f>+'Bill_WMA T2'!C55</f>
        <v>Residential Assistance Adjustment Factor</v>
      </c>
      <c r="D44" s="274"/>
      <c r="G44" s="277">
        <v>2.5300000000000001E-3</v>
      </c>
      <c r="H44" s="400"/>
      <c r="I44" s="277">
        <v>9.6000000000000002E-4</v>
      </c>
      <c r="J44" s="354">
        <f t="shared" si="4"/>
        <v>-1.5700000000000002E-3</v>
      </c>
      <c r="K44" s="559"/>
      <c r="L44" s="559"/>
      <c r="M44" s="559"/>
      <c r="N44" s="559"/>
    </row>
    <row r="45" spans="1:30" ht="14" x14ac:dyDescent="0.3">
      <c r="A45" s="329">
        <f>IF(C45&lt;&gt;"",COUNTA($C$11:C45),"")</f>
        <v>30</v>
      </c>
      <c r="C45" s="335" t="str">
        <f>+'Bill_WMA T2'!C56</f>
        <v>Pension Adjustment Factor</v>
      </c>
      <c r="D45" s="274"/>
      <c r="G45" s="277">
        <v>3.2000000000000003E-4</v>
      </c>
      <c r="H45" s="400"/>
      <c r="I45" s="277">
        <v>1.9000000000000001E-4</v>
      </c>
      <c r="J45" s="354">
        <f t="shared" si="4"/>
        <v>-1.3000000000000002E-4</v>
      </c>
      <c r="K45" s="559"/>
      <c r="L45" s="559"/>
      <c r="M45" s="559"/>
      <c r="N45" s="559"/>
    </row>
    <row r="46" spans="1:30" ht="14" x14ac:dyDescent="0.3">
      <c r="A46" s="329">
        <f>IF(C46&lt;&gt;"",COUNTA($C$11:C46),"")</f>
        <v>31</v>
      </c>
      <c r="C46" s="335" t="str">
        <f>+'Bill_WMA T2'!C57</f>
        <v>Net Metering Recovery Surcharge</v>
      </c>
      <c r="D46" s="274"/>
      <c r="G46" s="277">
        <v>1.1000000000000001E-3</v>
      </c>
      <c r="H46" s="400"/>
      <c r="I46" s="277">
        <v>1.25E-3</v>
      </c>
      <c r="J46" s="354">
        <f t="shared" si="4"/>
        <v>1.4999999999999996E-4</v>
      </c>
      <c r="K46" s="559"/>
      <c r="L46" s="559"/>
      <c r="M46" s="559"/>
      <c r="N46" s="559"/>
    </row>
    <row r="47" spans="1:30" ht="14" x14ac:dyDescent="0.3">
      <c r="A47" s="329">
        <f>IF(C47&lt;&gt;"",COUNTA($C$11:C47),"")</f>
        <v>32</v>
      </c>
      <c r="C47" s="335" t="str">
        <f>+'Bill_WMA T2'!C58</f>
        <v>Long Term Renewable Contract Adjustment</v>
      </c>
      <c r="D47" s="274"/>
      <c r="G47" s="277">
        <v>3.31E-3</v>
      </c>
      <c r="H47" s="400"/>
      <c r="I47" s="277">
        <v>1.74E-3</v>
      </c>
      <c r="J47" s="354">
        <f t="shared" si="4"/>
        <v>-1.57E-3</v>
      </c>
      <c r="K47" s="559"/>
      <c r="L47" s="559"/>
      <c r="M47" s="559"/>
      <c r="N47" s="559"/>
    </row>
    <row r="48" spans="1:30" ht="14" x14ac:dyDescent="0.3">
      <c r="A48" s="329">
        <f>IF(C48&lt;&gt;"",COUNTA($C$11:C48),"")</f>
        <v>33</v>
      </c>
      <c r="C48" s="335" t="str">
        <f>+'Bill_WMA T2'!C59</f>
        <v>AG Consulting Expense</v>
      </c>
      <c r="D48" s="274"/>
      <c r="G48" s="277">
        <v>1.0000000000000001E-5</v>
      </c>
      <c r="H48" s="400"/>
      <c r="I48" s="277">
        <v>0</v>
      </c>
      <c r="J48" s="354">
        <f t="shared" si="4"/>
        <v>-1.0000000000000001E-5</v>
      </c>
      <c r="K48" s="559"/>
      <c r="L48" s="559"/>
      <c r="M48" s="559"/>
      <c r="N48" s="559"/>
    </row>
    <row r="49" spans="1:14" ht="14" x14ac:dyDescent="0.3">
      <c r="A49" s="329">
        <f>IF(C49&lt;&gt;"",COUNTA($C$11:C49),"")</f>
        <v>34</v>
      </c>
      <c r="C49" s="335" t="str">
        <f>+'Bill_WMA T2'!C60</f>
        <v>Storm Cost Recovery Adjustment Factor</v>
      </c>
      <c r="D49" s="274"/>
      <c r="G49" s="277">
        <v>5.9000000000000003E-4</v>
      </c>
      <c r="H49" s="400"/>
      <c r="I49" s="277">
        <v>7.2000000000000005E-4</v>
      </c>
      <c r="J49" s="354">
        <f t="shared" si="4"/>
        <v>1.3000000000000002E-4</v>
      </c>
      <c r="K49" s="559"/>
      <c r="L49" s="559"/>
      <c r="M49" s="559"/>
      <c r="N49" s="559"/>
    </row>
    <row r="50" spans="1:14" ht="14" x14ac:dyDescent="0.3">
      <c r="A50" s="329">
        <f>IF(C50&lt;&gt;"",COUNTA($C$11:C50),"")</f>
        <v>35</v>
      </c>
      <c r="C50" s="335" t="str">
        <f>+'Bill_WMA T2'!C61</f>
        <v>Storm Reserve Adjustment</v>
      </c>
      <c r="D50" s="274"/>
      <c r="G50" s="277">
        <v>0</v>
      </c>
      <c r="H50" s="400"/>
      <c r="I50" s="277">
        <v>0</v>
      </c>
      <c r="J50" s="354">
        <f t="shared" si="4"/>
        <v>0</v>
      </c>
      <c r="K50" s="559"/>
      <c r="L50" s="559"/>
      <c r="M50" s="559"/>
      <c r="N50" s="559"/>
    </row>
    <row r="51" spans="1:14" ht="14" x14ac:dyDescent="0.3">
      <c r="A51" s="329">
        <f>IF(C51&lt;&gt;"",COUNTA($C$11:C51),"")</f>
        <v>36</v>
      </c>
      <c r="C51" s="335" t="str">
        <f>+'Bill_WMA T2'!C62</f>
        <v>Basic Service Cost True Up Factor</v>
      </c>
      <c r="D51" s="274"/>
      <c r="G51" s="277">
        <v>5.0000000000000002E-5</v>
      </c>
      <c r="H51" s="400"/>
      <c r="I51" s="277">
        <v>-5.0000000000000002E-5</v>
      </c>
      <c r="J51" s="354">
        <f t="shared" si="4"/>
        <v>-1E-4</v>
      </c>
      <c r="K51" s="559"/>
      <c r="L51" s="559"/>
      <c r="M51" s="559"/>
      <c r="N51" s="559"/>
    </row>
    <row r="52" spans="1:14" ht="14" x14ac:dyDescent="0.3">
      <c r="A52" s="329">
        <f>IF(C52&lt;&gt;"",COUNTA($C$11:C52),"")</f>
        <v>37</v>
      </c>
      <c r="C52" s="335" t="str">
        <f>+'Bill_WMA T2'!C63</f>
        <v>Solar Program Cost Adjustment Factor</v>
      </c>
      <c r="D52" s="274"/>
      <c r="G52" s="277">
        <v>-3.0000000000000001E-5</v>
      </c>
      <c r="H52" s="400"/>
      <c r="I52" s="277">
        <v>1.0000000000000001E-5</v>
      </c>
      <c r="J52" s="354">
        <f t="shared" si="4"/>
        <v>4.0000000000000003E-5</v>
      </c>
      <c r="K52" s="559"/>
      <c r="L52" s="559"/>
      <c r="M52" s="559"/>
      <c r="N52" s="559"/>
    </row>
    <row r="53" spans="1:14" ht="14" x14ac:dyDescent="0.3">
      <c r="A53" s="329">
        <f>IF(C53&lt;&gt;"",COUNTA($C$11:C53),"")</f>
        <v>38</v>
      </c>
      <c r="C53" s="335" t="str">
        <f>+'Bill_WMA T2'!C64</f>
        <v>Solar Expansion Cost Recovery Factor</v>
      </c>
      <c r="D53" s="274"/>
      <c r="G53" s="277">
        <v>0</v>
      </c>
      <c r="H53" s="400"/>
      <c r="I53" s="277">
        <v>1.4999999999999999E-4</v>
      </c>
      <c r="J53" s="354">
        <f t="shared" si="4"/>
        <v>1.4999999999999999E-4</v>
      </c>
      <c r="K53" s="559"/>
      <c r="L53" s="559"/>
      <c r="M53" s="559"/>
      <c r="N53" s="559"/>
    </row>
    <row r="54" spans="1:14" ht="14" x14ac:dyDescent="0.3">
      <c r="A54" s="329">
        <f>IF(C54&lt;&gt;"",COUNTA($C$11:C54),"")</f>
        <v>39</v>
      </c>
      <c r="C54" s="335" t="str">
        <f>+'Bill_WMA T2'!C65</f>
        <v>Vegetation Management</v>
      </c>
      <c r="D54" s="274"/>
      <c r="G54" s="277">
        <v>0</v>
      </c>
      <c r="H54" s="400"/>
      <c r="I54" s="277">
        <v>3.4000000000000002E-4</v>
      </c>
      <c r="J54" s="354">
        <f t="shared" si="4"/>
        <v>3.4000000000000002E-4</v>
      </c>
      <c r="K54" s="559"/>
      <c r="L54" s="559"/>
      <c r="M54" s="559"/>
      <c r="N54" s="559"/>
    </row>
    <row r="55" spans="1:14" ht="14" x14ac:dyDescent="0.3">
      <c r="A55" s="329">
        <f>IF(C55&lt;&gt;"",COUNTA($C$11:C55),"")</f>
        <v>40</v>
      </c>
      <c r="C55" s="335" t="str">
        <f>+'Bill_WMA T2'!C66</f>
        <v>Solar Massachusetts Renewable Target</v>
      </c>
      <c r="D55" s="339"/>
      <c r="E55" s="339"/>
      <c r="F55" s="277"/>
      <c r="G55" s="277">
        <v>0</v>
      </c>
      <c r="H55" s="277"/>
      <c r="I55" s="277">
        <v>1.7000000000000001E-4</v>
      </c>
      <c r="J55" s="354">
        <f t="shared" si="4"/>
        <v>1.7000000000000001E-4</v>
      </c>
      <c r="K55" s="339"/>
      <c r="L55" s="339"/>
    </row>
    <row r="56" spans="1:14" ht="14" x14ac:dyDescent="0.3">
      <c r="A56" s="329">
        <f>IF(C56&lt;&gt;"",COUNTA($C$11:C56),"")</f>
        <v>41</v>
      </c>
      <c r="C56" s="335" t="str">
        <f>+'Bill_WMA T2'!C67</f>
        <v>Tax Act Credit Factor</v>
      </c>
      <c r="D56" s="339"/>
      <c r="E56" s="339"/>
      <c r="F56" s="277"/>
      <c r="G56" s="277">
        <v>0</v>
      </c>
      <c r="H56" s="277"/>
      <c r="I56" s="277">
        <v>-2.5999999999999998E-4</v>
      </c>
      <c r="J56" s="354">
        <f t="shared" si="4"/>
        <v>-2.5999999999999998E-4</v>
      </c>
      <c r="K56" s="339"/>
      <c r="L56" s="339"/>
    </row>
    <row r="57" spans="1:14" ht="14" x14ac:dyDescent="0.3">
      <c r="A57" s="329">
        <f>IF(C57&lt;&gt;"",COUNTA($C$11:C57),"")</f>
        <v>42</v>
      </c>
      <c r="C57" s="335" t="str">
        <f>+'Bill_WMA T2'!C68</f>
        <v>Transition</v>
      </c>
      <c r="D57" s="274"/>
      <c r="G57" s="308">
        <v>-1.7099999999999999E-3</v>
      </c>
      <c r="H57" s="400"/>
      <c r="I57" s="277">
        <v>-5.1999999999999995E-4</v>
      </c>
      <c r="J57" s="354">
        <f t="shared" si="4"/>
        <v>1.1900000000000001E-3</v>
      </c>
      <c r="K57" s="559"/>
      <c r="L57" s="559"/>
      <c r="M57" s="559"/>
      <c r="N57" s="559"/>
    </row>
    <row r="58" spans="1:14" ht="14" x14ac:dyDescent="0.3">
      <c r="A58" s="329">
        <f>IF(C58&lt;&gt;"",COUNTA($C$11:C58),"")</f>
        <v>43</v>
      </c>
      <c r="C58" s="335" t="str">
        <f>+'Bill_WMA T2'!C69</f>
        <v>Transmission Energy</v>
      </c>
      <c r="D58" s="274"/>
      <c r="G58" s="308">
        <v>0</v>
      </c>
      <c r="H58" s="574"/>
      <c r="I58" s="404">
        <v>0</v>
      </c>
      <c r="J58" s="354">
        <f t="shared" si="4"/>
        <v>0</v>
      </c>
      <c r="K58" s="559"/>
      <c r="L58" s="559"/>
      <c r="M58" s="559"/>
      <c r="N58" s="559"/>
    </row>
    <row r="59" spans="1:14" ht="14" x14ac:dyDescent="0.3">
      <c r="A59" s="329">
        <f>IF(C59&lt;&gt;"",COUNTA($C$11:C59),"")</f>
        <v>44</v>
      </c>
      <c r="C59" s="335" t="str">
        <f>+'Bill_WMA T2'!C70</f>
        <v>Energy Efficiency Reconciliation Factor</v>
      </c>
      <c r="D59" s="274"/>
      <c r="G59" s="308">
        <v>9.7199999999999995E-3</v>
      </c>
      <c r="H59" s="574"/>
      <c r="I59" s="308">
        <v>9.7199999999999995E-3</v>
      </c>
      <c r="J59" s="354">
        <f t="shared" si="4"/>
        <v>0</v>
      </c>
      <c r="K59" s="559"/>
      <c r="L59" s="559"/>
      <c r="M59" s="559"/>
      <c r="N59" s="559"/>
    </row>
    <row r="60" spans="1:14" ht="14" x14ac:dyDescent="0.3">
      <c r="A60" s="329">
        <f>IF(C60&lt;&gt;"",COUNTA($C$11:C60),"")</f>
        <v>45</v>
      </c>
      <c r="C60" s="335" t="str">
        <f>+'Bill_WMA T2'!C71</f>
        <v>System Benefits Charge</v>
      </c>
      <c r="D60" s="274"/>
      <c r="G60" s="308">
        <v>2.5000000000000001E-3</v>
      </c>
      <c r="H60" s="574"/>
      <c r="I60" s="308">
        <f>G60</f>
        <v>2.5000000000000001E-3</v>
      </c>
      <c r="J60" s="354">
        <f t="shared" si="4"/>
        <v>0</v>
      </c>
      <c r="K60" s="559"/>
      <c r="L60" s="559"/>
      <c r="M60" s="559"/>
      <c r="N60" s="559"/>
    </row>
    <row r="61" spans="1:14" ht="14" x14ac:dyDescent="0.3">
      <c r="A61" s="329">
        <f>IF(C61&lt;&gt;"",COUNTA($C$11:C61),"")</f>
        <v>46</v>
      </c>
      <c r="C61" s="335" t="str">
        <f>+'Bill_WMA T2'!C72</f>
        <v>Renewable Energy Charge</v>
      </c>
      <c r="D61" s="274"/>
      <c r="G61" s="308">
        <v>5.0000000000000001E-4</v>
      </c>
      <c r="H61" s="574"/>
      <c r="I61" s="308">
        <f>G61</f>
        <v>5.0000000000000001E-4</v>
      </c>
      <c r="J61" s="354">
        <f t="shared" si="4"/>
        <v>0</v>
      </c>
      <c r="K61" s="559"/>
      <c r="L61" s="559"/>
      <c r="M61" s="559"/>
      <c r="N61" s="559"/>
    </row>
    <row r="62" spans="1:14" ht="14" x14ac:dyDescent="0.3">
      <c r="A62" s="329">
        <f>IF(C62&lt;&gt;"",COUNTA($C$11:C62),"")</f>
        <v>47</v>
      </c>
      <c r="C62" s="335" t="str">
        <f>+'Bill_WMA T2'!C73</f>
        <v>Basic Service Charge</v>
      </c>
      <c r="D62" s="274"/>
      <c r="G62" s="308">
        <v>0.11387</v>
      </c>
      <c r="H62" s="574"/>
      <c r="I62" s="308">
        <v>0.14839000000000002</v>
      </c>
      <c r="J62" s="354">
        <f t="shared" si="4"/>
        <v>3.4520000000000023E-2</v>
      </c>
      <c r="K62" s="559"/>
      <c r="L62" s="559"/>
      <c r="M62" s="559"/>
      <c r="N62" s="559"/>
    </row>
    <row r="63" spans="1:14" ht="14" x14ac:dyDescent="0.3">
      <c r="A63" s="329" t="str">
        <f>IF(C63&lt;&gt;"",COUNTA($C$11:C63),"")</f>
        <v/>
      </c>
      <c r="C63" s="335"/>
      <c r="D63" s="701"/>
      <c r="E63" s="717"/>
      <c r="G63" s="484"/>
      <c r="H63" s="667"/>
      <c r="I63" s="720"/>
      <c r="J63" s="720"/>
    </row>
    <row r="64" spans="1:14" ht="14" x14ac:dyDescent="0.3">
      <c r="A64" s="329">
        <f>IF(C64&lt;&gt;"",COUNTA($C$11:C64),"")</f>
        <v>48</v>
      </c>
      <c r="C64" s="721" t="str">
        <f>'Bill_WMA T2'!C75</f>
        <v>On-Peak Use:</v>
      </c>
      <c r="E64" s="722">
        <v>0.27</v>
      </c>
      <c r="G64" s="720"/>
      <c r="H64" s="667"/>
      <c r="I64" s="720"/>
      <c r="J64" s="720"/>
    </row>
    <row r="65" spans="1:10" ht="14" x14ac:dyDescent="0.3">
      <c r="A65" s="329">
        <f>IF(C65&lt;&gt;"",COUNTA($C$11:C65),"")</f>
        <v>49</v>
      </c>
      <c r="C65" s="721" t="str">
        <f>'Bill_WMA T2'!C76</f>
        <v>Off-Peak Use:</v>
      </c>
      <c r="D65" s="732"/>
      <c r="E65" s="722">
        <v>0.73</v>
      </c>
      <c r="F65" s="732"/>
      <c r="G65" s="733"/>
      <c r="H65" s="667"/>
      <c r="I65" s="720"/>
      <c r="J65" s="720"/>
    </row>
    <row r="66" spans="1:10" ht="14" x14ac:dyDescent="0.3">
      <c r="A66" s="274"/>
      <c r="B66" s="274"/>
      <c r="C66" s="701"/>
      <c r="G66" s="720"/>
      <c r="H66" s="720"/>
      <c r="I66" s="720"/>
      <c r="J66" s="720"/>
    </row>
    <row r="67" spans="1:10" ht="14" x14ac:dyDescent="0.3">
      <c r="A67" s="734" t="s">
        <v>635</v>
      </c>
      <c r="B67" s="734"/>
      <c r="C67" s="701" t="s">
        <v>636</v>
      </c>
      <c r="G67" s="720"/>
      <c r="H67" s="720"/>
      <c r="I67" s="720"/>
      <c r="J67" s="720"/>
    </row>
    <row r="68" spans="1:10" ht="14" x14ac:dyDescent="0.3">
      <c r="A68" s="274"/>
      <c r="B68" s="274"/>
      <c r="C68" s="701" t="s">
        <v>637</v>
      </c>
      <c r="G68" s="720"/>
      <c r="H68" s="720"/>
      <c r="I68" s="720"/>
      <c r="J68" s="720"/>
    </row>
    <row r="69" spans="1:10" ht="14" x14ac:dyDescent="0.3">
      <c r="G69" s="720"/>
      <c r="H69" s="720"/>
      <c r="I69" s="720"/>
      <c r="J69" s="720"/>
    </row>
    <row r="70" spans="1:10" ht="14" x14ac:dyDescent="0.3">
      <c r="G70" s="720"/>
      <c r="H70" s="720"/>
      <c r="I70" s="720"/>
      <c r="J70" s="720"/>
    </row>
    <row r="71" spans="1:10" ht="14" x14ac:dyDescent="0.3">
      <c r="C71" s="723" t="str">
        <f>+'Bill_WMA T2'!C79</f>
        <v>Total Demand - Peak</v>
      </c>
      <c r="G71" s="715">
        <f>+G39+G40</f>
        <v>11.99</v>
      </c>
      <c r="H71" s="720"/>
      <c r="I71" s="715">
        <f>+I39+I40</f>
        <v>14.940000000000001</v>
      </c>
      <c r="J71" s="421">
        <f t="shared" ref="J71:J74" si="5">+I71-G71</f>
        <v>2.9500000000000011</v>
      </c>
    </row>
    <row r="72" spans="1:10" ht="14" x14ac:dyDescent="0.3">
      <c r="C72" s="723" t="str">
        <f>+'Bill_WMA T2'!C80</f>
        <v>Total Energy - Peak</v>
      </c>
      <c r="G72" s="720">
        <f>SUM(G41,G$43:G$61)</f>
        <v>2.1569999999999999E-2</v>
      </c>
      <c r="H72" s="720"/>
      <c r="I72" s="720">
        <f>SUM(I41,I$43:I$61)</f>
        <v>1.9949999999999999E-2</v>
      </c>
      <c r="J72" s="354">
        <f t="shared" si="5"/>
        <v>-1.6199999999999999E-3</v>
      </c>
    </row>
    <row r="73" spans="1:10" ht="14" x14ac:dyDescent="0.3">
      <c r="C73" s="723" t="str">
        <f>+'Bill_WMA T2'!C81</f>
        <v>Total Energy - Off Peak</v>
      </c>
      <c r="G73" s="720">
        <f>SUM(G42,G$43:G$61)</f>
        <v>1.9779999999999999E-2</v>
      </c>
      <c r="H73" s="720"/>
      <c r="I73" s="720">
        <f>SUM(I42,I$43:I$61)</f>
        <v>1.8089999999999998E-2</v>
      </c>
      <c r="J73" s="354">
        <f t="shared" si="5"/>
        <v>-1.6900000000000005E-3</v>
      </c>
    </row>
    <row r="74" spans="1:10" ht="14" x14ac:dyDescent="0.3">
      <c r="C74" s="723" t="str">
        <f>+'Bill_WMA T2'!C82</f>
        <v>Total Basic Service</v>
      </c>
      <c r="G74" s="720">
        <f>+G62</f>
        <v>0.11387</v>
      </c>
      <c r="H74" s="720"/>
      <c r="I74" s="720">
        <f>+I62</f>
        <v>0.14839000000000002</v>
      </c>
      <c r="J74" s="354">
        <f t="shared" si="5"/>
        <v>3.4520000000000023E-2</v>
      </c>
    </row>
    <row r="75" spans="1:10" ht="14" x14ac:dyDescent="0.3">
      <c r="G75" s="720"/>
      <c r="H75" s="720"/>
      <c r="I75" s="720"/>
      <c r="J75" s="720"/>
    </row>
    <row r="76" spans="1:10" ht="14" x14ac:dyDescent="0.3">
      <c r="G76" s="720"/>
      <c r="H76" s="720"/>
      <c r="I76" s="720"/>
      <c r="J76" s="720"/>
    </row>
    <row r="77" spans="1:10" ht="14" x14ac:dyDescent="0.3">
      <c r="G77" s="720"/>
      <c r="H77" s="720"/>
      <c r="I77" s="720"/>
      <c r="J77" s="720"/>
    </row>
    <row r="78" spans="1:10" ht="14" x14ac:dyDescent="0.3">
      <c r="G78" s="720"/>
      <c r="H78" s="720"/>
      <c r="I78" s="720"/>
      <c r="J78" s="720"/>
    </row>
  </sheetData>
  <mergeCells count="7">
    <mergeCell ref="A4:N4"/>
    <mergeCell ref="A5:N5"/>
    <mergeCell ref="A6:N6"/>
    <mergeCell ref="A8:N8"/>
    <mergeCell ref="E11:G11"/>
    <mergeCell ref="I11:K11"/>
    <mergeCell ref="M11:N11"/>
  </mergeCells>
  <pageMargins left="0.7" right="0.7" top="0.75" bottom="0.75" header="0.3" footer="0.3"/>
  <pageSetup scale="64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FA055-3B18-49B2-9088-8FB6C95A9315}">
  <sheetPr>
    <tabColor theme="9" tint="0.59999389629810485"/>
    <pageSetUpPr fitToPage="1"/>
  </sheetPr>
  <dimension ref="A3:Q76"/>
  <sheetViews>
    <sheetView workbookViewId="0"/>
  </sheetViews>
  <sheetFormatPr defaultRowHeight="12.5" x14ac:dyDescent="0.25"/>
  <cols>
    <col min="1" max="1" width="3.26953125" bestFit="1" customWidth="1"/>
    <col min="2" max="2" width="41.7265625" customWidth="1"/>
    <col min="3" max="3" width="8.7265625" customWidth="1"/>
    <col min="4" max="4" width="1.26953125" customWidth="1"/>
    <col min="5" max="5" width="15.7265625" customWidth="1"/>
    <col min="6" max="6" width="1.26953125" customWidth="1"/>
    <col min="7" max="7" width="13.7265625" customWidth="1"/>
    <col min="8" max="8" width="1.26953125" customWidth="1"/>
    <col min="9" max="9" width="15.7265625" customWidth="1"/>
    <col min="10" max="10" width="11" bestFit="1" customWidth="1"/>
    <col min="11" max="11" width="1.26953125" customWidth="1"/>
    <col min="12" max="12" width="13.7265625" customWidth="1"/>
    <col min="13" max="13" width="1.26953125" customWidth="1"/>
    <col min="14" max="14" width="15.7265625" customWidth="1"/>
  </cols>
  <sheetData>
    <row r="3" spans="1:17" ht="14" x14ac:dyDescent="0.3">
      <c r="A3" s="268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</row>
    <row r="4" spans="1:17" ht="14" x14ac:dyDescent="0.3">
      <c r="A4" s="748" t="str">
        <f>'R1 WMA'!A4:N4</f>
        <v>Western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7" ht="14" x14ac:dyDescent="0.3">
      <c r="A5" s="748" t="str">
        <f>'R2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7" ht="14" x14ac:dyDescent="0.3">
      <c r="A6" s="268"/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</row>
    <row r="7" spans="1:17" ht="14" x14ac:dyDescent="0.3">
      <c r="A7" s="748" t="s">
        <v>336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7" ht="14" x14ac:dyDescent="0.3">
      <c r="B8" s="207"/>
      <c r="C8" s="207"/>
      <c r="D8" s="207"/>
      <c r="E8" s="213"/>
      <c r="F8" s="207"/>
      <c r="I8" s="210"/>
      <c r="J8" s="210"/>
      <c r="K8" s="210"/>
      <c r="L8" s="214"/>
      <c r="M8" s="214"/>
      <c r="N8" s="215"/>
    </row>
    <row r="9" spans="1:17" ht="14.5" thickBot="1" x14ac:dyDescent="0.35">
      <c r="A9" s="151"/>
      <c r="B9" s="216" t="s">
        <v>46</v>
      </c>
      <c r="C9" s="216"/>
      <c r="D9" s="216"/>
      <c r="E9" s="217" t="s">
        <v>144</v>
      </c>
      <c r="F9" s="216"/>
      <c r="G9" s="749" t="s">
        <v>63</v>
      </c>
      <c r="H9" s="749"/>
      <c r="I9" s="749"/>
      <c r="J9" s="218"/>
      <c r="K9" s="216"/>
      <c r="L9" s="750" t="s">
        <v>64</v>
      </c>
      <c r="M9" s="750"/>
      <c r="N9" s="750"/>
    </row>
    <row r="10" spans="1:17" ht="14" x14ac:dyDescent="0.3">
      <c r="A10" s="151"/>
      <c r="B10" s="219" t="s">
        <v>293</v>
      </c>
      <c r="C10" s="220" t="s">
        <v>294</v>
      </c>
      <c r="D10" s="220"/>
      <c r="E10" s="221" t="s">
        <v>295</v>
      </c>
      <c r="F10" s="222"/>
      <c r="G10" s="223" t="s">
        <v>211</v>
      </c>
      <c r="H10" s="223"/>
      <c r="I10" s="223" t="s">
        <v>148</v>
      </c>
      <c r="J10" s="224"/>
      <c r="K10" s="222"/>
      <c r="L10" s="225" t="s">
        <v>211</v>
      </c>
      <c r="M10" s="226"/>
      <c r="N10" s="227" t="s">
        <v>148</v>
      </c>
    </row>
    <row r="11" spans="1:17" ht="14" x14ac:dyDescent="0.3">
      <c r="A11" s="151" t="str">
        <f>IF(B11&lt;&gt;"",COUNTA($B$9:B11),"")</f>
        <v/>
      </c>
      <c r="B11" s="228"/>
      <c r="C11" s="220"/>
      <c r="D11" s="220"/>
      <c r="E11" s="213" t="s">
        <v>66</v>
      </c>
      <c r="F11" s="222"/>
      <c r="G11" s="229" t="s">
        <v>67</v>
      </c>
      <c r="H11" s="230"/>
      <c r="I11" s="231" t="s">
        <v>68</v>
      </c>
      <c r="J11" s="231" t="s">
        <v>69</v>
      </c>
      <c r="K11" s="222"/>
      <c r="L11" s="226" t="s">
        <v>70</v>
      </c>
      <c r="M11" s="230"/>
      <c r="N11" s="231" t="s">
        <v>71</v>
      </c>
    </row>
    <row r="12" spans="1:17" ht="14" x14ac:dyDescent="0.3">
      <c r="A12" s="151">
        <f>IF(B12&lt;&gt;"",COUNTA($B$12:B12),"")</f>
        <v>1</v>
      </c>
      <c r="B12" s="232" t="str">
        <f>'R1 WMA'!B12</f>
        <v>Customer Charge</v>
      </c>
      <c r="C12" s="233" t="str">
        <f>'R1 WMA'!C12</f>
        <v>CUST</v>
      </c>
      <c r="D12" s="233"/>
      <c r="E12" s="234">
        <v>383372.06068452756</v>
      </c>
      <c r="F12" s="207"/>
      <c r="G12" s="209">
        <v>7</v>
      </c>
      <c r="H12" s="209"/>
      <c r="I12" s="210">
        <f>E12*G12</f>
        <v>2683604.4247916928</v>
      </c>
      <c r="J12" s="235"/>
      <c r="K12" s="210"/>
      <c r="L12" s="209">
        <v>7</v>
      </c>
      <c r="M12" s="211"/>
      <c r="N12" s="210">
        <f>L12*E12</f>
        <v>2683604.4247916928</v>
      </c>
      <c r="O12" s="272"/>
      <c r="P12" s="234"/>
      <c r="Q12" s="154"/>
    </row>
    <row r="13" spans="1:17" ht="14" x14ac:dyDescent="0.3">
      <c r="A13" s="151">
        <f>IF(B13&lt;&gt;"",COUNTA($B$12:B13),"")</f>
        <v>2</v>
      </c>
      <c r="B13" s="207" t="str">
        <f>'R1 WMA'!B13</f>
        <v>Distribution Energy</v>
      </c>
      <c r="C13" s="233" t="str">
        <f>'R1 WMA'!C13</f>
        <v>DKWH</v>
      </c>
      <c r="D13" s="233"/>
      <c r="E13" s="234">
        <v>205560992.03741142</v>
      </c>
      <c r="F13" s="207"/>
      <c r="G13" s="236">
        <v>4.3720000000000002E-2</v>
      </c>
      <c r="H13" s="209"/>
      <c r="I13" s="237">
        <f>E13*G13</f>
        <v>8987126.5718756281</v>
      </c>
      <c r="J13" s="235"/>
      <c r="K13" s="210"/>
      <c r="L13" s="236">
        <v>4.5629999999999997E-2</v>
      </c>
      <c r="M13" s="211"/>
      <c r="N13" s="237">
        <f t="shared" ref="N13" si="0">L13*E13</f>
        <v>9379748.0666670818</v>
      </c>
      <c r="O13" s="272"/>
      <c r="P13" s="273"/>
    </row>
    <row r="14" spans="1:17" ht="14" x14ac:dyDescent="0.3">
      <c r="A14" s="151">
        <f>IF(B14&lt;&gt;"",COUNTA($B$12:B14),"")</f>
        <v>3</v>
      </c>
      <c r="B14" s="207" t="str">
        <f>'R1 WMA'!B14</f>
        <v>Total Distribution</v>
      </c>
      <c r="C14" s="233" t="str">
        <f>'R1 WMA'!C14</f>
        <v>DIST</v>
      </c>
      <c r="D14" s="233"/>
      <c r="E14" s="234"/>
      <c r="F14" s="207"/>
      <c r="G14" s="209"/>
      <c r="H14" s="209"/>
      <c r="I14" s="210">
        <f>SUM(I12:I13)</f>
        <v>11670730.996667322</v>
      </c>
      <c r="J14" s="235"/>
      <c r="K14" s="210"/>
      <c r="L14" s="238"/>
      <c r="M14" s="211"/>
      <c r="N14" s="210">
        <f>SUM(N12:N13)</f>
        <v>12063352.491458774</v>
      </c>
      <c r="O14" s="272"/>
      <c r="P14" s="273"/>
    </row>
    <row r="15" spans="1:17" ht="14" x14ac:dyDescent="0.3">
      <c r="A15" s="151" t="str">
        <f>IF(B15&lt;&gt;"",COUNTA($B$12:B15),"")</f>
        <v/>
      </c>
      <c r="B15" s="207"/>
      <c r="C15" s="233"/>
      <c r="D15" s="233"/>
      <c r="E15" s="234"/>
      <c r="F15" s="207"/>
      <c r="G15" s="209"/>
      <c r="H15" s="209"/>
      <c r="I15" s="210"/>
      <c r="J15" s="235"/>
      <c r="K15" s="210"/>
      <c r="L15" s="238"/>
      <c r="M15" s="211"/>
      <c r="N15" s="210"/>
      <c r="O15" s="272"/>
      <c r="P15" s="273"/>
    </row>
    <row r="16" spans="1:17" ht="14" x14ac:dyDescent="0.3">
      <c r="A16" s="151">
        <f>IF(B16&lt;&gt;"",COUNTA($B$12:B16),"")</f>
        <v>4</v>
      </c>
      <c r="B16" s="228" t="s">
        <v>302</v>
      </c>
      <c r="F16" s="239"/>
      <c r="G16" s="240"/>
      <c r="H16" s="211"/>
      <c r="I16" s="210"/>
      <c r="K16" s="210"/>
      <c r="L16" s="241"/>
      <c r="M16" s="211"/>
      <c r="N16" s="210"/>
      <c r="O16" s="272"/>
    </row>
    <row r="17" spans="1:17" ht="14" x14ac:dyDescent="0.3">
      <c r="A17" s="151">
        <f>IF(B17&lt;&gt;"",COUNTA($B$12:B17),"")</f>
        <v>5</v>
      </c>
      <c r="B17" s="207" t="str">
        <f>'R1 WMA'!B17</f>
        <v>Revenue Decoupling</v>
      </c>
      <c r="C17" s="233" t="str">
        <f>'R1 WMA'!C17</f>
        <v>RDAF</v>
      </c>
      <c r="D17" s="233"/>
      <c r="E17" s="242"/>
      <c r="F17" s="239"/>
      <c r="G17" s="236">
        <v>7.5000000000000002E-4</v>
      </c>
      <c r="H17" s="211"/>
      <c r="I17" s="210">
        <f>G17*$E$13</f>
        <v>154170.74402805857</v>
      </c>
      <c r="K17" s="210"/>
      <c r="L17" s="236">
        <v>-5.7076909658183481E-4</v>
      </c>
      <c r="M17" s="211"/>
      <c r="N17" s="210">
        <f>L17*$E$13</f>
        <v>-117327.86171765906</v>
      </c>
      <c r="O17" s="272"/>
      <c r="P17" s="234"/>
    </row>
    <row r="18" spans="1:17" ht="14" x14ac:dyDescent="0.3">
      <c r="A18" s="151">
        <f>IF(B18&lt;&gt;"",COUNTA($B$12:B18),"")</f>
        <v>6</v>
      </c>
      <c r="B18" s="207" t="str">
        <f>'R1 WMA'!B18</f>
        <v>Residential Assistance Adjustment Factor</v>
      </c>
      <c r="C18" s="233" t="str">
        <f>'R1 WMA'!C18</f>
        <v>RAAF</v>
      </c>
      <c r="D18" s="243"/>
      <c r="E18" s="206"/>
      <c r="F18" s="239"/>
      <c r="G18" s="236">
        <v>1.323E-2</v>
      </c>
      <c r="H18" s="211"/>
      <c r="I18" s="210">
        <f t="shared" ref="I18:I36" si="1">G18*$E$13</f>
        <v>2719571.9246549532</v>
      </c>
      <c r="K18" s="210"/>
      <c r="L18" s="236">
        <v>4.8220108323451796E-3</v>
      </c>
      <c r="M18" s="211"/>
      <c r="N18" s="210">
        <f t="shared" ref="N18:N36" si="2">L18*$E$13</f>
        <v>991217.3303120191</v>
      </c>
      <c r="O18" s="272"/>
      <c r="P18" s="234"/>
      <c r="Q18" s="210"/>
    </row>
    <row r="19" spans="1:17" ht="14" x14ac:dyDescent="0.3">
      <c r="A19" s="151">
        <f>IF(B19&lt;&gt;"",COUNTA($B$12:B19),"")</f>
        <v>7</v>
      </c>
      <c r="B19" s="207" t="str">
        <f>'R1 WMA'!B19</f>
        <v>Pension Adjustment Factor</v>
      </c>
      <c r="C19" s="233" t="str">
        <f>'R1 WMA'!C19</f>
        <v>PAF</v>
      </c>
      <c r="D19" s="243"/>
      <c r="E19" s="206"/>
      <c r="F19" s="239"/>
      <c r="G19" s="236">
        <v>1.4300000000000001E-3</v>
      </c>
      <c r="H19" s="211"/>
      <c r="I19" s="210">
        <f t="shared" si="1"/>
        <v>293952.21861349832</v>
      </c>
      <c r="K19" s="210"/>
      <c r="L19" s="236">
        <v>9.3055115118339735E-4</v>
      </c>
      <c r="M19" s="211"/>
      <c r="N19" s="210">
        <f t="shared" si="2"/>
        <v>191285.01777881436</v>
      </c>
      <c r="O19" s="272"/>
      <c r="P19" s="274"/>
    </row>
    <row r="20" spans="1:17" ht="14" x14ac:dyDescent="0.3">
      <c r="A20" s="151">
        <f>IF(B20&lt;&gt;"",COUNTA($B$12:B20),"")</f>
        <v>8</v>
      </c>
      <c r="B20" s="207" t="str">
        <f>'R1 WMA'!B20</f>
        <v>Net Metering Recovery Surcharge</v>
      </c>
      <c r="C20" s="233" t="str">
        <f>'R1 WMA'!C20</f>
        <v>NMRS</v>
      </c>
      <c r="D20" s="243"/>
      <c r="E20" s="206"/>
      <c r="F20" s="239"/>
      <c r="G20" s="236">
        <v>5.7499999999999999E-3</v>
      </c>
      <c r="H20" s="211"/>
      <c r="I20" s="210">
        <f t="shared" si="1"/>
        <v>1181975.7042151156</v>
      </c>
      <c r="K20" s="210"/>
      <c r="L20" s="236">
        <v>6.2875153330074329E-3</v>
      </c>
      <c r="M20" s="211"/>
      <c r="N20" s="210">
        <f t="shared" si="2"/>
        <v>1292467.889303443</v>
      </c>
      <c r="O20" s="272"/>
      <c r="P20" s="274"/>
    </row>
    <row r="21" spans="1:17" ht="14" x14ac:dyDescent="0.3">
      <c r="A21" s="151">
        <f>IF(B21&lt;&gt;"",COUNTA($B$12:B21),"")</f>
        <v>9</v>
      </c>
      <c r="B21" s="207" t="str">
        <f>'R1 WMA'!B21</f>
        <v>Long Term Renewable Contract Adjustment</v>
      </c>
      <c r="C21" s="233" t="str">
        <f>'R1 WMA'!C21</f>
        <v>LTRCA</v>
      </c>
      <c r="D21" s="243"/>
      <c r="E21" s="206"/>
      <c r="F21" s="239"/>
      <c r="G21" s="236">
        <v>3.31E-3</v>
      </c>
      <c r="H21" s="211"/>
      <c r="I21" s="210">
        <f t="shared" si="1"/>
        <v>680406.88364383182</v>
      </c>
      <c r="K21" s="210"/>
      <c r="L21" s="236">
        <v>1.7357128782064517E-3</v>
      </c>
      <c r="M21" s="211"/>
      <c r="N21" s="210">
        <f t="shared" si="2"/>
        <v>356794.86113622889</v>
      </c>
      <c r="O21" s="272"/>
      <c r="P21" s="275"/>
    </row>
    <row r="22" spans="1:17" ht="14" x14ac:dyDescent="0.3">
      <c r="A22" s="151">
        <f>IF(B22&lt;&gt;"",COUNTA($B$12:B22),"")</f>
        <v>10</v>
      </c>
      <c r="B22" s="207" t="str">
        <f>'R1 WMA'!B22</f>
        <v>AG Consulting Expense</v>
      </c>
      <c r="C22" s="233" t="str">
        <f>'R1 WMA'!C22</f>
        <v>AGCE</v>
      </c>
      <c r="D22" s="243"/>
      <c r="E22" s="206"/>
      <c r="F22" s="239"/>
      <c r="G22" s="236">
        <v>4.0000000000000003E-5</v>
      </c>
      <c r="H22" s="211"/>
      <c r="I22" s="210">
        <f t="shared" si="1"/>
        <v>8222.4396814964584</v>
      </c>
      <c r="K22" s="210"/>
      <c r="L22" s="236">
        <v>1.0124423986742032E-5</v>
      </c>
      <c r="M22" s="211"/>
      <c r="N22" s="210">
        <f t="shared" si="2"/>
        <v>2081.186638522056</v>
      </c>
      <c r="O22" s="272"/>
      <c r="P22" s="274"/>
    </row>
    <row r="23" spans="1:17" ht="14" x14ac:dyDescent="0.3">
      <c r="A23" s="151">
        <f>IF(B23&lt;&gt;"",COUNTA($B$12:B23),"")</f>
        <v>11</v>
      </c>
      <c r="B23" s="207" t="str">
        <f>'R1 WMA'!B23</f>
        <v>Storm Cost Recovery Adjustment Factor</v>
      </c>
      <c r="C23" s="233" t="str">
        <f>'R1 WMA'!C23</f>
        <v>SCRA</v>
      </c>
      <c r="D23" s="243"/>
      <c r="E23" s="206"/>
      <c r="F23" s="239"/>
      <c r="G23" s="236">
        <v>3.0699999999999998E-3</v>
      </c>
      <c r="H23" s="211"/>
      <c r="I23" s="210">
        <f t="shared" si="1"/>
        <v>631072.245554853</v>
      </c>
      <c r="K23" s="210"/>
      <c r="L23" s="236">
        <v>3.6709986943481553E-3</v>
      </c>
      <c r="M23" s="211"/>
      <c r="N23" s="210">
        <f t="shared" si="2"/>
        <v>754614.13337824889</v>
      </c>
      <c r="O23" s="272"/>
      <c r="P23" s="274"/>
    </row>
    <row r="24" spans="1:17" ht="14" x14ac:dyDescent="0.3">
      <c r="A24" s="151">
        <f>IF(B24&lt;&gt;"",COUNTA($B$12:B24),"")</f>
        <v>12</v>
      </c>
      <c r="B24" s="207" t="str">
        <f>'R1 WMA'!B24</f>
        <v>Storm Reserve Adjustment</v>
      </c>
      <c r="C24" s="233" t="str">
        <f>'R1 WMA'!C24</f>
        <v>SRA</v>
      </c>
      <c r="D24" s="243"/>
      <c r="E24" s="206"/>
      <c r="F24" s="239"/>
      <c r="G24" s="236">
        <v>0</v>
      </c>
      <c r="H24" s="211"/>
      <c r="I24" s="210">
        <f t="shared" si="1"/>
        <v>0</v>
      </c>
      <c r="K24" s="210"/>
      <c r="L24" s="236">
        <v>0</v>
      </c>
      <c r="M24" s="211"/>
      <c r="N24" s="210">
        <f t="shared" si="2"/>
        <v>0</v>
      </c>
      <c r="O24" s="272"/>
      <c r="P24" s="274"/>
    </row>
    <row r="25" spans="1:17" ht="14" x14ac:dyDescent="0.3">
      <c r="A25" s="151">
        <f>IF(B25&lt;&gt;"",COUNTA($B$12:B25),"")</f>
        <v>13</v>
      </c>
      <c r="B25" s="207" t="str">
        <f>'R1 WMA'!B25</f>
        <v>Basic Service Cost True Up Factor</v>
      </c>
      <c r="C25" s="233" t="str">
        <f>'R1 WMA'!C25</f>
        <v>BSTF</v>
      </c>
      <c r="D25" s="243"/>
      <c r="E25" s="206"/>
      <c r="F25" s="239"/>
      <c r="G25" s="236">
        <v>2.7E-4</v>
      </c>
      <c r="H25" s="211"/>
      <c r="I25" s="210">
        <f t="shared" si="1"/>
        <v>55501.467850101086</v>
      </c>
      <c r="K25" s="210"/>
      <c r="L25" s="236">
        <v>-2.3927999362629402E-4</v>
      </c>
      <c r="M25" s="211"/>
      <c r="N25" s="210">
        <f t="shared" si="2"/>
        <v>-49186.63286452648</v>
      </c>
      <c r="O25" s="272"/>
      <c r="P25" s="274"/>
    </row>
    <row r="26" spans="1:17" ht="14" x14ac:dyDescent="0.3">
      <c r="A26" s="151">
        <f>IF(B26&lt;&gt;"",COUNTA($B$12:B26),"")</f>
        <v>14</v>
      </c>
      <c r="B26" s="207" t="str">
        <f>'R1 WMA'!B26</f>
        <v>Solar Program Cost Adjustment Factor</v>
      </c>
      <c r="C26" s="233" t="str">
        <f>'R1 WMA'!C26</f>
        <v>SPCA</v>
      </c>
      <c r="D26" s="233"/>
      <c r="E26" s="206"/>
      <c r="F26" s="239"/>
      <c r="G26" s="236">
        <v>-1.6000000000000001E-4</v>
      </c>
      <c r="H26" s="211"/>
      <c r="I26" s="210">
        <f t="shared" si="1"/>
        <v>-32889.758725985834</v>
      </c>
      <c r="K26" s="210"/>
      <c r="L26" s="236">
        <v>4.2583348640532346E-5</v>
      </c>
      <c r="M26" s="211"/>
      <c r="N26" s="210">
        <f t="shared" si="2"/>
        <v>8753.4753908227849</v>
      </c>
      <c r="O26" s="272"/>
      <c r="P26" s="276"/>
    </row>
    <row r="27" spans="1:17" ht="14" x14ac:dyDescent="0.3">
      <c r="A27" s="151">
        <f>IF(B27&lt;&gt;"",COUNTA($B$12:B27),"")</f>
        <v>15</v>
      </c>
      <c r="B27" s="207" t="str">
        <f>'R1 WMA'!B27</f>
        <v>Solar Expansion Cost Recovery Factor</v>
      </c>
      <c r="C27" s="233" t="str">
        <f>'R1 WMA'!C27</f>
        <v>SECRF</v>
      </c>
      <c r="D27" s="233"/>
      <c r="E27" s="206"/>
      <c r="F27" s="239"/>
      <c r="G27" s="236">
        <v>0</v>
      </c>
      <c r="H27" s="211"/>
      <c r="I27" s="210">
        <f t="shared" si="1"/>
        <v>0</v>
      </c>
      <c r="K27" s="210"/>
      <c r="L27" s="236">
        <v>7.5107285098997844E-4</v>
      </c>
      <c r="M27" s="211"/>
      <c r="N27" s="210">
        <f t="shared" si="2"/>
        <v>154391.28034186686</v>
      </c>
      <c r="O27" s="272"/>
      <c r="P27" s="276"/>
    </row>
    <row r="28" spans="1:17" ht="14" x14ac:dyDescent="0.3">
      <c r="A28" s="151">
        <f>IF(B28&lt;&gt;"",COUNTA($B$12:B28),"")</f>
        <v>16</v>
      </c>
      <c r="B28" s="207" t="str">
        <f>'R1 WMA'!B28</f>
        <v>Vegetation Management</v>
      </c>
      <c r="C28" s="233" t="str">
        <f>'R1 WMA'!C28</f>
        <v>RTWF</v>
      </c>
      <c r="D28" s="233"/>
      <c r="E28" s="206"/>
      <c r="F28" s="239"/>
      <c r="G28" s="236">
        <v>0</v>
      </c>
      <c r="H28" s="211"/>
      <c r="I28" s="210">
        <f t="shared" si="1"/>
        <v>0</v>
      </c>
      <c r="K28" s="210"/>
      <c r="L28" s="236">
        <v>1.6660010722404932E-3</v>
      </c>
      <c r="M28" s="211"/>
      <c r="N28" s="210">
        <f t="shared" si="2"/>
        <v>342464.8331451469</v>
      </c>
      <c r="O28" s="272"/>
      <c r="P28" s="276"/>
    </row>
    <row r="29" spans="1:17" ht="14" x14ac:dyDescent="0.3">
      <c r="A29" s="151">
        <f>IF(B29&lt;&gt;"",COUNTA($B$12:B29),"")</f>
        <v>17</v>
      </c>
      <c r="B29" s="207" t="str">
        <f>'R1 WMA'!B29</f>
        <v>Solar Massachusetts Renewable Target</v>
      </c>
      <c r="C29" s="233" t="str">
        <f>'R1 WMA'!C29</f>
        <v>SMART</v>
      </c>
      <c r="D29" s="233"/>
      <c r="E29" s="206"/>
      <c r="F29" s="239"/>
      <c r="G29" s="236">
        <v>0</v>
      </c>
      <c r="H29" s="211"/>
      <c r="I29" s="210">
        <f t="shared" si="1"/>
        <v>0</v>
      </c>
      <c r="K29" s="210"/>
      <c r="L29" s="236">
        <v>8.7998724183282182E-4</v>
      </c>
      <c r="M29" s="211"/>
      <c r="N29" s="210">
        <f t="shared" si="2"/>
        <v>180891.05041142032</v>
      </c>
      <c r="O29" s="272"/>
      <c r="P29" s="276"/>
    </row>
    <row r="30" spans="1:17" ht="14" x14ac:dyDescent="0.3">
      <c r="A30" s="151">
        <f>IF(B30&lt;&gt;"",COUNTA($B$12:B30),"")</f>
        <v>18</v>
      </c>
      <c r="B30" s="207" t="str">
        <f>'R1 WMA'!B30</f>
        <v>Tax Act Credit Factor</v>
      </c>
      <c r="C30" s="233" t="str">
        <f>'R1 WMA'!C30</f>
        <v>TACF</v>
      </c>
      <c r="D30" s="233"/>
      <c r="E30" s="206"/>
      <c r="F30" s="239"/>
      <c r="G30" s="236">
        <v>0</v>
      </c>
      <c r="H30" s="211"/>
      <c r="I30" s="210">
        <f t="shared" si="1"/>
        <v>0</v>
      </c>
      <c r="K30" s="210"/>
      <c r="L30" s="236">
        <v>-1.3321536749540959E-3</v>
      </c>
      <c r="M30" s="211"/>
      <c r="N30" s="210">
        <f t="shared" si="2"/>
        <v>-273838.83096984727</v>
      </c>
      <c r="O30" s="272"/>
      <c r="P30" s="276"/>
    </row>
    <row r="31" spans="1:17" ht="14" x14ac:dyDescent="0.3">
      <c r="A31" s="151">
        <f>IF(B31&lt;&gt;"",COUNTA($B$12:B31),"")</f>
        <v>19</v>
      </c>
      <c r="B31" s="207" t="str">
        <f>'R1 WMA'!B31</f>
        <v>Transition</v>
      </c>
      <c r="C31" s="233" t="str">
        <f>'R1 WMA'!C31</f>
        <v>TRNSN</v>
      </c>
      <c r="D31" s="233"/>
      <c r="E31" s="206"/>
      <c r="F31" s="239"/>
      <c r="G31" s="236">
        <v>-1.7099999999999999E-3</v>
      </c>
      <c r="H31" s="211"/>
      <c r="I31" s="210">
        <f t="shared" si="1"/>
        <v>-351509.2963839735</v>
      </c>
      <c r="K31" s="210"/>
      <c r="L31" s="236">
        <v>-5.210932140356871E-4</v>
      </c>
      <c r="M31" s="211"/>
      <c r="N31" s="210">
        <f t="shared" si="2"/>
        <v>-107116.43802113901</v>
      </c>
      <c r="O31" s="272"/>
      <c r="P31" s="275"/>
    </row>
    <row r="32" spans="1:17" ht="14" x14ac:dyDescent="0.3">
      <c r="A32" s="151">
        <f>IF(B32&lt;&gt;"",COUNTA($B$12:B32),"")</f>
        <v>20</v>
      </c>
      <c r="B32" s="207" t="str">
        <f>'R1 WMA'!B32</f>
        <v>Transmission Energy</v>
      </c>
      <c r="C32" s="233" t="str">
        <f>'R1 WMA'!C32</f>
        <v>TMKWH</v>
      </c>
      <c r="D32" s="233"/>
      <c r="E32" s="206"/>
      <c r="F32" s="239"/>
      <c r="G32" s="236">
        <v>2.7969999999999998E-2</v>
      </c>
      <c r="H32" s="211"/>
      <c r="I32" s="210">
        <f t="shared" si="1"/>
        <v>5749540.9472863972</v>
      </c>
      <c r="K32" s="210"/>
      <c r="L32" s="236">
        <v>2.5850370762662271E-2</v>
      </c>
      <c r="M32" s="211"/>
      <c r="N32" s="210">
        <f t="shared" si="2"/>
        <v>5313827.8585077524</v>
      </c>
      <c r="O32" s="272"/>
      <c r="P32" s="275"/>
    </row>
    <row r="33" spans="1:16" ht="14" x14ac:dyDescent="0.3">
      <c r="A33" s="151">
        <f>IF(B33&lt;&gt;"",COUNTA($B$12:B33),"")</f>
        <v>21</v>
      </c>
      <c r="B33" s="207" t="str">
        <f>'R1 WMA'!B33</f>
        <v>Energy Efficiency Reconciliation Factor</v>
      </c>
      <c r="C33" s="233" t="str">
        <f>'R1 WMA'!C33</f>
        <v>EERF</v>
      </c>
      <c r="D33" s="233"/>
      <c r="E33" s="206"/>
      <c r="F33" s="239"/>
      <c r="G33" s="236">
        <v>6.4999999999999997E-4</v>
      </c>
      <c r="H33" s="211"/>
      <c r="I33" s="210">
        <f t="shared" si="1"/>
        <v>133614.64482431742</v>
      </c>
      <c r="K33" s="210"/>
      <c r="L33" s="236">
        <v>6.4999999999999997E-4</v>
      </c>
      <c r="M33" s="211"/>
      <c r="N33" s="210">
        <f t="shared" si="2"/>
        <v>133614.64482431742</v>
      </c>
      <c r="O33" s="272"/>
      <c r="P33" s="232"/>
    </row>
    <row r="34" spans="1:16" ht="14" x14ac:dyDescent="0.3">
      <c r="A34" s="151">
        <f>IF(B34&lt;&gt;"",COUNTA($B$12:B34),"")</f>
        <v>22</v>
      </c>
      <c r="B34" s="207" t="str">
        <f>'R1 WMA'!B34</f>
        <v>System Benefits Charge</v>
      </c>
      <c r="C34" s="233" t="str">
        <f>'R1 WMA'!C34</f>
        <v>SBC</v>
      </c>
      <c r="D34" s="233"/>
      <c r="E34" s="206"/>
      <c r="F34" s="239"/>
      <c r="G34" s="236">
        <v>2.5000000000000001E-3</v>
      </c>
      <c r="H34" s="211"/>
      <c r="I34" s="210">
        <f t="shared" si="1"/>
        <v>513902.48009352857</v>
      </c>
      <c r="K34" s="210"/>
      <c r="L34" s="236">
        <f>+G34</f>
        <v>2.5000000000000001E-3</v>
      </c>
      <c r="M34" s="211"/>
      <c r="N34" s="210">
        <f t="shared" si="2"/>
        <v>513902.48009352857</v>
      </c>
      <c r="O34" s="272"/>
      <c r="P34" s="275"/>
    </row>
    <row r="35" spans="1:16" ht="14" x14ac:dyDescent="0.3">
      <c r="A35" s="151">
        <f>IF(B35&lt;&gt;"",COUNTA($B$12:B35),"")</f>
        <v>23</v>
      </c>
      <c r="B35" s="207" t="str">
        <f>'R1 WMA'!B35</f>
        <v>Renewable Energy Charge</v>
      </c>
      <c r="C35" s="233" t="str">
        <f>'R1 WMA'!C35</f>
        <v>RNEW</v>
      </c>
      <c r="D35" s="233"/>
      <c r="E35" s="206"/>
      <c r="F35" s="239"/>
      <c r="G35" s="236">
        <v>5.0000000000000001E-4</v>
      </c>
      <c r="H35" s="211"/>
      <c r="I35" s="210">
        <f t="shared" si="1"/>
        <v>102780.49601870571</v>
      </c>
      <c r="K35" s="210"/>
      <c r="L35" s="236">
        <f>+G35</f>
        <v>5.0000000000000001E-4</v>
      </c>
      <c r="M35" s="211"/>
      <c r="N35" s="210">
        <f t="shared" si="2"/>
        <v>102780.49601870571</v>
      </c>
      <c r="O35" s="272"/>
      <c r="P35" s="275"/>
    </row>
    <row r="36" spans="1:16" ht="14" x14ac:dyDescent="0.3">
      <c r="A36" s="151">
        <f>IF(B36&lt;&gt;"",COUNTA($B$12:B36),"")</f>
        <v>24</v>
      </c>
      <c r="B36" s="207" t="str">
        <f>'R1 WMA'!B36</f>
        <v>Basic Service Charge</v>
      </c>
      <c r="C36" s="233" t="str">
        <f>'R1 WMA'!C36</f>
        <v>BS</v>
      </c>
      <c r="D36" s="233"/>
      <c r="E36" s="206"/>
      <c r="F36" s="239"/>
      <c r="G36" s="277">
        <v>0.10002999999999999</v>
      </c>
      <c r="H36" s="211"/>
      <c r="I36" s="237">
        <f t="shared" si="1"/>
        <v>20562266.033502262</v>
      </c>
      <c r="K36" s="210"/>
      <c r="L36" s="236">
        <v>0.11677999999999999</v>
      </c>
      <c r="M36" s="211"/>
      <c r="N36" s="237">
        <f t="shared" si="2"/>
        <v>24005412.650128905</v>
      </c>
      <c r="O36" s="272"/>
      <c r="P36" s="232"/>
    </row>
    <row r="37" spans="1:16" ht="14" x14ac:dyDescent="0.3">
      <c r="A37" s="151" t="str">
        <f>IF(B37&lt;&gt;"",COUNTA($B$12:B37),"")</f>
        <v/>
      </c>
      <c r="B37" s="207"/>
      <c r="E37" s="206"/>
      <c r="F37" s="239"/>
      <c r="G37" s="241"/>
      <c r="H37" s="211"/>
      <c r="I37" s="244"/>
      <c r="K37" s="210"/>
      <c r="L37" s="241"/>
      <c r="M37" s="211"/>
      <c r="N37" s="244"/>
      <c r="O37" s="272"/>
    </row>
    <row r="38" spans="1:16" ht="14" x14ac:dyDescent="0.3">
      <c r="A38" s="151">
        <f>IF(B38&lt;&gt;"",COUNTA($B$12:B38),"")</f>
        <v>25</v>
      </c>
      <c r="B38" s="188" t="s">
        <v>46</v>
      </c>
      <c r="E38" s="188"/>
      <c r="G38" s="245" t="s">
        <v>324</v>
      </c>
      <c r="H38" s="246"/>
      <c r="I38" s="154">
        <f>SUM(I14:I37)</f>
        <v>44073310.17152448</v>
      </c>
      <c r="K38" s="247"/>
      <c r="L38" s="245"/>
      <c r="N38" s="154">
        <f>SUM(N14:N37)</f>
        <v>45860381.915295348</v>
      </c>
      <c r="P38" s="154"/>
    </row>
    <row r="39" spans="1:16" ht="14" x14ac:dyDescent="0.3">
      <c r="A39" s="151">
        <f>IF(B39&lt;&gt;"",COUNTA($B$12:B39),"")</f>
        <v>26</v>
      </c>
      <c r="B39" s="188" t="s">
        <v>46</v>
      </c>
      <c r="G39" s="260" t="s">
        <v>337</v>
      </c>
      <c r="I39" s="261">
        <f>0.36*I38</f>
        <v>15866391.661748812</v>
      </c>
      <c r="J39" s="262"/>
      <c r="K39" s="168"/>
      <c r="L39" s="168"/>
      <c r="M39" s="263"/>
      <c r="N39" s="261">
        <f>0.36*N38</f>
        <v>16509737.489506325</v>
      </c>
      <c r="P39" s="154"/>
    </row>
    <row r="40" spans="1:16" ht="14" x14ac:dyDescent="0.3">
      <c r="A40" s="151">
        <f>IF(B40&lt;&gt;"",COUNTA($B$12:B40),"")</f>
        <v>27</v>
      </c>
      <c r="B40" s="188" t="s">
        <v>46</v>
      </c>
      <c r="G40" s="245" t="s">
        <v>338</v>
      </c>
      <c r="H40" s="188"/>
      <c r="I40" s="154">
        <f>+I38-I39</f>
        <v>28206918.509775668</v>
      </c>
      <c r="L40" s="252"/>
      <c r="N40" s="154">
        <f>N38-N39</f>
        <v>29350644.425789021</v>
      </c>
      <c r="P40" s="154"/>
    </row>
    <row r="41" spans="1:16" ht="14" x14ac:dyDescent="0.3">
      <c r="A41" s="151" t="str">
        <f>IF(B41&lt;&gt;"",COUNTA($B$12:B41),"")</f>
        <v/>
      </c>
      <c r="E41" s="188"/>
      <c r="H41" s="188"/>
      <c r="I41" s="154"/>
      <c r="L41" s="264"/>
      <c r="N41" s="265"/>
      <c r="P41" s="154"/>
    </row>
    <row r="42" spans="1:16" ht="14" x14ac:dyDescent="0.3">
      <c r="A42" s="151">
        <f>IF(B42&lt;&gt;"",COUNTA($B$12:B42),"")</f>
        <v>28</v>
      </c>
      <c r="B42" s="188" t="s">
        <v>46</v>
      </c>
      <c r="E42" s="188"/>
      <c r="G42" s="188"/>
      <c r="H42" s="188"/>
      <c r="I42" s="188"/>
      <c r="J42" s="188"/>
      <c r="L42" s="266" t="s">
        <v>339</v>
      </c>
      <c r="N42" s="160">
        <f>+N38/I38-1</f>
        <v>4.0547708733833288E-2</v>
      </c>
    </row>
    <row r="43" spans="1:16" ht="14" x14ac:dyDescent="0.3">
      <c r="A43" s="151">
        <f>IF(B43&lt;&gt;"",COUNTA($B$12:B43),"")</f>
        <v>29</v>
      </c>
      <c r="B43" s="188" t="s">
        <v>46</v>
      </c>
      <c r="E43" s="133"/>
      <c r="F43" s="133"/>
      <c r="G43" s="133"/>
      <c r="H43" s="188"/>
      <c r="I43" s="133"/>
      <c r="J43" s="133"/>
      <c r="L43" s="266" t="s">
        <v>340</v>
      </c>
      <c r="M43" s="267"/>
      <c r="N43" s="160">
        <f>+N40/I40-1</f>
        <v>4.0547708733833288E-2</v>
      </c>
    </row>
    <row r="44" spans="1:16" ht="14" x14ac:dyDescent="0.3">
      <c r="A44" s="151" t="str">
        <f>IF(B44&lt;&gt;"",COUNTA($B$12:B44),"")</f>
        <v/>
      </c>
      <c r="E44" s="188"/>
      <c r="G44" s="186"/>
      <c r="H44" s="188"/>
      <c r="I44" s="188"/>
      <c r="L44" s="248"/>
      <c r="N44" s="160"/>
    </row>
    <row r="45" spans="1:16" ht="14.5" thickBot="1" x14ac:dyDescent="0.35">
      <c r="A45" s="151">
        <f>IF(B45&lt;&gt;"",COUNTA($B$12:B45),"")</f>
        <v>30</v>
      </c>
      <c r="B45" s="188" t="s">
        <v>46</v>
      </c>
      <c r="E45" s="747" t="s">
        <v>326</v>
      </c>
      <c r="F45" s="747"/>
      <c r="G45" s="747"/>
      <c r="I45" s="747" t="s">
        <v>327</v>
      </c>
      <c r="J45" s="747"/>
      <c r="K45" s="747"/>
      <c r="L45" s="747" t="s">
        <v>328</v>
      </c>
      <c r="M45" s="747"/>
      <c r="N45" s="747"/>
    </row>
    <row r="46" spans="1:16" ht="14" x14ac:dyDescent="0.3">
      <c r="A46" s="151">
        <f>IF(B46&lt;&gt;"",COUNTA($B$12:B46),"")</f>
        <v>31</v>
      </c>
      <c r="B46" s="144" t="s">
        <v>329</v>
      </c>
      <c r="C46" s="144"/>
      <c r="D46" s="144"/>
      <c r="E46" s="249" t="s">
        <v>148</v>
      </c>
      <c r="F46" s="250"/>
      <c r="G46" s="251" t="s">
        <v>330</v>
      </c>
      <c r="I46" s="249" t="s">
        <v>148</v>
      </c>
      <c r="J46" s="251" t="s">
        <v>330</v>
      </c>
      <c r="K46" s="212"/>
      <c r="L46" s="249" t="s">
        <v>148</v>
      </c>
      <c r="M46" s="252"/>
      <c r="N46" s="251" t="s">
        <v>330</v>
      </c>
    </row>
    <row r="47" spans="1:16" ht="14" x14ac:dyDescent="0.3">
      <c r="A47" s="151">
        <f>IF(B47&lt;&gt;"",COUNTA($B$12:B47),"")</f>
        <v>32</v>
      </c>
      <c r="B47" s="130" t="str">
        <f>+'R1 WMA'!B45</f>
        <v>Distribution</v>
      </c>
      <c r="C47" s="253" t="str">
        <f>+'R1 WMA'!C45</f>
        <v>DIST</v>
      </c>
      <c r="D47" s="253"/>
      <c r="E47" s="154">
        <f>SUMIF($C$12:$C$36,$C47,$I$12:$I$36)-I39</f>
        <v>-4195660.6650814898</v>
      </c>
      <c r="G47" s="254">
        <f>+E47/$E$13*100</f>
        <v>-2.041078233519078</v>
      </c>
      <c r="I47" s="154">
        <f>SUMIF($C$12:$C$36,$C47,$N$12:$N$36)-N39</f>
        <v>-4446384.9980475511</v>
      </c>
      <c r="J47" s="254">
        <f>+I47/$E$13*100</f>
        <v>-2.1630490074879205</v>
      </c>
      <c r="L47" s="154">
        <f t="shared" ref="L47:L67" si="3">I47-E47</f>
        <v>-250724.33296606131</v>
      </c>
      <c r="N47" s="254">
        <f>+L47/$E$13*100</f>
        <v>-0.12197077396884244</v>
      </c>
      <c r="O47" s="272"/>
    </row>
    <row r="48" spans="1:16" ht="14" x14ac:dyDescent="0.3">
      <c r="A48" s="151">
        <f>IF(B48&lt;&gt;"",COUNTA($B$12:B48),"")</f>
        <v>33</v>
      </c>
      <c r="B48" s="130" t="str">
        <f>+'R1 WMA'!B46</f>
        <v>Revenue Decoupling</v>
      </c>
      <c r="C48" s="253" t="str">
        <f>+'R1 WMA'!C46</f>
        <v>RDAF</v>
      </c>
      <c r="D48" s="253"/>
      <c r="E48" s="154">
        <f t="shared" ref="E48:E62" si="4">SUMIF($C$12:$C$36,$C48,$I$12:$I$36)</f>
        <v>154170.74402805857</v>
      </c>
      <c r="G48" s="254">
        <f t="shared" ref="G48:G68" si="5">+E48/$E$13*100</f>
        <v>7.4999999999999997E-2</v>
      </c>
      <c r="I48" s="154">
        <f t="shared" ref="I48:I62" si="6">SUMIF($C$12:$C$36,$C48,$N$12:$N$36)</f>
        <v>-117327.86171765906</v>
      </c>
      <c r="J48" s="254">
        <f t="shared" ref="J48:J68" si="7">+I48/$E$13*100</f>
        <v>-5.7076909658183482E-2</v>
      </c>
      <c r="L48" s="154">
        <f>I48-E48</f>
        <v>-271498.60574571765</v>
      </c>
      <c r="N48" s="254">
        <f t="shared" ref="N48:N68" si="8">+L48/$E$13*100</f>
        <v>-0.1320769096581835</v>
      </c>
      <c r="O48" s="272"/>
    </row>
    <row r="49" spans="1:15" ht="14" x14ac:dyDescent="0.3">
      <c r="A49" s="151">
        <f>IF(B49&lt;&gt;"",COUNTA($B$12:B49),"")</f>
        <v>34</v>
      </c>
      <c r="B49" s="130" t="str">
        <f>+'R1 WMA'!B47</f>
        <v>Residential Assistance Adjustment Factor</v>
      </c>
      <c r="C49" s="253" t="str">
        <f>+'R1 WMA'!C47</f>
        <v>RAAF</v>
      </c>
      <c r="D49" s="253"/>
      <c r="E49" s="154">
        <f t="shared" si="4"/>
        <v>2719571.9246549532</v>
      </c>
      <c r="G49" s="254">
        <f t="shared" si="5"/>
        <v>1.323</v>
      </c>
      <c r="I49" s="154">
        <f t="shared" si="6"/>
        <v>991217.3303120191</v>
      </c>
      <c r="J49" s="254">
        <f t="shared" si="7"/>
        <v>0.48220108323451794</v>
      </c>
      <c r="L49" s="154">
        <f t="shared" si="3"/>
        <v>-1728354.594342934</v>
      </c>
      <c r="N49" s="254">
        <f t="shared" si="8"/>
        <v>-0.84079891676548202</v>
      </c>
      <c r="O49" s="272"/>
    </row>
    <row r="50" spans="1:15" ht="14" x14ac:dyDescent="0.3">
      <c r="A50" s="151">
        <f>IF(B50&lt;&gt;"",COUNTA($B$12:B50),"")</f>
        <v>35</v>
      </c>
      <c r="B50" s="130" t="str">
        <f>+'R1 WMA'!B48</f>
        <v>Pension Adjustment Factor</v>
      </c>
      <c r="C50" s="253" t="str">
        <f>+'R1 WMA'!C48</f>
        <v>PAF</v>
      </c>
      <c r="D50" s="253"/>
      <c r="E50" s="154">
        <f t="shared" si="4"/>
        <v>293952.21861349832</v>
      </c>
      <c r="G50" s="254">
        <f t="shared" si="5"/>
        <v>0.14299999999999999</v>
      </c>
      <c r="I50" s="154">
        <f t="shared" si="6"/>
        <v>191285.01777881436</v>
      </c>
      <c r="J50" s="254">
        <f t="shared" si="7"/>
        <v>9.3055115118339735E-2</v>
      </c>
      <c r="L50" s="154">
        <f t="shared" si="3"/>
        <v>-102667.20083468396</v>
      </c>
      <c r="N50" s="254">
        <f t="shared" si="8"/>
        <v>-4.9944884881660261E-2</v>
      </c>
      <c r="O50" s="272"/>
    </row>
    <row r="51" spans="1:15" ht="14" x14ac:dyDescent="0.3">
      <c r="A51" s="151">
        <f>IF(B51&lt;&gt;"",COUNTA($B$12:B51),"")</f>
        <v>36</v>
      </c>
      <c r="B51" s="130" t="str">
        <f>+'R1 WMA'!B49</f>
        <v>Net Metering Recovery Surcharge</v>
      </c>
      <c r="C51" s="253" t="str">
        <f>+'R1 WMA'!C49</f>
        <v>NMRS</v>
      </c>
      <c r="D51" s="253"/>
      <c r="E51" s="154">
        <f t="shared" si="4"/>
        <v>1181975.7042151156</v>
      </c>
      <c r="G51" s="254">
        <f t="shared" si="5"/>
        <v>0.57499999999999996</v>
      </c>
      <c r="I51" s="154">
        <f t="shared" si="6"/>
        <v>1292467.889303443</v>
      </c>
      <c r="J51" s="254">
        <f t="shared" si="7"/>
        <v>0.62875153330074318</v>
      </c>
      <c r="L51" s="154">
        <f t="shared" si="3"/>
        <v>110492.18508832739</v>
      </c>
      <c r="N51" s="254">
        <f t="shared" si="8"/>
        <v>5.3751533300743254E-2</v>
      </c>
      <c r="O51" s="272"/>
    </row>
    <row r="52" spans="1:15" ht="14" x14ac:dyDescent="0.3">
      <c r="A52" s="151">
        <f>IF(B52&lt;&gt;"",COUNTA($B$12:B52),"")</f>
        <v>37</v>
      </c>
      <c r="B52" s="130" t="str">
        <f>+'R1 WMA'!B50</f>
        <v>Long Term Renewable Contract Adjustment</v>
      </c>
      <c r="C52" s="253" t="str">
        <f>+'R1 WMA'!C50</f>
        <v>LTRCA</v>
      </c>
      <c r="D52" s="253"/>
      <c r="E52" s="154">
        <f t="shared" si="4"/>
        <v>680406.88364383182</v>
      </c>
      <c r="G52" s="254">
        <f t="shared" si="5"/>
        <v>0.33100000000000002</v>
      </c>
      <c r="I52" s="154">
        <f t="shared" si="6"/>
        <v>356794.86113622889</v>
      </c>
      <c r="J52" s="254">
        <f t="shared" si="7"/>
        <v>0.17357128782064518</v>
      </c>
      <c r="L52" s="154">
        <f t="shared" si="3"/>
        <v>-323612.02250760293</v>
      </c>
      <c r="N52" s="254">
        <f t="shared" si="8"/>
        <v>-0.15742871217935483</v>
      </c>
      <c r="O52" s="272"/>
    </row>
    <row r="53" spans="1:15" ht="14" x14ac:dyDescent="0.3">
      <c r="A53" s="151">
        <f>IF(B53&lt;&gt;"",COUNTA($B$12:B53),"")</f>
        <v>38</v>
      </c>
      <c r="B53" s="130" t="str">
        <f>+'R1 WMA'!B51</f>
        <v>AG Consulting Expense</v>
      </c>
      <c r="C53" s="253" t="str">
        <f>+'R1 WMA'!C51</f>
        <v>AGCE</v>
      </c>
      <c r="D53" s="253"/>
      <c r="E53" s="154">
        <f t="shared" si="4"/>
        <v>8222.4396814964584</v>
      </c>
      <c r="G53" s="254">
        <f t="shared" si="5"/>
        <v>4.000000000000001E-3</v>
      </c>
      <c r="I53" s="154">
        <f t="shared" si="6"/>
        <v>2081.186638522056</v>
      </c>
      <c r="J53" s="254">
        <f t="shared" si="7"/>
        <v>1.0124423986742031E-3</v>
      </c>
      <c r="L53" s="154">
        <f t="shared" si="3"/>
        <v>-6141.253042974402</v>
      </c>
      <c r="N53" s="254">
        <f t="shared" si="8"/>
        <v>-2.9875576013257974E-3</v>
      </c>
      <c r="O53" s="272"/>
    </row>
    <row r="54" spans="1:15" ht="14" x14ac:dyDescent="0.3">
      <c r="A54" s="151">
        <f>IF(B54&lt;&gt;"",COUNTA($B$12:B54),"")</f>
        <v>39</v>
      </c>
      <c r="B54" s="130" t="str">
        <f>+'R1 WMA'!B52</f>
        <v>Storm Cost Recovery Adjustment Factor</v>
      </c>
      <c r="C54" s="253" t="str">
        <f>+'R1 WMA'!C52</f>
        <v>SCRA</v>
      </c>
      <c r="D54" s="253"/>
      <c r="E54" s="154">
        <f t="shared" si="4"/>
        <v>631072.245554853</v>
      </c>
      <c r="G54" s="254">
        <f t="shared" si="5"/>
        <v>0.307</v>
      </c>
      <c r="I54" s="154">
        <f t="shared" si="6"/>
        <v>754614.13337824889</v>
      </c>
      <c r="J54" s="254">
        <f t="shared" si="7"/>
        <v>0.36709986943481554</v>
      </c>
      <c r="L54" s="154">
        <f t="shared" si="3"/>
        <v>123541.8878233959</v>
      </c>
      <c r="N54" s="254">
        <f t="shared" si="8"/>
        <v>6.0099869434815573E-2</v>
      </c>
      <c r="O54" s="272"/>
    </row>
    <row r="55" spans="1:15" ht="14" x14ac:dyDescent="0.3">
      <c r="A55" s="151">
        <f>IF(B55&lt;&gt;"",COUNTA($B$12:B55),"")</f>
        <v>40</v>
      </c>
      <c r="B55" s="130" t="s">
        <v>309</v>
      </c>
      <c r="C55" s="253" t="s">
        <v>157</v>
      </c>
      <c r="D55" s="253"/>
      <c r="E55" s="154">
        <f t="shared" si="4"/>
        <v>0</v>
      </c>
      <c r="G55" s="254">
        <f t="shared" si="5"/>
        <v>0</v>
      </c>
      <c r="I55" s="154">
        <f t="shared" si="6"/>
        <v>0</v>
      </c>
      <c r="J55" s="254">
        <f t="shared" si="7"/>
        <v>0</v>
      </c>
      <c r="L55" s="154">
        <f t="shared" si="3"/>
        <v>0</v>
      </c>
      <c r="N55" s="254">
        <f t="shared" si="8"/>
        <v>0</v>
      </c>
      <c r="O55" s="272"/>
    </row>
    <row r="56" spans="1:15" ht="14" x14ac:dyDescent="0.3">
      <c r="A56" s="151">
        <f>IF(B56&lt;&gt;"",COUNTA($B$12:B56),"")</f>
        <v>41</v>
      </c>
      <c r="B56" s="130" t="str">
        <f>+'R1 WMA'!B54</f>
        <v>Basic Service Cost True Up Factor</v>
      </c>
      <c r="C56" s="253" t="str">
        <f>+'R1 WMA'!C54</f>
        <v>BSTF</v>
      </c>
      <c r="D56" s="253"/>
      <c r="E56" s="154">
        <f t="shared" si="4"/>
        <v>55501.467850101086</v>
      </c>
      <c r="G56" s="254">
        <f t="shared" si="5"/>
        <v>2.7E-2</v>
      </c>
      <c r="I56" s="154">
        <f t="shared" si="6"/>
        <v>-49186.63286452648</v>
      </c>
      <c r="J56" s="254">
        <f t="shared" si="7"/>
        <v>-2.3927999362629401E-2</v>
      </c>
      <c r="L56" s="154">
        <f t="shared" si="3"/>
        <v>-104688.10071462757</v>
      </c>
      <c r="N56" s="254">
        <f t="shared" si="8"/>
        <v>-5.0927999362629407E-2</v>
      </c>
      <c r="O56" s="272"/>
    </row>
    <row r="57" spans="1:15" ht="14" x14ac:dyDescent="0.3">
      <c r="A57" s="151">
        <f>IF(B57&lt;&gt;"",COUNTA($B$12:B57),"")</f>
        <v>42</v>
      </c>
      <c r="B57" s="130" t="str">
        <f>+'R1 WMA'!B55</f>
        <v>Solar Program Cost Adjustment Factor</v>
      </c>
      <c r="C57" s="253" t="str">
        <f>+'R1 WMA'!C55</f>
        <v>SPCA</v>
      </c>
      <c r="D57" s="253"/>
      <c r="E57" s="154">
        <f t="shared" si="4"/>
        <v>-32889.758725985834</v>
      </c>
      <c r="G57" s="254">
        <f t="shared" si="5"/>
        <v>-1.6000000000000004E-2</v>
      </c>
      <c r="I57" s="154">
        <f t="shared" si="6"/>
        <v>8753.4753908227849</v>
      </c>
      <c r="J57" s="254">
        <f t="shared" si="7"/>
        <v>4.2583348640532351E-3</v>
      </c>
      <c r="L57" s="154">
        <f t="shared" si="3"/>
        <v>41643.23411680862</v>
      </c>
      <c r="N57" s="254">
        <f t="shared" si="8"/>
        <v>2.0258334864053242E-2</v>
      </c>
    </row>
    <row r="58" spans="1:15" ht="14" x14ac:dyDescent="0.3">
      <c r="A58" s="151">
        <f>IF(B58&lt;&gt;"",COUNTA($B$12:B58),"")</f>
        <v>43</v>
      </c>
      <c r="B58" s="130" t="str">
        <f>+'R1 WMA'!B56</f>
        <v>Solar Expansion Cost Recovery Factor</v>
      </c>
      <c r="C58" s="253" t="str">
        <f>+'R1 WMA'!C56</f>
        <v>SECRF</v>
      </c>
      <c r="D58" s="253"/>
      <c r="E58" s="154">
        <f t="shared" si="4"/>
        <v>0</v>
      </c>
      <c r="G58" s="254">
        <f t="shared" si="5"/>
        <v>0</v>
      </c>
      <c r="I58" s="154">
        <f t="shared" si="6"/>
        <v>154391.28034186686</v>
      </c>
      <c r="J58" s="254">
        <f t="shared" si="7"/>
        <v>7.5107285098997847E-2</v>
      </c>
      <c r="L58" s="154">
        <f t="shared" si="3"/>
        <v>154391.28034186686</v>
      </c>
      <c r="N58" s="254">
        <f t="shared" si="8"/>
        <v>7.5107285098997847E-2</v>
      </c>
    </row>
    <row r="59" spans="1:15" ht="14" x14ac:dyDescent="0.3">
      <c r="A59" s="151">
        <f>IF(B59&lt;&gt;"",COUNTA($B$12:B59),"")</f>
        <v>44</v>
      </c>
      <c r="B59" s="130" t="str">
        <f>+'R1 WMA'!B57</f>
        <v>Vegetation Management</v>
      </c>
      <c r="C59" s="253" t="str">
        <f>+'R1 WMA'!C57</f>
        <v>RTWF</v>
      </c>
      <c r="D59" s="253"/>
      <c r="E59" s="154">
        <f t="shared" si="4"/>
        <v>0</v>
      </c>
      <c r="G59" s="254">
        <f t="shared" si="5"/>
        <v>0</v>
      </c>
      <c r="I59" s="154">
        <f t="shared" si="6"/>
        <v>342464.8331451469</v>
      </c>
      <c r="J59" s="254">
        <f t="shared" si="7"/>
        <v>0.1666001072240493</v>
      </c>
      <c r="L59" s="154">
        <f t="shared" si="3"/>
        <v>342464.8331451469</v>
      </c>
      <c r="N59" s="254">
        <f t="shared" si="8"/>
        <v>0.1666001072240493</v>
      </c>
    </row>
    <row r="60" spans="1:15" ht="14" x14ac:dyDescent="0.3">
      <c r="A60" s="151">
        <f>IF(B60&lt;&gt;"",COUNTA($B$12:B60),"")</f>
        <v>45</v>
      </c>
      <c r="B60" s="130" t="str">
        <f>+'R1 WMA'!B58</f>
        <v>Solar Massachusetts Renewable Target</v>
      </c>
      <c r="C60" s="253" t="str">
        <f>+'R1 WMA'!C58</f>
        <v>SMART</v>
      </c>
      <c r="D60" s="253"/>
      <c r="E60" s="154">
        <f t="shared" si="4"/>
        <v>0</v>
      </c>
      <c r="G60" s="254">
        <f t="shared" si="5"/>
        <v>0</v>
      </c>
      <c r="I60" s="154">
        <f t="shared" si="6"/>
        <v>180891.05041142032</v>
      </c>
      <c r="J60" s="254">
        <f t="shared" si="7"/>
        <v>8.7998724183282181E-2</v>
      </c>
      <c r="L60" s="154">
        <f t="shared" si="3"/>
        <v>180891.05041142032</v>
      </c>
      <c r="N60" s="254">
        <f t="shared" si="8"/>
        <v>8.7998724183282181E-2</v>
      </c>
    </row>
    <row r="61" spans="1:15" ht="14" x14ac:dyDescent="0.3">
      <c r="A61" s="151">
        <f>IF(B61&lt;&gt;"",COUNTA($B$12:B61),"")</f>
        <v>46</v>
      </c>
      <c r="B61" s="130" t="str">
        <f>+'R1 WMA'!B59</f>
        <v>Tax Act Credit Factor</v>
      </c>
      <c r="C61" s="253" t="str">
        <f>+'R1 WMA'!C59</f>
        <v>TACF</v>
      </c>
      <c r="D61" s="253"/>
      <c r="E61" s="154">
        <f t="shared" si="4"/>
        <v>0</v>
      </c>
      <c r="G61" s="254">
        <f t="shared" si="5"/>
        <v>0</v>
      </c>
      <c r="I61" s="154">
        <f t="shared" si="6"/>
        <v>-273838.83096984727</v>
      </c>
      <c r="J61" s="254">
        <f t="shared" si="7"/>
        <v>-0.13321536749540958</v>
      </c>
      <c r="L61" s="154">
        <f t="shared" si="3"/>
        <v>-273838.83096984727</v>
      </c>
      <c r="N61" s="254">
        <f t="shared" si="8"/>
        <v>-0.13321536749540958</v>
      </c>
    </row>
    <row r="62" spans="1:15" ht="14" x14ac:dyDescent="0.3">
      <c r="A62" s="151">
        <f>IF(B62&lt;&gt;"",COUNTA($B$12:B62),"")</f>
        <v>47</v>
      </c>
      <c r="B62" s="130" t="str">
        <f>+'R1 WMA'!B60</f>
        <v>Transition</v>
      </c>
      <c r="C62" s="253" t="str">
        <f>+'R1 WMA'!C60</f>
        <v>TRNSN</v>
      </c>
      <c r="D62" s="253"/>
      <c r="E62" s="154">
        <f t="shared" si="4"/>
        <v>-351509.2963839735</v>
      </c>
      <c r="G62" s="254">
        <f t="shared" si="5"/>
        <v>-0.17099999999999999</v>
      </c>
      <c r="I62" s="154">
        <f t="shared" si="6"/>
        <v>-107116.43802113901</v>
      </c>
      <c r="J62" s="254">
        <f t="shared" si="7"/>
        <v>-5.2109321403568713E-2</v>
      </c>
      <c r="L62" s="154">
        <f t="shared" si="3"/>
        <v>244392.85836283449</v>
      </c>
      <c r="N62" s="254">
        <f t="shared" si="8"/>
        <v>0.11889067859643127</v>
      </c>
    </row>
    <row r="63" spans="1:15" ht="14" x14ac:dyDescent="0.3">
      <c r="A63" s="151">
        <f>IF(B63&lt;&gt;"",COUNTA($B$12:B63),"")</f>
        <v>48</v>
      </c>
      <c r="B63" s="130" t="str">
        <f>+'R1 WMA'!B61</f>
        <v>Transmission</v>
      </c>
      <c r="C63" s="253" t="str">
        <f>+'R1 WMA'!C61</f>
        <v>TRNSM</v>
      </c>
      <c r="D63" s="253"/>
      <c r="E63" s="154">
        <f>SUM(SUMIF($C$12:$C$36,{"TMKW","TMKWH"},$I$12:$I$36))</f>
        <v>5749540.9472863972</v>
      </c>
      <c r="G63" s="254">
        <f t="shared" si="5"/>
        <v>2.7969999999999997</v>
      </c>
      <c r="I63" s="154">
        <f>SUM(SUMIF($C$12:$C$36,{"TMKW","TMKWH"},$N$12:$N$36))</f>
        <v>5313827.8585077524</v>
      </c>
      <c r="J63" s="254">
        <f t="shared" si="7"/>
        <v>2.5850370762662269</v>
      </c>
      <c r="L63" s="154">
        <f t="shared" si="3"/>
        <v>-435713.0887786448</v>
      </c>
      <c r="N63" s="254">
        <f t="shared" si="8"/>
        <v>-0.21196292373377262</v>
      </c>
    </row>
    <row r="64" spans="1:15" ht="14" x14ac:dyDescent="0.3">
      <c r="A64" s="151">
        <f>IF(B64&lt;&gt;"",COUNTA($B$12:B64),"")</f>
        <v>49</v>
      </c>
      <c r="B64" s="130" t="str">
        <f>+'R1 WMA'!B62</f>
        <v>Energy Efficiency Reconciliation Factor</v>
      </c>
      <c r="C64" s="253" t="str">
        <f>+'R1 WMA'!C62</f>
        <v>EERF</v>
      </c>
      <c r="D64" s="253"/>
      <c r="E64" s="154">
        <f>SUMIF($C$12:$C$36,$C64,$I$12:$I$36)</f>
        <v>133614.64482431742</v>
      </c>
      <c r="G64" s="254">
        <f t="shared" si="5"/>
        <v>6.5000000000000002E-2</v>
      </c>
      <c r="I64" s="154">
        <f>SUMIF($C$12:$C$36,$C64,$N$12:$N$36)</f>
        <v>133614.64482431742</v>
      </c>
      <c r="J64" s="254">
        <f t="shared" si="7"/>
        <v>6.5000000000000002E-2</v>
      </c>
      <c r="L64" s="154">
        <f t="shared" si="3"/>
        <v>0</v>
      </c>
      <c r="N64" s="254">
        <f t="shared" si="8"/>
        <v>0</v>
      </c>
    </row>
    <row r="65" spans="1:14" ht="14" x14ac:dyDescent="0.3">
      <c r="A65" s="151">
        <f>IF(B65&lt;&gt;"",COUNTA($B$12:B65),"")</f>
        <v>50</v>
      </c>
      <c r="B65" s="130" t="str">
        <f>+'R1 WMA'!B63</f>
        <v>System Benefits Charge</v>
      </c>
      <c r="C65" s="253" t="str">
        <f>+'R1 WMA'!C63</f>
        <v>SBC</v>
      </c>
      <c r="D65" s="253"/>
      <c r="E65" s="154">
        <f>SUMIF($C$12:$C$36,$C65,$I$12:$I$36)</f>
        <v>513902.48009352857</v>
      </c>
      <c r="G65" s="254">
        <f t="shared" si="5"/>
        <v>0.25</v>
      </c>
      <c r="I65" s="154">
        <f>SUMIF($C$12:$C$36,$C65,$N$12:$N$36)</f>
        <v>513902.48009352857</v>
      </c>
      <c r="J65" s="254">
        <f t="shared" si="7"/>
        <v>0.25</v>
      </c>
      <c r="L65" s="154">
        <f t="shared" si="3"/>
        <v>0</v>
      </c>
      <c r="N65" s="254">
        <f t="shared" si="8"/>
        <v>0</v>
      </c>
    </row>
    <row r="66" spans="1:14" ht="14" x14ac:dyDescent="0.3">
      <c r="A66" s="151">
        <f>IF(B66&lt;&gt;"",COUNTA($B$12:B66),"")</f>
        <v>51</v>
      </c>
      <c r="B66" s="130" t="str">
        <f>+'R1 WMA'!B64</f>
        <v>Renewable Energy Charge</v>
      </c>
      <c r="C66" s="253" t="str">
        <f>+'R1 WMA'!C64</f>
        <v>RNEW</v>
      </c>
      <c r="D66" s="253"/>
      <c r="E66" s="154">
        <f>SUMIF($C$12:$C$36,$C66,$I$12:$I$36)</f>
        <v>102780.49601870571</v>
      </c>
      <c r="G66" s="254">
        <f t="shared" si="5"/>
        <v>0.05</v>
      </c>
      <c r="I66" s="154">
        <f>SUMIF($C$12:$C$36,$C66,$N$12:$N$36)</f>
        <v>102780.49601870571</v>
      </c>
      <c r="J66" s="254">
        <f t="shared" si="7"/>
        <v>0.05</v>
      </c>
      <c r="L66" s="154">
        <f>I66-E66</f>
        <v>0</v>
      </c>
      <c r="N66" s="254">
        <f t="shared" si="8"/>
        <v>0</v>
      </c>
    </row>
    <row r="67" spans="1:14" ht="14" x14ac:dyDescent="0.3">
      <c r="A67" s="151">
        <f>IF(B67&lt;&gt;"",COUNTA($B$12:B67),"")</f>
        <v>52</v>
      </c>
      <c r="B67" s="130" t="str">
        <f>+'R1 WMA'!B65</f>
        <v>Basic Service Charge</v>
      </c>
      <c r="C67" s="253" t="str">
        <f>+'R1 WMA'!C65</f>
        <v>BS</v>
      </c>
      <c r="D67" s="253"/>
      <c r="E67" s="255">
        <f>SUMIF($C$12:$C$36,$C67,$I$12:$I$36)</f>
        <v>20562266.033502262</v>
      </c>
      <c r="F67" s="256"/>
      <c r="G67" s="257">
        <f t="shared" si="5"/>
        <v>10.003</v>
      </c>
      <c r="H67" s="258"/>
      <c r="I67" s="255">
        <f>SUMIF($C$12:$C$36,$C67,$N$12:$N$36)</f>
        <v>24005412.650128905</v>
      </c>
      <c r="J67" s="257">
        <f t="shared" si="7"/>
        <v>11.677999999999999</v>
      </c>
      <c r="K67" s="255"/>
      <c r="L67" s="255">
        <f t="shared" si="3"/>
        <v>3443146.6166266426</v>
      </c>
      <c r="M67" s="259"/>
      <c r="N67" s="257">
        <f t="shared" si="8"/>
        <v>1.6750000000000007</v>
      </c>
    </row>
    <row r="68" spans="1:14" ht="14" x14ac:dyDescent="0.3">
      <c r="A68" s="151">
        <f>IF(B68&lt;&gt;"",COUNTA($B$12:B68),"")</f>
        <v>53</v>
      </c>
      <c r="B68" s="130" t="str">
        <f>+'R1 WMA'!B66</f>
        <v>Total</v>
      </c>
      <c r="C68" s="130"/>
      <c r="D68" s="130"/>
      <c r="E68" s="154">
        <f>SUM(E47:E67)</f>
        <v>28206918.509775668</v>
      </c>
      <c r="G68" s="254">
        <f t="shared" si="5"/>
        <v>13.721921766480921</v>
      </c>
      <c r="I68" s="154">
        <f>SUM(I47:I67)</f>
        <v>29350644.425789021</v>
      </c>
      <c r="J68" s="254">
        <f t="shared" si="7"/>
        <v>14.278314253536633</v>
      </c>
      <c r="L68" s="154">
        <f>SUM(L47:L67)</f>
        <v>1143725.9160133484</v>
      </c>
      <c r="N68" s="254">
        <f t="shared" si="8"/>
        <v>0.55639248705571243</v>
      </c>
    </row>
    <row r="69" spans="1:14" ht="14" x14ac:dyDescent="0.3">
      <c r="A69" s="151" t="str">
        <f>IF(B69&lt;&gt;"",COUNTA($B$9:B69),"")</f>
        <v/>
      </c>
    </row>
    <row r="70" spans="1:14" ht="14" x14ac:dyDescent="0.3">
      <c r="A70" s="151"/>
      <c r="B70" s="256" t="s">
        <v>164</v>
      </c>
      <c r="E70" s="188"/>
      <c r="G70" s="188"/>
      <c r="H70" s="188"/>
      <c r="I70" s="188"/>
      <c r="J70" s="188"/>
      <c r="K70" s="188"/>
      <c r="L70" s="188"/>
      <c r="M70" s="188"/>
      <c r="N70" s="188"/>
    </row>
    <row r="71" spans="1:14" ht="14" x14ac:dyDescent="0.3">
      <c r="A71" s="151"/>
      <c r="B71" s="188" t="str">
        <f>'R2 EMA'!B71</f>
        <v>Col. (a): Company's forecast</v>
      </c>
    </row>
    <row r="72" spans="1:14" ht="14" x14ac:dyDescent="0.3">
      <c r="A72" s="151"/>
      <c r="B72" s="188" t="str">
        <f>'R2 EMA'!B72</f>
        <v>Col. (b): Current rates</v>
      </c>
    </row>
    <row r="73" spans="1:14" ht="14" x14ac:dyDescent="0.3">
      <c r="A73" s="151"/>
      <c r="B73" s="188" t="str">
        <f>'R2 EMA'!B73</f>
        <v>Col. (c): Col. (a) x Col. (b)</v>
      </c>
    </row>
    <row r="74" spans="1:14" ht="14" x14ac:dyDescent="0.3">
      <c r="A74" s="151"/>
      <c r="B74" s="188" t="str">
        <f>'R2 EMA'!B74</f>
        <v>Col. (e): Proposed rates</v>
      </c>
    </row>
    <row r="75" spans="1:14" ht="14" x14ac:dyDescent="0.3">
      <c r="A75" s="151"/>
      <c r="B75" s="188" t="str">
        <f>'R2 EMA'!B75</f>
        <v>Col. (f): Col. (a), Line 1 or Line 2  x Col. (e)</v>
      </c>
    </row>
    <row r="76" spans="1:14" ht="14" x14ac:dyDescent="0.3">
      <c r="A76" s="151"/>
      <c r="B76" s="188" t="str">
        <f>'R2 EMA'!B76</f>
        <v>Col. (f) (Low Income Discount): Col. (f), Line 24 x 36.0%</v>
      </c>
    </row>
  </sheetData>
  <mergeCells count="8">
    <mergeCell ref="E45:G45"/>
    <mergeCell ref="I45:K45"/>
    <mergeCell ref="L45:N45"/>
    <mergeCell ref="A4:N4"/>
    <mergeCell ref="A5:N5"/>
    <mergeCell ref="A7:N7"/>
    <mergeCell ref="G9:I9"/>
    <mergeCell ref="L9:N9"/>
  </mergeCells>
  <pageMargins left="0.7" right="0.7" top="0.75" bottom="0.75" header="0.3" footer="0.3"/>
  <pageSetup scale="63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9A721-7DD4-4DA8-8A85-1EA4FF288D46}">
  <sheetPr>
    <tabColor theme="9" tint="0.59999389629810485"/>
    <pageSetUpPr fitToPage="1"/>
  </sheetPr>
  <dimension ref="A3:Q73"/>
  <sheetViews>
    <sheetView workbookViewId="0"/>
  </sheetViews>
  <sheetFormatPr defaultRowHeight="12.5" x14ac:dyDescent="0.25"/>
  <cols>
    <col min="1" max="1" width="3.26953125" bestFit="1" customWidth="1"/>
    <col min="2" max="2" width="41.7265625" customWidth="1"/>
    <col min="3" max="3" width="8.7265625" customWidth="1"/>
    <col min="4" max="4" width="1.26953125" customWidth="1"/>
    <col min="5" max="5" width="15.7265625" customWidth="1"/>
    <col min="6" max="6" width="1.26953125" customWidth="1"/>
    <col min="7" max="7" width="13.7265625" customWidth="1"/>
    <col min="8" max="8" width="1.26953125" customWidth="1"/>
    <col min="9" max="9" width="15.7265625" customWidth="1"/>
    <col min="10" max="10" width="11" bestFit="1" customWidth="1"/>
    <col min="11" max="11" width="1.26953125" customWidth="1"/>
    <col min="12" max="12" width="13.7265625" customWidth="1"/>
    <col min="13" max="13" width="1.26953125" customWidth="1"/>
    <col min="14" max="14" width="15.7265625" customWidth="1"/>
  </cols>
  <sheetData>
    <row r="3" spans="1:17" ht="14" x14ac:dyDescent="0.3">
      <c r="A3" s="268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</row>
    <row r="4" spans="1:17" ht="14" x14ac:dyDescent="0.3">
      <c r="A4" s="748" t="str">
        <f>'R2 WMA'!A4:N4</f>
        <v>Western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7" ht="14" x14ac:dyDescent="0.3">
      <c r="A5" s="748" t="str">
        <f>'R3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7" ht="14" x14ac:dyDescent="0.3">
      <c r="A6" s="268"/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</row>
    <row r="7" spans="1:17" ht="14" x14ac:dyDescent="0.3">
      <c r="A7" s="748" t="s">
        <v>342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7" ht="14" x14ac:dyDescent="0.3">
      <c r="B8" s="207"/>
      <c r="C8" s="207"/>
      <c r="D8" s="207"/>
      <c r="E8" s="213"/>
      <c r="F8" s="207"/>
      <c r="I8" s="210"/>
      <c r="J8" s="210"/>
      <c r="K8" s="210"/>
      <c r="L8" s="214"/>
      <c r="M8" s="214"/>
      <c r="N8" s="215"/>
    </row>
    <row r="9" spans="1:17" ht="14.5" thickBot="1" x14ac:dyDescent="0.35">
      <c r="A9" s="151"/>
      <c r="B9" s="216" t="s">
        <v>46</v>
      </c>
      <c r="C9" s="216"/>
      <c r="D9" s="216"/>
      <c r="E9" s="217" t="s">
        <v>144</v>
      </c>
      <c r="F9" s="216"/>
      <c r="G9" s="749" t="s">
        <v>63</v>
      </c>
      <c r="H9" s="749"/>
      <c r="I9" s="749"/>
      <c r="J9" s="218"/>
      <c r="K9" s="216"/>
      <c r="L9" s="750" t="s">
        <v>64</v>
      </c>
      <c r="M9" s="750"/>
      <c r="N9" s="750"/>
    </row>
    <row r="10" spans="1:17" ht="14" x14ac:dyDescent="0.3">
      <c r="A10" s="151"/>
      <c r="B10" s="219" t="s">
        <v>293</v>
      </c>
      <c r="C10" s="220" t="s">
        <v>294</v>
      </c>
      <c r="D10" s="220"/>
      <c r="E10" s="221" t="s">
        <v>295</v>
      </c>
      <c r="F10" s="222"/>
      <c r="G10" s="223" t="s">
        <v>211</v>
      </c>
      <c r="H10" s="223"/>
      <c r="I10" s="223" t="s">
        <v>148</v>
      </c>
      <c r="J10" s="224"/>
      <c r="K10" s="222"/>
      <c r="L10" s="225" t="s">
        <v>211</v>
      </c>
      <c r="M10" s="226"/>
      <c r="N10" s="227" t="s">
        <v>148</v>
      </c>
    </row>
    <row r="11" spans="1:17" ht="14" x14ac:dyDescent="0.3">
      <c r="A11" s="151" t="str">
        <f>IF(B11&lt;&gt;"",COUNTA($B$9:B11),"")</f>
        <v/>
      </c>
      <c r="B11" s="228"/>
      <c r="C11" s="220"/>
      <c r="D11" s="220"/>
      <c r="E11" s="213" t="s">
        <v>66</v>
      </c>
      <c r="F11" s="222"/>
      <c r="G11" s="229" t="s">
        <v>67</v>
      </c>
      <c r="H11" s="230"/>
      <c r="I11" s="231" t="s">
        <v>68</v>
      </c>
      <c r="J11" s="231" t="s">
        <v>69</v>
      </c>
      <c r="K11" s="222"/>
      <c r="L11" s="226" t="s">
        <v>70</v>
      </c>
      <c r="M11" s="230"/>
      <c r="N11" s="231" t="s">
        <v>71</v>
      </c>
    </row>
    <row r="12" spans="1:17" ht="14" x14ac:dyDescent="0.3">
      <c r="A12" s="151">
        <f>IF(B12&lt;&gt;"",COUNTA($B$12:B12),"")</f>
        <v>1</v>
      </c>
      <c r="B12" s="232" t="str">
        <f>'R1 WMA'!B12</f>
        <v>Customer Charge</v>
      </c>
      <c r="C12" s="233" t="str">
        <f>'R1 WMA'!C12</f>
        <v>CUST</v>
      </c>
      <c r="D12" s="233"/>
      <c r="E12" s="234">
        <v>223549.88735207761</v>
      </c>
      <c r="F12" s="207"/>
      <c r="G12" s="209">
        <v>7</v>
      </c>
      <c r="H12" s="209"/>
      <c r="I12" s="210">
        <f>E12*G12</f>
        <v>1564849.2114645434</v>
      </c>
      <c r="J12" s="235"/>
      <c r="K12" s="210"/>
      <c r="L12" s="209">
        <v>7</v>
      </c>
      <c r="M12" s="211"/>
      <c r="N12" s="210">
        <f>L12*E12</f>
        <v>1564849.2114645434</v>
      </c>
      <c r="O12" s="272"/>
      <c r="P12" s="234"/>
      <c r="Q12" s="154"/>
    </row>
    <row r="13" spans="1:17" ht="14" x14ac:dyDescent="0.3">
      <c r="A13" s="151">
        <f>IF(B13&lt;&gt;"",COUNTA($B$12:B13),"")</f>
        <v>2</v>
      </c>
      <c r="B13" s="207" t="str">
        <f>'R1 WMA'!B13</f>
        <v>Distribution Energy</v>
      </c>
      <c r="C13" s="233" t="str">
        <f>'R1 WMA'!C13</f>
        <v>DKWH</v>
      </c>
      <c r="D13" s="233"/>
      <c r="E13" s="234">
        <v>171266719.88593093</v>
      </c>
      <c r="F13" s="207"/>
      <c r="G13" s="236">
        <v>3.8350000000000002E-2</v>
      </c>
      <c r="H13" s="209"/>
      <c r="I13" s="237">
        <f>E13*G13</f>
        <v>6568078.7076254515</v>
      </c>
      <c r="J13" s="235"/>
      <c r="K13" s="210"/>
      <c r="L13" s="236">
        <v>3.9940000000000003E-2</v>
      </c>
      <c r="M13" s="211"/>
      <c r="N13" s="237">
        <f t="shared" ref="N13" si="0">L13*E13</f>
        <v>6840392.7922440814</v>
      </c>
      <c r="O13" s="272"/>
      <c r="P13" s="273"/>
    </row>
    <row r="14" spans="1:17" ht="14" x14ac:dyDescent="0.3">
      <c r="A14" s="151">
        <f>IF(B14&lt;&gt;"",COUNTA($B$12:B14),"")</f>
        <v>3</v>
      </c>
      <c r="B14" s="207" t="str">
        <f>'R1 WMA'!B14</f>
        <v>Total Distribution</v>
      </c>
      <c r="C14" s="233" t="str">
        <f>'R1 WMA'!C14</f>
        <v>DIST</v>
      </c>
      <c r="D14" s="233"/>
      <c r="E14" s="234"/>
      <c r="F14" s="207"/>
      <c r="G14" s="209"/>
      <c r="H14" s="209"/>
      <c r="I14" s="210">
        <f>SUM(I12:I13)</f>
        <v>8132927.9190899953</v>
      </c>
      <c r="J14" s="235"/>
      <c r="K14" s="210"/>
      <c r="L14" s="238"/>
      <c r="M14" s="211"/>
      <c r="N14" s="210">
        <f>SUM(N12:N13)</f>
        <v>8405242.0037086252</v>
      </c>
      <c r="O14" s="272"/>
      <c r="P14" s="273"/>
    </row>
    <row r="15" spans="1:17" ht="14" x14ac:dyDescent="0.3">
      <c r="A15" s="151" t="str">
        <f>IF(B15&lt;&gt;"",COUNTA($B$12:B15),"")</f>
        <v/>
      </c>
      <c r="B15" s="207"/>
      <c r="C15" s="233"/>
      <c r="D15" s="233"/>
      <c r="E15" s="234"/>
      <c r="F15" s="207"/>
      <c r="G15" s="209"/>
      <c r="H15" s="209"/>
      <c r="I15" s="210"/>
      <c r="J15" s="235"/>
      <c r="K15" s="210"/>
      <c r="L15" s="238"/>
      <c r="M15" s="211"/>
      <c r="N15" s="210"/>
      <c r="O15" s="272"/>
      <c r="P15" s="273"/>
    </row>
    <row r="16" spans="1:17" ht="14" x14ac:dyDescent="0.3">
      <c r="A16" s="151">
        <f>IF(B16&lt;&gt;"",COUNTA($B$12:B16),"")</f>
        <v>4</v>
      </c>
      <c r="B16" s="228" t="s">
        <v>302</v>
      </c>
      <c r="F16" s="239"/>
      <c r="G16" s="240"/>
      <c r="H16" s="211"/>
      <c r="I16" s="210"/>
      <c r="K16" s="210"/>
      <c r="L16" s="241"/>
      <c r="M16" s="211"/>
      <c r="N16" s="210"/>
      <c r="O16" s="272"/>
    </row>
    <row r="17" spans="1:17" ht="14" x14ac:dyDescent="0.3">
      <c r="A17" s="151">
        <f>IF(B17&lt;&gt;"",COUNTA($B$12:B17),"")</f>
        <v>5</v>
      </c>
      <c r="B17" s="207" t="str">
        <f>'R1 WMA'!B17</f>
        <v>Revenue Decoupling</v>
      </c>
      <c r="C17" s="233" t="str">
        <f>'R1 WMA'!C17</f>
        <v>RDAF</v>
      </c>
      <c r="D17" s="233"/>
      <c r="E17" s="242"/>
      <c r="F17" s="239"/>
      <c r="G17" s="236">
        <v>6.4000000000000005E-4</v>
      </c>
      <c r="H17" s="211"/>
      <c r="I17" s="210">
        <f>G17*($E$13)</f>
        <v>109610.7007269958</v>
      </c>
      <c r="K17" s="210"/>
      <c r="L17" s="236">
        <v>-4.636470553498867E-4</v>
      </c>
      <c r="M17" s="211"/>
      <c r="N17" s="210">
        <f>L17*($E$13)</f>
        <v>-79407.310354545756</v>
      </c>
      <c r="O17" s="272"/>
      <c r="P17" s="234"/>
    </row>
    <row r="18" spans="1:17" ht="14" x14ac:dyDescent="0.3">
      <c r="A18" s="151">
        <f>IF(B18&lt;&gt;"",COUNTA($B$12:B18),"")</f>
        <v>6</v>
      </c>
      <c r="B18" s="207" t="str">
        <f>'R1 WMA'!B18</f>
        <v>Residential Assistance Adjustment Factor</v>
      </c>
      <c r="C18" s="233" t="str">
        <f>'R1 WMA'!C18</f>
        <v>RAAF</v>
      </c>
      <c r="D18" s="243"/>
      <c r="E18" s="206"/>
      <c r="F18" s="239"/>
      <c r="G18" s="236">
        <v>1.086E-2</v>
      </c>
      <c r="H18" s="211"/>
      <c r="I18" s="210">
        <f t="shared" ref="I18:I36" si="1">G18*($E$13)</f>
        <v>1859956.5779612099</v>
      </c>
      <c r="K18" s="210"/>
      <c r="L18" s="236">
        <v>3.9170150182816542E-3</v>
      </c>
      <c r="M18" s="211"/>
      <c r="N18" s="210">
        <f t="shared" ref="N18:N36" si="2">L18*($E$13)</f>
        <v>670854.31392502866</v>
      </c>
      <c r="O18" s="272"/>
      <c r="P18" s="234"/>
      <c r="Q18" s="210"/>
    </row>
    <row r="19" spans="1:17" ht="14" x14ac:dyDescent="0.3">
      <c r="A19" s="151">
        <f>IF(B19&lt;&gt;"",COUNTA($B$12:B19),"")</f>
        <v>7</v>
      </c>
      <c r="B19" s="207" t="str">
        <f>'R1 WMA'!B19</f>
        <v>Pension Adjustment Factor</v>
      </c>
      <c r="C19" s="233" t="str">
        <f>'R1 WMA'!C19</f>
        <v>PAF</v>
      </c>
      <c r="D19" s="243"/>
      <c r="E19" s="206"/>
      <c r="F19" s="239"/>
      <c r="G19" s="236">
        <v>1.4E-3</v>
      </c>
      <c r="H19" s="211"/>
      <c r="I19" s="210">
        <f t="shared" si="1"/>
        <v>239773.40784030329</v>
      </c>
      <c r="K19" s="210"/>
      <c r="L19" s="236">
        <v>9.1807557129104558E-4</v>
      </c>
      <c r="M19" s="211"/>
      <c r="N19" s="210">
        <f t="shared" si="2"/>
        <v>157235.79170241952</v>
      </c>
      <c r="O19" s="272"/>
      <c r="P19" s="274"/>
    </row>
    <row r="20" spans="1:17" ht="14" x14ac:dyDescent="0.3">
      <c r="A20" s="151">
        <f>IF(B20&lt;&gt;"",COUNTA($B$12:B20),"")</f>
        <v>8</v>
      </c>
      <c r="B20" s="207" t="str">
        <f>'R1 WMA'!B20</f>
        <v>Net Metering Recovery Surcharge</v>
      </c>
      <c r="C20" s="233" t="str">
        <f>'R1 WMA'!C20</f>
        <v>NMRS</v>
      </c>
      <c r="D20" s="243"/>
      <c r="E20" s="206"/>
      <c r="F20" s="239"/>
      <c r="G20" s="236">
        <v>4.7200000000000002E-3</v>
      </c>
      <c r="H20" s="211"/>
      <c r="I20" s="210">
        <f t="shared" si="1"/>
        <v>808378.917861594</v>
      </c>
      <c r="K20" s="210"/>
      <c r="L20" s="236">
        <v>5.1074733847265843E-3</v>
      </c>
      <c r="M20" s="211"/>
      <c r="N20" s="210">
        <f t="shared" si="2"/>
        <v>874740.21350681549</v>
      </c>
      <c r="O20" s="272"/>
      <c r="P20" s="274"/>
    </row>
    <row r="21" spans="1:17" ht="14" x14ac:dyDescent="0.3">
      <c r="A21" s="151">
        <f>IF(B21&lt;&gt;"",COUNTA($B$12:B21),"")</f>
        <v>9</v>
      </c>
      <c r="B21" s="207" t="str">
        <f>'R1 WMA'!B21</f>
        <v>Long Term Renewable Contract Adjustment</v>
      </c>
      <c r="C21" s="233" t="str">
        <f>'R1 WMA'!C21</f>
        <v>LTRCA</v>
      </c>
      <c r="D21" s="243"/>
      <c r="E21" s="206"/>
      <c r="F21" s="239"/>
      <c r="G21" s="236">
        <v>3.31E-3</v>
      </c>
      <c r="H21" s="211"/>
      <c r="I21" s="210">
        <f t="shared" si="1"/>
        <v>566892.84282243135</v>
      </c>
      <c r="K21" s="210"/>
      <c r="L21" s="236">
        <v>1.7357128782064517E-3</v>
      </c>
      <c r="M21" s="211"/>
      <c r="N21" s="210">
        <f t="shared" si="2"/>
        <v>297269.85131418728</v>
      </c>
      <c r="O21" s="272"/>
      <c r="P21" s="275"/>
    </row>
    <row r="22" spans="1:17" ht="14" x14ac:dyDescent="0.3">
      <c r="A22" s="151">
        <f>IF(B22&lt;&gt;"",COUNTA($B$12:B22),"")</f>
        <v>10</v>
      </c>
      <c r="B22" s="207" t="str">
        <f>'R1 WMA'!B22</f>
        <v>AG Consulting Expense</v>
      </c>
      <c r="C22" s="233" t="str">
        <f>'R1 WMA'!C22</f>
        <v>AGCE</v>
      </c>
      <c r="D22" s="243"/>
      <c r="E22" s="206"/>
      <c r="F22" s="239"/>
      <c r="G22" s="236">
        <v>3.0000000000000001E-5</v>
      </c>
      <c r="H22" s="211"/>
      <c r="I22" s="210">
        <f t="shared" si="1"/>
        <v>5138.0015965779276</v>
      </c>
      <c r="K22" s="210"/>
      <c r="L22" s="236">
        <v>8.2242703690137013E-6</v>
      </c>
      <c r="M22" s="211"/>
      <c r="N22" s="210">
        <f t="shared" si="2"/>
        <v>1408.5438095560314</v>
      </c>
      <c r="O22" s="272"/>
      <c r="P22" s="274"/>
    </row>
    <row r="23" spans="1:17" ht="14" x14ac:dyDescent="0.3">
      <c r="A23" s="151">
        <f>IF(B23&lt;&gt;"",COUNTA($B$12:B23),"")</f>
        <v>11</v>
      </c>
      <c r="B23" s="207" t="str">
        <f>'R1 WMA'!B23</f>
        <v>Storm Cost Recovery Adjustment Factor</v>
      </c>
      <c r="C23" s="233" t="str">
        <f>'R1 WMA'!C23</f>
        <v>SCRA</v>
      </c>
      <c r="D23" s="243"/>
      <c r="E23" s="206"/>
      <c r="F23" s="239"/>
      <c r="G23" s="236">
        <v>2.5200000000000001E-3</v>
      </c>
      <c r="H23" s="211"/>
      <c r="I23" s="210">
        <f t="shared" si="1"/>
        <v>431592.13411254593</v>
      </c>
      <c r="K23" s="210"/>
      <c r="L23" s="236">
        <v>2.961647786806138E-3</v>
      </c>
      <c r="M23" s="211"/>
      <c r="N23" s="210">
        <f t="shared" si="2"/>
        <v>507231.7019037141</v>
      </c>
      <c r="O23" s="272"/>
      <c r="P23" s="274"/>
    </row>
    <row r="24" spans="1:17" ht="14" x14ac:dyDescent="0.3">
      <c r="A24" s="151">
        <f>IF(B24&lt;&gt;"",COUNTA($B$12:B24),"")</f>
        <v>12</v>
      </c>
      <c r="B24" s="207" t="str">
        <f>'R1 WMA'!B24</f>
        <v>Storm Reserve Adjustment</v>
      </c>
      <c r="C24" s="233" t="str">
        <f>'R1 WMA'!C24</f>
        <v>SRA</v>
      </c>
      <c r="D24" s="243"/>
      <c r="E24" s="206"/>
      <c r="F24" s="239"/>
      <c r="G24" s="236">
        <v>0</v>
      </c>
      <c r="H24" s="211"/>
      <c r="I24" s="210">
        <f t="shared" si="1"/>
        <v>0</v>
      </c>
      <c r="K24" s="210"/>
      <c r="L24" s="236">
        <v>0</v>
      </c>
      <c r="M24" s="211"/>
      <c r="N24" s="210">
        <f t="shared" si="2"/>
        <v>0</v>
      </c>
      <c r="O24" s="272"/>
      <c r="P24" s="274"/>
    </row>
    <row r="25" spans="1:17" ht="14" x14ac:dyDescent="0.3">
      <c r="A25" s="151">
        <f>IF(B25&lt;&gt;"",COUNTA($B$12:B25),"")</f>
        <v>13</v>
      </c>
      <c r="B25" s="207" t="str">
        <f>'R1 WMA'!B25</f>
        <v>Basic Service Cost True Up Factor</v>
      </c>
      <c r="C25" s="233" t="str">
        <f>'R1 WMA'!C25</f>
        <v>BSTF</v>
      </c>
      <c r="D25" s="243"/>
      <c r="E25" s="206"/>
      <c r="F25" s="239"/>
      <c r="G25" s="236">
        <v>2.3000000000000001E-4</v>
      </c>
      <c r="H25" s="211"/>
      <c r="I25" s="210">
        <f t="shared" si="1"/>
        <v>39391.345573764112</v>
      </c>
      <c r="K25" s="210"/>
      <c r="L25" s="236">
        <v>-1.9437188368004869E-4</v>
      </c>
      <c r="M25" s="211"/>
      <c r="N25" s="210">
        <f t="shared" si="2"/>
        <v>-33289.434955931647</v>
      </c>
      <c r="O25" s="272"/>
      <c r="P25" s="274"/>
    </row>
    <row r="26" spans="1:17" ht="14" x14ac:dyDescent="0.3">
      <c r="A26" s="151">
        <f>IF(B26&lt;&gt;"",COUNTA($B$12:B26),"")</f>
        <v>14</v>
      </c>
      <c r="B26" s="207" t="str">
        <f>'R1 WMA'!B26</f>
        <v>Solar Program Cost Adjustment Factor</v>
      </c>
      <c r="C26" s="233" t="str">
        <f>'R1 WMA'!C26</f>
        <v>SPCA</v>
      </c>
      <c r="D26" s="233"/>
      <c r="E26" s="206"/>
      <c r="F26" s="239"/>
      <c r="G26" s="236">
        <v>-1.2999999999999999E-4</v>
      </c>
      <c r="H26" s="211"/>
      <c r="I26" s="210">
        <f t="shared" si="1"/>
        <v>-22264.673585171018</v>
      </c>
      <c r="K26" s="210"/>
      <c r="L26" s="236">
        <v>3.4591298516964567E-5</v>
      </c>
      <c r="M26" s="211"/>
      <c r="N26" s="210">
        <f t="shared" si="2"/>
        <v>5924.3382335955885</v>
      </c>
      <c r="O26" s="272"/>
      <c r="P26" s="276"/>
    </row>
    <row r="27" spans="1:17" ht="14" x14ac:dyDescent="0.3">
      <c r="A27" s="151">
        <f>IF(B27&lt;&gt;"",COUNTA($B$12:B27),"")</f>
        <v>15</v>
      </c>
      <c r="B27" s="207" t="str">
        <f>'R1 WMA'!B27</f>
        <v>Solar Expansion Cost Recovery Factor</v>
      </c>
      <c r="C27" s="233" t="str">
        <f>'R1 WMA'!C27</f>
        <v>SECRF</v>
      </c>
      <c r="D27" s="233"/>
      <c r="E27" s="206"/>
      <c r="F27" s="239"/>
      <c r="G27" s="236">
        <v>0</v>
      </c>
      <c r="H27" s="211"/>
      <c r="I27" s="210">
        <f t="shared" si="1"/>
        <v>0</v>
      </c>
      <c r="K27" s="210"/>
      <c r="L27" s="236">
        <v>6.1011137043019529E-4</v>
      </c>
      <c r="M27" s="211"/>
      <c r="N27" s="210">
        <f t="shared" si="2"/>
        <v>104491.77317868969</v>
      </c>
      <c r="O27" s="272"/>
      <c r="P27" s="275"/>
    </row>
    <row r="28" spans="1:17" ht="14" x14ac:dyDescent="0.3">
      <c r="A28" s="151">
        <f>IF(B28&lt;&gt;"",COUNTA($B$12:B28),"")</f>
        <v>16</v>
      </c>
      <c r="B28" s="207" t="str">
        <f>'R1 WMA'!B28</f>
        <v>Vegetation Management</v>
      </c>
      <c r="C28" s="233" t="str">
        <f>'R1 WMA'!C28</f>
        <v>RTWF</v>
      </c>
      <c r="D28" s="233"/>
      <c r="E28" s="206"/>
      <c r="F28" s="239"/>
      <c r="G28" s="236">
        <v>0</v>
      </c>
      <c r="H28" s="211"/>
      <c r="I28" s="210">
        <f t="shared" si="1"/>
        <v>0</v>
      </c>
      <c r="K28" s="210"/>
      <c r="L28" s="236">
        <v>1.6436655676838139E-3</v>
      </c>
      <c r="M28" s="211"/>
      <c r="N28" s="210">
        <f t="shared" si="2"/>
        <v>281505.21036665339</v>
      </c>
      <c r="O28" s="272"/>
      <c r="P28" s="275"/>
    </row>
    <row r="29" spans="1:17" ht="14" x14ac:dyDescent="0.3">
      <c r="A29" s="151">
        <f>IF(B29&lt;&gt;"",COUNTA($B$12:B29),"")</f>
        <v>17</v>
      </c>
      <c r="B29" s="207" t="str">
        <f>'R1 WMA'!B29</f>
        <v>Solar Massachusetts Renewable Target</v>
      </c>
      <c r="C29" s="233" t="str">
        <f>'R1 WMA'!C29</f>
        <v>SMART</v>
      </c>
      <c r="D29" s="233"/>
      <c r="E29" s="206"/>
      <c r="F29" s="239"/>
      <c r="G29" s="236">
        <v>0</v>
      </c>
      <c r="H29" s="211"/>
      <c r="I29" s="210">
        <f t="shared" si="1"/>
        <v>0</v>
      </c>
      <c r="K29" s="210"/>
      <c r="L29" s="236">
        <v>7.1483108644926168E-4</v>
      </c>
      <c r="M29" s="211"/>
      <c r="N29" s="210">
        <f t="shared" si="2"/>
        <v>122426.77544866137</v>
      </c>
      <c r="O29" s="272"/>
      <c r="P29" s="275"/>
    </row>
    <row r="30" spans="1:17" ht="14" x14ac:dyDescent="0.3">
      <c r="A30" s="151">
        <f>IF(B30&lt;&gt;"",COUNTA($B$12:B30),"")</f>
        <v>18</v>
      </c>
      <c r="B30" s="207" t="str">
        <f>'R1 WMA'!B30</f>
        <v>Tax Act Credit Factor</v>
      </c>
      <c r="C30" s="233" t="str">
        <f>'R1 WMA'!C30</f>
        <v>TACF</v>
      </c>
      <c r="D30" s="233"/>
      <c r="E30" s="206"/>
      <c r="F30" s="239"/>
      <c r="G30" s="236">
        <v>0</v>
      </c>
      <c r="H30" s="211"/>
      <c r="I30" s="210">
        <f t="shared" si="1"/>
        <v>0</v>
      </c>
      <c r="K30" s="210"/>
      <c r="L30" s="236">
        <v>-1.0821348464114689E-3</v>
      </c>
      <c r="M30" s="211"/>
      <c r="N30" s="210">
        <f t="shared" si="2"/>
        <v>-185333.68561915794</v>
      </c>
      <c r="O30" s="272"/>
      <c r="P30" s="275"/>
    </row>
    <row r="31" spans="1:17" ht="14" x14ac:dyDescent="0.3">
      <c r="A31" s="151">
        <f>IF(B31&lt;&gt;"",COUNTA($B$12:B31),"")</f>
        <v>19</v>
      </c>
      <c r="B31" s="207" t="str">
        <f>'R1 WMA'!B31</f>
        <v>Transition</v>
      </c>
      <c r="C31" s="233" t="str">
        <f>'R1 WMA'!C31</f>
        <v>TRNSN</v>
      </c>
      <c r="D31" s="233"/>
      <c r="E31" s="206"/>
      <c r="F31" s="239"/>
      <c r="G31" s="236">
        <v>-1.7099999999999999E-3</v>
      </c>
      <c r="H31" s="211"/>
      <c r="I31" s="210">
        <f t="shared" si="1"/>
        <v>-292866.09100494185</v>
      </c>
      <c r="K31" s="210"/>
      <c r="L31" s="236">
        <v>-5.210932140356871E-4</v>
      </c>
      <c r="M31" s="211"/>
      <c r="N31" s="210">
        <f t="shared" si="2"/>
        <v>-89245.925522709469</v>
      </c>
      <c r="O31" s="272"/>
      <c r="P31" s="275"/>
    </row>
    <row r="32" spans="1:17" ht="14" x14ac:dyDescent="0.3">
      <c r="A32" s="151">
        <f>IF(B32&lt;&gt;"",COUNTA($B$12:B32),"")</f>
        <v>20</v>
      </c>
      <c r="B32" s="207" t="str">
        <f>'R1 WMA'!B32</f>
        <v>Transmission Energy</v>
      </c>
      <c r="C32" s="233" t="str">
        <f>'R1 WMA'!C32</f>
        <v>TMKWH</v>
      </c>
      <c r="D32" s="233"/>
      <c r="E32" s="206"/>
      <c r="F32" s="239"/>
      <c r="G32" s="236">
        <v>2.8199999999999999E-2</v>
      </c>
      <c r="H32" s="211"/>
      <c r="I32" s="210">
        <f t="shared" si="1"/>
        <v>4829721.5007832516</v>
      </c>
      <c r="K32" s="210"/>
      <c r="L32" s="236">
        <v>2.503692470248408E-2</v>
      </c>
      <c r="M32" s="211"/>
      <c r="N32" s="210">
        <f t="shared" si="2"/>
        <v>4287991.9698254857</v>
      </c>
      <c r="O32" s="272"/>
      <c r="P32" s="275"/>
    </row>
    <row r="33" spans="1:16" ht="14" x14ac:dyDescent="0.3">
      <c r="A33" s="151">
        <f>IF(B33&lt;&gt;"",COUNTA($B$12:B33),"")</f>
        <v>21</v>
      </c>
      <c r="B33" s="207" t="str">
        <f>'R1 WMA'!B33</f>
        <v>Energy Efficiency Reconciliation Factor</v>
      </c>
      <c r="C33" s="233" t="str">
        <f>'R1 WMA'!C33</f>
        <v>EERF</v>
      </c>
      <c r="D33" s="233"/>
      <c r="E33" s="206"/>
      <c r="F33" s="239"/>
      <c r="G33" s="236">
        <v>1.4019999999999999E-2</v>
      </c>
      <c r="H33" s="211"/>
      <c r="I33" s="210">
        <f>G33*($E$13)</f>
        <v>2401159.4128007516</v>
      </c>
      <c r="K33" s="210"/>
      <c r="L33" s="236">
        <v>1.4019999999999999E-2</v>
      </c>
      <c r="M33" s="211"/>
      <c r="N33" s="210">
        <f>L33*($E$13)</f>
        <v>2401159.4128007516</v>
      </c>
      <c r="O33" s="272"/>
      <c r="P33" s="232"/>
    </row>
    <row r="34" spans="1:16" ht="14" x14ac:dyDescent="0.3">
      <c r="A34" s="151">
        <f>IF(B34&lt;&gt;"",COUNTA($B$12:B34),"")</f>
        <v>22</v>
      </c>
      <c r="B34" s="207" t="str">
        <f>'R1 WMA'!B34</f>
        <v>System Benefits Charge</v>
      </c>
      <c r="C34" s="233" t="str">
        <f>'R1 WMA'!C34</f>
        <v>SBC</v>
      </c>
      <c r="D34" s="233"/>
      <c r="E34" s="206"/>
      <c r="F34" s="239"/>
      <c r="G34" s="236">
        <v>2.5000000000000001E-3</v>
      </c>
      <c r="H34" s="211"/>
      <c r="I34" s="210">
        <f t="shared" si="1"/>
        <v>428166.79971482733</v>
      </c>
      <c r="K34" s="210"/>
      <c r="L34" s="236">
        <f>+G34</f>
        <v>2.5000000000000001E-3</v>
      </c>
      <c r="M34" s="211"/>
      <c r="N34" s="210">
        <f t="shared" si="2"/>
        <v>428166.79971482733</v>
      </c>
      <c r="O34" s="272"/>
      <c r="P34" s="275"/>
    </row>
    <row r="35" spans="1:16" ht="14" x14ac:dyDescent="0.3">
      <c r="A35" s="151">
        <f>IF(B35&lt;&gt;"",COUNTA($B$12:B35),"")</f>
        <v>23</v>
      </c>
      <c r="B35" s="207" t="str">
        <f>'R1 WMA'!B35</f>
        <v>Renewable Energy Charge</v>
      </c>
      <c r="C35" s="233" t="str">
        <f>'R1 WMA'!C35</f>
        <v>RNEW</v>
      </c>
      <c r="D35" s="233"/>
      <c r="E35" s="206"/>
      <c r="F35" s="239"/>
      <c r="G35" s="236">
        <v>5.0000000000000001E-4</v>
      </c>
      <c r="H35" s="211"/>
      <c r="I35" s="210">
        <f t="shared" si="1"/>
        <v>85633.359942965471</v>
      </c>
      <c r="K35" s="210"/>
      <c r="L35" s="236">
        <f>+G35</f>
        <v>5.0000000000000001E-4</v>
      </c>
      <c r="M35" s="211"/>
      <c r="N35" s="210">
        <f t="shared" si="2"/>
        <v>85633.359942965471</v>
      </c>
      <c r="O35" s="272"/>
      <c r="P35" s="275"/>
    </row>
    <row r="36" spans="1:16" ht="14" x14ac:dyDescent="0.3">
      <c r="A36" s="151">
        <f>IF(B36&lt;&gt;"",COUNTA($B$12:B36),"")</f>
        <v>24</v>
      </c>
      <c r="B36" s="207" t="str">
        <f>'R1 WMA'!B36</f>
        <v>Basic Service Charge</v>
      </c>
      <c r="C36" s="233" t="str">
        <f>'R1 WMA'!C36</f>
        <v>BS</v>
      </c>
      <c r="D36" s="233"/>
      <c r="E36" s="206"/>
      <c r="F36" s="239"/>
      <c r="G36" s="277">
        <v>0.10002999999999999</v>
      </c>
      <c r="H36" s="211"/>
      <c r="I36" s="237">
        <f t="shared" si="1"/>
        <v>17131809.990189668</v>
      </c>
      <c r="K36" s="210"/>
      <c r="L36" s="236">
        <v>0.11677999999999999</v>
      </c>
      <c r="M36" s="211"/>
      <c r="N36" s="237">
        <f t="shared" si="2"/>
        <v>20000527.548279013</v>
      </c>
      <c r="O36" s="272"/>
      <c r="P36" s="232"/>
    </row>
    <row r="37" spans="1:16" ht="14" x14ac:dyDescent="0.3">
      <c r="A37" s="151" t="str">
        <f>IF(B37&lt;&gt;"",COUNTA($B$12:B37),"")</f>
        <v/>
      </c>
      <c r="B37" s="207"/>
      <c r="E37" s="206"/>
      <c r="F37" s="239"/>
      <c r="G37" s="241"/>
      <c r="H37" s="211"/>
      <c r="I37" s="244"/>
      <c r="K37" s="210"/>
      <c r="L37" s="241"/>
      <c r="M37" s="211"/>
      <c r="N37" s="244"/>
      <c r="O37" s="272"/>
    </row>
    <row r="38" spans="1:16" ht="14" x14ac:dyDescent="0.3">
      <c r="A38" s="151">
        <f>IF(B38&lt;&gt;"",COUNTA($B$12:B38),"")</f>
        <v>25</v>
      </c>
      <c r="B38" s="188" t="s">
        <v>46</v>
      </c>
      <c r="E38" s="188"/>
      <c r="G38" s="245" t="s">
        <v>324</v>
      </c>
      <c r="H38" s="246"/>
      <c r="I38" s="154">
        <f>SUM(I14:I37)</f>
        <v>36755022.146426767</v>
      </c>
      <c r="K38" s="247"/>
      <c r="L38" s="245"/>
      <c r="N38" s="154">
        <f>SUM(N14:N37)</f>
        <v>38244533.251208641</v>
      </c>
      <c r="P38" s="154"/>
    </row>
    <row r="39" spans="1:16" ht="14" x14ac:dyDescent="0.3">
      <c r="A39" s="151" t="str">
        <f>IF(B39&lt;&gt;"",COUNTA($B$12:B39),"")</f>
        <v/>
      </c>
      <c r="E39" s="188"/>
      <c r="H39" s="188"/>
      <c r="I39" s="154"/>
      <c r="K39" s="265"/>
      <c r="L39" s="278"/>
      <c r="N39" s="265"/>
      <c r="P39" s="154"/>
    </row>
    <row r="40" spans="1:16" ht="14" x14ac:dyDescent="0.3">
      <c r="A40" s="151">
        <f>IF(B40&lt;&gt;"",COUNTA($B$12:B40),"")</f>
        <v>26</v>
      </c>
      <c r="B40" s="188" t="s">
        <v>46</v>
      </c>
      <c r="E40" s="188"/>
      <c r="G40" s="188"/>
      <c r="H40" s="188"/>
      <c r="I40" s="188"/>
      <c r="J40" s="188"/>
      <c r="L40" s="248" t="s">
        <v>325</v>
      </c>
      <c r="N40" s="160">
        <f>+N38/I38-1</f>
        <v>4.0525376337630092E-2</v>
      </c>
    </row>
    <row r="41" spans="1:16" ht="14" x14ac:dyDescent="0.3">
      <c r="A41" s="151" t="str">
        <f>IF(B41&lt;&gt;"",COUNTA($B$12:B41),"")</f>
        <v/>
      </c>
      <c r="E41" s="188"/>
      <c r="G41" s="188"/>
      <c r="H41" s="188"/>
      <c r="I41" s="188"/>
      <c r="J41" s="188"/>
      <c r="L41" s="248"/>
      <c r="N41" s="160"/>
    </row>
    <row r="42" spans="1:16" ht="14" x14ac:dyDescent="0.3">
      <c r="A42" s="151" t="str">
        <f>IF(B42&lt;&gt;"",COUNTA($B$12:B42),"")</f>
        <v/>
      </c>
      <c r="E42" s="188"/>
      <c r="G42" s="186"/>
      <c r="H42" s="188"/>
      <c r="I42" s="188"/>
      <c r="L42" s="248"/>
      <c r="N42" s="160"/>
    </row>
    <row r="43" spans="1:16" ht="14.5" thickBot="1" x14ac:dyDescent="0.35">
      <c r="A43" s="151">
        <f>IF(B43&lt;&gt;"",COUNTA($B$12:B43),"")</f>
        <v>27</v>
      </c>
      <c r="B43" s="188" t="s">
        <v>46</v>
      </c>
      <c r="E43" s="747" t="s">
        <v>326</v>
      </c>
      <c r="F43" s="747"/>
      <c r="G43" s="747"/>
      <c r="I43" s="747" t="s">
        <v>327</v>
      </c>
      <c r="J43" s="747"/>
      <c r="L43" s="747" t="s">
        <v>328</v>
      </c>
      <c r="M43" s="747"/>
      <c r="N43" s="747"/>
    </row>
    <row r="44" spans="1:16" ht="14" x14ac:dyDescent="0.3">
      <c r="A44" s="151">
        <f>IF(B44&lt;&gt;"",COUNTA($B$12:B44),"")</f>
        <v>28</v>
      </c>
      <c r="B44" s="144" t="s">
        <v>329</v>
      </c>
      <c r="C44" s="144"/>
      <c r="D44" s="144"/>
      <c r="E44" s="249" t="s">
        <v>148</v>
      </c>
      <c r="F44" s="250"/>
      <c r="G44" s="251" t="s">
        <v>330</v>
      </c>
      <c r="I44" s="249" t="s">
        <v>148</v>
      </c>
      <c r="J44" s="251" t="s">
        <v>330</v>
      </c>
      <c r="K44" s="212"/>
      <c r="L44" s="249" t="s">
        <v>148</v>
      </c>
      <c r="M44" s="252"/>
      <c r="N44" s="251" t="s">
        <v>330</v>
      </c>
    </row>
    <row r="45" spans="1:16" ht="14" x14ac:dyDescent="0.3">
      <c r="A45" s="151">
        <f>IF(B45&lt;&gt;"",COUNTA($B$12:B45),"")</f>
        <v>29</v>
      </c>
      <c r="B45" s="130" t="str">
        <f>+'R1 WMA'!B45</f>
        <v>Distribution</v>
      </c>
      <c r="C45" s="253" t="str">
        <f>+'R1 WMA'!C45</f>
        <v>DIST</v>
      </c>
      <c r="D45" s="253"/>
      <c r="E45" s="154">
        <f t="shared" ref="E45:E60" si="3">SUMIF($C$12:$C$36,$C45,$I$12:$I$36)</f>
        <v>8132927.9190899953</v>
      </c>
      <c r="G45" s="254">
        <f>+E45/$E$13*100</f>
        <v>4.748691353759086</v>
      </c>
      <c r="I45" s="154">
        <f t="shared" ref="I45:I60" si="4">SUMIF($C$12:$C$36,$C45,$N$12:$N$36)</f>
        <v>8405242.0037086252</v>
      </c>
      <c r="J45" s="254">
        <f>+I45/$E$13*100</f>
        <v>4.9076913537590858</v>
      </c>
      <c r="L45" s="154">
        <f t="shared" ref="L45:L65" si="5">I45-E45</f>
        <v>272314.08461862989</v>
      </c>
      <c r="N45" s="254">
        <f>+L45/$E$13*100</f>
        <v>0.15899999999999984</v>
      </c>
      <c r="O45" s="272"/>
    </row>
    <row r="46" spans="1:16" ht="14" x14ac:dyDescent="0.3">
      <c r="A46" s="151">
        <f>IF(B46&lt;&gt;"",COUNTA($B$12:B46),"")</f>
        <v>30</v>
      </c>
      <c r="B46" s="130" t="str">
        <f>+'R1 WMA'!B46</f>
        <v>Revenue Decoupling</v>
      </c>
      <c r="C46" s="253" t="str">
        <f>+'R1 WMA'!C46</f>
        <v>RDAF</v>
      </c>
      <c r="D46" s="253"/>
      <c r="E46" s="154">
        <f t="shared" si="3"/>
        <v>109610.7007269958</v>
      </c>
      <c r="G46" s="254">
        <f t="shared" ref="G46:G66" si="6">+E46/$E$13*100</f>
        <v>6.4000000000000001E-2</v>
      </c>
      <c r="I46" s="154">
        <f t="shared" si="4"/>
        <v>-79407.310354545756</v>
      </c>
      <c r="J46" s="254">
        <f t="shared" ref="J46:J66" si="7">+I46/$E$13*100</f>
        <v>-4.6364705534988671E-2</v>
      </c>
      <c r="L46" s="154">
        <f>I46-E46</f>
        <v>-189018.01108154154</v>
      </c>
      <c r="N46" s="254">
        <f t="shared" ref="N46:N66" si="8">+L46/$E$13*100</f>
        <v>-0.11036470553498867</v>
      </c>
      <c r="O46" s="272"/>
    </row>
    <row r="47" spans="1:16" ht="14" x14ac:dyDescent="0.3">
      <c r="A47" s="151">
        <f>IF(B47&lt;&gt;"",COUNTA($B$12:B47),"")</f>
        <v>31</v>
      </c>
      <c r="B47" s="130" t="str">
        <f>+'R1 WMA'!B47</f>
        <v>Residential Assistance Adjustment Factor</v>
      </c>
      <c r="C47" s="253" t="str">
        <f>+'R1 WMA'!C47</f>
        <v>RAAF</v>
      </c>
      <c r="D47" s="253"/>
      <c r="E47" s="154">
        <f t="shared" si="3"/>
        <v>1859956.5779612099</v>
      </c>
      <c r="G47" s="254">
        <f t="shared" si="6"/>
        <v>1.0860000000000001</v>
      </c>
      <c r="I47" s="154">
        <f t="shared" si="4"/>
        <v>670854.31392502866</v>
      </c>
      <c r="J47" s="254">
        <f t="shared" si="7"/>
        <v>0.39170150182816543</v>
      </c>
      <c r="L47" s="154">
        <f t="shared" si="5"/>
        <v>-1189102.2640361814</v>
      </c>
      <c r="N47" s="254">
        <f t="shared" si="8"/>
        <v>-0.69429849817183475</v>
      </c>
      <c r="O47" s="272"/>
    </row>
    <row r="48" spans="1:16" ht="14" x14ac:dyDescent="0.3">
      <c r="A48" s="151">
        <f>IF(B48&lt;&gt;"",COUNTA($B$12:B48),"")</f>
        <v>32</v>
      </c>
      <c r="B48" s="130" t="str">
        <f>+'R1 WMA'!B48</f>
        <v>Pension Adjustment Factor</v>
      </c>
      <c r="C48" s="253" t="str">
        <f>+'R1 WMA'!C48</f>
        <v>PAF</v>
      </c>
      <c r="D48" s="253"/>
      <c r="E48" s="154">
        <f t="shared" si="3"/>
        <v>239773.40784030329</v>
      </c>
      <c r="G48" s="254">
        <f t="shared" si="6"/>
        <v>0.13999999999999999</v>
      </c>
      <c r="I48" s="154">
        <f t="shared" si="4"/>
        <v>157235.79170241952</v>
      </c>
      <c r="J48" s="254">
        <f t="shared" si="7"/>
        <v>9.1807557129104558E-2</v>
      </c>
      <c r="L48" s="154">
        <f t="shared" si="5"/>
        <v>-82537.616137883771</v>
      </c>
      <c r="N48" s="254">
        <f t="shared" si="8"/>
        <v>-4.8192442870895434E-2</v>
      </c>
      <c r="O48" s="272"/>
    </row>
    <row r="49" spans="1:15" ht="14" x14ac:dyDescent="0.3">
      <c r="A49" s="151">
        <f>IF(B49&lt;&gt;"",COUNTA($B$12:B49),"")</f>
        <v>33</v>
      </c>
      <c r="B49" s="130" t="str">
        <f>+'R1 WMA'!B49</f>
        <v>Net Metering Recovery Surcharge</v>
      </c>
      <c r="C49" s="253" t="str">
        <f>+'R1 WMA'!C49</f>
        <v>NMRS</v>
      </c>
      <c r="D49" s="253"/>
      <c r="E49" s="154">
        <f t="shared" si="3"/>
        <v>808378.917861594</v>
      </c>
      <c r="G49" s="254">
        <f t="shared" si="6"/>
        <v>0.47200000000000003</v>
      </c>
      <c r="I49" s="154">
        <f t="shared" si="4"/>
        <v>874740.21350681549</v>
      </c>
      <c r="J49" s="254">
        <f t="shared" si="7"/>
        <v>0.51074733847265841</v>
      </c>
      <c r="L49" s="154">
        <f t="shared" si="5"/>
        <v>66361.295645221486</v>
      </c>
      <c r="N49" s="254">
        <f t="shared" si="8"/>
        <v>3.8747338472658446E-2</v>
      </c>
      <c r="O49" s="272"/>
    </row>
    <row r="50" spans="1:15" ht="14" x14ac:dyDescent="0.3">
      <c r="A50" s="151">
        <f>IF(B50&lt;&gt;"",COUNTA($B$12:B50),"")</f>
        <v>34</v>
      </c>
      <c r="B50" s="130" t="str">
        <f>+'R1 WMA'!B50</f>
        <v>Long Term Renewable Contract Adjustment</v>
      </c>
      <c r="C50" s="253" t="str">
        <f>+'R1 WMA'!C50</f>
        <v>LTRCA</v>
      </c>
      <c r="D50" s="253"/>
      <c r="E50" s="154">
        <f t="shared" si="3"/>
        <v>566892.84282243135</v>
      </c>
      <c r="G50" s="254">
        <f t="shared" si="6"/>
        <v>0.33100000000000002</v>
      </c>
      <c r="I50" s="154">
        <f t="shared" si="4"/>
        <v>297269.85131418728</v>
      </c>
      <c r="J50" s="254">
        <f t="shared" si="7"/>
        <v>0.17357128782064515</v>
      </c>
      <c r="L50" s="154">
        <f t="shared" si="5"/>
        <v>-269622.99150824407</v>
      </c>
      <c r="N50" s="254">
        <f t="shared" si="8"/>
        <v>-0.15742871217935483</v>
      </c>
      <c r="O50" s="272"/>
    </row>
    <row r="51" spans="1:15" ht="14" x14ac:dyDescent="0.3">
      <c r="A51" s="151">
        <f>IF(B51&lt;&gt;"",COUNTA($B$12:B51),"")</f>
        <v>35</v>
      </c>
      <c r="B51" s="130" t="str">
        <f>+'R1 WMA'!B51</f>
        <v>AG Consulting Expense</v>
      </c>
      <c r="C51" s="253" t="str">
        <f>+'R1 WMA'!C51</f>
        <v>AGCE</v>
      </c>
      <c r="D51" s="253"/>
      <c r="E51" s="154">
        <f t="shared" si="3"/>
        <v>5138.0015965779276</v>
      </c>
      <c r="G51" s="254">
        <f t="shared" si="6"/>
        <v>2.9999999999999996E-3</v>
      </c>
      <c r="I51" s="154">
        <f t="shared" si="4"/>
        <v>1408.5438095560314</v>
      </c>
      <c r="J51" s="254">
        <f t="shared" si="7"/>
        <v>8.2242703690137012E-4</v>
      </c>
      <c r="L51" s="154">
        <f t="shared" si="5"/>
        <v>-3729.4577870218964</v>
      </c>
      <c r="N51" s="254">
        <f t="shared" si="8"/>
        <v>-2.1775729630986299E-3</v>
      </c>
      <c r="O51" s="272"/>
    </row>
    <row r="52" spans="1:15" ht="14" x14ac:dyDescent="0.3">
      <c r="A52" s="151">
        <f>IF(B52&lt;&gt;"",COUNTA($B$12:B52),"")</f>
        <v>36</v>
      </c>
      <c r="B52" s="130" t="str">
        <f>+'R1 WMA'!B52</f>
        <v>Storm Cost Recovery Adjustment Factor</v>
      </c>
      <c r="C52" s="253" t="str">
        <f>+'R1 WMA'!C52</f>
        <v>SCRA</v>
      </c>
      <c r="D52" s="253"/>
      <c r="E52" s="154">
        <f t="shared" si="3"/>
        <v>431592.13411254593</v>
      </c>
      <c r="G52" s="254">
        <f t="shared" si="6"/>
        <v>0.252</v>
      </c>
      <c r="I52" s="154">
        <f t="shared" si="4"/>
        <v>507231.7019037141</v>
      </c>
      <c r="J52" s="254">
        <f t="shared" si="7"/>
        <v>0.2961647786806138</v>
      </c>
      <c r="L52" s="154">
        <f>I52-E52</f>
        <v>75639.567791168171</v>
      </c>
      <c r="N52" s="254">
        <f t="shared" si="8"/>
        <v>4.4164778680613796E-2</v>
      </c>
      <c r="O52" s="272"/>
    </row>
    <row r="53" spans="1:15" ht="14" x14ac:dyDescent="0.3">
      <c r="A53" s="151">
        <f>IF(B53&lt;&gt;"",COUNTA($B$12:B53),"")</f>
        <v>37</v>
      </c>
      <c r="B53" s="130" t="s">
        <v>309</v>
      </c>
      <c r="C53" s="253" t="s">
        <v>157</v>
      </c>
      <c r="D53" s="253"/>
      <c r="E53" s="154">
        <f t="shared" si="3"/>
        <v>0</v>
      </c>
      <c r="G53" s="254">
        <f t="shared" si="6"/>
        <v>0</v>
      </c>
      <c r="I53" s="154">
        <f t="shared" si="4"/>
        <v>0</v>
      </c>
      <c r="J53" s="254">
        <f t="shared" si="7"/>
        <v>0</v>
      </c>
      <c r="L53" s="154">
        <f>I53-E53</f>
        <v>0</v>
      </c>
      <c r="N53" s="254">
        <f t="shared" si="8"/>
        <v>0</v>
      </c>
      <c r="O53" s="272"/>
    </row>
    <row r="54" spans="1:15" ht="14" x14ac:dyDescent="0.3">
      <c r="A54" s="151">
        <f>IF(B54&lt;&gt;"",COUNTA($B$12:B54),"")</f>
        <v>38</v>
      </c>
      <c r="B54" s="130" t="str">
        <f>+'R1 WMA'!B54</f>
        <v>Basic Service Cost True Up Factor</v>
      </c>
      <c r="C54" s="253" t="str">
        <f>+'R1 WMA'!C54</f>
        <v>BSTF</v>
      </c>
      <c r="D54" s="253"/>
      <c r="E54" s="154">
        <f t="shared" si="3"/>
        <v>39391.345573764112</v>
      </c>
      <c r="G54" s="254">
        <f t="shared" si="6"/>
        <v>2.3E-2</v>
      </c>
      <c r="I54" s="154">
        <f t="shared" si="4"/>
        <v>-33289.434955931647</v>
      </c>
      <c r="J54" s="254">
        <f t="shared" si="7"/>
        <v>-1.9437188368004871E-2</v>
      </c>
      <c r="L54" s="154">
        <f t="shared" ref="L54:L60" si="9">I54-E54</f>
        <v>-72680.780529695767</v>
      </c>
      <c r="N54" s="254">
        <f t="shared" si="8"/>
        <v>-4.243718836800487E-2</v>
      </c>
      <c r="O54" s="272"/>
    </row>
    <row r="55" spans="1:15" ht="14" x14ac:dyDescent="0.3">
      <c r="A55" s="151">
        <f>IF(B55&lt;&gt;"",COUNTA($B$12:B55),"")</f>
        <v>39</v>
      </c>
      <c r="B55" s="130" t="str">
        <f>+'R1 WMA'!B55</f>
        <v>Solar Program Cost Adjustment Factor</v>
      </c>
      <c r="C55" s="253" t="str">
        <f>+'R1 WMA'!C55</f>
        <v>SPCA</v>
      </c>
      <c r="D55" s="253"/>
      <c r="E55" s="154">
        <f t="shared" si="3"/>
        <v>-22264.673585171018</v>
      </c>
      <c r="G55" s="254">
        <f t="shared" si="6"/>
        <v>-1.2999999999999999E-2</v>
      </c>
      <c r="I55" s="154">
        <f t="shared" si="4"/>
        <v>5924.3382335955885</v>
      </c>
      <c r="J55" s="254">
        <f t="shared" si="7"/>
        <v>3.4591298516964569E-3</v>
      </c>
      <c r="L55" s="154">
        <f t="shared" si="9"/>
        <v>28189.011818766608</v>
      </c>
      <c r="N55" s="254">
        <f t="shared" si="8"/>
        <v>1.6459129851696459E-2</v>
      </c>
    </row>
    <row r="56" spans="1:15" ht="14" x14ac:dyDescent="0.3">
      <c r="A56" s="151">
        <f>IF(B56&lt;&gt;"",COUNTA($B$12:B56),"")</f>
        <v>40</v>
      </c>
      <c r="B56" s="130" t="str">
        <f>+'R1 WMA'!B56</f>
        <v>Solar Expansion Cost Recovery Factor</v>
      </c>
      <c r="C56" s="253" t="str">
        <f>+'R1 WMA'!C56</f>
        <v>SECRF</v>
      </c>
      <c r="D56" s="253"/>
      <c r="E56" s="154">
        <f t="shared" si="3"/>
        <v>0</v>
      </c>
      <c r="G56" s="254">
        <f t="shared" si="6"/>
        <v>0</v>
      </c>
      <c r="I56" s="154">
        <f t="shared" si="4"/>
        <v>104491.77317868969</v>
      </c>
      <c r="J56" s="254">
        <f t="shared" si="7"/>
        <v>6.1011137043019532E-2</v>
      </c>
      <c r="L56" s="154">
        <f t="shared" si="9"/>
        <v>104491.77317868969</v>
      </c>
      <c r="N56" s="254">
        <f t="shared" si="8"/>
        <v>6.1011137043019532E-2</v>
      </c>
    </row>
    <row r="57" spans="1:15" ht="14" x14ac:dyDescent="0.3">
      <c r="A57" s="151">
        <f>IF(B57&lt;&gt;"",COUNTA($B$12:B57),"")</f>
        <v>41</v>
      </c>
      <c r="B57" s="130" t="str">
        <f>+'R1 WMA'!B57</f>
        <v>Vegetation Management</v>
      </c>
      <c r="C57" s="253" t="str">
        <f>+'R1 WMA'!C57</f>
        <v>RTWF</v>
      </c>
      <c r="D57" s="253"/>
      <c r="E57" s="154">
        <f t="shared" si="3"/>
        <v>0</v>
      </c>
      <c r="G57" s="254">
        <f t="shared" si="6"/>
        <v>0</v>
      </c>
      <c r="I57" s="154">
        <f t="shared" si="4"/>
        <v>281505.21036665339</v>
      </c>
      <c r="J57" s="254">
        <f t="shared" si="7"/>
        <v>0.16436655676838138</v>
      </c>
      <c r="L57" s="154">
        <f t="shared" si="9"/>
        <v>281505.21036665339</v>
      </c>
      <c r="N57" s="254">
        <f t="shared" si="8"/>
        <v>0.16436655676838138</v>
      </c>
    </row>
    <row r="58" spans="1:15" ht="14" x14ac:dyDescent="0.3">
      <c r="A58" s="151">
        <f>IF(B58&lt;&gt;"",COUNTA($B$12:B58),"")</f>
        <v>42</v>
      </c>
      <c r="B58" s="130" t="str">
        <f>+'R1 WMA'!B58</f>
        <v>Solar Massachusetts Renewable Target</v>
      </c>
      <c r="C58" s="253" t="str">
        <f>+'R1 WMA'!C58</f>
        <v>SMART</v>
      </c>
      <c r="D58" s="253"/>
      <c r="E58" s="154">
        <f t="shared" si="3"/>
        <v>0</v>
      </c>
      <c r="G58" s="254">
        <f t="shared" si="6"/>
        <v>0</v>
      </c>
      <c r="I58" s="154">
        <f t="shared" si="4"/>
        <v>122426.77544866137</v>
      </c>
      <c r="J58" s="254">
        <f t="shared" si="7"/>
        <v>7.1483108644926172E-2</v>
      </c>
      <c r="L58" s="154">
        <f t="shared" si="9"/>
        <v>122426.77544866137</v>
      </c>
      <c r="N58" s="254">
        <f t="shared" si="8"/>
        <v>7.1483108644926172E-2</v>
      </c>
    </row>
    <row r="59" spans="1:15" ht="14" x14ac:dyDescent="0.3">
      <c r="A59" s="151">
        <f>IF(B59&lt;&gt;"",COUNTA($B$12:B59),"")</f>
        <v>43</v>
      </c>
      <c r="B59" s="130" t="str">
        <f>+'R1 WMA'!B59</f>
        <v>Tax Act Credit Factor</v>
      </c>
      <c r="C59" s="253" t="str">
        <f>+'R1 WMA'!C59</f>
        <v>TACF</v>
      </c>
      <c r="D59" s="253"/>
      <c r="E59" s="154">
        <f t="shared" si="3"/>
        <v>0</v>
      </c>
      <c r="G59" s="254">
        <f t="shared" si="6"/>
        <v>0</v>
      </c>
      <c r="I59" s="154">
        <f t="shared" si="4"/>
        <v>-185333.68561915794</v>
      </c>
      <c r="J59" s="254">
        <f t="shared" si="7"/>
        <v>-0.10821348464114688</v>
      </c>
      <c r="L59" s="154">
        <f t="shared" si="9"/>
        <v>-185333.68561915794</v>
      </c>
      <c r="N59" s="254">
        <f t="shared" si="8"/>
        <v>-0.10821348464114688</v>
      </c>
    </row>
    <row r="60" spans="1:15" ht="14" x14ac:dyDescent="0.3">
      <c r="A60" s="151">
        <f>IF(B60&lt;&gt;"",COUNTA($B$12:B60),"")</f>
        <v>44</v>
      </c>
      <c r="B60" s="130" t="str">
        <f>+'R1 WMA'!B60</f>
        <v>Transition</v>
      </c>
      <c r="C60" s="253" t="str">
        <f>+'R1 WMA'!C60</f>
        <v>TRNSN</v>
      </c>
      <c r="D60" s="253"/>
      <c r="E60" s="154">
        <f t="shared" si="3"/>
        <v>-292866.09100494185</v>
      </c>
      <c r="G60" s="254">
        <f t="shared" si="6"/>
        <v>-0.17099999999999999</v>
      </c>
      <c r="I60" s="154">
        <f t="shared" si="4"/>
        <v>-89245.925522709469</v>
      </c>
      <c r="J60" s="254">
        <f t="shared" si="7"/>
        <v>-5.2109321403568713E-2</v>
      </c>
      <c r="L60" s="154">
        <f t="shared" si="9"/>
        <v>203620.16548223238</v>
      </c>
      <c r="N60" s="254">
        <f t="shared" si="8"/>
        <v>0.11889067859643127</v>
      </c>
    </row>
    <row r="61" spans="1:15" ht="14" x14ac:dyDescent="0.3">
      <c r="A61" s="151">
        <f>IF(B61&lt;&gt;"",COUNTA($B$12:B61),"")</f>
        <v>45</v>
      </c>
      <c r="B61" s="130" t="str">
        <f>+'R1 WMA'!B61</f>
        <v>Transmission</v>
      </c>
      <c r="C61" s="253" t="str">
        <f>+'R1 WMA'!C61</f>
        <v>TRNSM</v>
      </c>
      <c r="D61" s="253"/>
      <c r="E61" s="154">
        <f>SUM(SUMIF($C$12:$C$36,{"TMKW","TMKWH"},$I$12:$I$36))</f>
        <v>4829721.5007832516</v>
      </c>
      <c r="G61" s="254">
        <f t="shared" si="6"/>
        <v>2.8199999999999994</v>
      </c>
      <c r="I61" s="154">
        <f>SUM(SUMIF($C$12:$C$36,{"TMKW","TMKWH"},$N$12:$N$36))</f>
        <v>4287991.9698254857</v>
      </c>
      <c r="J61" s="254">
        <f t="shared" si="7"/>
        <v>2.5036924702484082</v>
      </c>
      <c r="L61" s="154">
        <f t="shared" si="5"/>
        <v>-541729.53095776588</v>
      </c>
      <c r="N61" s="254">
        <f t="shared" si="8"/>
        <v>-0.31630752975159149</v>
      </c>
    </row>
    <row r="62" spans="1:15" ht="14" x14ac:dyDescent="0.3">
      <c r="A62" s="151">
        <f>IF(B62&lt;&gt;"",COUNTA($B$12:B62),"")</f>
        <v>46</v>
      </c>
      <c r="B62" s="130" t="str">
        <f>+'R1 WMA'!B62</f>
        <v>Energy Efficiency Reconciliation Factor</v>
      </c>
      <c r="C62" s="253" t="str">
        <f>+'R1 WMA'!C62</f>
        <v>EERF</v>
      </c>
      <c r="D62" s="253"/>
      <c r="E62" s="154">
        <f>SUMIF($C$12:$C$36,$C62,$I$12:$I$36)</f>
        <v>2401159.4128007516</v>
      </c>
      <c r="G62" s="254">
        <f>+E62/$E$13*100</f>
        <v>1.4019999999999999</v>
      </c>
      <c r="I62" s="154">
        <f>SUMIF($C$12:$C$36,$C62,$N$12:$N$36)</f>
        <v>2401159.4128007516</v>
      </c>
      <c r="J62" s="254">
        <f>+I62/$E$13*100</f>
        <v>1.4019999999999999</v>
      </c>
      <c r="L62" s="154">
        <f>I62-E62</f>
        <v>0</v>
      </c>
      <c r="N62" s="254">
        <f>+L62/$E$13*100</f>
        <v>0</v>
      </c>
    </row>
    <row r="63" spans="1:15" ht="14" x14ac:dyDescent="0.3">
      <c r="A63" s="151">
        <f>IF(B63&lt;&gt;"",COUNTA($B$12:B63),"")</f>
        <v>47</v>
      </c>
      <c r="B63" s="130" t="str">
        <f>+'R1 WMA'!B63</f>
        <v>System Benefits Charge</v>
      </c>
      <c r="C63" s="253" t="str">
        <f>+'R1 WMA'!C63</f>
        <v>SBC</v>
      </c>
      <c r="D63" s="253"/>
      <c r="E63" s="154">
        <f>SUMIF($C$12:$C$36,$C63,$I$12:$I$36)</f>
        <v>428166.79971482733</v>
      </c>
      <c r="G63" s="254">
        <f t="shared" si="6"/>
        <v>0.25</v>
      </c>
      <c r="I63" s="154">
        <f>SUMIF($C$12:$C$36,$C63,$N$12:$N$36)</f>
        <v>428166.79971482733</v>
      </c>
      <c r="J63" s="254">
        <f t="shared" si="7"/>
        <v>0.25</v>
      </c>
      <c r="L63" s="154">
        <f t="shared" si="5"/>
        <v>0</v>
      </c>
      <c r="N63" s="254">
        <f t="shared" si="8"/>
        <v>0</v>
      </c>
    </row>
    <row r="64" spans="1:15" ht="14" x14ac:dyDescent="0.3">
      <c r="A64" s="151">
        <f>IF(B64&lt;&gt;"",COUNTA($B$12:B64),"")</f>
        <v>48</v>
      </c>
      <c r="B64" s="130" t="str">
        <f>+'R1 WMA'!B64</f>
        <v>Renewable Energy Charge</v>
      </c>
      <c r="C64" s="253" t="str">
        <f>+'R1 WMA'!C64</f>
        <v>RNEW</v>
      </c>
      <c r="D64" s="253"/>
      <c r="E64" s="154">
        <f>SUMIF($C$12:$C$36,$C64,$I$12:$I$36)</f>
        <v>85633.359942965471</v>
      </c>
      <c r="G64" s="254">
        <f t="shared" si="6"/>
        <v>0.05</v>
      </c>
      <c r="I64" s="154">
        <f>SUMIF($C$12:$C$36,$C64,$N$12:$N$36)</f>
        <v>85633.359942965471</v>
      </c>
      <c r="J64" s="254">
        <f t="shared" si="7"/>
        <v>0.05</v>
      </c>
      <c r="L64" s="154">
        <f>I64-E64</f>
        <v>0</v>
      </c>
      <c r="N64" s="254">
        <f t="shared" si="8"/>
        <v>0</v>
      </c>
    </row>
    <row r="65" spans="1:14" ht="14" x14ac:dyDescent="0.3">
      <c r="A65" s="151">
        <f>IF(B65&lt;&gt;"",COUNTA($B$12:B65),"")</f>
        <v>49</v>
      </c>
      <c r="B65" s="130" t="str">
        <f>+'R1 WMA'!B65</f>
        <v>Basic Service Charge</v>
      </c>
      <c r="C65" s="253" t="str">
        <f>+'R1 WMA'!C65</f>
        <v>BS</v>
      </c>
      <c r="D65" s="253"/>
      <c r="E65" s="255">
        <f>SUMIF($C$12:$C$36,$C65,$I$12:$I$36)</f>
        <v>17131809.990189668</v>
      </c>
      <c r="F65" s="256"/>
      <c r="G65" s="257">
        <f t="shared" si="6"/>
        <v>10.002999999999998</v>
      </c>
      <c r="H65" s="258"/>
      <c r="I65" s="255">
        <f>SUMIF($C$12:$C$36,$C65,$N$12:$N$36)</f>
        <v>20000527.548279013</v>
      </c>
      <c r="J65" s="257">
        <f t="shared" si="7"/>
        <v>11.677999999999999</v>
      </c>
      <c r="K65" s="255"/>
      <c r="L65" s="255">
        <f t="shared" si="5"/>
        <v>2868717.5580893457</v>
      </c>
      <c r="M65" s="259"/>
      <c r="N65" s="257">
        <f t="shared" si="8"/>
        <v>1.6750000000000016</v>
      </c>
    </row>
    <row r="66" spans="1:14" ht="14" x14ac:dyDescent="0.3">
      <c r="A66" s="151">
        <f>IF(B66&lt;&gt;"",COUNTA($B$12:B66),"")</f>
        <v>50</v>
      </c>
      <c r="B66" s="130" t="str">
        <f>+'R1 WMA'!B66</f>
        <v>Total</v>
      </c>
      <c r="C66" s="130"/>
      <c r="D66" s="130"/>
      <c r="E66" s="154">
        <f>SUM(E45:E65)</f>
        <v>36755022.146426767</v>
      </c>
      <c r="G66" s="254">
        <f t="shared" si="6"/>
        <v>21.460691353759085</v>
      </c>
      <c r="I66" s="154">
        <f>SUM(I45:I65)</f>
        <v>38244533.251208641</v>
      </c>
      <c r="J66" s="254">
        <f t="shared" si="7"/>
        <v>22.330393947335896</v>
      </c>
      <c r="L66" s="154">
        <f>SUM(L45:L65)</f>
        <v>1489511.1047818761</v>
      </c>
      <c r="N66" s="254">
        <f t="shared" si="8"/>
        <v>0.86970259357681268</v>
      </c>
    </row>
    <row r="67" spans="1:14" ht="14" x14ac:dyDescent="0.3">
      <c r="A67" s="151" t="str">
        <f>IF(B67&lt;&gt;"",COUNTA($B$12:B67),"")</f>
        <v/>
      </c>
    </row>
    <row r="68" spans="1:14" ht="14" x14ac:dyDescent="0.3">
      <c r="A68" s="151"/>
      <c r="B68" s="256" t="str">
        <f>+'R1 WMA'!B68</f>
        <v>Col. (a): Company's forecast</v>
      </c>
      <c r="E68" s="188"/>
      <c r="G68" s="188"/>
      <c r="H68" s="188"/>
      <c r="I68" s="188"/>
      <c r="J68" s="188"/>
      <c r="K68" s="188"/>
      <c r="L68" s="188"/>
      <c r="M68" s="188"/>
      <c r="N68" s="188"/>
    </row>
    <row r="69" spans="1:14" ht="14" x14ac:dyDescent="0.3">
      <c r="A69" s="151"/>
      <c r="B69" s="188" t="str">
        <f>'R1 EMA'!B69</f>
        <v>Col. (a): Company's forecast</v>
      </c>
    </row>
    <row r="70" spans="1:14" ht="14" x14ac:dyDescent="0.3">
      <c r="A70" s="151"/>
      <c r="B70" s="188" t="str">
        <f>'R1 EMA'!B70</f>
        <v>Col. (b): Current rates</v>
      </c>
    </row>
    <row r="71" spans="1:14" ht="14" x14ac:dyDescent="0.3">
      <c r="A71" s="151"/>
      <c r="B71" s="188" t="str">
        <f>'R1 EMA'!B71</f>
        <v>Col. (c): Col. (a) x Col. (b)</v>
      </c>
    </row>
    <row r="72" spans="1:14" ht="14" x14ac:dyDescent="0.3">
      <c r="A72" s="151"/>
      <c r="B72" s="188" t="str">
        <f>'R1 EMA'!B72</f>
        <v>Col. (e): Proposed rates</v>
      </c>
    </row>
    <row r="73" spans="1:14" ht="14" x14ac:dyDescent="0.3">
      <c r="A73" s="151"/>
      <c r="B73" s="188" t="str">
        <f>'R1 EMA'!B73</f>
        <v>Col. (f): Col. (a), Line 1 or Line 2  x Col. (e)</v>
      </c>
    </row>
  </sheetData>
  <mergeCells count="8">
    <mergeCell ref="E43:G43"/>
    <mergeCell ref="I43:J43"/>
    <mergeCell ref="L43:N43"/>
    <mergeCell ref="A4:N4"/>
    <mergeCell ref="A5:N5"/>
    <mergeCell ref="A7:N7"/>
    <mergeCell ref="G9:I9"/>
    <mergeCell ref="L9:N9"/>
  </mergeCells>
  <pageMargins left="0.7" right="0.7" top="0.75" bottom="0.75" header="0.3" footer="0.3"/>
  <pageSetup scale="63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1D5B3-49FD-4FEE-8145-C64884A1812D}">
  <sheetPr>
    <tabColor theme="9" tint="0.59999389629810485"/>
    <pageSetUpPr fitToPage="1"/>
  </sheetPr>
  <dimension ref="A3:Q76"/>
  <sheetViews>
    <sheetView workbookViewId="0"/>
  </sheetViews>
  <sheetFormatPr defaultRowHeight="12.5" x14ac:dyDescent="0.25"/>
  <cols>
    <col min="1" max="1" width="3.26953125" bestFit="1" customWidth="1"/>
    <col min="2" max="2" width="41.7265625" customWidth="1"/>
    <col min="3" max="3" width="8.7265625" customWidth="1"/>
    <col min="4" max="4" width="1.26953125" customWidth="1"/>
    <col min="5" max="5" width="15.7265625" customWidth="1"/>
    <col min="6" max="6" width="1.26953125" customWidth="1"/>
    <col min="7" max="7" width="13.7265625" customWidth="1"/>
    <col min="8" max="8" width="1.26953125" customWidth="1"/>
    <col min="9" max="9" width="15.7265625" customWidth="1"/>
    <col min="10" max="10" width="11" bestFit="1" customWidth="1"/>
    <col min="11" max="11" width="1.26953125" customWidth="1"/>
    <col min="12" max="12" width="13.7265625" customWidth="1"/>
    <col min="13" max="13" width="1.26953125" customWidth="1"/>
    <col min="14" max="14" width="15.7265625" customWidth="1"/>
  </cols>
  <sheetData>
    <row r="3" spans="1:17" ht="14" x14ac:dyDescent="0.3">
      <c r="A3" s="268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</row>
    <row r="4" spans="1:17" ht="14" x14ac:dyDescent="0.3">
      <c r="A4" s="748" t="str">
        <f>'R3 WMA'!A4:N4</f>
        <v>Western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7" ht="14" x14ac:dyDescent="0.3">
      <c r="A5" s="748" t="str">
        <f>'R4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7" ht="14" x14ac:dyDescent="0.3">
      <c r="A6" s="268"/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</row>
    <row r="7" spans="1:17" ht="14" x14ac:dyDescent="0.3">
      <c r="A7" s="748" t="s">
        <v>345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7" ht="14" x14ac:dyDescent="0.3">
      <c r="B8" s="207"/>
      <c r="C8" s="207"/>
      <c r="D8" s="207"/>
      <c r="E8" s="213"/>
      <c r="F8" s="207"/>
      <c r="I8" s="210"/>
      <c r="J8" s="210"/>
      <c r="K8" s="210"/>
      <c r="L8" s="214"/>
      <c r="M8" s="214"/>
      <c r="N8" s="215"/>
    </row>
    <row r="9" spans="1:17" ht="14.5" thickBot="1" x14ac:dyDescent="0.35">
      <c r="A9" s="151"/>
      <c r="B9" s="216" t="s">
        <v>46</v>
      </c>
      <c r="C9" s="216"/>
      <c r="D9" s="216"/>
      <c r="E9" s="217" t="s">
        <v>144</v>
      </c>
      <c r="F9" s="216"/>
      <c r="G9" s="749" t="s">
        <v>63</v>
      </c>
      <c r="H9" s="749"/>
      <c r="I9" s="749"/>
      <c r="J9" s="218"/>
      <c r="K9" s="216"/>
      <c r="L9" s="750" t="s">
        <v>64</v>
      </c>
      <c r="M9" s="750"/>
      <c r="N9" s="750"/>
    </row>
    <row r="10" spans="1:17" ht="14" x14ac:dyDescent="0.3">
      <c r="A10" s="151"/>
      <c r="B10" s="219" t="s">
        <v>293</v>
      </c>
      <c r="C10" s="220" t="s">
        <v>294</v>
      </c>
      <c r="D10" s="220"/>
      <c r="E10" s="221" t="s">
        <v>295</v>
      </c>
      <c r="F10" s="222"/>
      <c r="G10" s="223" t="s">
        <v>211</v>
      </c>
      <c r="H10" s="223"/>
      <c r="I10" s="223" t="s">
        <v>148</v>
      </c>
      <c r="J10" s="224"/>
      <c r="K10" s="222"/>
      <c r="L10" s="225" t="s">
        <v>211</v>
      </c>
      <c r="M10" s="226"/>
      <c r="N10" s="227" t="s">
        <v>148</v>
      </c>
    </row>
    <row r="11" spans="1:17" ht="14" x14ac:dyDescent="0.3">
      <c r="A11" s="151" t="str">
        <f>IF(B11&lt;&gt;"",COUNTA($B$9:B11),"")</f>
        <v/>
      </c>
      <c r="B11" s="228"/>
      <c r="C11" s="220"/>
      <c r="D11" s="220"/>
      <c r="E11" s="213" t="s">
        <v>66</v>
      </c>
      <c r="F11" s="222"/>
      <c r="G11" s="229" t="s">
        <v>67</v>
      </c>
      <c r="H11" s="230"/>
      <c r="I11" s="231" t="s">
        <v>68</v>
      </c>
      <c r="J11" s="231" t="s">
        <v>69</v>
      </c>
      <c r="K11" s="222"/>
      <c r="L11" s="226" t="s">
        <v>70</v>
      </c>
      <c r="M11" s="230"/>
      <c r="N11" s="231" t="s">
        <v>71</v>
      </c>
    </row>
    <row r="12" spans="1:17" ht="14" x14ac:dyDescent="0.3">
      <c r="A12" s="151">
        <f>IF(B12&lt;&gt;"",COUNTA($B$12:B12),"")</f>
        <v>1</v>
      </c>
      <c r="B12" s="232" t="str">
        <f>'R1 WMA'!B12</f>
        <v>Customer Charge</v>
      </c>
      <c r="C12" s="233" t="str">
        <f>'R1 WMA'!C12</f>
        <v>CUST</v>
      </c>
      <c r="D12" s="233"/>
      <c r="E12" s="234">
        <v>49943.200823266532</v>
      </c>
      <c r="F12" s="207"/>
      <c r="G12" s="209">
        <v>7</v>
      </c>
      <c r="H12" s="209"/>
      <c r="I12" s="210">
        <f>E12*G12</f>
        <v>349602.40576286573</v>
      </c>
      <c r="J12" s="235"/>
      <c r="K12" s="210"/>
      <c r="L12" s="209">
        <v>7</v>
      </c>
      <c r="M12" s="211"/>
      <c r="N12" s="210">
        <f>L12*E12</f>
        <v>349602.40576286573</v>
      </c>
      <c r="O12" s="272"/>
      <c r="P12" s="234"/>
      <c r="Q12" s="154"/>
    </row>
    <row r="13" spans="1:17" ht="14" x14ac:dyDescent="0.3">
      <c r="A13" s="151">
        <f>IF(B13&lt;&gt;"",COUNTA($B$12:B13),"")</f>
        <v>2</v>
      </c>
      <c r="B13" s="207" t="str">
        <f>'R1 WMA'!B13</f>
        <v>Distribution Energy</v>
      </c>
      <c r="C13" s="233" t="str">
        <f>'R1 WMA'!C13</f>
        <v>DKWH</v>
      </c>
      <c r="D13" s="233"/>
      <c r="E13" s="234">
        <v>47564225.783692762</v>
      </c>
      <c r="F13" s="207"/>
      <c r="G13" s="236">
        <v>3.8350000000000002E-2</v>
      </c>
      <c r="H13" s="209"/>
      <c r="I13" s="237">
        <f>E13*G13</f>
        <v>1824088.0588046175</v>
      </c>
      <c r="J13" s="235"/>
      <c r="K13" s="210"/>
      <c r="L13" s="236">
        <v>3.9940000000000003E-2</v>
      </c>
      <c r="M13" s="211"/>
      <c r="N13" s="237">
        <f t="shared" ref="N13" si="0">L13*E13</f>
        <v>1899715.1778006891</v>
      </c>
      <c r="O13" s="272"/>
      <c r="P13" s="273"/>
    </row>
    <row r="14" spans="1:17" ht="14" x14ac:dyDescent="0.3">
      <c r="A14" s="151">
        <f>IF(B14&lt;&gt;"",COUNTA($B$12:B14),"")</f>
        <v>3</v>
      </c>
      <c r="B14" s="207" t="str">
        <f>'R1 WMA'!B14</f>
        <v>Total Distribution</v>
      </c>
      <c r="C14" s="233" t="str">
        <f>'R1 WMA'!C14</f>
        <v>DIST</v>
      </c>
      <c r="D14" s="233"/>
      <c r="E14" s="234"/>
      <c r="F14" s="207"/>
      <c r="G14" s="209"/>
      <c r="H14" s="209"/>
      <c r="I14" s="210">
        <f>SUM(I12:I13)</f>
        <v>2173690.4645674834</v>
      </c>
      <c r="J14" s="235"/>
      <c r="K14" s="210"/>
      <c r="L14" s="238"/>
      <c r="M14" s="211"/>
      <c r="N14" s="210">
        <f>SUM(N12:N13)</f>
        <v>2249317.583563555</v>
      </c>
      <c r="O14" s="272"/>
      <c r="P14" s="273"/>
    </row>
    <row r="15" spans="1:17" ht="14" x14ac:dyDescent="0.3">
      <c r="A15" s="151" t="str">
        <f>IF(B15&lt;&gt;"",COUNTA($B$12:B15),"")</f>
        <v/>
      </c>
      <c r="B15" s="207"/>
      <c r="C15" s="233"/>
      <c r="D15" s="233"/>
      <c r="E15" s="234"/>
      <c r="F15" s="207"/>
      <c r="G15" s="209"/>
      <c r="H15" s="209"/>
      <c r="I15" s="210"/>
      <c r="J15" s="235"/>
      <c r="K15" s="210"/>
      <c r="L15" s="238"/>
      <c r="M15" s="211"/>
      <c r="N15" s="210"/>
      <c r="O15" s="272"/>
      <c r="P15" s="273"/>
    </row>
    <row r="16" spans="1:17" ht="14" x14ac:dyDescent="0.3">
      <c r="A16" s="151">
        <f>IF(B16&lt;&gt;"",COUNTA($B$12:B16),"")</f>
        <v>4</v>
      </c>
      <c r="B16" s="228" t="s">
        <v>302</v>
      </c>
      <c r="F16" s="239"/>
      <c r="G16" s="240"/>
      <c r="H16" s="211"/>
      <c r="I16" s="210"/>
      <c r="K16" s="210"/>
      <c r="L16" s="241"/>
      <c r="M16" s="211"/>
      <c r="N16" s="210"/>
      <c r="O16" s="272"/>
    </row>
    <row r="17" spans="1:17" ht="14" x14ac:dyDescent="0.3">
      <c r="A17" s="151">
        <f>IF(B17&lt;&gt;"",COUNTA($B$12:B17),"")</f>
        <v>5</v>
      </c>
      <c r="B17" s="207" t="str">
        <f>'R1 WMA'!B17</f>
        <v>Revenue Decoupling</v>
      </c>
      <c r="C17" s="233" t="str">
        <f>'R1 WMA'!C17</f>
        <v>RDAF</v>
      </c>
      <c r="D17" s="233"/>
      <c r="E17" s="242"/>
      <c r="F17" s="239"/>
      <c r="G17" s="236">
        <v>6.4000000000000005E-4</v>
      </c>
      <c r="H17" s="211"/>
      <c r="I17" s="210">
        <f>G17*($E$13)</f>
        <v>30441.104501563372</v>
      </c>
      <c r="K17" s="210"/>
      <c r="L17" s="236">
        <v>-4.636470553498867E-4</v>
      </c>
      <c r="M17" s="211"/>
      <c r="N17" s="210">
        <f>L17*($E$13)</f>
        <v>-22053.013224606308</v>
      </c>
      <c r="O17" s="272"/>
      <c r="P17" s="234"/>
    </row>
    <row r="18" spans="1:17" ht="14" x14ac:dyDescent="0.3">
      <c r="A18" s="151">
        <f>IF(B18&lt;&gt;"",COUNTA($B$12:B18),"")</f>
        <v>6</v>
      </c>
      <c r="B18" s="207" t="str">
        <f>'R1 WMA'!B18</f>
        <v>Residential Assistance Adjustment Factor</v>
      </c>
      <c r="C18" s="233" t="str">
        <f>'R1 WMA'!C18</f>
        <v>RAAF</v>
      </c>
      <c r="D18" s="243"/>
      <c r="E18" s="206"/>
      <c r="F18" s="239"/>
      <c r="G18" s="236">
        <v>1.086E-2</v>
      </c>
      <c r="H18" s="211"/>
      <c r="I18" s="210">
        <f t="shared" ref="I18:I36" si="1">G18*($E$13)</f>
        <v>516547.49201090337</v>
      </c>
      <c r="K18" s="210"/>
      <c r="L18" s="236">
        <v>3.9170150182816542E-3</v>
      </c>
      <c r="M18" s="211"/>
      <c r="N18" s="210">
        <f t="shared" ref="N18:N36" si="2">L18*($E$13)</f>
        <v>186309.78672766403</v>
      </c>
      <c r="O18" s="272"/>
      <c r="P18" s="234"/>
      <c r="Q18" s="210"/>
    </row>
    <row r="19" spans="1:17" ht="14" x14ac:dyDescent="0.3">
      <c r="A19" s="151">
        <f>IF(B19&lt;&gt;"",COUNTA($B$12:B19),"")</f>
        <v>7</v>
      </c>
      <c r="B19" s="207" t="str">
        <f>'R1 WMA'!B19</f>
        <v>Pension Adjustment Factor</v>
      </c>
      <c r="C19" s="233" t="str">
        <f>'R1 WMA'!C19</f>
        <v>PAF</v>
      </c>
      <c r="D19" s="243"/>
      <c r="E19" s="206"/>
      <c r="F19" s="239"/>
      <c r="G19" s="236">
        <v>1.4E-3</v>
      </c>
      <c r="H19" s="211"/>
      <c r="I19" s="210">
        <f t="shared" si="1"/>
        <v>66589.916097169873</v>
      </c>
      <c r="K19" s="210"/>
      <c r="L19" s="236">
        <v>9.1807557129104558E-4</v>
      </c>
      <c r="M19" s="211"/>
      <c r="N19" s="210">
        <f t="shared" si="2"/>
        <v>43667.553759380011</v>
      </c>
      <c r="O19" s="272"/>
      <c r="P19" s="274"/>
    </row>
    <row r="20" spans="1:17" ht="14" x14ac:dyDescent="0.3">
      <c r="A20" s="151">
        <f>IF(B20&lt;&gt;"",COUNTA($B$12:B20),"")</f>
        <v>8</v>
      </c>
      <c r="B20" s="207" t="str">
        <f>'R1 WMA'!B20</f>
        <v>Net Metering Recovery Surcharge</v>
      </c>
      <c r="C20" s="233" t="str">
        <f>'R1 WMA'!C20</f>
        <v>NMRS</v>
      </c>
      <c r="D20" s="243"/>
      <c r="E20" s="206"/>
      <c r="F20" s="239"/>
      <c r="G20" s="236">
        <v>4.7200000000000002E-3</v>
      </c>
      <c r="H20" s="211"/>
      <c r="I20" s="210">
        <f t="shared" si="1"/>
        <v>224503.14569902985</v>
      </c>
      <c r="K20" s="210"/>
      <c r="L20" s="236">
        <v>5.1074733847265843E-3</v>
      </c>
      <c r="M20" s="211"/>
      <c r="N20" s="210">
        <f t="shared" si="2"/>
        <v>242933.01725533674</v>
      </c>
      <c r="O20" s="272"/>
      <c r="P20" s="274"/>
    </row>
    <row r="21" spans="1:17" ht="14" x14ac:dyDescent="0.3">
      <c r="A21" s="151">
        <f>IF(B21&lt;&gt;"",COUNTA($B$12:B21),"")</f>
        <v>9</v>
      </c>
      <c r="B21" s="207" t="str">
        <f>'R1 WMA'!B21</f>
        <v>Long Term Renewable Contract Adjustment</v>
      </c>
      <c r="C21" s="233" t="str">
        <f>'R1 WMA'!C21</f>
        <v>LTRCA</v>
      </c>
      <c r="D21" s="243"/>
      <c r="E21" s="206"/>
      <c r="F21" s="239"/>
      <c r="G21" s="236">
        <v>3.31E-3</v>
      </c>
      <c r="H21" s="211"/>
      <c r="I21" s="210">
        <f t="shared" si="1"/>
        <v>157437.58734402305</v>
      </c>
      <c r="K21" s="210"/>
      <c r="L21" s="236">
        <v>1.7357128782064517E-3</v>
      </c>
      <c r="M21" s="211"/>
      <c r="N21" s="210">
        <f t="shared" si="2"/>
        <v>82557.839234674888</v>
      </c>
      <c r="O21" s="272"/>
      <c r="P21" s="275"/>
    </row>
    <row r="22" spans="1:17" ht="14" x14ac:dyDescent="0.3">
      <c r="A22" s="151">
        <f>IF(B22&lt;&gt;"",COUNTA($B$12:B22),"")</f>
        <v>10</v>
      </c>
      <c r="B22" s="207" t="str">
        <f>'R1 WMA'!B22</f>
        <v>AG Consulting Expense</v>
      </c>
      <c r="C22" s="233" t="str">
        <f>'R1 WMA'!C22</f>
        <v>AGCE</v>
      </c>
      <c r="D22" s="243"/>
      <c r="E22" s="206"/>
      <c r="F22" s="239"/>
      <c r="G22" s="236">
        <v>3.0000000000000001E-5</v>
      </c>
      <c r="H22" s="211"/>
      <c r="I22" s="210">
        <f t="shared" si="1"/>
        <v>1426.9267735107828</v>
      </c>
      <c r="K22" s="210"/>
      <c r="L22" s="236">
        <v>8.2242703690137013E-6</v>
      </c>
      <c r="M22" s="211"/>
      <c r="N22" s="210">
        <f t="shared" si="2"/>
        <v>391.18105273790189</v>
      </c>
      <c r="O22" s="272"/>
      <c r="P22" s="274"/>
    </row>
    <row r="23" spans="1:17" ht="14" x14ac:dyDescent="0.3">
      <c r="A23" s="151">
        <f>IF(B23&lt;&gt;"",COUNTA($B$12:B23),"")</f>
        <v>11</v>
      </c>
      <c r="B23" s="207" t="str">
        <f>'R1 WMA'!B23</f>
        <v>Storm Cost Recovery Adjustment Factor</v>
      </c>
      <c r="C23" s="233" t="str">
        <f>'R1 WMA'!C23</f>
        <v>SCRA</v>
      </c>
      <c r="D23" s="243"/>
      <c r="E23" s="206"/>
      <c r="F23" s="239"/>
      <c r="G23" s="236">
        <v>2.5200000000000001E-3</v>
      </c>
      <c r="H23" s="211"/>
      <c r="I23" s="210">
        <f t="shared" si="1"/>
        <v>119861.84897490576</v>
      </c>
      <c r="K23" s="210"/>
      <c r="L23" s="236">
        <v>2.961647786806138E-3</v>
      </c>
      <c r="M23" s="211"/>
      <c r="N23" s="210">
        <f t="shared" si="2"/>
        <v>140868.4840234211</v>
      </c>
      <c r="O23" s="272"/>
      <c r="P23" s="274"/>
    </row>
    <row r="24" spans="1:17" ht="14" x14ac:dyDescent="0.3">
      <c r="A24" s="151">
        <f>IF(B24&lt;&gt;"",COUNTA($B$12:B24),"")</f>
        <v>12</v>
      </c>
      <c r="B24" s="207" t="str">
        <f>'R1 WMA'!B24</f>
        <v>Storm Reserve Adjustment</v>
      </c>
      <c r="C24" s="233" t="str">
        <f>'R1 WMA'!C24</f>
        <v>SRA</v>
      </c>
      <c r="D24" s="243"/>
      <c r="E24" s="206"/>
      <c r="F24" s="239"/>
      <c r="G24" s="236">
        <v>0</v>
      </c>
      <c r="H24" s="211"/>
      <c r="I24" s="210">
        <f t="shared" si="1"/>
        <v>0</v>
      </c>
      <c r="K24" s="210"/>
      <c r="L24" s="236">
        <v>0</v>
      </c>
      <c r="M24" s="211"/>
      <c r="N24" s="210">
        <f t="shared" si="2"/>
        <v>0</v>
      </c>
      <c r="O24" s="272"/>
      <c r="P24" s="274"/>
    </row>
    <row r="25" spans="1:17" ht="14" x14ac:dyDescent="0.3">
      <c r="A25" s="151">
        <f>IF(B25&lt;&gt;"",COUNTA($B$12:B25),"")</f>
        <v>13</v>
      </c>
      <c r="B25" s="207" t="str">
        <f>'R1 WMA'!B25</f>
        <v>Basic Service Cost True Up Factor</v>
      </c>
      <c r="C25" s="233" t="str">
        <f>'R1 WMA'!C25</f>
        <v>BSTF</v>
      </c>
      <c r="D25" s="243"/>
      <c r="E25" s="206"/>
      <c r="F25" s="239"/>
      <c r="G25" s="236">
        <v>2.3000000000000001E-4</v>
      </c>
      <c r="H25" s="211"/>
      <c r="I25" s="210">
        <f t="shared" si="1"/>
        <v>10939.771930249335</v>
      </c>
      <c r="K25" s="210"/>
      <c r="L25" s="236">
        <v>-1.9437188368004869E-4</v>
      </c>
      <c r="M25" s="211"/>
      <c r="N25" s="210">
        <f t="shared" si="2"/>
        <v>-9245.1481613595024</v>
      </c>
      <c r="O25" s="272"/>
      <c r="P25" s="274"/>
    </row>
    <row r="26" spans="1:17" ht="14" x14ac:dyDescent="0.3">
      <c r="A26" s="151">
        <f>IF(B26&lt;&gt;"",COUNTA($B$12:B26),"")</f>
        <v>14</v>
      </c>
      <c r="B26" s="207" t="str">
        <f>'R1 WMA'!B26</f>
        <v>Solar Program Cost Adjustment Factor</v>
      </c>
      <c r="C26" s="233" t="str">
        <f>'R1 WMA'!C26</f>
        <v>SPCA</v>
      </c>
      <c r="D26" s="233"/>
      <c r="E26" s="206"/>
      <c r="F26" s="239"/>
      <c r="G26" s="236">
        <v>-1.2999999999999999E-4</v>
      </c>
      <c r="H26" s="211"/>
      <c r="I26" s="210">
        <f t="shared" si="1"/>
        <v>-6183.3493518800587</v>
      </c>
      <c r="K26" s="210"/>
      <c r="L26" s="236">
        <v>3.4591298516964567E-5</v>
      </c>
      <c r="M26" s="211"/>
      <c r="N26" s="210">
        <f t="shared" si="2"/>
        <v>1645.3083328120192</v>
      </c>
      <c r="O26" s="272"/>
      <c r="P26" s="276"/>
    </row>
    <row r="27" spans="1:17" ht="14" x14ac:dyDescent="0.3">
      <c r="A27" s="151">
        <f>IF(B27&lt;&gt;"",COUNTA($B$12:B27),"")</f>
        <v>15</v>
      </c>
      <c r="B27" s="207" t="str">
        <f>'R1 WMA'!B27</f>
        <v>Solar Expansion Cost Recovery Factor</v>
      </c>
      <c r="C27" s="233" t="str">
        <f>'R1 WMA'!C27</f>
        <v>SECRF</v>
      </c>
      <c r="D27" s="233"/>
      <c r="E27" s="206"/>
      <c r="F27" s="239"/>
      <c r="G27" s="236">
        <v>0</v>
      </c>
      <c r="H27" s="211"/>
      <c r="I27" s="210">
        <f t="shared" si="1"/>
        <v>0</v>
      </c>
      <c r="K27" s="210"/>
      <c r="L27" s="236">
        <v>6.1011137043019529E-4</v>
      </c>
      <c r="M27" s="211"/>
      <c r="N27" s="210">
        <f t="shared" si="2"/>
        <v>29019.474976340021</v>
      </c>
      <c r="O27" s="272"/>
      <c r="P27" s="276"/>
    </row>
    <row r="28" spans="1:17" ht="14" x14ac:dyDescent="0.3">
      <c r="A28" s="151">
        <f>IF(B28&lt;&gt;"",COUNTA($B$12:B28),"")</f>
        <v>16</v>
      </c>
      <c r="B28" s="207" t="str">
        <f>'R1 WMA'!B28</f>
        <v>Vegetation Management</v>
      </c>
      <c r="C28" s="233" t="str">
        <f>'R1 WMA'!C28</f>
        <v>RTWF</v>
      </c>
      <c r="D28" s="233"/>
      <c r="E28" s="206"/>
      <c r="F28" s="239"/>
      <c r="G28" s="236">
        <v>0</v>
      </c>
      <c r="H28" s="211"/>
      <c r="I28" s="210">
        <f t="shared" si="1"/>
        <v>0</v>
      </c>
      <c r="K28" s="210"/>
      <c r="L28" s="236">
        <v>1.6436655676838139E-3</v>
      </c>
      <c r="M28" s="211"/>
      <c r="N28" s="210">
        <f t="shared" si="2"/>
        <v>78179.680174194466</v>
      </c>
      <c r="O28" s="272"/>
      <c r="P28" s="276"/>
    </row>
    <row r="29" spans="1:17" ht="14" x14ac:dyDescent="0.3">
      <c r="A29" s="151">
        <f>IF(B29&lt;&gt;"",COUNTA($B$12:B29),"")</f>
        <v>17</v>
      </c>
      <c r="B29" s="207" t="str">
        <f>'R1 WMA'!B29</f>
        <v>Solar Massachusetts Renewable Target</v>
      </c>
      <c r="C29" s="233" t="str">
        <f>'R1 WMA'!C29</f>
        <v>SMART</v>
      </c>
      <c r="D29" s="233"/>
      <c r="E29" s="206"/>
      <c r="F29" s="239"/>
      <c r="G29" s="236">
        <v>0</v>
      </c>
      <c r="H29" s="211"/>
      <c r="I29" s="210">
        <f t="shared" si="1"/>
        <v>0</v>
      </c>
      <c r="K29" s="210"/>
      <c r="L29" s="236">
        <v>7.1483108644926168E-4</v>
      </c>
      <c r="M29" s="211"/>
      <c r="N29" s="210">
        <f t="shared" si="2"/>
        <v>34000.387193075083</v>
      </c>
      <c r="O29" s="272"/>
      <c r="P29" s="276"/>
    </row>
    <row r="30" spans="1:17" ht="14" x14ac:dyDescent="0.3">
      <c r="A30" s="151">
        <f>IF(B30&lt;&gt;"",COUNTA($B$12:B30),"")</f>
        <v>18</v>
      </c>
      <c r="B30" s="207" t="str">
        <f>'R1 WMA'!B30</f>
        <v>Tax Act Credit Factor</v>
      </c>
      <c r="C30" s="233" t="str">
        <f>'R1 WMA'!C30</f>
        <v>TACF</v>
      </c>
      <c r="D30" s="233"/>
      <c r="E30" s="206"/>
      <c r="F30" s="239"/>
      <c r="G30" s="236">
        <v>0</v>
      </c>
      <c r="H30" s="211"/>
      <c r="I30" s="210">
        <f t="shared" si="1"/>
        <v>0</v>
      </c>
      <c r="K30" s="210"/>
      <c r="L30" s="236">
        <v>-1.0821348464114689E-3</v>
      </c>
      <c r="M30" s="211"/>
      <c r="N30" s="210">
        <f t="shared" si="2"/>
        <v>-51470.906163116793</v>
      </c>
      <c r="O30" s="272"/>
      <c r="P30" s="276"/>
    </row>
    <row r="31" spans="1:17" ht="14" x14ac:dyDescent="0.3">
      <c r="A31" s="151">
        <f>IF(B31&lt;&gt;"",COUNTA($B$12:B31),"")</f>
        <v>19</v>
      </c>
      <c r="B31" s="207" t="str">
        <f>'R1 WMA'!B31</f>
        <v>Transition</v>
      </c>
      <c r="C31" s="233" t="str">
        <f>'R1 WMA'!C31</f>
        <v>TRNSN</v>
      </c>
      <c r="D31" s="233"/>
      <c r="E31" s="206"/>
      <c r="F31" s="239"/>
      <c r="G31" s="236">
        <v>-1.7099999999999999E-3</v>
      </c>
      <c r="H31" s="211"/>
      <c r="I31" s="210">
        <f t="shared" si="1"/>
        <v>-81334.826090114613</v>
      </c>
      <c r="K31" s="210"/>
      <c r="L31" s="236">
        <v>-5.210932140356871E-4</v>
      </c>
      <c r="M31" s="211"/>
      <c r="N31" s="210">
        <f t="shared" si="2"/>
        <v>-24785.395286743558</v>
      </c>
      <c r="O31" s="272"/>
      <c r="P31" s="275"/>
    </row>
    <row r="32" spans="1:17" ht="14" x14ac:dyDescent="0.3">
      <c r="A32" s="151">
        <f>IF(B32&lt;&gt;"",COUNTA($B$12:B32),"")</f>
        <v>20</v>
      </c>
      <c r="B32" s="207" t="str">
        <f>'R1 WMA'!B32</f>
        <v>Transmission Energy</v>
      </c>
      <c r="C32" s="233" t="str">
        <f>'R1 WMA'!C32</f>
        <v>TMKWH</v>
      </c>
      <c r="D32" s="233"/>
      <c r="E32" s="206"/>
      <c r="F32" s="239"/>
      <c r="G32" s="236">
        <v>2.8199999999999999E-2</v>
      </c>
      <c r="H32" s="211"/>
      <c r="I32" s="210">
        <f t="shared" si="1"/>
        <v>1341311.1671001359</v>
      </c>
      <c r="K32" s="210"/>
      <c r="L32" s="236">
        <v>2.503692470248408E-2</v>
      </c>
      <c r="M32" s="211"/>
      <c r="N32" s="210">
        <f t="shared" si="2"/>
        <v>1190861.9394782674</v>
      </c>
      <c r="O32" s="272"/>
      <c r="P32" s="275"/>
    </row>
    <row r="33" spans="1:16" ht="14" x14ac:dyDescent="0.3">
      <c r="A33" s="151">
        <f>IF(B33&lt;&gt;"",COUNTA($B$12:B33),"")</f>
        <v>21</v>
      </c>
      <c r="B33" s="207" t="str">
        <f>'R1 WMA'!B33</f>
        <v>Energy Efficiency Reconciliation Factor</v>
      </c>
      <c r="C33" s="233" t="str">
        <f>'R1 WMA'!C33</f>
        <v>EERF</v>
      </c>
      <c r="D33" s="233"/>
      <c r="E33" s="206"/>
      <c r="F33" s="239"/>
      <c r="G33" s="236">
        <v>6.4999999999999997E-4</v>
      </c>
      <c r="H33" s="211"/>
      <c r="I33" s="210">
        <f t="shared" si="1"/>
        <v>30916.746759400296</v>
      </c>
      <c r="K33" s="210"/>
      <c r="L33" s="236">
        <v>6.4999999999999997E-4</v>
      </c>
      <c r="M33" s="211"/>
      <c r="N33" s="210">
        <f t="shared" si="2"/>
        <v>30916.746759400296</v>
      </c>
      <c r="O33" s="272"/>
      <c r="P33" s="232"/>
    </row>
    <row r="34" spans="1:16" ht="14" x14ac:dyDescent="0.3">
      <c r="A34" s="151">
        <f>IF(B34&lt;&gt;"",COUNTA($B$12:B34),"")</f>
        <v>22</v>
      </c>
      <c r="B34" s="207" t="str">
        <f>'R1 WMA'!B34</f>
        <v>System Benefits Charge</v>
      </c>
      <c r="C34" s="233" t="str">
        <f>'R1 WMA'!C34</f>
        <v>SBC</v>
      </c>
      <c r="D34" s="233"/>
      <c r="E34" s="206"/>
      <c r="F34" s="239"/>
      <c r="G34" s="236">
        <v>2.5000000000000001E-3</v>
      </c>
      <c r="H34" s="211"/>
      <c r="I34" s="210">
        <f t="shared" si="1"/>
        <v>118910.56445923191</v>
      </c>
      <c r="K34" s="210"/>
      <c r="L34" s="236">
        <f>+G34</f>
        <v>2.5000000000000001E-3</v>
      </c>
      <c r="M34" s="211"/>
      <c r="N34" s="210">
        <f t="shared" si="2"/>
        <v>118910.56445923191</v>
      </c>
      <c r="O34" s="272"/>
      <c r="P34" s="275"/>
    </row>
    <row r="35" spans="1:16" ht="14" x14ac:dyDescent="0.3">
      <c r="A35" s="151">
        <f>IF(B35&lt;&gt;"",COUNTA($B$12:B35),"")</f>
        <v>23</v>
      </c>
      <c r="B35" s="207" t="str">
        <f>'R1 WMA'!B35</f>
        <v>Renewable Energy Charge</v>
      </c>
      <c r="C35" s="233" t="str">
        <f>'R1 WMA'!C35</f>
        <v>RNEW</v>
      </c>
      <c r="D35" s="233"/>
      <c r="E35" s="206"/>
      <c r="F35" s="239"/>
      <c r="G35" s="236">
        <v>5.0000000000000001E-4</v>
      </c>
      <c r="H35" s="211"/>
      <c r="I35" s="210">
        <f t="shared" si="1"/>
        <v>23782.11289184638</v>
      </c>
      <c r="K35" s="210"/>
      <c r="L35" s="236">
        <f>+G35</f>
        <v>5.0000000000000001E-4</v>
      </c>
      <c r="M35" s="211"/>
      <c r="N35" s="210">
        <f t="shared" si="2"/>
        <v>23782.11289184638</v>
      </c>
      <c r="O35" s="272"/>
      <c r="P35" s="275"/>
    </row>
    <row r="36" spans="1:16" ht="14" x14ac:dyDescent="0.3">
      <c r="A36" s="151">
        <f>IF(B36&lt;&gt;"",COUNTA($B$12:B36),"")</f>
        <v>24</v>
      </c>
      <c r="B36" s="207" t="str">
        <f>'R1 WMA'!B36</f>
        <v>Basic Service Charge</v>
      </c>
      <c r="C36" s="233" t="str">
        <f>'R1 WMA'!C36</f>
        <v>BS</v>
      </c>
      <c r="D36" s="233"/>
      <c r="E36" s="206"/>
      <c r="F36" s="239"/>
      <c r="G36" s="277">
        <v>0.10002999999999999</v>
      </c>
      <c r="H36" s="211"/>
      <c r="I36" s="237">
        <f t="shared" si="1"/>
        <v>4757849.5051427865</v>
      </c>
      <c r="K36" s="210"/>
      <c r="L36" s="236">
        <v>0.11677999999999999</v>
      </c>
      <c r="M36" s="211"/>
      <c r="N36" s="237">
        <f t="shared" si="2"/>
        <v>5554550.2870196402</v>
      </c>
      <c r="O36" s="272"/>
      <c r="P36" s="232"/>
    </row>
    <row r="37" spans="1:16" ht="14" x14ac:dyDescent="0.3">
      <c r="A37" s="151" t="str">
        <f>IF(B37&lt;&gt;"",COUNTA($B$12:B37),"")</f>
        <v/>
      </c>
      <c r="B37" s="207"/>
      <c r="E37" s="206"/>
      <c r="F37" s="239"/>
      <c r="G37" s="241"/>
      <c r="H37" s="211"/>
      <c r="I37" s="244"/>
      <c r="K37" s="210"/>
      <c r="L37" s="241"/>
      <c r="M37" s="211"/>
      <c r="N37" s="244"/>
      <c r="O37" s="272"/>
    </row>
    <row r="38" spans="1:16" ht="14" x14ac:dyDescent="0.3">
      <c r="A38" s="151">
        <f>IF(B38&lt;&gt;"",COUNTA($B$12:B38),"")</f>
        <v>25</v>
      </c>
      <c r="B38" s="188" t="s">
        <v>46</v>
      </c>
      <c r="E38" s="188"/>
      <c r="G38" s="245" t="s">
        <v>324</v>
      </c>
      <c r="H38" s="246"/>
      <c r="I38" s="154">
        <f>SUM(I14:I37)</f>
        <v>9486690.1788102463</v>
      </c>
      <c r="K38" s="247"/>
      <c r="L38" s="245"/>
      <c r="N38" s="154">
        <f>SUM(N14:N37)</f>
        <v>9900357.4840657506</v>
      </c>
      <c r="P38" s="154"/>
    </row>
    <row r="39" spans="1:16" ht="14" x14ac:dyDescent="0.3">
      <c r="A39" s="151">
        <f>IF(B39&lt;&gt;"",COUNTA($B$12:B39),"")</f>
        <v>26</v>
      </c>
      <c r="B39" s="188" t="s">
        <v>46</v>
      </c>
      <c r="G39" s="260" t="s">
        <v>337</v>
      </c>
      <c r="I39" s="237">
        <f>0.36*I38</f>
        <v>3415208.4643716887</v>
      </c>
      <c r="J39" s="262"/>
      <c r="K39" s="168"/>
      <c r="L39" s="168"/>
      <c r="M39" s="263"/>
      <c r="N39" s="237">
        <f>0.36*N38</f>
        <v>3564128.6942636701</v>
      </c>
      <c r="P39" s="154"/>
    </row>
    <row r="40" spans="1:16" ht="14" x14ac:dyDescent="0.3">
      <c r="A40" s="151">
        <f>IF(B40&lt;&gt;"",COUNTA($B$12:B40),"")</f>
        <v>27</v>
      </c>
      <c r="B40" s="188" t="s">
        <v>46</v>
      </c>
      <c r="G40" s="245" t="s">
        <v>338</v>
      </c>
      <c r="H40" s="188"/>
      <c r="I40" s="154">
        <f>+I38-I39</f>
        <v>6071481.7144385576</v>
      </c>
      <c r="L40" s="252"/>
      <c r="N40" s="154">
        <f>N38-N39</f>
        <v>6336228.78980208</v>
      </c>
      <c r="P40" s="154"/>
    </row>
    <row r="41" spans="1:16" ht="14" x14ac:dyDescent="0.3">
      <c r="A41" s="151" t="str">
        <f>IF(B41&lt;&gt;"",COUNTA($B$12:B41),"")</f>
        <v/>
      </c>
      <c r="E41" s="188"/>
      <c r="H41" s="188"/>
      <c r="I41" s="154"/>
      <c r="L41" s="264"/>
      <c r="N41" s="265"/>
      <c r="P41" s="154"/>
    </row>
    <row r="42" spans="1:16" ht="14" x14ac:dyDescent="0.3">
      <c r="A42" s="151">
        <f>IF(B42&lt;&gt;"",COUNTA($B$12:B42),"")</f>
        <v>28</v>
      </c>
      <c r="B42" s="188" t="s">
        <v>46</v>
      </c>
      <c r="E42" s="188"/>
      <c r="G42" s="188"/>
      <c r="H42" s="188"/>
      <c r="I42" s="188"/>
      <c r="J42" s="188"/>
      <c r="L42" s="266" t="s">
        <v>339</v>
      </c>
      <c r="N42" s="160">
        <f>+N38/I38-1</f>
        <v>4.3605018974845811E-2</v>
      </c>
    </row>
    <row r="43" spans="1:16" ht="14" x14ac:dyDescent="0.3">
      <c r="A43" s="151" t="str">
        <f>IF(B43&lt;&gt;"",COUNTA($B$12:B43),"")</f>
        <v/>
      </c>
      <c r="E43" s="133"/>
      <c r="F43" s="133"/>
      <c r="G43" s="133"/>
      <c r="H43" s="188"/>
      <c r="I43" s="133"/>
      <c r="J43" s="133"/>
      <c r="L43" s="266" t="s">
        <v>340</v>
      </c>
      <c r="M43" s="267"/>
      <c r="N43" s="160">
        <f>+N40/I40-1</f>
        <v>4.3605018974845811E-2</v>
      </c>
    </row>
    <row r="44" spans="1:16" ht="14" x14ac:dyDescent="0.3">
      <c r="A44" s="151" t="str">
        <f>IF(B44&lt;&gt;"",COUNTA($B$12:B44),"")</f>
        <v/>
      </c>
      <c r="E44" s="188"/>
      <c r="G44" s="186"/>
      <c r="H44" s="188"/>
      <c r="I44" s="188"/>
      <c r="L44" s="248"/>
      <c r="N44" s="160"/>
    </row>
    <row r="45" spans="1:16" ht="14.5" thickBot="1" x14ac:dyDescent="0.35">
      <c r="A45" s="151">
        <f>IF(B45&lt;&gt;"",COUNTA($B$12:B45),"")</f>
        <v>29</v>
      </c>
      <c r="B45" s="188" t="s">
        <v>46</v>
      </c>
      <c r="E45" s="747" t="s">
        <v>326</v>
      </c>
      <c r="F45" s="747"/>
      <c r="G45" s="747"/>
      <c r="I45" s="747" t="s">
        <v>327</v>
      </c>
      <c r="J45" s="747"/>
      <c r="L45" s="747" t="s">
        <v>328</v>
      </c>
      <c r="M45" s="747"/>
      <c r="N45" s="747"/>
    </row>
    <row r="46" spans="1:16" ht="14" x14ac:dyDescent="0.3">
      <c r="A46" s="151">
        <f>IF(B46&lt;&gt;"",COUNTA($B$12:B46),"")</f>
        <v>30</v>
      </c>
      <c r="B46" s="144" t="s">
        <v>329</v>
      </c>
      <c r="C46" s="144"/>
      <c r="D46" s="144"/>
      <c r="E46" s="249" t="s">
        <v>148</v>
      </c>
      <c r="F46" s="250"/>
      <c r="G46" s="251" t="s">
        <v>330</v>
      </c>
      <c r="I46" s="249" t="s">
        <v>148</v>
      </c>
      <c r="J46" s="251" t="s">
        <v>330</v>
      </c>
      <c r="K46" s="212"/>
      <c r="L46" s="249" t="s">
        <v>148</v>
      </c>
      <c r="M46" s="252"/>
      <c r="N46" s="251" t="s">
        <v>330</v>
      </c>
    </row>
    <row r="47" spans="1:16" ht="14" x14ac:dyDescent="0.3">
      <c r="A47" s="151">
        <f>IF(B47&lt;&gt;"",COUNTA($B$12:B47),"")</f>
        <v>31</v>
      </c>
      <c r="B47" s="130" t="str">
        <f>+'R1 WMA'!B45</f>
        <v>Distribution</v>
      </c>
      <c r="C47" s="253" t="str">
        <f>+'R1 WMA'!C45</f>
        <v>DIST</v>
      </c>
      <c r="D47" s="253"/>
      <c r="E47" s="154">
        <f>SUMIF($C$12:$C$36,$C47,$I$12:$I$36)-I39</f>
        <v>-1241517.9998042053</v>
      </c>
      <c r="G47" s="254">
        <f>+E47/$E$13*100</f>
        <v>-2.6101928063545934</v>
      </c>
      <c r="I47" s="154">
        <f>SUMIF($C$12:$C$36,$C47,$N$12:$N$36)-N39</f>
        <v>-1314811.1107001151</v>
      </c>
      <c r="J47" s="254">
        <f>+I47/$E$13*100</f>
        <v>-2.7642857400422436</v>
      </c>
      <c r="L47" s="154">
        <f t="shared" ref="L47:L67" si="3">I47-E47</f>
        <v>-73293.110895909835</v>
      </c>
      <c r="N47" s="254">
        <f>+L47/$E$13*100</f>
        <v>-0.15409293368765006</v>
      </c>
      <c r="O47" s="272"/>
    </row>
    <row r="48" spans="1:16" ht="14" x14ac:dyDescent="0.3">
      <c r="A48" s="151">
        <f>IF(B48&lt;&gt;"",COUNTA($B$12:B48),"")</f>
        <v>32</v>
      </c>
      <c r="B48" s="130" t="str">
        <f>+'R1 WMA'!B46</f>
        <v>Revenue Decoupling</v>
      </c>
      <c r="C48" s="253" t="str">
        <f>+'R1 WMA'!C46</f>
        <v>RDAF</v>
      </c>
      <c r="D48" s="253"/>
      <c r="E48" s="154">
        <f t="shared" ref="E48:E62" si="4">SUMIF($C$12:$C$36,$C48,$I$12:$I$36)</f>
        <v>30441.104501563372</v>
      </c>
      <c r="G48" s="254">
        <f t="shared" ref="G48:G68" si="5">+E48/$E$13*100</f>
        <v>6.4000000000000001E-2</v>
      </c>
      <c r="I48" s="154">
        <f t="shared" ref="I48:I62" si="6">SUMIF($C$12:$C$36,$C48,$N$12:$N$36)</f>
        <v>-22053.013224606308</v>
      </c>
      <c r="J48" s="254">
        <f t="shared" ref="J48:J68" si="7">+I48/$E$13*100</f>
        <v>-4.6364705534988671E-2</v>
      </c>
      <c r="L48" s="154">
        <f>I48-E48</f>
        <v>-52494.117726169679</v>
      </c>
      <c r="N48" s="254">
        <f t="shared" ref="N48:N68" si="8">+L48/$E$13*100</f>
        <v>-0.11036470553498869</v>
      </c>
      <c r="O48" s="272"/>
    </row>
    <row r="49" spans="1:15" ht="14" x14ac:dyDescent="0.3">
      <c r="A49" s="151">
        <f>IF(B49&lt;&gt;"",COUNTA($B$12:B49),"")</f>
        <v>33</v>
      </c>
      <c r="B49" s="130" t="str">
        <f>+'R1 WMA'!B47</f>
        <v>Residential Assistance Adjustment Factor</v>
      </c>
      <c r="C49" s="253" t="str">
        <f>+'R1 WMA'!C47</f>
        <v>RAAF</v>
      </c>
      <c r="D49" s="253"/>
      <c r="E49" s="154">
        <f t="shared" si="4"/>
        <v>516547.49201090337</v>
      </c>
      <c r="G49" s="254">
        <f t="shared" si="5"/>
        <v>1.0860000000000001</v>
      </c>
      <c r="I49" s="154">
        <f t="shared" si="6"/>
        <v>186309.78672766403</v>
      </c>
      <c r="J49" s="254">
        <f t="shared" si="7"/>
        <v>0.39170150182816543</v>
      </c>
      <c r="L49" s="154">
        <f t="shared" si="3"/>
        <v>-330237.70528323937</v>
      </c>
      <c r="N49" s="254">
        <f t="shared" si="8"/>
        <v>-0.69429849817183453</v>
      </c>
      <c r="O49" s="272"/>
    </row>
    <row r="50" spans="1:15" ht="14" x14ac:dyDescent="0.3">
      <c r="A50" s="151">
        <f>IF(B50&lt;&gt;"",COUNTA($B$12:B50),"")</f>
        <v>34</v>
      </c>
      <c r="B50" s="130" t="str">
        <f>+'R1 WMA'!B48</f>
        <v>Pension Adjustment Factor</v>
      </c>
      <c r="C50" s="253" t="str">
        <f>+'R1 WMA'!C48</f>
        <v>PAF</v>
      </c>
      <c r="D50" s="253"/>
      <c r="E50" s="154">
        <f t="shared" si="4"/>
        <v>66589.916097169873</v>
      </c>
      <c r="G50" s="254">
        <f t="shared" si="5"/>
        <v>0.14000000000000001</v>
      </c>
      <c r="I50" s="154">
        <f t="shared" si="6"/>
        <v>43667.553759380011</v>
      </c>
      <c r="J50" s="254">
        <f t="shared" si="7"/>
        <v>9.1807557129104558E-2</v>
      </c>
      <c r="L50" s="154">
        <f t="shared" si="3"/>
        <v>-22922.362337789862</v>
      </c>
      <c r="N50" s="254">
        <f t="shared" si="8"/>
        <v>-4.8192442870895455E-2</v>
      </c>
      <c r="O50" s="272"/>
    </row>
    <row r="51" spans="1:15" ht="14" x14ac:dyDescent="0.3">
      <c r="A51" s="151">
        <f>IF(B51&lt;&gt;"",COUNTA($B$12:B51),"")</f>
        <v>35</v>
      </c>
      <c r="B51" s="130" t="str">
        <f>+'R1 WMA'!B49</f>
        <v>Net Metering Recovery Surcharge</v>
      </c>
      <c r="C51" s="253" t="str">
        <f>+'R1 WMA'!C49</f>
        <v>NMRS</v>
      </c>
      <c r="D51" s="253"/>
      <c r="E51" s="154">
        <f t="shared" si="4"/>
        <v>224503.14569902985</v>
      </c>
      <c r="G51" s="254">
        <f t="shared" si="5"/>
        <v>0.47200000000000003</v>
      </c>
      <c r="I51" s="154">
        <f t="shared" si="6"/>
        <v>242933.01725533674</v>
      </c>
      <c r="J51" s="254">
        <f t="shared" si="7"/>
        <v>0.51074733847265841</v>
      </c>
      <c r="L51" s="154">
        <f t="shared" si="3"/>
        <v>18429.871556306898</v>
      </c>
      <c r="N51" s="254">
        <f t="shared" si="8"/>
        <v>3.8747338472658412E-2</v>
      </c>
      <c r="O51" s="272"/>
    </row>
    <row r="52" spans="1:15" ht="14" x14ac:dyDescent="0.3">
      <c r="A52" s="151">
        <f>IF(B52&lt;&gt;"",COUNTA($B$12:B52),"")</f>
        <v>36</v>
      </c>
      <c r="B52" s="130" t="str">
        <f>+'R1 WMA'!B50</f>
        <v>Long Term Renewable Contract Adjustment</v>
      </c>
      <c r="C52" s="253" t="str">
        <f>+'R1 WMA'!C50</f>
        <v>LTRCA</v>
      </c>
      <c r="D52" s="253"/>
      <c r="E52" s="154">
        <f t="shared" si="4"/>
        <v>157437.58734402305</v>
      </c>
      <c r="G52" s="254">
        <f t="shared" si="5"/>
        <v>0.33100000000000002</v>
      </c>
      <c r="I52" s="154">
        <f t="shared" si="6"/>
        <v>82557.839234674888</v>
      </c>
      <c r="J52" s="254">
        <f t="shared" si="7"/>
        <v>0.17357128782064518</v>
      </c>
      <c r="L52" s="154">
        <f t="shared" si="3"/>
        <v>-74879.748109348162</v>
      </c>
      <c r="N52" s="254">
        <f t="shared" si="8"/>
        <v>-0.15742871217935483</v>
      </c>
      <c r="O52" s="272"/>
    </row>
    <row r="53" spans="1:15" ht="14" x14ac:dyDescent="0.3">
      <c r="A53" s="151">
        <f>IF(B53&lt;&gt;"",COUNTA($B$12:B53),"")</f>
        <v>37</v>
      </c>
      <c r="B53" s="130" t="str">
        <f>+'R1 WMA'!B51</f>
        <v>AG Consulting Expense</v>
      </c>
      <c r="C53" s="253" t="str">
        <f>+'R1 WMA'!C51</f>
        <v>AGCE</v>
      </c>
      <c r="D53" s="253"/>
      <c r="E53" s="154">
        <f t="shared" si="4"/>
        <v>1426.9267735107828</v>
      </c>
      <c r="G53" s="254">
        <f t="shared" si="5"/>
        <v>2.9999999999999996E-3</v>
      </c>
      <c r="I53" s="154">
        <f t="shared" si="6"/>
        <v>391.18105273790189</v>
      </c>
      <c r="J53" s="254">
        <f t="shared" si="7"/>
        <v>8.2242703690137012E-4</v>
      </c>
      <c r="L53" s="154">
        <f t="shared" si="3"/>
        <v>-1035.745720772881</v>
      </c>
      <c r="N53" s="254">
        <f t="shared" si="8"/>
        <v>-2.1775729630986299E-3</v>
      </c>
      <c r="O53" s="272"/>
    </row>
    <row r="54" spans="1:15" ht="14" x14ac:dyDescent="0.3">
      <c r="A54" s="151">
        <f>IF(B54&lt;&gt;"",COUNTA($B$12:B54),"")</f>
        <v>38</v>
      </c>
      <c r="B54" s="130" t="str">
        <f>+'R1 WMA'!B52</f>
        <v>Storm Cost Recovery Adjustment Factor</v>
      </c>
      <c r="C54" s="253" t="str">
        <f>+'R1 WMA'!C52</f>
        <v>SCRA</v>
      </c>
      <c r="D54" s="253"/>
      <c r="E54" s="154">
        <f t="shared" si="4"/>
        <v>119861.84897490576</v>
      </c>
      <c r="G54" s="254">
        <f t="shared" si="5"/>
        <v>0.252</v>
      </c>
      <c r="I54" s="154">
        <f t="shared" si="6"/>
        <v>140868.4840234211</v>
      </c>
      <c r="J54" s="254">
        <f t="shared" si="7"/>
        <v>0.29616477868061375</v>
      </c>
      <c r="L54" s="154">
        <f>I54-E54</f>
        <v>21006.635048515338</v>
      </c>
      <c r="N54" s="254">
        <f t="shared" si="8"/>
        <v>4.4164778680613768E-2</v>
      </c>
      <c r="O54" s="272"/>
    </row>
    <row r="55" spans="1:15" ht="14" x14ac:dyDescent="0.3">
      <c r="A55" s="151">
        <f>IF(B55&lt;&gt;"",COUNTA($B$12:B55),"")</f>
        <v>39</v>
      </c>
      <c r="B55" s="130" t="s">
        <v>309</v>
      </c>
      <c r="C55" s="253" t="s">
        <v>157</v>
      </c>
      <c r="D55" s="253"/>
      <c r="E55" s="154">
        <f t="shared" si="4"/>
        <v>0</v>
      </c>
      <c r="G55" s="254">
        <f t="shared" si="5"/>
        <v>0</v>
      </c>
      <c r="I55" s="154">
        <f t="shared" si="6"/>
        <v>0</v>
      </c>
      <c r="J55" s="254">
        <f t="shared" si="7"/>
        <v>0</v>
      </c>
      <c r="L55" s="154">
        <f>I55-E55</f>
        <v>0</v>
      </c>
      <c r="N55" s="254">
        <f t="shared" si="8"/>
        <v>0</v>
      </c>
      <c r="O55" s="272"/>
    </row>
    <row r="56" spans="1:15" ht="14" x14ac:dyDescent="0.3">
      <c r="A56" s="151">
        <f>IF(B56&lt;&gt;"",COUNTA($B$12:B56),"")</f>
        <v>40</v>
      </c>
      <c r="B56" s="130" t="str">
        <f>+'R1 WMA'!B54</f>
        <v>Basic Service Cost True Up Factor</v>
      </c>
      <c r="C56" s="253" t="str">
        <f>+'R1 WMA'!C54</f>
        <v>BSTF</v>
      </c>
      <c r="D56" s="253"/>
      <c r="E56" s="154">
        <f t="shared" si="4"/>
        <v>10939.771930249335</v>
      </c>
      <c r="G56" s="254">
        <f t="shared" si="5"/>
        <v>2.3E-2</v>
      </c>
      <c r="I56" s="154">
        <f t="shared" si="6"/>
        <v>-9245.1481613595024</v>
      </c>
      <c r="J56" s="254">
        <f t="shared" si="7"/>
        <v>-1.9437188368004871E-2</v>
      </c>
      <c r="L56" s="154">
        <f>I56-E56</f>
        <v>-20184.920091608838</v>
      </c>
      <c r="N56" s="254">
        <f t="shared" si="8"/>
        <v>-4.243718836800487E-2</v>
      </c>
      <c r="O56" s="272"/>
    </row>
    <row r="57" spans="1:15" ht="14" x14ac:dyDescent="0.3">
      <c r="A57" s="151">
        <f>IF(B57&lt;&gt;"",COUNTA($B$12:B57),"")</f>
        <v>41</v>
      </c>
      <c r="B57" s="130" t="str">
        <f>+'R1 WMA'!B55</f>
        <v>Solar Program Cost Adjustment Factor</v>
      </c>
      <c r="C57" s="253" t="str">
        <f>+'R1 WMA'!C55</f>
        <v>SPCA</v>
      </c>
      <c r="D57" s="253"/>
      <c r="E57" s="154">
        <f t="shared" si="4"/>
        <v>-6183.3493518800587</v>
      </c>
      <c r="G57" s="254">
        <f t="shared" si="5"/>
        <v>-1.2999999999999999E-2</v>
      </c>
      <c r="I57" s="154">
        <f t="shared" si="6"/>
        <v>1645.3083328120192</v>
      </c>
      <c r="J57" s="254">
        <f t="shared" si="7"/>
        <v>3.4591298516964569E-3</v>
      </c>
      <c r="L57" s="154">
        <f t="shared" si="3"/>
        <v>7828.657684692078</v>
      </c>
      <c r="N57" s="254">
        <f t="shared" si="8"/>
        <v>1.6459129851696456E-2</v>
      </c>
    </row>
    <row r="58" spans="1:15" ht="14" x14ac:dyDescent="0.3">
      <c r="A58" s="151">
        <f>IF(B58&lt;&gt;"",COUNTA($B$12:B58),"")</f>
        <v>42</v>
      </c>
      <c r="B58" s="130" t="str">
        <f>+'R1 WMA'!B56</f>
        <v>Solar Expansion Cost Recovery Factor</v>
      </c>
      <c r="C58" s="253" t="str">
        <f>+'R1 WMA'!C56</f>
        <v>SECRF</v>
      </c>
      <c r="D58" s="253"/>
      <c r="E58" s="154">
        <f t="shared" si="4"/>
        <v>0</v>
      </c>
      <c r="G58" s="254">
        <f t="shared" si="5"/>
        <v>0</v>
      </c>
      <c r="I58" s="154">
        <f t="shared" si="6"/>
        <v>29019.474976340021</v>
      </c>
      <c r="J58" s="254">
        <f t="shared" si="7"/>
        <v>6.1011137043019532E-2</v>
      </c>
      <c r="L58" s="154">
        <f t="shared" si="3"/>
        <v>29019.474976340021</v>
      </c>
      <c r="N58" s="254">
        <f t="shared" si="8"/>
        <v>6.1011137043019532E-2</v>
      </c>
    </row>
    <row r="59" spans="1:15" ht="14" x14ac:dyDescent="0.3">
      <c r="A59" s="151">
        <f>IF(B59&lt;&gt;"",COUNTA($B$12:B59),"")</f>
        <v>43</v>
      </c>
      <c r="B59" s="130" t="str">
        <f>+'R1 WMA'!B57</f>
        <v>Vegetation Management</v>
      </c>
      <c r="C59" s="253" t="str">
        <f>+'R1 WMA'!C57</f>
        <v>RTWF</v>
      </c>
      <c r="D59" s="253"/>
      <c r="E59" s="154">
        <f t="shared" si="4"/>
        <v>0</v>
      </c>
      <c r="G59" s="254">
        <f t="shared" si="5"/>
        <v>0</v>
      </c>
      <c r="I59" s="154">
        <f t="shared" si="6"/>
        <v>78179.680174194466</v>
      </c>
      <c r="J59" s="254">
        <f t="shared" si="7"/>
        <v>0.16436655676838138</v>
      </c>
      <c r="L59" s="154">
        <f t="shared" si="3"/>
        <v>78179.680174194466</v>
      </c>
      <c r="N59" s="254">
        <f t="shared" si="8"/>
        <v>0.16436655676838138</v>
      </c>
    </row>
    <row r="60" spans="1:15" ht="14" x14ac:dyDescent="0.3">
      <c r="A60" s="151">
        <f>IF(B60&lt;&gt;"",COUNTA($B$12:B60),"")</f>
        <v>44</v>
      </c>
      <c r="B60" s="130" t="str">
        <f>+'R1 WMA'!B58</f>
        <v>Solar Massachusetts Renewable Target</v>
      </c>
      <c r="C60" s="253" t="str">
        <f>+'R1 WMA'!C58</f>
        <v>SMART</v>
      </c>
      <c r="D60" s="253"/>
      <c r="E60" s="154">
        <f t="shared" si="4"/>
        <v>0</v>
      </c>
      <c r="G60" s="254">
        <f t="shared" si="5"/>
        <v>0</v>
      </c>
      <c r="I60" s="154">
        <f t="shared" si="6"/>
        <v>34000.387193075083</v>
      </c>
      <c r="J60" s="254">
        <f t="shared" si="7"/>
        <v>7.1483108644926172E-2</v>
      </c>
      <c r="L60" s="154">
        <f t="shared" si="3"/>
        <v>34000.387193075083</v>
      </c>
      <c r="N60" s="254">
        <f t="shared" si="8"/>
        <v>7.1483108644926172E-2</v>
      </c>
    </row>
    <row r="61" spans="1:15" ht="14" x14ac:dyDescent="0.3">
      <c r="A61" s="151">
        <f>IF(B61&lt;&gt;"",COUNTA($B$12:B61),"")</f>
        <v>45</v>
      </c>
      <c r="B61" s="130" t="str">
        <f>+'R1 WMA'!B59</f>
        <v>Tax Act Credit Factor</v>
      </c>
      <c r="C61" s="253" t="str">
        <f>+'R1 WMA'!C59</f>
        <v>TACF</v>
      </c>
      <c r="D61" s="253"/>
      <c r="E61" s="154">
        <f t="shared" si="4"/>
        <v>0</v>
      </c>
      <c r="G61" s="254">
        <f t="shared" si="5"/>
        <v>0</v>
      </c>
      <c r="I61" s="154">
        <f t="shared" si="6"/>
        <v>-51470.906163116793</v>
      </c>
      <c r="J61" s="254">
        <f t="shared" si="7"/>
        <v>-0.10821348464114688</v>
      </c>
      <c r="L61" s="154">
        <f t="shared" si="3"/>
        <v>-51470.906163116793</v>
      </c>
      <c r="N61" s="254">
        <f t="shared" si="8"/>
        <v>-0.10821348464114688</v>
      </c>
    </row>
    <row r="62" spans="1:15" ht="14" x14ac:dyDescent="0.3">
      <c r="A62" s="151">
        <f>IF(B62&lt;&gt;"",COUNTA($B$12:B62),"")</f>
        <v>46</v>
      </c>
      <c r="B62" s="130" t="str">
        <f>+'R1 WMA'!B60</f>
        <v>Transition</v>
      </c>
      <c r="C62" s="253" t="str">
        <f>+'R1 WMA'!C60</f>
        <v>TRNSN</v>
      </c>
      <c r="D62" s="253"/>
      <c r="E62" s="154">
        <f t="shared" si="4"/>
        <v>-81334.826090114613</v>
      </c>
      <c r="G62" s="254">
        <f t="shared" si="5"/>
        <v>-0.17099999999999999</v>
      </c>
      <c r="I62" s="154">
        <f t="shared" si="6"/>
        <v>-24785.395286743558</v>
      </c>
      <c r="J62" s="254">
        <f t="shared" si="7"/>
        <v>-5.2109321403568713E-2</v>
      </c>
      <c r="L62" s="154">
        <f t="shared" si="3"/>
        <v>56549.430803371055</v>
      </c>
      <c r="N62" s="254">
        <f t="shared" si="8"/>
        <v>0.11889067859643127</v>
      </c>
    </row>
    <row r="63" spans="1:15" ht="14" x14ac:dyDescent="0.3">
      <c r="A63" s="151">
        <f>IF(B63&lt;&gt;"",COUNTA($B$12:B63),"")</f>
        <v>47</v>
      </c>
      <c r="B63" s="130" t="str">
        <f>+'R1 WMA'!B61</f>
        <v>Transmission</v>
      </c>
      <c r="C63" s="253" t="str">
        <f>+'R1 WMA'!C61</f>
        <v>TRNSM</v>
      </c>
      <c r="D63" s="253"/>
      <c r="E63" s="154">
        <f>SUM(SUMIF($C$12:$C$36,{"TMKW","TMKWH"},$I$12:$I$36))</f>
        <v>1341311.1671001359</v>
      </c>
      <c r="G63" s="254">
        <f t="shared" si="5"/>
        <v>2.82</v>
      </c>
      <c r="I63" s="154">
        <f>SUM(SUMIF($C$12:$C$36,{"TMKW","TMKWH"},$N$12:$N$36))</f>
        <v>1190861.9394782674</v>
      </c>
      <c r="J63" s="254">
        <f t="shared" si="7"/>
        <v>2.5036924702484078</v>
      </c>
      <c r="L63" s="154">
        <f t="shared" si="3"/>
        <v>-150449.22762186849</v>
      </c>
      <c r="N63" s="254">
        <f t="shared" si="8"/>
        <v>-0.31630752975159226</v>
      </c>
    </row>
    <row r="64" spans="1:15" ht="14" x14ac:dyDescent="0.3">
      <c r="A64" s="151">
        <f>IF(B64&lt;&gt;"",COUNTA($B$12:B64),"")</f>
        <v>48</v>
      </c>
      <c r="B64" s="130" t="str">
        <f>+'R1 WMA'!B62</f>
        <v>Energy Efficiency Reconciliation Factor</v>
      </c>
      <c r="C64" s="253" t="str">
        <f>+'R1 WMA'!C62</f>
        <v>EERF</v>
      </c>
      <c r="D64" s="253"/>
      <c r="E64" s="154">
        <f>SUMIF($C$12:$C$36,$C64,$I$12:$I$36)</f>
        <v>30916.746759400296</v>
      </c>
      <c r="G64" s="254">
        <f t="shared" si="5"/>
        <v>6.5000000000000002E-2</v>
      </c>
      <c r="I64" s="154">
        <f>SUMIF($C$12:$C$36,$C64,$N$12:$N$36)</f>
        <v>30916.746759400296</v>
      </c>
      <c r="J64" s="254">
        <f t="shared" si="7"/>
        <v>6.5000000000000002E-2</v>
      </c>
      <c r="L64" s="154">
        <f t="shared" si="3"/>
        <v>0</v>
      </c>
      <c r="N64" s="254">
        <f t="shared" si="8"/>
        <v>0</v>
      </c>
    </row>
    <row r="65" spans="1:14" ht="14" x14ac:dyDescent="0.3">
      <c r="A65" s="151">
        <f>IF(B65&lt;&gt;"",COUNTA($B$12:B65),"")</f>
        <v>49</v>
      </c>
      <c r="B65" s="130" t="str">
        <f>+'R1 WMA'!B63</f>
        <v>System Benefits Charge</v>
      </c>
      <c r="C65" s="253" t="str">
        <f>+'R1 WMA'!C63</f>
        <v>SBC</v>
      </c>
      <c r="D65" s="253"/>
      <c r="E65" s="154">
        <f>SUMIF($C$12:$C$36,$C65,$I$12:$I$36)</f>
        <v>118910.56445923191</v>
      </c>
      <c r="G65" s="254">
        <f t="shared" si="5"/>
        <v>0.25</v>
      </c>
      <c r="I65" s="154">
        <f>SUMIF($C$12:$C$36,$C65,$N$12:$N$36)</f>
        <v>118910.56445923191</v>
      </c>
      <c r="J65" s="254">
        <f t="shared" si="7"/>
        <v>0.25</v>
      </c>
      <c r="L65" s="154">
        <f t="shared" si="3"/>
        <v>0</v>
      </c>
      <c r="N65" s="254">
        <f t="shared" si="8"/>
        <v>0</v>
      </c>
    </row>
    <row r="66" spans="1:14" ht="14" x14ac:dyDescent="0.3">
      <c r="A66" s="151">
        <f>IF(B66&lt;&gt;"",COUNTA($B$12:B66),"")</f>
        <v>50</v>
      </c>
      <c r="B66" s="130" t="str">
        <f>+'R1 WMA'!B64</f>
        <v>Renewable Energy Charge</v>
      </c>
      <c r="C66" s="253" t="str">
        <f>+'R1 WMA'!C64</f>
        <v>RNEW</v>
      </c>
      <c r="D66" s="253"/>
      <c r="E66" s="154">
        <f>SUMIF($C$12:$C$36,$C66,$I$12:$I$36)</f>
        <v>23782.11289184638</v>
      </c>
      <c r="G66" s="254">
        <f t="shared" si="5"/>
        <v>0.05</v>
      </c>
      <c r="I66" s="154">
        <f>SUMIF($C$12:$C$36,$C66,$N$12:$N$36)</f>
        <v>23782.11289184638</v>
      </c>
      <c r="J66" s="254">
        <f t="shared" si="7"/>
        <v>0.05</v>
      </c>
      <c r="L66" s="154">
        <f>I66-E66</f>
        <v>0</v>
      </c>
      <c r="N66" s="254">
        <f t="shared" si="8"/>
        <v>0</v>
      </c>
    </row>
    <row r="67" spans="1:14" ht="14" x14ac:dyDescent="0.3">
      <c r="A67" s="151">
        <f>IF(B67&lt;&gt;"",COUNTA($B$12:B67),"")</f>
        <v>51</v>
      </c>
      <c r="B67" s="130" t="str">
        <f>+'R1 WMA'!B65</f>
        <v>Basic Service Charge</v>
      </c>
      <c r="C67" s="253" t="str">
        <f>+'R1 WMA'!C65</f>
        <v>BS</v>
      </c>
      <c r="D67" s="253"/>
      <c r="E67" s="255">
        <f>SUMIF($C$12:$C$36,$C67,$I$12:$I$36)</f>
        <v>4757849.5051427865</v>
      </c>
      <c r="F67" s="256"/>
      <c r="G67" s="257">
        <f t="shared" si="5"/>
        <v>10.003</v>
      </c>
      <c r="H67" s="258"/>
      <c r="I67" s="255">
        <f>SUMIF($C$12:$C$36,$C67,$N$12:$N$36)</f>
        <v>5554550.2870196402</v>
      </c>
      <c r="J67" s="257">
        <f t="shared" si="7"/>
        <v>11.677999999999999</v>
      </c>
      <c r="K67" s="255"/>
      <c r="L67" s="255">
        <f t="shared" si="3"/>
        <v>796700.78187685367</v>
      </c>
      <c r="M67" s="259"/>
      <c r="N67" s="257">
        <f t="shared" si="8"/>
        <v>1.6749999999999998</v>
      </c>
    </row>
    <row r="68" spans="1:14" ht="14" x14ac:dyDescent="0.3">
      <c r="A68" s="151">
        <f>IF(B68&lt;&gt;"",COUNTA($B$12:B68),"")</f>
        <v>52</v>
      </c>
      <c r="B68" s="130" t="str">
        <f>+'R1 WMA'!B66</f>
        <v>Total</v>
      </c>
      <c r="C68" s="130"/>
      <c r="D68" s="130"/>
      <c r="E68" s="154">
        <f>SUM(E47:E67)</f>
        <v>6071481.7144385567</v>
      </c>
      <c r="G68" s="254">
        <f t="shared" si="5"/>
        <v>12.764807193645405</v>
      </c>
      <c r="I68" s="154">
        <f>SUM(I47:I67)</f>
        <v>6336228.7898020819</v>
      </c>
      <c r="J68" s="254">
        <f t="shared" si="7"/>
        <v>13.321416853534569</v>
      </c>
      <c r="L68" s="154">
        <f>SUM(L47:L67)</f>
        <v>264747.07536352472</v>
      </c>
      <c r="N68" s="254">
        <f t="shared" si="8"/>
        <v>0.55660965988916056</v>
      </c>
    </row>
    <row r="69" spans="1:14" ht="14" x14ac:dyDescent="0.3">
      <c r="A69" s="151" t="str">
        <f>IF(B69&lt;&gt;"",COUNTA($B$9:B69),"")</f>
        <v/>
      </c>
    </row>
    <row r="70" spans="1:14" ht="14" x14ac:dyDescent="0.3">
      <c r="A70" s="151"/>
      <c r="B70" s="256" t="str">
        <f>+'R2 WMA'!B70</f>
        <v>Notes:</v>
      </c>
      <c r="E70" s="188"/>
      <c r="G70" s="188"/>
      <c r="H70" s="188"/>
      <c r="I70" s="188"/>
      <c r="J70" s="188"/>
      <c r="K70" s="188"/>
      <c r="L70" s="188"/>
      <c r="M70" s="188"/>
      <c r="N70" s="188"/>
    </row>
    <row r="71" spans="1:14" ht="14" x14ac:dyDescent="0.3">
      <c r="A71" s="151"/>
      <c r="B71" s="188" t="str">
        <f>'R2 EMA'!B71</f>
        <v>Col. (a): Company's forecast</v>
      </c>
    </row>
    <row r="72" spans="1:14" ht="14" x14ac:dyDescent="0.3">
      <c r="A72" s="151"/>
      <c r="B72" s="188" t="str">
        <f>'R2 EMA'!B72</f>
        <v>Col. (b): Current rates</v>
      </c>
    </row>
    <row r="73" spans="1:14" ht="14" x14ac:dyDescent="0.3">
      <c r="A73" s="151"/>
      <c r="B73" s="188" t="str">
        <f>'R2 EMA'!B73</f>
        <v>Col. (c): Col. (a) x Col. (b)</v>
      </c>
    </row>
    <row r="74" spans="1:14" ht="14" x14ac:dyDescent="0.3">
      <c r="A74" s="151"/>
      <c r="B74" s="188" t="str">
        <f>'R2 EMA'!B74</f>
        <v>Col. (e): Proposed rates</v>
      </c>
    </row>
    <row r="75" spans="1:14" ht="14" x14ac:dyDescent="0.3">
      <c r="A75" s="151"/>
      <c r="B75" s="188" t="str">
        <f>'R2 EMA'!B75</f>
        <v>Col. (f): Col. (a), Line 1 or Line 2  x Col. (e)</v>
      </c>
    </row>
    <row r="76" spans="1:14" ht="14" x14ac:dyDescent="0.3">
      <c r="A76" s="151"/>
      <c r="B76" s="188" t="str">
        <f>'R2 EMA'!B76</f>
        <v>Col. (f) (Low Income Discount): Col. (f), Line 24 x 36.0%</v>
      </c>
    </row>
  </sheetData>
  <mergeCells count="8">
    <mergeCell ref="E45:G45"/>
    <mergeCell ref="I45:J45"/>
    <mergeCell ref="L45:N45"/>
    <mergeCell ref="A4:N4"/>
    <mergeCell ref="A5:N5"/>
    <mergeCell ref="A7:N7"/>
    <mergeCell ref="G9:I9"/>
    <mergeCell ref="L9:N9"/>
  </mergeCells>
  <pageMargins left="0.7" right="0.7" top="0.75" bottom="0.75" header="0.3" footer="0.3"/>
  <pageSetup scale="63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64F24-10A4-4892-80B3-103FF46901CC}">
  <sheetPr>
    <tabColor theme="9" tint="0.59999389629810485"/>
    <pageSetUpPr fitToPage="1"/>
  </sheetPr>
  <dimension ref="A4:N76"/>
  <sheetViews>
    <sheetView workbookViewId="0"/>
  </sheetViews>
  <sheetFormatPr defaultRowHeight="12.5" x14ac:dyDescent="0.25"/>
  <cols>
    <col min="1" max="1" width="3.26953125" bestFit="1" customWidth="1"/>
    <col min="2" max="2" width="41.1796875" customWidth="1"/>
    <col min="3" max="3" width="9.7265625" bestFit="1" customWidth="1"/>
    <col min="4" max="4" width="1.26953125" customWidth="1"/>
    <col min="5" max="5" width="13.7265625" bestFit="1" customWidth="1"/>
    <col min="6" max="6" width="1.26953125" customWidth="1"/>
    <col min="7" max="7" width="12.7265625" customWidth="1"/>
    <col min="8" max="8" width="1.26953125" customWidth="1"/>
    <col min="9" max="9" width="13.26953125" bestFit="1" customWidth="1"/>
    <col min="11" max="11" width="1.26953125" customWidth="1"/>
    <col min="12" max="12" width="13.7265625" customWidth="1"/>
    <col min="13" max="13" width="1.26953125" customWidth="1"/>
    <col min="14" max="14" width="13.26953125" bestFit="1" customWidth="1"/>
  </cols>
  <sheetData>
    <row r="4" spans="1:14" ht="14" x14ac:dyDescent="0.3">
      <c r="A4" s="748" t="str">
        <f>'R1 EMA'!A4:N4</f>
        <v>Eastern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4" ht="14" x14ac:dyDescent="0.3">
      <c r="A5" s="748" t="str">
        <f>'R1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4" ht="14" x14ac:dyDescent="0.3">
      <c r="A6" s="205"/>
      <c r="C6" s="205"/>
      <c r="D6" s="205"/>
      <c r="E6" s="206"/>
      <c r="F6" s="207"/>
      <c r="G6" s="208"/>
      <c r="H6" s="209"/>
      <c r="I6" s="210"/>
      <c r="J6" s="210"/>
      <c r="K6" s="210"/>
      <c r="L6" s="211"/>
      <c r="M6" s="211"/>
      <c r="N6" s="212"/>
    </row>
    <row r="7" spans="1:14" ht="14" x14ac:dyDescent="0.3">
      <c r="A7" s="748" t="s">
        <v>346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4" ht="14" x14ac:dyDescent="0.3">
      <c r="A8" s="748" t="s">
        <v>347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4" ht="14" x14ac:dyDescent="0.3">
      <c r="B9" s="207"/>
      <c r="C9" s="207"/>
      <c r="D9" s="207"/>
      <c r="E9" s="213"/>
      <c r="F9" s="207"/>
      <c r="I9" s="210"/>
      <c r="J9" s="210"/>
      <c r="K9" s="210"/>
      <c r="L9" s="214"/>
      <c r="M9" s="214"/>
      <c r="N9" s="215"/>
    </row>
    <row r="10" spans="1:14" ht="14.5" thickBot="1" x14ac:dyDescent="0.35">
      <c r="A10" s="151"/>
      <c r="B10" s="216" t="s">
        <v>46</v>
      </c>
      <c r="C10" s="216"/>
      <c r="D10" s="216"/>
      <c r="E10" s="217" t="s">
        <v>144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4" ht="14" x14ac:dyDescent="0.3">
      <c r="A11" s="151"/>
      <c r="B11" s="219" t="s">
        <v>293</v>
      </c>
      <c r="C11" s="220" t="s">
        <v>294</v>
      </c>
      <c r="D11" s="220"/>
      <c r="E11" s="221" t="s">
        <v>295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4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4" ht="14" x14ac:dyDescent="0.3">
      <c r="A13" s="151">
        <f>IF(B13&lt;&gt;"",COUNTA($B$13:B13),"")</f>
        <v>1</v>
      </c>
      <c r="B13" s="232" t="s">
        <v>296</v>
      </c>
      <c r="C13" s="233" t="s">
        <v>297</v>
      </c>
      <c r="D13" s="233"/>
      <c r="E13" s="234">
        <v>684001.73553994775</v>
      </c>
      <c r="F13" s="207"/>
      <c r="G13" s="209">
        <v>8</v>
      </c>
      <c r="H13" s="209"/>
      <c r="I13" s="210">
        <f>G13*E13</f>
        <v>5472013.884319582</v>
      </c>
      <c r="J13" s="235"/>
      <c r="K13" s="210"/>
      <c r="L13" s="238">
        <v>8</v>
      </c>
      <c r="M13" s="211"/>
      <c r="N13" s="210">
        <f>L13*E13</f>
        <v>5472013.884319582</v>
      </c>
    </row>
    <row r="14" spans="1:14" ht="14" x14ac:dyDescent="0.3">
      <c r="A14" s="151">
        <f>IF(B14&lt;&gt;"",COUNTA($B$13:B14),"")</f>
        <v>2</v>
      </c>
      <c r="B14" s="207" t="s">
        <v>348</v>
      </c>
      <c r="C14" s="233" t="s">
        <v>349</v>
      </c>
      <c r="D14" s="233"/>
      <c r="E14" s="234">
        <v>208914587.61136746</v>
      </c>
      <c r="F14" s="207"/>
      <c r="G14" s="236">
        <v>4.3400000000000001E-2</v>
      </c>
      <c r="H14" s="209"/>
      <c r="I14" s="210">
        <f>G14*E14</f>
        <v>9066893.1023333482</v>
      </c>
      <c r="J14" s="235"/>
      <c r="K14" s="210"/>
      <c r="L14" s="281">
        <v>4.5310000000000003E-2</v>
      </c>
      <c r="M14" s="211"/>
      <c r="N14" s="210">
        <f t="shared" ref="N14:N15" si="0">L14*E14</f>
        <v>9465919.9646710604</v>
      </c>
    </row>
    <row r="15" spans="1:14" ht="14" x14ac:dyDescent="0.3">
      <c r="A15" s="151">
        <f>IF(B15&lt;&gt;"",COUNTA($B$13:B15),"")</f>
        <v>3</v>
      </c>
      <c r="B15" s="207" t="s">
        <v>350</v>
      </c>
      <c r="C15" s="233" t="s">
        <v>351</v>
      </c>
      <c r="D15" s="233"/>
      <c r="E15" s="234">
        <v>102220950.95851736</v>
      </c>
      <c r="F15" s="207"/>
      <c r="G15" s="236">
        <v>6.9900000000000004E-2</v>
      </c>
      <c r="H15" s="209"/>
      <c r="I15" s="210">
        <f>G15*E15</f>
        <v>7145244.4720003633</v>
      </c>
      <c r="J15" s="235"/>
      <c r="K15" s="210"/>
      <c r="L15" s="281">
        <v>7.2980000000000003E-2</v>
      </c>
      <c r="M15" s="211"/>
      <c r="N15" s="210">
        <f t="shared" si="0"/>
        <v>7460085.0009525968</v>
      </c>
    </row>
    <row r="16" spans="1:14" ht="14" x14ac:dyDescent="0.3">
      <c r="A16" s="151">
        <f>IF(B16&lt;&gt;"",COUNTA($B$13:B16),"")</f>
        <v>4</v>
      </c>
      <c r="B16" s="207" t="s">
        <v>352</v>
      </c>
      <c r="C16" s="233" t="s">
        <v>299</v>
      </c>
      <c r="D16" s="233"/>
      <c r="E16" s="234">
        <v>311135538.56988484</v>
      </c>
      <c r="F16" s="207"/>
      <c r="G16" s="209"/>
      <c r="H16" s="209"/>
      <c r="I16" s="237"/>
      <c r="J16" s="235"/>
      <c r="K16" s="210"/>
      <c r="L16" s="281"/>
      <c r="M16" s="211"/>
      <c r="N16" s="237"/>
    </row>
    <row r="17" spans="1:14" ht="14" x14ac:dyDescent="0.3">
      <c r="A17" s="151">
        <f>IF(B17&lt;&gt;"",COUNTA($B$13:B17),"")</f>
        <v>5</v>
      </c>
      <c r="B17" s="207" t="s">
        <v>300</v>
      </c>
      <c r="C17" s="233" t="s">
        <v>301</v>
      </c>
      <c r="D17" s="233"/>
      <c r="E17" s="234"/>
      <c r="F17" s="207"/>
      <c r="G17" s="209"/>
      <c r="H17" s="209"/>
      <c r="I17" s="210">
        <f>SUM(I13:I16)</f>
        <v>21684151.458653294</v>
      </c>
      <c r="J17" s="235"/>
      <c r="K17" s="210"/>
      <c r="L17" s="238"/>
      <c r="M17" s="211"/>
      <c r="N17" s="210">
        <f>SUM(N13:N16)</f>
        <v>22398018.849943239</v>
      </c>
    </row>
    <row r="18" spans="1:14" ht="14" x14ac:dyDescent="0.3">
      <c r="A18" s="151" t="str">
        <f>IF(B18&lt;&gt;"",COUNTA($B$13:B18),"")</f>
        <v/>
      </c>
      <c r="B18" s="207"/>
      <c r="C18" s="233"/>
      <c r="D18" s="233"/>
      <c r="E18" s="234"/>
      <c r="F18" s="207"/>
      <c r="G18" s="209"/>
      <c r="H18" s="209"/>
      <c r="I18" s="210"/>
      <c r="J18" s="235"/>
      <c r="K18" s="210"/>
      <c r="L18" s="238"/>
      <c r="M18" s="211"/>
      <c r="N18" s="210"/>
    </row>
    <row r="19" spans="1:14" ht="14" x14ac:dyDescent="0.3">
      <c r="A19" s="151">
        <f>IF(B19&lt;&gt;"",COUNTA($B$13:B19),"")</f>
        <v>6</v>
      </c>
      <c r="B19" s="228" t="s">
        <v>302</v>
      </c>
      <c r="F19" s="239"/>
      <c r="G19" s="240"/>
      <c r="H19" s="211"/>
      <c r="I19" s="210"/>
      <c r="K19" s="210"/>
      <c r="L19" s="241"/>
      <c r="M19" s="211"/>
      <c r="N19" s="210"/>
    </row>
    <row r="20" spans="1:14" ht="14" x14ac:dyDescent="0.3">
      <c r="A20" s="151">
        <f>IF(B20&lt;&gt;"",COUNTA($B$13:B20),"")</f>
        <v>7</v>
      </c>
      <c r="B20" s="207" t="str">
        <f>'R1 EMA'!B17</f>
        <v>Revenue Decoupling</v>
      </c>
      <c r="C20" s="233" t="str">
        <f>'R1 EMA'!C17</f>
        <v>RDAF</v>
      </c>
      <c r="D20" s="233"/>
      <c r="E20" s="242"/>
      <c r="F20" s="239"/>
      <c r="G20" s="236">
        <v>0</v>
      </c>
      <c r="H20" s="211"/>
      <c r="I20" s="210">
        <f>G20*$E$16</f>
        <v>0</v>
      </c>
      <c r="K20" s="210"/>
      <c r="L20" s="236">
        <v>-6.5773989014984496E-4</v>
      </c>
      <c r="M20" s="211"/>
      <c r="N20" s="210">
        <f>$E$16*L20</f>
        <v>-204646.25496066891</v>
      </c>
    </row>
    <row r="21" spans="1:14" ht="14" x14ac:dyDescent="0.3">
      <c r="A21" s="151">
        <f>IF(B21&lt;&gt;"",COUNTA($B$13:B21),"")</f>
        <v>8</v>
      </c>
      <c r="B21" s="207" t="str">
        <f>'R1 EMA'!B18</f>
        <v>Residential Assistance Adjustment Factor</v>
      </c>
      <c r="C21" s="233" t="str">
        <f>'R1 EMA'!C18</f>
        <v>RAAF</v>
      </c>
      <c r="D21" s="243"/>
      <c r="E21" s="206"/>
      <c r="F21" s="239"/>
      <c r="G21" s="236">
        <v>4.0699999999999998E-3</v>
      </c>
      <c r="H21" s="211"/>
      <c r="I21" s="210">
        <f t="shared" ref="I21:I34" si="1">G21*$E$16</f>
        <v>1266321.6419794313</v>
      </c>
      <c r="K21" s="210"/>
      <c r="L21" s="236">
        <v>5.5567634866043316E-3</v>
      </c>
      <c r="M21" s="211"/>
      <c r="N21" s="210">
        <f t="shared" ref="N21:N34" si="2">$E$16*L21</f>
        <v>1728906.6001101097</v>
      </c>
    </row>
    <row r="22" spans="1:14" ht="14" x14ac:dyDescent="0.3">
      <c r="A22" s="151">
        <f>IF(B22&lt;&gt;"",COUNTA($B$13:B22),"")</f>
        <v>9</v>
      </c>
      <c r="B22" s="207" t="str">
        <f>'R1 EMA'!B19</f>
        <v>Pension Adjustment Factor</v>
      </c>
      <c r="C22" s="233" t="str">
        <f>'R1 EMA'!C19</f>
        <v>PAF</v>
      </c>
      <c r="D22" s="243"/>
      <c r="E22" s="206"/>
      <c r="F22" s="239"/>
      <c r="G22" s="236">
        <v>-1.1E-4</v>
      </c>
      <c r="H22" s="211"/>
      <c r="I22" s="210">
        <f t="shared" si="1"/>
        <v>-34224.909242687332</v>
      </c>
      <c r="K22" s="210"/>
      <c r="L22" s="236">
        <v>9.6711573714566921E-4</v>
      </c>
      <c r="M22" s="211"/>
      <c r="N22" s="210">
        <f t="shared" si="2"/>
        <v>300904.07573622896</v>
      </c>
    </row>
    <row r="23" spans="1:14" ht="14" x14ac:dyDescent="0.3">
      <c r="A23" s="151">
        <f>IF(B23&lt;&gt;"",COUNTA($B$13:B23),"")</f>
        <v>10</v>
      </c>
      <c r="B23" s="207" t="str">
        <f>'R1 EMA'!B20</f>
        <v>Net Metering Recovery Surcharge</v>
      </c>
      <c r="C23" s="233" t="str">
        <f>'R1 EMA'!C20</f>
        <v>NMRS</v>
      </c>
      <c r="D23" s="243"/>
      <c r="E23" s="206"/>
      <c r="F23" s="239"/>
      <c r="G23" s="236">
        <v>8.0300000000000007E-3</v>
      </c>
      <c r="H23" s="211"/>
      <c r="I23" s="210">
        <f t="shared" si="1"/>
        <v>2498418.3747161753</v>
      </c>
      <c r="K23" s="210"/>
      <c r="L23" s="236">
        <v>7.2455738567738549E-3</v>
      </c>
      <c r="M23" s="211"/>
      <c r="N23" s="210">
        <f t="shared" si="2"/>
        <v>2254355.5241752109</v>
      </c>
    </row>
    <row r="24" spans="1:14" ht="14" x14ac:dyDescent="0.3">
      <c r="A24" s="151">
        <f>IF(B24&lt;&gt;"",COUNTA($B$13:B24),"")</f>
        <v>11</v>
      </c>
      <c r="B24" s="207" t="str">
        <f>'R1 EMA'!B21</f>
        <v>Long Term Renewable Contract Adjustment</v>
      </c>
      <c r="C24" s="233" t="str">
        <f>'R1 EMA'!C21</f>
        <v>LTRCA</v>
      </c>
      <c r="D24" s="243"/>
      <c r="E24" s="206"/>
      <c r="F24" s="239"/>
      <c r="G24" s="236">
        <v>2.3600000000000001E-3</v>
      </c>
      <c r="H24" s="211"/>
      <c r="I24" s="210">
        <f t="shared" si="1"/>
        <v>734279.87102492829</v>
      </c>
      <c r="K24" s="210"/>
      <c r="L24" s="236">
        <v>1.7357128782064517E-3</v>
      </c>
      <c r="M24" s="211"/>
      <c r="N24" s="210">
        <f t="shared" si="2"/>
        <v>540041.96116344933</v>
      </c>
    </row>
    <row r="25" spans="1:14" ht="14" x14ac:dyDescent="0.3">
      <c r="A25" s="151">
        <f>IF(B25&lt;&gt;"",COUNTA($B$13:B25),"")</f>
        <v>12</v>
      </c>
      <c r="B25" s="207" t="str">
        <f>'R1 EMA'!B22</f>
        <v>AG Consulting Expense</v>
      </c>
      <c r="C25" s="233" t="str">
        <f>'R1 EMA'!C22</f>
        <v>AGCE</v>
      </c>
      <c r="D25" s="243"/>
      <c r="E25" s="206"/>
      <c r="F25" s="239"/>
      <c r="G25" s="236">
        <v>4.0000000000000003E-5</v>
      </c>
      <c r="H25" s="211"/>
      <c r="I25" s="210">
        <f t="shared" si="1"/>
        <v>12445.421542795395</v>
      </c>
      <c r="K25" s="210"/>
      <c r="L25" s="236">
        <v>1.166713047491593E-5</v>
      </c>
      <c r="M25" s="211"/>
      <c r="N25" s="210">
        <f t="shared" si="2"/>
        <v>3630.058923878084</v>
      </c>
    </row>
    <row r="26" spans="1:14" ht="14" x14ac:dyDescent="0.3">
      <c r="A26" s="151">
        <f>IF(B26&lt;&gt;"",COUNTA($B$13:B26),"")</f>
        <v>13</v>
      </c>
      <c r="B26" s="207" t="str">
        <f>'R1 EMA'!B23</f>
        <v>Storm Cost Recovery Adjustment Factor</v>
      </c>
      <c r="C26" s="233" t="str">
        <f>'R1 EMA'!C23</f>
        <v>SCRA</v>
      </c>
      <c r="D26" s="243"/>
      <c r="E26" s="206"/>
      <c r="F26" s="239"/>
      <c r="G26" s="236">
        <v>2.5100000000000001E-3</v>
      </c>
      <c r="H26" s="211"/>
      <c r="I26" s="210">
        <f t="shared" si="1"/>
        <v>780950.20181041094</v>
      </c>
      <c r="K26" s="210"/>
      <c r="L26" s="236">
        <v>4.2117864593232222E-3</v>
      </c>
      <c r="M26" s="211"/>
      <c r="N26" s="210">
        <f t="shared" si="2"/>
        <v>1310436.448362879</v>
      </c>
    </row>
    <row r="27" spans="1:14" ht="14" x14ac:dyDescent="0.3">
      <c r="A27" s="151">
        <f>IF(B27&lt;&gt;"",COUNTA($B$13:B27),"")</f>
        <v>14</v>
      </c>
      <c r="B27" s="207" t="str">
        <f>'R1 EMA'!B24</f>
        <v>Storm Reserve Adjustment</v>
      </c>
      <c r="C27" s="233" t="str">
        <f>'R1 EMA'!C24</f>
        <v>SRA</v>
      </c>
      <c r="D27" s="243"/>
      <c r="E27" s="206"/>
      <c r="F27" s="239"/>
      <c r="G27" s="236">
        <v>0</v>
      </c>
      <c r="H27" s="211"/>
      <c r="I27" s="210">
        <f t="shared" si="1"/>
        <v>0</v>
      </c>
      <c r="K27" s="210"/>
      <c r="L27" s="236">
        <v>0</v>
      </c>
      <c r="M27" s="211"/>
      <c r="N27" s="210">
        <f t="shared" si="2"/>
        <v>0</v>
      </c>
    </row>
    <row r="28" spans="1:14" ht="14" x14ac:dyDescent="0.3">
      <c r="A28" s="151">
        <f>IF(B28&lt;&gt;"",COUNTA($B$13:B28),"")</f>
        <v>15</v>
      </c>
      <c r="B28" s="207" t="str">
        <f>'R1 EMA'!B25</f>
        <v>Basic Service Cost True Up Factor</v>
      </c>
      <c r="C28" s="233" t="str">
        <f>'R1 EMA'!C25</f>
        <v>BSTF</v>
      </c>
      <c r="D28" s="243"/>
      <c r="E28" s="206"/>
      <c r="F28" s="239"/>
      <c r="G28" s="236">
        <v>2.1700000000000001E-3</v>
      </c>
      <c r="H28" s="211"/>
      <c r="I28" s="210">
        <f t="shared" si="1"/>
        <v>675164.11869665014</v>
      </c>
      <c r="K28" s="210"/>
      <c r="L28" s="236">
        <v>-2.7574022080967562E-4</v>
      </c>
      <c r="M28" s="211"/>
      <c r="N28" s="210">
        <f t="shared" si="2"/>
        <v>-85792.58210699739</v>
      </c>
    </row>
    <row r="29" spans="1:14" ht="14" x14ac:dyDescent="0.3">
      <c r="A29" s="151">
        <f>IF(B29&lt;&gt;"",COUNTA($B$13:B29),"")</f>
        <v>16</v>
      </c>
      <c r="B29" s="207" t="str">
        <f>'R1 EMA'!B26</f>
        <v>Solar Program Cost Adjustment Factor</v>
      </c>
      <c r="C29" s="233" t="str">
        <f>'R1 EMA'!C26</f>
        <v>SPCA</v>
      </c>
      <c r="D29" s="233"/>
      <c r="E29" s="206"/>
      <c r="F29" s="239"/>
      <c r="G29" s="236">
        <v>0</v>
      </c>
      <c r="H29" s="211"/>
      <c r="I29" s="210">
        <f t="shared" si="1"/>
        <v>0</v>
      </c>
      <c r="K29" s="210"/>
      <c r="L29" s="236">
        <v>4.9071975383342255E-5</v>
      </c>
      <c r="M29" s="211"/>
      <c r="N29" s="210">
        <f t="shared" si="2"/>
        <v>15268.035489584323</v>
      </c>
    </row>
    <row r="30" spans="1:14" ht="14" x14ac:dyDescent="0.3">
      <c r="A30" s="151">
        <f>IF(B30&lt;&gt;"",COUNTA($B$13:B30),"")</f>
        <v>17</v>
      </c>
      <c r="B30" s="207" t="str">
        <f>'R1 EMA'!B27</f>
        <v>Solar Expansion Cost Recovery Factor</v>
      </c>
      <c r="C30" s="233" t="str">
        <f>'R1 EMA'!C27</f>
        <v>SECRF</v>
      </c>
      <c r="D30" s="233"/>
      <c r="E30" s="206"/>
      <c r="F30" s="239"/>
      <c r="G30" s="236">
        <v>0</v>
      </c>
      <c r="H30" s="211"/>
      <c r="I30" s="210">
        <f t="shared" si="1"/>
        <v>0</v>
      </c>
      <c r="K30" s="210"/>
      <c r="L30" s="236">
        <v>8.6551738253377874E-4</v>
      </c>
      <c r="M30" s="211"/>
      <c r="N30" s="210">
        <f t="shared" si="2"/>
        <v>269293.21695624426</v>
      </c>
    </row>
    <row r="31" spans="1:14" ht="14" x14ac:dyDescent="0.3">
      <c r="A31" s="151">
        <f>IF(B31&lt;&gt;"",COUNTA($B$13:B31),"")</f>
        <v>18</v>
      </c>
      <c r="B31" s="207" t="str">
        <f>'R1 EMA'!B28</f>
        <v>Vegetation Management</v>
      </c>
      <c r="C31" s="233" t="str">
        <f>'R1 EMA'!C28</f>
        <v>RTWF</v>
      </c>
      <c r="D31" s="233"/>
      <c r="E31" s="206"/>
      <c r="F31" s="239"/>
      <c r="G31" s="236">
        <v>0</v>
      </c>
      <c r="H31" s="211"/>
      <c r="I31" s="210">
        <f t="shared" si="1"/>
        <v>0</v>
      </c>
      <c r="K31" s="210"/>
      <c r="L31" s="236">
        <v>1.7314640393667022E-3</v>
      </c>
      <c r="M31" s="211"/>
      <c r="N31" s="210">
        <f t="shared" si="2"/>
        <v>538719.99640274723</v>
      </c>
    </row>
    <row r="32" spans="1:14" ht="14" x14ac:dyDescent="0.3">
      <c r="A32" s="151">
        <f>IF(B32&lt;&gt;"",COUNTA($B$13:B32),"")</f>
        <v>19</v>
      </c>
      <c r="B32" s="207" t="str">
        <f>'R1 EMA'!B29</f>
        <v>Solar Massachusetts Renewable Target</v>
      </c>
      <c r="C32" s="233" t="str">
        <f>'R1 EMA'!C29</f>
        <v>SMART</v>
      </c>
      <c r="D32" s="233"/>
      <c r="E32" s="206"/>
      <c r="F32" s="239"/>
      <c r="G32" s="236">
        <v>0</v>
      </c>
      <c r="H32" s="211"/>
      <c r="I32" s="210">
        <f t="shared" si="1"/>
        <v>0</v>
      </c>
      <c r="K32" s="210"/>
      <c r="L32" s="236">
        <v>1.0140750703614848E-3</v>
      </c>
      <c r="M32" s="211"/>
      <c r="N32" s="210">
        <f t="shared" si="2"/>
        <v>315514.79316721443</v>
      </c>
    </row>
    <row r="33" spans="1:14" ht="14" x14ac:dyDescent="0.3">
      <c r="A33" s="151">
        <f>IF(B33&lt;&gt;"",COUNTA($B$13:B33),"")</f>
        <v>20</v>
      </c>
      <c r="B33" s="207" t="str">
        <f>'R1 EMA'!B30</f>
        <v>Tax Act Credit Factor</v>
      </c>
      <c r="C33" s="233" t="str">
        <f>'R1 EMA'!C30</f>
        <v>TACF</v>
      </c>
      <c r="D33" s="233"/>
      <c r="E33" s="206"/>
      <c r="F33" s="239"/>
      <c r="G33" s="236">
        <v>0</v>
      </c>
      <c r="H33" s="211"/>
      <c r="I33" s="210">
        <f t="shared" si="1"/>
        <v>0</v>
      </c>
      <c r="K33" s="210"/>
      <c r="L33" s="236">
        <v>-1.5351402468605643E-3</v>
      </c>
      <c r="M33" s="211"/>
      <c r="N33" s="210">
        <f t="shared" si="2"/>
        <v>-477636.6874872676</v>
      </c>
    </row>
    <row r="34" spans="1:14" ht="14" x14ac:dyDescent="0.3">
      <c r="A34" s="151">
        <f>IF(B34&lt;&gt;"",COUNTA($B$13:B34),"")</f>
        <v>21</v>
      </c>
      <c r="B34" s="207" t="str">
        <f>'R1 EMA'!B31</f>
        <v>Transition</v>
      </c>
      <c r="C34" s="233" t="str">
        <f>'R1 EMA'!C31</f>
        <v>TRNSN</v>
      </c>
      <c r="D34" s="233"/>
      <c r="E34" s="206"/>
      <c r="F34" s="239"/>
      <c r="G34" s="236">
        <v>-6.0999999999999997E-4</v>
      </c>
      <c r="H34" s="211"/>
      <c r="I34" s="210">
        <f t="shared" si="1"/>
        <v>-189792.67852762973</v>
      </c>
      <c r="K34" s="210"/>
      <c r="L34" s="236">
        <v>-5.210932140356871E-4</v>
      </c>
      <c r="M34" s="211"/>
      <c r="N34" s="210">
        <f t="shared" si="2"/>
        <v>-162130.61779410578</v>
      </c>
    </row>
    <row r="35" spans="1:14" ht="14" x14ac:dyDescent="0.3">
      <c r="A35" s="151">
        <f>IF(B35&lt;&gt;"",COUNTA($B$13:B35),"")</f>
        <v>22</v>
      </c>
      <c r="B35" s="207" t="str">
        <f>'R1 EMA'!B32</f>
        <v>Transmission Energy</v>
      </c>
      <c r="C35" s="233" t="str">
        <f>'R1 EMA'!C32</f>
        <v>TMKWH</v>
      </c>
      <c r="D35" s="233"/>
      <c r="E35" s="206"/>
      <c r="F35" s="239"/>
      <c r="G35" s="236">
        <v>2.5860000000000001E-2</v>
      </c>
      <c r="H35" s="211"/>
      <c r="I35" s="210">
        <f>G35*$E$16</f>
        <v>8045965.027417222</v>
      </c>
      <c r="K35" s="210"/>
      <c r="L35" s="236">
        <v>2.2780273449062582E-2</v>
      </c>
      <c r="M35" s="211"/>
      <c r="N35" s="210">
        <f>$E$16*L35</f>
        <v>7087752.6483433349</v>
      </c>
    </row>
    <row r="36" spans="1:14" ht="14" x14ac:dyDescent="0.3">
      <c r="A36" s="151">
        <f>IF(B36&lt;&gt;"",COUNTA($B$13:B36),"")</f>
        <v>23</v>
      </c>
      <c r="B36" s="207" t="str">
        <f>'R1 EMA'!B33</f>
        <v>Energy Efficiency Reconciliation Factor</v>
      </c>
      <c r="C36" s="233" t="str">
        <f>'R1 EMA'!C33</f>
        <v>EERF</v>
      </c>
      <c r="D36" s="233"/>
      <c r="E36" s="206"/>
      <c r="F36" s="239"/>
      <c r="G36" s="236">
        <v>8.4600000000000005E-3</v>
      </c>
      <c r="H36" s="211"/>
      <c r="I36" s="210">
        <f t="shared" ref="I36:I39" si="3">G36*$E$16</f>
        <v>2632206.656301226</v>
      </c>
      <c r="K36" s="210"/>
      <c r="L36" s="236">
        <v>8.4600000000000005E-3</v>
      </c>
      <c r="M36" s="211"/>
      <c r="N36" s="210">
        <f t="shared" ref="N36:N39" si="4">$E$16*L36</f>
        <v>2632206.656301226</v>
      </c>
    </row>
    <row r="37" spans="1:14" ht="14" x14ac:dyDescent="0.3">
      <c r="A37" s="151">
        <f>IF(B37&lt;&gt;"",COUNTA($B$13:B37),"")</f>
        <v>24</v>
      </c>
      <c r="B37" s="207" t="str">
        <f>'R1 EMA'!B34</f>
        <v>System Benefits Charge</v>
      </c>
      <c r="C37" s="233" t="str">
        <f>'R1 EMA'!C34</f>
        <v>SBC</v>
      </c>
      <c r="D37" s="233"/>
      <c r="E37" s="206"/>
      <c r="F37" s="239"/>
      <c r="G37" s="236">
        <v>2.5000000000000001E-3</v>
      </c>
      <c r="H37" s="211"/>
      <c r="I37" s="210">
        <f t="shared" si="3"/>
        <v>777838.8464247121</v>
      </c>
      <c r="K37" s="210"/>
      <c r="L37" s="236">
        <v>2.5000000000000001E-3</v>
      </c>
      <c r="M37" s="211"/>
      <c r="N37" s="210">
        <f t="shared" si="4"/>
        <v>777838.8464247121</v>
      </c>
    </row>
    <row r="38" spans="1:14" ht="14" x14ac:dyDescent="0.3">
      <c r="A38" s="151">
        <f>IF(B38&lt;&gt;"",COUNTA($B$13:B38),"")</f>
        <v>25</v>
      </c>
      <c r="B38" s="207" t="str">
        <f>'R1 EMA'!B35</f>
        <v>Renewable Energy Charge</v>
      </c>
      <c r="C38" s="233" t="str">
        <f>'R1 EMA'!C35</f>
        <v>RNEW</v>
      </c>
      <c r="D38" s="233"/>
      <c r="E38" s="206"/>
      <c r="F38" s="239"/>
      <c r="G38" s="236">
        <v>5.0000000000000001E-4</v>
      </c>
      <c r="H38" s="211"/>
      <c r="I38" s="210">
        <f t="shared" si="3"/>
        <v>155567.76928494242</v>
      </c>
      <c r="K38" s="210"/>
      <c r="L38" s="236">
        <v>5.0000000000000001E-4</v>
      </c>
      <c r="M38" s="211"/>
      <c r="N38" s="210">
        <f t="shared" si="4"/>
        <v>155567.76928494242</v>
      </c>
    </row>
    <row r="39" spans="1:14" ht="14" x14ac:dyDescent="0.3">
      <c r="A39" s="151">
        <f>IF(B39&lt;&gt;"",COUNTA($B$13:B39),"")</f>
        <v>26</v>
      </c>
      <c r="B39" s="207" t="str">
        <f>'R1 EMA'!B36</f>
        <v>Basic Service Charge</v>
      </c>
      <c r="C39" s="233" t="str">
        <f>'R1 EMA'!C36</f>
        <v>BS</v>
      </c>
      <c r="D39" s="233"/>
      <c r="E39" s="206"/>
      <c r="F39" s="239"/>
      <c r="G39" s="236">
        <v>0.11403000000000001</v>
      </c>
      <c r="H39" s="211"/>
      <c r="I39" s="237">
        <f t="shared" si="3"/>
        <v>35478785.46312397</v>
      </c>
      <c r="K39" s="210"/>
      <c r="L39" s="236">
        <v>0.13185000000000002</v>
      </c>
      <c r="M39" s="211"/>
      <c r="N39" s="237">
        <f t="shared" si="4"/>
        <v>41023220.760439321</v>
      </c>
    </row>
    <row r="40" spans="1:14" ht="14" x14ac:dyDescent="0.3">
      <c r="A40" s="151" t="str">
        <f>IF(B40&lt;&gt;"",COUNTA($B$13:B40),"")</f>
        <v/>
      </c>
      <c r="B40" s="207"/>
      <c r="E40" s="206"/>
      <c r="F40" s="239"/>
      <c r="G40" s="241"/>
      <c r="H40" s="211"/>
      <c r="I40" s="244"/>
      <c r="K40" s="210"/>
      <c r="L40" s="241"/>
      <c r="M40" s="211"/>
      <c r="N40" s="244"/>
    </row>
    <row r="41" spans="1:14" ht="14" x14ac:dyDescent="0.3">
      <c r="A41" s="151">
        <f>IF(B41&lt;&gt;"",COUNTA($B$13:B41),"")</f>
        <v>27</v>
      </c>
      <c r="B41" s="188" t="s">
        <v>46</v>
      </c>
      <c r="E41" s="188"/>
      <c r="G41" s="245" t="s">
        <v>324</v>
      </c>
      <c r="H41" s="246"/>
      <c r="I41" s="154">
        <f>SUM(I17:I40)</f>
        <v>74518077.263205439</v>
      </c>
      <c r="K41" s="247"/>
      <c r="L41" s="245"/>
      <c r="N41" s="154">
        <f>SUM(N17:N40)</f>
        <v>80421470.098875284</v>
      </c>
    </row>
    <row r="42" spans="1:14" ht="14" x14ac:dyDescent="0.3">
      <c r="A42" s="151" t="str">
        <f>IF(B42&lt;&gt;"",COUNTA($B$13:B42),"")</f>
        <v/>
      </c>
      <c r="E42" s="188"/>
      <c r="H42" s="188"/>
      <c r="I42" s="154"/>
      <c r="K42" s="265"/>
      <c r="L42" s="278"/>
      <c r="N42" s="265"/>
    </row>
    <row r="43" spans="1:14" ht="14" x14ac:dyDescent="0.3">
      <c r="A43" s="151">
        <f>IF(B43&lt;&gt;"",COUNTA($B$13:B43),"")</f>
        <v>28</v>
      </c>
      <c r="B43" s="188" t="s">
        <v>46</v>
      </c>
      <c r="E43" s="188"/>
      <c r="G43" s="188"/>
      <c r="H43" s="188"/>
      <c r="I43" s="188"/>
      <c r="J43" s="188"/>
      <c r="L43" s="248" t="s">
        <v>325</v>
      </c>
      <c r="N43" s="160">
        <f>+N41/I41-1</f>
        <v>7.922094949952152E-2</v>
      </c>
    </row>
    <row r="44" spans="1:14" ht="14" x14ac:dyDescent="0.3">
      <c r="A44" s="151" t="str">
        <f>IF(B44&lt;&gt;"",COUNTA($B$13:B44),"")</f>
        <v/>
      </c>
      <c r="E44" s="188"/>
      <c r="G44" s="188"/>
      <c r="H44" s="188"/>
      <c r="I44" s="188"/>
      <c r="J44" s="188"/>
      <c r="L44" s="248"/>
      <c r="N44" s="160"/>
    </row>
    <row r="45" spans="1:14" ht="14" x14ac:dyDescent="0.3">
      <c r="A45" s="151" t="str">
        <f>IF(B45&lt;&gt;"",COUNTA($B$13:B45),"")</f>
        <v/>
      </c>
      <c r="E45" s="188"/>
      <c r="G45" s="186"/>
      <c r="H45" s="188"/>
      <c r="I45" s="188"/>
      <c r="L45" s="248"/>
      <c r="N45" s="160"/>
    </row>
    <row r="46" spans="1:14" ht="14.5" thickBot="1" x14ac:dyDescent="0.35">
      <c r="A46" s="151">
        <f>IF(B46&lt;&gt;"",COUNTA($B$13:B46),"")</f>
        <v>29</v>
      </c>
      <c r="B46" s="188" t="s">
        <v>46</v>
      </c>
      <c r="E46" s="279" t="s">
        <v>326</v>
      </c>
      <c r="F46" s="135"/>
      <c r="G46" s="280"/>
      <c r="I46" s="279" t="s">
        <v>327</v>
      </c>
      <c r="J46" s="135"/>
      <c r="L46" s="279" t="s">
        <v>328</v>
      </c>
      <c r="M46" s="135"/>
      <c r="N46" s="137"/>
    </row>
    <row r="47" spans="1:14" ht="14" x14ac:dyDescent="0.3">
      <c r="A47" s="151">
        <f>IF(B47&lt;&gt;"",COUNTA($B$13:B47),"")</f>
        <v>30</v>
      </c>
      <c r="B47" s="144" t="s">
        <v>329</v>
      </c>
      <c r="C47" s="144"/>
      <c r="D47" s="144"/>
      <c r="E47" s="249" t="s">
        <v>148</v>
      </c>
      <c r="F47" s="250"/>
      <c r="G47" s="251" t="s">
        <v>330</v>
      </c>
      <c r="I47" s="249" t="s">
        <v>148</v>
      </c>
      <c r="J47" s="251" t="s">
        <v>330</v>
      </c>
      <c r="K47" s="212"/>
      <c r="L47" s="249" t="s">
        <v>148</v>
      </c>
      <c r="M47" s="252"/>
      <c r="N47" s="251" t="s">
        <v>330</v>
      </c>
    </row>
    <row r="48" spans="1:14" ht="14" x14ac:dyDescent="0.3">
      <c r="A48" s="151">
        <f>IF(B48&lt;&gt;"",COUNTA($B$13:B48),"")</f>
        <v>31</v>
      </c>
      <c r="B48" s="130" t="str">
        <f>+'R1 EMA'!B45</f>
        <v>Distribution</v>
      </c>
      <c r="C48" s="253" t="str">
        <f>+'R1 EMA'!C45</f>
        <v>DIST</v>
      </c>
      <c r="D48" s="253"/>
      <c r="E48" s="154">
        <f t="shared" ref="E48:E63" si="5">SUMIF($C$13:$C$39,$C48,$I$13:$I$39)</f>
        <v>21684151.458653294</v>
      </c>
      <c r="G48" s="254">
        <f>+E48/$E$16*100</f>
        <v>6.969358614037839</v>
      </c>
      <c r="I48" s="154">
        <f t="shared" ref="I48:I63" si="6">SUMIF($C$13:$C$39,$C48,$N$13:$N$39)</f>
        <v>22398018.849943239</v>
      </c>
      <c r="J48" s="254">
        <f>+I48/$E$16*100</f>
        <v>7.1987979749579045</v>
      </c>
      <c r="L48" s="154">
        <f t="shared" ref="L48:L68" si="7">I48-E48</f>
        <v>713867.39128994569</v>
      </c>
      <c r="N48" s="254">
        <f>+L48/$E$14*100</f>
        <v>0.34170298946185351</v>
      </c>
    </row>
    <row r="49" spans="1:14" ht="14" x14ac:dyDescent="0.3">
      <c r="A49" s="151">
        <f>IF(B49&lt;&gt;"",COUNTA($B$13:B49),"")</f>
        <v>32</v>
      </c>
      <c r="B49" s="130" t="str">
        <f>+'R1 EMA'!B46</f>
        <v>Revenue Decoupling</v>
      </c>
      <c r="C49" s="253" t="str">
        <f>+'R1 EMA'!C46</f>
        <v>RDAF</v>
      </c>
      <c r="D49" s="253"/>
      <c r="E49" s="154">
        <f t="shared" si="5"/>
        <v>0</v>
      </c>
      <c r="G49" s="254">
        <f t="shared" ref="G49:G68" si="8">+E49/$E$16*100</f>
        <v>0</v>
      </c>
      <c r="I49" s="154">
        <f t="shared" si="6"/>
        <v>-204646.25496066891</v>
      </c>
      <c r="J49" s="254">
        <f t="shared" ref="J49:J68" si="9">+I49/$E$16*100</f>
        <v>-6.5773989014984491E-2</v>
      </c>
      <c r="L49" s="154">
        <f>I49-E49</f>
        <v>-204646.25496066891</v>
      </c>
      <c r="N49" s="254">
        <f t="shared" ref="N49:N69" si="10">+L49/$E$14*100</f>
        <v>-9.7956900616897699E-2</v>
      </c>
    </row>
    <row r="50" spans="1:14" ht="14" x14ac:dyDescent="0.3">
      <c r="A50" s="151">
        <f>IF(B50&lt;&gt;"",COUNTA($B$13:B50),"")</f>
        <v>33</v>
      </c>
      <c r="B50" s="130" t="str">
        <f>+'R1 EMA'!B47</f>
        <v>Residential Assistance Adjustment Factor</v>
      </c>
      <c r="C50" s="253" t="str">
        <f>+'R1 EMA'!C47</f>
        <v>RAAF</v>
      </c>
      <c r="D50" s="253"/>
      <c r="E50" s="154">
        <f t="shared" si="5"/>
        <v>1266321.6419794313</v>
      </c>
      <c r="G50" s="254">
        <f t="shared" si="8"/>
        <v>0.40699999999999997</v>
      </c>
      <c r="I50" s="154">
        <f t="shared" si="6"/>
        <v>1728906.6001101097</v>
      </c>
      <c r="J50" s="254">
        <f t="shared" si="9"/>
        <v>0.55567634866043314</v>
      </c>
      <c r="L50" s="154">
        <f t="shared" si="7"/>
        <v>462584.95813067839</v>
      </c>
      <c r="N50" s="254">
        <f t="shared" si="10"/>
        <v>0.2214230051714724</v>
      </c>
    </row>
    <row r="51" spans="1:14" ht="14" x14ac:dyDescent="0.3">
      <c r="A51" s="151">
        <f>IF(B51&lt;&gt;"",COUNTA($B$13:B51),"")</f>
        <v>34</v>
      </c>
      <c r="B51" s="130" t="str">
        <f>+'R1 EMA'!B48</f>
        <v>Pension Adjustment Factor</v>
      </c>
      <c r="C51" s="253" t="str">
        <f>+'R1 EMA'!C48</f>
        <v>PAF</v>
      </c>
      <c r="D51" s="253"/>
      <c r="E51" s="154">
        <f t="shared" si="5"/>
        <v>-34224.909242687332</v>
      </c>
      <c r="G51" s="254">
        <f t="shared" si="8"/>
        <v>-1.1000000000000001E-2</v>
      </c>
      <c r="I51" s="154">
        <f t="shared" si="6"/>
        <v>300904.07573622896</v>
      </c>
      <c r="J51" s="254">
        <f t="shared" si="9"/>
        <v>9.6711573714566915E-2</v>
      </c>
      <c r="L51" s="154">
        <f t="shared" si="7"/>
        <v>335128.9849789163</v>
      </c>
      <c r="N51" s="254">
        <f t="shared" si="10"/>
        <v>0.16041435344971633</v>
      </c>
    </row>
    <row r="52" spans="1:14" ht="14" x14ac:dyDescent="0.3">
      <c r="A52" s="151">
        <f>IF(B52&lt;&gt;"",COUNTA($B$13:B52),"")</f>
        <v>35</v>
      </c>
      <c r="B52" s="130" t="str">
        <f>+'R1 EMA'!B49</f>
        <v>Net Metering Recovery Surcharge</v>
      </c>
      <c r="C52" s="253" t="str">
        <f>+'R1 EMA'!C49</f>
        <v>NMRS</v>
      </c>
      <c r="D52" s="253"/>
      <c r="E52" s="154">
        <f t="shared" si="5"/>
        <v>2498418.3747161753</v>
      </c>
      <c r="G52" s="254">
        <f t="shared" si="8"/>
        <v>0.80300000000000005</v>
      </c>
      <c r="I52" s="154">
        <f t="shared" si="6"/>
        <v>2254355.5241752109</v>
      </c>
      <c r="J52" s="254">
        <f t="shared" si="9"/>
        <v>0.72455738567738548</v>
      </c>
      <c r="L52" s="154">
        <f t="shared" si="7"/>
        <v>-244062.8505409644</v>
      </c>
      <c r="N52" s="254">
        <f t="shared" si="10"/>
        <v>-0.11682422626943666</v>
      </c>
    </row>
    <row r="53" spans="1:14" ht="14" x14ac:dyDescent="0.3">
      <c r="A53" s="151">
        <f>IF(B53&lt;&gt;"",COUNTA($B$13:B53),"")</f>
        <v>36</v>
      </c>
      <c r="B53" s="130" t="str">
        <f>+'R1 EMA'!B50</f>
        <v>Long Term Renewable Contract Adjustment</v>
      </c>
      <c r="C53" s="253" t="str">
        <f>+'R1 EMA'!C50</f>
        <v>LTRCA</v>
      </c>
      <c r="D53" s="253"/>
      <c r="E53" s="154">
        <f t="shared" si="5"/>
        <v>734279.87102492829</v>
      </c>
      <c r="G53" s="254">
        <f t="shared" si="8"/>
        <v>0.23600000000000002</v>
      </c>
      <c r="I53" s="154">
        <f t="shared" si="6"/>
        <v>540041.96116344933</v>
      </c>
      <c r="J53" s="254">
        <f t="shared" si="9"/>
        <v>0.17357128782064518</v>
      </c>
      <c r="L53" s="154">
        <f t="shared" si="7"/>
        <v>-194237.90986147895</v>
      </c>
      <c r="N53" s="254">
        <f t="shared" si="10"/>
        <v>-9.297479514585609E-2</v>
      </c>
    </row>
    <row r="54" spans="1:14" ht="14" x14ac:dyDescent="0.3">
      <c r="A54" s="151">
        <f>IF(B54&lt;&gt;"",COUNTA($B$13:B54),"")</f>
        <v>37</v>
      </c>
      <c r="B54" s="130" t="str">
        <f>+'R1 EMA'!B51</f>
        <v>AG Consulting Expense</v>
      </c>
      <c r="C54" s="253" t="str">
        <f>+'R1 EMA'!C51</f>
        <v>AGCE</v>
      </c>
      <c r="D54" s="253"/>
      <c r="E54" s="154">
        <f t="shared" si="5"/>
        <v>12445.421542795395</v>
      </c>
      <c r="G54" s="254">
        <f t="shared" si="8"/>
        <v>4.0000000000000001E-3</v>
      </c>
      <c r="I54" s="154">
        <f t="shared" si="6"/>
        <v>3630.058923878084</v>
      </c>
      <c r="J54" s="254">
        <f t="shared" si="9"/>
        <v>1.1667130474915929E-3</v>
      </c>
      <c r="L54" s="154">
        <f t="shared" si="7"/>
        <v>-8815.3626189173119</v>
      </c>
      <c r="N54" s="254">
        <f t="shared" si="10"/>
        <v>-4.2196012828534767E-3</v>
      </c>
    </row>
    <row r="55" spans="1:14" ht="14" x14ac:dyDescent="0.3">
      <c r="A55" s="151">
        <f>IF(B55&lt;&gt;"",COUNTA($B$13:B55),"")</f>
        <v>38</v>
      </c>
      <c r="B55" s="130" t="str">
        <f>+'R1 EMA'!B52</f>
        <v>Storm Cost Recovery Adjustment Factor</v>
      </c>
      <c r="C55" s="253" t="str">
        <f>+'R1 EMA'!C52</f>
        <v>SCRA</v>
      </c>
      <c r="D55" s="253"/>
      <c r="E55" s="154">
        <f t="shared" si="5"/>
        <v>780950.20181041094</v>
      </c>
      <c r="G55" s="254">
        <f t="shared" si="8"/>
        <v>0.251</v>
      </c>
      <c r="I55" s="154">
        <f t="shared" si="6"/>
        <v>1310436.448362879</v>
      </c>
      <c r="J55" s="254">
        <f t="shared" si="9"/>
        <v>0.42117864593232224</v>
      </c>
      <c r="L55" s="154">
        <f>I55-E55</f>
        <v>529486.24655246804</v>
      </c>
      <c r="N55" s="254">
        <f t="shared" si="10"/>
        <v>0.2534462780250859</v>
      </c>
    </row>
    <row r="56" spans="1:14" ht="14" x14ac:dyDescent="0.3">
      <c r="A56" s="151">
        <f>IF(B56&lt;&gt;"",COUNTA($B$13:B56),"")</f>
        <v>39</v>
      </c>
      <c r="B56" s="130" t="str">
        <f>+'R1 EMA'!B53</f>
        <v>Storm Reserve Adjustment</v>
      </c>
      <c r="C56" s="253" t="str">
        <f>+'R1 EMA'!C53</f>
        <v>SRA</v>
      </c>
      <c r="D56" s="253"/>
      <c r="E56" s="154">
        <f t="shared" si="5"/>
        <v>0</v>
      </c>
      <c r="G56" s="254">
        <f t="shared" si="8"/>
        <v>0</v>
      </c>
      <c r="I56" s="154">
        <f t="shared" si="6"/>
        <v>0</v>
      </c>
      <c r="J56" s="254">
        <f t="shared" si="9"/>
        <v>0</v>
      </c>
      <c r="L56" s="154">
        <f>I56-E56</f>
        <v>0</v>
      </c>
      <c r="N56" s="254">
        <f t="shared" si="10"/>
        <v>0</v>
      </c>
    </row>
    <row r="57" spans="1:14" ht="14" x14ac:dyDescent="0.3">
      <c r="A57" s="151">
        <f>IF(B57&lt;&gt;"",COUNTA($B$13:B57),"")</f>
        <v>40</v>
      </c>
      <c r="B57" s="130" t="str">
        <f>+'R1 EMA'!B54</f>
        <v>Basic Service Cost True Up Factor</v>
      </c>
      <c r="C57" s="253" t="str">
        <f>+'R1 EMA'!C54</f>
        <v>BSTF</v>
      </c>
      <c r="D57" s="253"/>
      <c r="E57" s="154">
        <f t="shared" si="5"/>
        <v>675164.11869665014</v>
      </c>
      <c r="G57" s="254">
        <f t="shared" si="8"/>
        <v>0.217</v>
      </c>
      <c r="I57" s="154">
        <f t="shared" si="6"/>
        <v>-85792.58210699739</v>
      </c>
      <c r="J57" s="254">
        <f t="shared" si="9"/>
        <v>-2.7574022080967563E-2</v>
      </c>
      <c r="L57" s="154">
        <f t="shared" ref="L57:L63" si="11">I57-E57</f>
        <v>-760956.70080364752</v>
      </c>
      <c r="N57" s="254">
        <f t="shared" si="10"/>
        <v>-0.36424297101704273</v>
      </c>
    </row>
    <row r="58" spans="1:14" ht="14" x14ac:dyDescent="0.3">
      <c r="A58" s="151">
        <f>IF(B58&lt;&gt;"",COUNTA($B$13:B58),"")</f>
        <v>41</v>
      </c>
      <c r="B58" s="130" t="str">
        <f>+'R1 EMA'!B55</f>
        <v>Solar Program Cost Adjustment Factor</v>
      </c>
      <c r="C58" s="253" t="str">
        <f>+'R1 EMA'!C55</f>
        <v>SPCA</v>
      </c>
      <c r="D58" s="253"/>
      <c r="E58" s="154">
        <f t="shared" si="5"/>
        <v>0</v>
      </c>
      <c r="G58" s="254">
        <f t="shared" si="8"/>
        <v>0</v>
      </c>
      <c r="I58" s="154">
        <f t="shared" si="6"/>
        <v>15268.035489584323</v>
      </c>
      <c r="J58" s="254">
        <f t="shared" si="9"/>
        <v>4.9071975383342256E-3</v>
      </c>
      <c r="L58" s="154">
        <f t="shared" si="11"/>
        <v>15268.035489584323</v>
      </c>
      <c r="N58" s="254">
        <f t="shared" si="10"/>
        <v>7.308266820499211E-3</v>
      </c>
    </row>
    <row r="59" spans="1:14" ht="14" x14ac:dyDescent="0.3">
      <c r="A59" s="151">
        <f>IF(B59&lt;&gt;"",COUNTA($B$13:B59),"")</f>
        <v>42</v>
      </c>
      <c r="B59" s="130" t="str">
        <f>+'R1 EMA'!B56</f>
        <v>Solar Expansion Cost Recovery Factor</v>
      </c>
      <c r="C59" s="253" t="str">
        <f>+'R1 EMA'!C56</f>
        <v>SECRF</v>
      </c>
      <c r="D59" s="253"/>
      <c r="E59" s="154">
        <f t="shared" si="5"/>
        <v>0</v>
      </c>
      <c r="G59" s="254">
        <f t="shared" si="8"/>
        <v>0</v>
      </c>
      <c r="I59" s="154">
        <f t="shared" si="6"/>
        <v>269293.21695624426</v>
      </c>
      <c r="J59" s="254">
        <f t="shared" si="9"/>
        <v>8.6551738253377863E-2</v>
      </c>
      <c r="L59" s="154">
        <f t="shared" si="11"/>
        <v>269293.21695624426</v>
      </c>
      <c r="N59" s="254">
        <f t="shared" si="10"/>
        <v>0.1289011074024165</v>
      </c>
    </row>
    <row r="60" spans="1:14" ht="14" x14ac:dyDescent="0.3">
      <c r="A60" s="151">
        <f>IF(B60&lt;&gt;"",COUNTA($B$13:B60),"")</f>
        <v>43</v>
      </c>
      <c r="B60" s="130" t="str">
        <f>+'R1 EMA'!B57</f>
        <v>Vegetation Management</v>
      </c>
      <c r="C60" s="253" t="str">
        <f>+'R1 EMA'!C57</f>
        <v>RTWF</v>
      </c>
      <c r="D60" s="253"/>
      <c r="E60" s="154">
        <f t="shared" si="5"/>
        <v>0</v>
      </c>
      <c r="G60" s="254">
        <f t="shared" si="8"/>
        <v>0</v>
      </c>
      <c r="I60" s="154">
        <f t="shared" si="6"/>
        <v>538719.99640274723</v>
      </c>
      <c r="J60" s="254">
        <f t="shared" si="9"/>
        <v>0.17314640393667025</v>
      </c>
      <c r="L60" s="154">
        <f t="shared" si="11"/>
        <v>538719.99640274723</v>
      </c>
      <c r="N60" s="254">
        <f t="shared" si="10"/>
        <v>0.25786614642961125</v>
      </c>
    </row>
    <row r="61" spans="1:14" ht="14" x14ac:dyDescent="0.3">
      <c r="A61" s="151">
        <f>IF(B61&lt;&gt;"",COUNTA($B$13:B61),"")</f>
        <v>44</v>
      </c>
      <c r="B61" s="130" t="str">
        <f>+'R1 EMA'!B58</f>
        <v>Solar Massachusetts Renewable Target</v>
      </c>
      <c r="C61" s="253" t="str">
        <f>+'R1 EMA'!C58</f>
        <v>SMART</v>
      </c>
      <c r="D61" s="253"/>
      <c r="E61" s="154">
        <f t="shared" si="5"/>
        <v>0</v>
      </c>
      <c r="G61" s="254">
        <f t="shared" si="8"/>
        <v>0</v>
      </c>
      <c r="I61" s="154">
        <f t="shared" si="6"/>
        <v>315514.79316721443</v>
      </c>
      <c r="J61" s="254">
        <f t="shared" si="9"/>
        <v>0.10140750703614848</v>
      </c>
      <c r="L61" s="154">
        <f t="shared" si="11"/>
        <v>315514.79316721443</v>
      </c>
      <c r="N61" s="254">
        <f t="shared" si="10"/>
        <v>0.15102573581608844</v>
      </c>
    </row>
    <row r="62" spans="1:14" ht="14" x14ac:dyDescent="0.3">
      <c r="A62" s="151">
        <f>IF(B62&lt;&gt;"",COUNTA($B$13:B62),"")</f>
        <v>45</v>
      </c>
      <c r="B62" s="130" t="str">
        <f>+'R1 EMA'!B59</f>
        <v>Tax Act Credit Factor</v>
      </c>
      <c r="C62" s="253" t="str">
        <f>+'R1 EMA'!C59</f>
        <v>TACF</v>
      </c>
      <c r="D62" s="253"/>
      <c r="E62" s="154">
        <f t="shared" si="5"/>
        <v>0</v>
      </c>
      <c r="G62" s="254">
        <f t="shared" si="8"/>
        <v>0</v>
      </c>
      <c r="I62" s="154">
        <f t="shared" si="6"/>
        <v>-477636.6874872676</v>
      </c>
      <c r="J62" s="254">
        <f t="shared" si="9"/>
        <v>-0.15351402468605643</v>
      </c>
      <c r="L62" s="154">
        <f t="shared" si="11"/>
        <v>-477636.6874872676</v>
      </c>
      <c r="N62" s="254">
        <f t="shared" si="10"/>
        <v>-0.22862773392147673</v>
      </c>
    </row>
    <row r="63" spans="1:14" ht="14" x14ac:dyDescent="0.3">
      <c r="A63" s="151">
        <f>IF(B63&lt;&gt;"",COUNTA($B$13:B63),"")</f>
        <v>46</v>
      </c>
      <c r="B63" s="130" t="str">
        <f>+'R1 EMA'!B60</f>
        <v>Transition</v>
      </c>
      <c r="C63" s="253" t="str">
        <f>+'R1 EMA'!C60</f>
        <v>TRNSN</v>
      </c>
      <c r="D63" s="253"/>
      <c r="E63" s="154">
        <f t="shared" si="5"/>
        <v>-189792.67852762973</v>
      </c>
      <c r="G63" s="254">
        <f t="shared" si="8"/>
        <v>-6.0999999999999999E-2</v>
      </c>
      <c r="I63" s="154">
        <f t="shared" si="6"/>
        <v>-162130.61779410578</v>
      </c>
      <c r="J63" s="254">
        <f t="shared" si="9"/>
        <v>-5.2109321403568713E-2</v>
      </c>
      <c r="L63" s="154">
        <f t="shared" si="11"/>
        <v>27662.060733523947</v>
      </c>
      <c r="N63" s="254">
        <f t="shared" si="10"/>
        <v>1.3240846917297218E-2</v>
      </c>
    </row>
    <row r="64" spans="1:14" ht="14" x14ac:dyDescent="0.3">
      <c r="A64" s="151">
        <f>IF(B64&lt;&gt;"",COUNTA($B$13:B64),"")</f>
        <v>47</v>
      </c>
      <c r="B64" s="130" t="str">
        <f>+'R1 EMA'!B61</f>
        <v>Transmission</v>
      </c>
      <c r="C64" s="253" t="str">
        <f>+'R1 EMA'!C61</f>
        <v>TRNSM</v>
      </c>
      <c r="D64" s="253"/>
      <c r="E64" s="154">
        <f>SUM(SUMIF($C$13:$C$39,{"TMKW","TMKWH"},$I$13:$I$39))</f>
        <v>8045965.027417222</v>
      </c>
      <c r="G64" s="254">
        <f t="shared" si="8"/>
        <v>2.5860000000000003</v>
      </c>
      <c r="I64" s="154">
        <f>SUM(SUMIF($C$13:$C$39,{"TMKW","TMKWH"},$N$13:$N$39))</f>
        <v>7087752.6483433349</v>
      </c>
      <c r="J64" s="254">
        <f t="shared" si="9"/>
        <v>2.278027344906258</v>
      </c>
      <c r="L64" s="154">
        <f t="shared" si="7"/>
        <v>-958212.37907388713</v>
      </c>
      <c r="N64" s="254">
        <f t="shared" si="10"/>
        <v>-0.45866226481819355</v>
      </c>
    </row>
    <row r="65" spans="1:14" ht="14" x14ac:dyDescent="0.3">
      <c r="A65" s="151">
        <f>IF(B65&lt;&gt;"",COUNTA($B$13:B65),"")</f>
        <v>48</v>
      </c>
      <c r="B65" s="130" t="str">
        <f>+'R1 EMA'!B62</f>
        <v>Energy Efficiency Reconciliation Factor</v>
      </c>
      <c r="C65" s="253" t="str">
        <f>+'R1 EMA'!C62</f>
        <v>EERF</v>
      </c>
      <c r="D65" s="253"/>
      <c r="E65" s="154">
        <f>SUMIF($C$13:$C$39,$C65,$I$13:$I$39)</f>
        <v>2632206.656301226</v>
      </c>
      <c r="G65" s="254">
        <f t="shared" si="8"/>
        <v>0.84600000000000009</v>
      </c>
      <c r="I65" s="154">
        <f>SUMIF($C$13:$C$39,$C65,$N$13:$N$39)</f>
        <v>2632206.656301226</v>
      </c>
      <c r="J65" s="254">
        <f t="shared" si="9"/>
        <v>0.84600000000000009</v>
      </c>
      <c r="L65" s="154">
        <f t="shared" si="7"/>
        <v>0</v>
      </c>
      <c r="N65" s="254">
        <f t="shared" si="10"/>
        <v>0</v>
      </c>
    </row>
    <row r="66" spans="1:14" ht="14" x14ac:dyDescent="0.3">
      <c r="A66" s="151">
        <f>IF(B66&lt;&gt;"",COUNTA($B$13:B66),"")</f>
        <v>49</v>
      </c>
      <c r="B66" s="130" t="str">
        <f>+'R1 EMA'!B63</f>
        <v>System Benefits Charge</v>
      </c>
      <c r="C66" s="253" t="str">
        <f>+'R1 EMA'!C63</f>
        <v>SBC</v>
      </c>
      <c r="D66" s="253"/>
      <c r="E66" s="154">
        <f>SUMIF($C$13:$C$39,$C66,$I$13:$I$39)</f>
        <v>777838.8464247121</v>
      </c>
      <c r="G66" s="254">
        <f t="shared" si="8"/>
        <v>0.25</v>
      </c>
      <c r="I66" s="154">
        <f>SUMIF($C$13:$C$39,$C66,$N$13:$N$39)</f>
        <v>777838.8464247121</v>
      </c>
      <c r="J66" s="254">
        <f t="shared" si="9"/>
        <v>0.25</v>
      </c>
      <c r="L66" s="154">
        <f t="shared" si="7"/>
        <v>0</v>
      </c>
      <c r="N66" s="254">
        <f t="shared" si="10"/>
        <v>0</v>
      </c>
    </row>
    <row r="67" spans="1:14" ht="14" x14ac:dyDescent="0.3">
      <c r="A67" s="151">
        <f>IF(B67&lt;&gt;"",COUNTA($B$13:B67),"")</f>
        <v>50</v>
      </c>
      <c r="B67" s="130" t="str">
        <f>+'R1 EMA'!B64</f>
        <v>Renewable Energy Charge</v>
      </c>
      <c r="C67" s="253" t="str">
        <f>+'R1 EMA'!C64</f>
        <v>RNEW</v>
      </c>
      <c r="D67" s="253"/>
      <c r="E67" s="154">
        <f>SUMIF($C$13:$C$39,$C67,$I$13:$I$39)</f>
        <v>155567.76928494242</v>
      </c>
      <c r="G67" s="254">
        <f t="shared" si="8"/>
        <v>0.05</v>
      </c>
      <c r="I67" s="154">
        <f>SUMIF($C$13:$C$39,$C67,$N$13:$N$39)</f>
        <v>155567.76928494242</v>
      </c>
      <c r="J67" s="254">
        <f t="shared" si="9"/>
        <v>0.05</v>
      </c>
      <c r="L67" s="154">
        <f>I67-E67</f>
        <v>0</v>
      </c>
      <c r="N67" s="254">
        <f t="shared" si="10"/>
        <v>0</v>
      </c>
    </row>
    <row r="68" spans="1:14" ht="14" x14ac:dyDescent="0.3">
      <c r="A68" s="151">
        <f>IF(B68&lt;&gt;"",COUNTA($B$13:B68),"")</f>
        <v>51</v>
      </c>
      <c r="B68" s="130" t="str">
        <f>+'R1 EMA'!B65</f>
        <v>Basic Service Charge</v>
      </c>
      <c r="C68" s="253" t="str">
        <f>+'R1 EMA'!C65</f>
        <v>BS</v>
      </c>
      <c r="D68" s="253"/>
      <c r="E68" s="255">
        <f>SUMIF($C$13:$C$39,$C68,$I$13:$I$39)</f>
        <v>35478785.46312397</v>
      </c>
      <c r="F68" s="256"/>
      <c r="G68" s="257">
        <f t="shared" si="8"/>
        <v>11.403</v>
      </c>
      <c r="H68" s="258"/>
      <c r="I68" s="255">
        <f>SUMIF($C$13:$C$39,$C68,$N$13:$N$39)</f>
        <v>41023220.760439321</v>
      </c>
      <c r="J68" s="257">
        <f t="shared" si="9"/>
        <v>13.185000000000002</v>
      </c>
      <c r="K68" s="255"/>
      <c r="L68" s="255">
        <f t="shared" si="7"/>
        <v>5544435.2973153517</v>
      </c>
      <c r="M68" s="259"/>
      <c r="N68" s="257">
        <f t="shared" si="10"/>
        <v>2.653924439029296</v>
      </c>
    </row>
    <row r="69" spans="1:14" ht="14" x14ac:dyDescent="0.3">
      <c r="A69" s="151">
        <f>IF(B69&lt;&gt;"",COUNTA($B$13:B69),"")</f>
        <v>52</v>
      </c>
      <c r="B69" s="130" t="str">
        <f>+'R1 EMA'!B66</f>
        <v>Total</v>
      </c>
      <c r="C69" s="130"/>
      <c r="D69" s="130"/>
      <c r="E69" s="154">
        <f>SUM(E48:E68)</f>
        <v>74518077.263205439</v>
      </c>
      <c r="G69" s="254">
        <f t="shared" ref="G69" si="12">+E69/$E$14*100</f>
        <v>35.669159399164315</v>
      </c>
      <c r="I69" s="154">
        <f>SUM(I48:I68)</f>
        <v>80421470.098875284</v>
      </c>
      <c r="J69" s="254">
        <f t="shared" ref="J69" si="13">+I69/$E$14*100</f>
        <v>38.494904074615896</v>
      </c>
      <c r="L69" s="154">
        <f>SUM(L48:L68)</f>
        <v>5903392.8356698425</v>
      </c>
      <c r="N69" s="254">
        <f t="shared" si="10"/>
        <v>2.8257446754515803</v>
      </c>
    </row>
    <row r="70" spans="1:14" ht="14" x14ac:dyDescent="0.3">
      <c r="A70" s="151" t="str">
        <f>IF(B70&lt;&gt;"",COUNTA($B$10:B70),"")</f>
        <v/>
      </c>
    </row>
    <row r="71" spans="1:14" ht="14" x14ac:dyDescent="0.3">
      <c r="A71" s="151"/>
      <c r="B71" s="256" t="str">
        <f>+'R1 EMA'!B68</f>
        <v>Notes:</v>
      </c>
      <c r="E71" s="188"/>
      <c r="G71" s="188"/>
      <c r="H71" s="188"/>
      <c r="I71" s="188"/>
      <c r="J71" s="188"/>
      <c r="K71" s="188"/>
      <c r="L71" s="188"/>
      <c r="M71" s="188"/>
      <c r="N71" s="188"/>
    </row>
    <row r="72" spans="1:14" ht="14" x14ac:dyDescent="0.3">
      <c r="A72" s="151"/>
      <c r="B72" s="188" t="str">
        <f>'R1 EMA'!B69</f>
        <v>Col. (a): Company's forecast</v>
      </c>
    </row>
    <row r="73" spans="1:14" ht="14" x14ac:dyDescent="0.3">
      <c r="A73" s="151"/>
      <c r="B73" s="188" t="str">
        <f>'R1 EMA'!B70</f>
        <v>Col. (b): Current rates</v>
      </c>
    </row>
    <row r="74" spans="1:14" ht="14" x14ac:dyDescent="0.3">
      <c r="A74" s="151"/>
      <c r="B74" s="188" t="str">
        <f>'R1 EMA'!B71</f>
        <v>Col. (c): Col. (a) x Col. (b)</v>
      </c>
    </row>
    <row r="75" spans="1:14" ht="14" x14ac:dyDescent="0.3">
      <c r="A75" s="151"/>
      <c r="B75" s="188" t="str">
        <f>'R1 EMA'!B72</f>
        <v>Col. (e): Proposed rates</v>
      </c>
    </row>
    <row r="76" spans="1:14" ht="14" x14ac:dyDescent="0.3">
      <c r="A76" s="151"/>
      <c r="B76" s="188" t="s">
        <v>353</v>
      </c>
    </row>
  </sheetData>
  <mergeCells count="6">
    <mergeCell ref="A4:N4"/>
    <mergeCell ref="A5:N5"/>
    <mergeCell ref="A7:N7"/>
    <mergeCell ref="A8:N8"/>
    <mergeCell ref="G10:I10"/>
    <mergeCell ref="L10:N10"/>
  </mergeCells>
  <pageMargins left="0.7" right="0.7" top="0.75" bottom="0.75" header="0.3" footer="0.3"/>
  <pageSetup scale="65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C6768-0A52-42EC-B3D0-C4F99058787C}">
  <sheetPr>
    <tabColor theme="9" tint="0.59999389629810485"/>
    <pageSetUpPr fitToPage="1"/>
  </sheetPr>
  <dimension ref="A4:N92"/>
  <sheetViews>
    <sheetView workbookViewId="0"/>
  </sheetViews>
  <sheetFormatPr defaultRowHeight="12.5" x14ac:dyDescent="0.25"/>
  <cols>
    <col min="1" max="1" width="3.26953125" bestFit="1" customWidth="1"/>
    <col min="2" max="2" width="41.1796875" customWidth="1"/>
    <col min="3" max="3" width="10.81640625" bestFit="1" customWidth="1"/>
    <col min="4" max="4" width="1.26953125" customWidth="1"/>
    <col min="5" max="5" width="13.7265625" bestFit="1" customWidth="1"/>
    <col min="6" max="6" width="1.26953125" customWidth="1"/>
    <col min="7" max="7" width="12.7265625" customWidth="1"/>
    <col min="8" max="8" width="1.26953125" customWidth="1"/>
    <col min="9" max="9" width="13.26953125" bestFit="1" customWidth="1"/>
    <col min="11" max="11" width="1.26953125" customWidth="1"/>
    <col min="12" max="12" width="12.7265625" customWidth="1"/>
    <col min="13" max="13" width="1.26953125" customWidth="1"/>
    <col min="14" max="14" width="13.26953125" bestFit="1" customWidth="1"/>
  </cols>
  <sheetData>
    <row r="4" spans="1:14" ht="14" x14ac:dyDescent="0.3">
      <c r="A4" s="748" t="str">
        <f>'R1 EMA'!A4:N4</f>
        <v>Eastern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4" ht="14" x14ac:dyDescent="0.3">
      <c r="A5" s="748" t="str">
        <f>'R1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4" ht="14" x14ac:dyDescent="0.3">
      <c r="A6" s="205"/>
      <c r="C6" s="205"/>
      <c r="D6" s="205"/>
      <c r="E6" s="206"/>
      <c r="F6" s="207"/>
      <c r="G6" s="208"/>
      <c r="H6" s="209"/>
      <c r="I6" s="210"/>
      <c r="J6" s="210"/>
      <c r="K6" s="210"/>
      <c r="L6" s="211"/>
      <c r="M6" s="211"/>
      <c r="N6" s="212"/>
    </row>
    <row r="7" spans="1:14" ht="14" x14ac:dyDescent="0.3">
      <c r="A7" s="748" t="s">
        <v>346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4" ht="14" x14ac:dyDescent="0.3">
      <c r="A8" s="748" t="s">
        <v>354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4" ht="14" x14ac:dyDescent="0.3">
      <c r="B9" s="207"/>
      <c r="C9" s="207"/>
      <c r="D9" s="207"/>
      <c r="E9" s="213"/>
      <c r="F9" s="207"/>
      <c r="I9" s="210"/>
      <c r="J9" s="210"/>
      <c r="K9" s="210"/>
      <c r="L9" s="214"/>
      <c r="M9" s="214"/>
      <c r="N9" s="215"/>
    </row>
    <row r="10" spans="1:14" ht="14.5" thickBot="1" x14ac:dyDescent="0.35">
      <c r="A10" s="151"/>
      <c r="B10" s="216" t="s">
        <v>46</v>
      </c>
      <c r="C10" s="216"/>
      <c r="D10" s="216"/>
      <c r="E10" s="217" t="s">
        <v>144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4" ht="14" x14ac:dyDescent="0.3">
      <c r="A11" s="151"/>
      <c r="B11" s="219" t="s">
        <v>293</v>
      </c>
      <c r="C11" s="220" t="s">
        <v>294</v>
      </c>
      <c r="D11" s="220"/>
      <c r="E11" s="221" t="s">
        <v>295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4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4" ht="14" x14ac:dyDescent="0.3">
      <c r="A13" s="151">
        <f>IF(B13&lt;&gt;"",COUNTA($B$13:B13),"")</f>
        <v>1</v>
      </c>
      <c r="B13" s="232" t="s">
        <v>296</v>
      </c>
      <c r="C13" s="233" t="s">
        <v>297</v>
      </c>
      <c r="D13" s="233"/>
      <c r="E13" s="234">
        <v>211398.9541687945</v>
      </c>
      <c r="F13" s="207"/>
      <c r="G13" s="209">
        <v>11</v>
      </c>
      <c r="H13" s="209"/>
      <c r="I13" s="210">
        <f>G13*E13</f>
        <v>2325388.4958567396</v>
      </c>
      <c r="J13" s="235"/>
      <c r="K13" s="210"/>
      <c r="L13" s="238">
        <v>11</v>
      </c>
      <c r="M13" s="211"/>
      <c r="N13" s="210">
        <f>L13*E13</f>
        <v>2325388.4958567396</v>
      </c>
    </row>
    <row r="14" spans="1:14" ht="14" x14ac:dyDescent="0.3">
      <c r="A14" s="151">
        <f>IF(B14&lt;&gt;"",COUNTA($B$13:B14),"")</f>
        <v>2</v>
      </c>
      <c r="B14" s="232" t="s">
        <v>355</v>
      </c>
      <c r="C14" s="234" t="s">
        <v>356</v>
      </c>
      <c r="D14" s="233"/>
      <c r="E14" s="234">
        <v>581622.48376274784</v>
      </c>
      <c r="F14" s="207"/>
      <c r="G14" s="209">
        <v>0</v>
      </c>
      <c r="H14" s="209"/>
      <c r="I14" s="210">
        <f>G14*E14</f>
        <v>0</v>
      </c>
      <c r="J14" s="235"/>
      <c r="K14" s="210"/>
      <c r="L14" s="238">
        <v>0</v>
      </c>
      <c r="M14" s="211"/>
      <c r="N14" s="210">
        <f>L14*E14</f>
        <v>0</v>
      </c>
    </row>
    <row r="15" spans="1:14" ht="14" x14ac:dyDescent="0.3">
      <c r="A15" s="151">
        <f>IF(B15&lt;&gt;"",COUNTA($B$13:B15),"")</f>
        <v>3</v>
      </c>
      <c r="B15" s="232" t="s">
        <v>357</v>
      </c>
      <c r="C15" s="234" t="s">
        <v>358</v>
      </c>
      <c r="D15" s="233"/>
      <c r="E15" s="234">
        <v>29013.352192561691</v>
      </c>
      <c r="F15" s="207"/>
      <c r="G15" s="209">
        <v>0.27</v>
      </c>
      <c r="H15" s="209"/>
      <c r="I15" s="210">
        <f t="shared" ref="I15:I24" si="0">G15*E15</f>
        <v>7833.605091991657</v>
      </c>
      <c r="J15" s="235"/>
      <c r="K15" s="210"/>
      <c r="L15" s="238">
        <v>0.28000000000000003</v>
      </c>
      <c r="M15" s="211"/>
      <c r="N15" s="210">
        <f t="shared" ref="N15:N24" si="1">L15*E15</f>
        <v>8123.7386139172741</v>
      </c>
    </row>
    <row r="16" spans="1:14" ht="14" x14ac:dyDescent="0.3">
      <c r="A16" s="151">
        <f>IF(B16&lt;&gt;"",COUNTA($B$13:B16),"")</f>
        <v>4</v>
      </c>
      <c r="B16" s="232" t="s">
        <v>359</v>
      </c>
      <c r="C16" s="234" t="s">
        <v>360</v>
      </c>
      <c r="D16" s="233"/>
      <c r="E16" s="234">
        <v>300800.99809927301</v>
      </c>
      <c r="F16" s="207"/>
      <c r="G16" s="209">
        <v>0</v>
      </c>
      <c r="H16" s="209"/>
      <c r="I16" s="210">
        <f t="shared" si="0"/>
        <v>0</v>
      </c>
      <c r="J16" s="235"/>
      <c r="K16" s="210"/>
      <c r="L16" s="238">
        <v>0</v>
      </c>
      <c r="M16" s="211"/>
      <c r="N16" s="210">
        <f t="shared" si="1"/>
        <v>0</v>
      </c>
    </row>
    <row r="17" spans="1:14" ht="14" x14ac:dyDescent="0.3">
      <c r="A17" s="151">
        <f>IF(B17&lt;&gt;"",COUNTA($B$13:B17),"")</f>
        <v>5</v>
      </c>
      <c r="B17" s="232" t="s">
        <v>361</v>
      </c>
      <c r="C17" s="234" t="s">
        <v>362</v>
      </c>
      <c r="D17" s="233"/>
      <c r="E17" s="234">
        <v>15683.300474559073</v>
      </c>
      <c r="F17" s="207"/>
      <c r="G17" s="209">
        <v>0.83</v>
      </c>
      <c r="H17" s="209"/>
      <c r="I17" s="210">
        <f t="shared" si="0"/>
        <v>13017.13939388403</v>
      </c>
      <c r="J17" s="235"/>
      <c r="K17" s="210"/>
      <c r="L17" s="238">
        <v>0.86</v>
      </c>
      <c r="M17" s="211"/>
      <c r="N17" s="210">
        <f t="shared" si="1"/>
        <v>13487.638408120803</v>
      </c>
    </row>
    <row r="18" spans="1:14" ht="14" x14ac:dyDescent="0.3">
      <c r="A18" s="151">
        <f>IF(B18&lt;&gt;"",COUNTA($B$13:B18),"")</f>
        <v>6</v>
      </c>
      <c r="B18" s="232" t="s">
        <v>363</v>
      </c>
      <c r="C18" s="233" t="s">
        <v>364</v>
      </c>
      <c r="D18" s="233"/>
      <c r="E18" s="234">
        <v>927120.13452914171</v>
      </c>
      <c r="F18" s="207"/>
      <c r="G18" s="209"/>
      <c r="H18" s="209"/>
      <c r="I18" s="210"/>
      <c r="J18" s="235"/>
      <c r="K18" s="210"/>
      <c r="L18" s="238"/>
      <c r="M18" s="211"/>
      <c r="N18" s="210"/>
    </row>
    <row r="19" spans="1:14" ht="14" x14ac:dyDescent="0.3">
      <c r="A19" s="151">
        <f>IF(B19&lt;&gt;"",COUNTA($B$13:B19),"")</f>
        <v>7</v>
      </c>
      <c r="B19" s="207" t="s">
        <v>365</v>
      </c>
      <c r="C19" s="282" t="s">
        <v>366</v>
      </c>
      <c r="D19" s="233"/>
      <c r="E19" s="234">
        <v>100110054.78390205</v>
      </c>
      <c r="F19" s="207"/>
      <c r="G19" s="236">
        <v>4.0660000000000002E-2</v>
      </c>
      <c r="H19" s="209"/>
      <c r="I19" s="210">
        <f t="shared" si="0"/>
        <v>4070474.8275134573</v>
      </c>
      <c r="J19" s="235"/>
      <c r="K19" s="210"/>
      <c r="L19" s="236">
        <v>4.2380000000000001E-2</v>
      </c>
      <c r="M19" s="211"/>
      <c r="N19" s="210">
        <f t="shared" si="1"/>
        <v>4242664.1217417689</v>
      </c>
    </row>
    <row r="20" spans="1:14" ht="14" x14ac:dyDescent="0.3">
      <c r="A20" s="151">
        <f>IF(B20&lt;&gt;"",COUNTA($B$13:B20),"")</f>
        <v>8</v>
      </c>
      <c r="B20" s="207" t="s">
        <v>367</v>
      </c>
      <c r="C20" s="282" t="s">
        <v>368</v>
      </c>
      <c r="D20" s="233"/>
      <c r="E20" s="234">
        <v>13063622.345292406</v>
      </c>
      <c r="F20" s="207"/>
      <c r="G20" s="236">
        <v>3.5360000000000003E-2</v>
      </c>
      <c r="H20" s="209"/>
      <c r="I20" s="210">
        <f t="shared" si="0"/>
        <v>461929.68612953951</v>
      </c>
      <c r="J20" s="235"/>
      <c r="K20" s="210"/>
      <c r="L20" s="236">
        <v>3.6850000000000001E-2</v>
      </c>
      <c r="M20" s="211"/>
      <c r="N20" s="210">
        <f t="shared" si="1"/>
        <v>481394.48342402518</v>
      </c>
    </row>
    <row r="21" spans="1:14" ht="14" x14ac:dyDescent="0.3">
      <c r="A21" s="151">
        <f>IF(B21&lt;&gt;"",COUNTA($B$13:B21),"")</f>
        <v>9</v>
      </c>
      <c r="B21" s="207" t="s">
        <v>369</v>
      </c>
      <c r="C21" s="282" t="s">
        <v>370</v>
      </c>
      <c r="D21" s="233"/>
      <c r="E21" s="234">
        <v>5767203.6734613767</v>
      </c>
      <c r="F21" s="207"/>
      <c r="G21" s="236">
        <v>2.3470000000000001E-2</v>
      </c>
      <c r="H21" s="209"/>
      <c r="I21" s="210">
        <f t="shared" si="0"/>
        <v>135356.27021613851</v>
      </c>
      <c r="J21" s="235"/>
      <c r="K21" s="210"/>
      <c r="L21" s="236">
        <v>2.4459999999999999E-2</v>
      </c>
      <c r="M21" s="211"/>
      <c r="N21" s="210">
        <f t="shared" si="1"/>
        <v>141065.80185286526</v>
      </c>
    </row>
    <row r="22" spans="1:14" ht="14" x14ac:dyDescent="0.3">
      <c r="A22" s="151">
        <f>IF(B22&lt;&gt;"",COUNTA($B$13:B22),"")</f>
        <v>10</v>
      </c>
      <c r="B22" s="207" t="s">
        <v>371</v>
      </c>
      <c r="C22" s="282" t="s">
        <v>372</v>
      </c>
      <c r="D22" s="233"/>
      <c r="E22" s="234">
        <v>51749341.481530979</v>
      </c>
      <c r="F22" s="207"/>
      <c r="G22" s="236">
        <v>6.5360000000000001E-2</v>
      </c>
      <c r="H22" s="209"/>
      <c r="I22" s="210">
        <f t="shared" si="0"/>
        <v>3382336.9592328649</v>
      </c>
      <c r="J22" s="235"/>
      <c r="K22" s="210"/>
      <c r="L22" s="236">
        <v>6.8110000000000004E-2</v>
      </c>
      <c r="M22" s="211"/>
      <c r="N22" s="210">
        <f t="shared" si="1"/>
        <v>3524647.6483070753</v>
      </c>
    </row>
    <row r="23" spans="1:14" ht="14" x14ac:dyDescent="0.3">
      <c r="A23" s="151">
        <f>IF(B23&lt;&gt;"",COUNTA($B$13:B23),"")</f>
        <v>11</v>
      </c>
      <c r="B23" s="207" t="s">
        <v>373</v>
      </c>
      <c r="C23" s="282" t="s">
        <v>374</v>
      </c>
      <c r="D23" s="233"/>
      <c r="E23" s="234">
        <v>7041419.9726809477</v>
      </c>
      <c r="F23" s="207"/>
      <c r="G23" s="236">
        <v>3.9669999999999997E-2</v>
      </c>
      <c r="H23" s="209"/>
      <c r="I23" s="210">
        <f t="shared" si="0"/>
        <v>279333.13031625317</v>
      </c>
      <c r="J23" s="235"/>
      <c r="K23" s="210"/>
      <c r="L23" s="236">
        <v>4.1340000000000002E-2</v>
      </c>
      <c r="M23" s="211"/>
      <c r="N23" s="210">
        <f t="shared" si="1"/>
        <v>291092.3016706304</v>
      </c>
    </row>
    <row r="24" spans="1:14" ht="14" x14ac:dyDescent="0.3">
      <c r="A24" s="151">
        <f>IF(B24&lt;&gt;"",COUNTA($B$13:B24),"")</f>
        <v>12</v>
      </c>
      <c r="B24" s="207" t="s">
        <v>375</v>
      </c>
      <c r="C24" s="282" t="s">
        <v>376</v>
      </c>
      <c r="D24" s="233"/>
      <c r="E24" s="234">
        <v>3066157.7205564608</v>
      </c>
      <c r="F24" s="207"/>
      <c r="G24" s="236">
        <v>2.4670000000000001E-2</v>
      </c>
      <c r="H24" s="209"/>
      <c r="I24" s="210">
        <f t="shared" si="0"/>
        <v>75642.11096612789</v>
      </c>
      <c r="J24" s="235"/>
      <c r="K24" s="210"/>
      <c r="L24" s="236">
        <v>2.571E-2</v>
      </c>
      <c r="M24" s="211"/>
      <c r="N24" s="210">
        <f t="shared" si="1"/>
        <v>78830.91499550661</v>
      </c>
    </row>
    <row r="25" spans="1:14" ht="14" x14ac:dyDescent="0.3">
      <c r="A25" s="151">
        <f>IF(B25&lt;&gt;"",COUNTA($B$13:B25),"")</f>
        <v>13</v>
      </c>
      <c r="B25" s="207" t="s">
        <v>352</v>
      </c>
      <c r="C25" s="233" t="s">
        <v>299</v>
      </c>
      <c r="D25" s="233"/>
      <c r="E25" s="234">
        <v>180797799.9774242</v>
      </c>
      <c r="F25" s="207"/>
      <c r="G25" s="236"/>
      <c r="H25" s="209"/>
      <c r="I25" s="237"/>
      <c r="J25" s="235"/>
      <c r="K25" s="210"/>
      <c r="L25" s="281"/>
      <c r="M25" s="211"/>
      <c r="N25" s="237"/>
    </row>
    <row r="26" spans="1:14" ht="14" x14ac:dyDescent="0.3">
      <c r="A26" s="151">
        <f>IF(B26&lt;&gt;"",COUNTA($B$13:B26),"")</f>
        <v>14</v>
      </c>
      <c r="B26" s="207" t="s">
        <v>300</v>
      </c>
      <c r="C26" s="233" t="s">
        <v>301</v>
      </c>
      <c r="D26" s="233"/>
      <c r="E26" s="234"/>
      <c r="F26" s="207"/>
      <c r="G26" s="209"/>
      <c r="H26" s="209"/>
      <c r="I26" s="210">
        <f>SUM(I13:I25)</f>
        <v>10751312.224716997</v>
      </c>
      <c r="J26" s="235"/>
      <c r="K26" s="210"/>
      <c r="L26" s="238"/>
      <c r="M26" s="211"/>
      <c r="N26" s="210">
        <f>SUM(N13:N25)</f>
        <v>11106695.144870648</v>
      </c>
    </row>
    <row r="27" spans="1:14" ht="14" x14ac:dyDescent="0.3">
      <c r="A27" s="151" t="str">
        <f>IF(B27&lt;&gt;"",COUNTA($B$13:B27),"")</f>
        <v/>
      </c>
      <c r="B27" s="207"/>
      <c r="C27" s="233"/>
      <c r="D27" s="233"/>
      <c r="E27" s="234"/>
      <c r="F27" s="207"/>
      <c r="G27" s="209"/>
      <c r="H27" s="209"/>
      <c r="I27" s="210"/>
      <c r="J27" s="235"/>
      <c r="K27" s="210"/>
      <c r="L27" s="238"/>
      <c r="M27" s="211"/>
      <c r="N27" s="210"/>
    </row>
    <row r="28" spans="1:14" ht="14" x14ac:dyDescent="0.3">
      <c r="A28" s="151">
        <f>IF(B28&lt;&gt;"",COUNTA($B$13:B28),"")</f>
        <v>15</v>
      </c>
      <c r="B28" s="207" t="s">
        <v>377</v>
      </c>
      <c r="C28" s="233" t="s">
        <v>378</v>
      </c>
      <c r="D28" s="233"/>
      <c r="E28" s="234"/>
      <c r="F28" s="207"/>
      <c r="G28" s="209"/>
      <c r="H28" s="209"/>
      <c r="I28" s="210"/>
      <c r="J28" s="235"/>
      <c r="K28" s="210"/>
      <c r="L28" s="283"/>
      <c r="M28" s="211"/>
      <c r="N28" s="210"/>
    </row>
    <row r="29" spans="1:14" ht="14" x14ac:dyDescent="0.3">
      <c r="A29" s="151">
        <f>IF(B29&lt;&gt;"",COUNTA($B$13:B29),"")</f>
        <v>16</v>
      </c>
      <c r="B29" s="207" t="s">
        <v>379</v>
      </c>
      <c r="C29" s="233" t="s">
        <v>380</v>
      </c>
      <c r="D29" s="233"/>
      <c r="E29" s="234"/>
      <c r="F29" s="207"/>
      <c r="G29" s="209"/>
      <c r="H29" s="209"/>
      <c r="I29" s="210"/>
      <c r="J29" s="235"/>
      <c r="K29" s="210"/>
      <c r="L29" s="283"/>
      <c r="M29" s="211"/>
      <c r="N29" s="210"/>
    </row>
    <row r="30" spans="1:14" ht="14" x14ac:dyDescent="0.3">
      <c r="A30" s="151" t="str">
        <f>IF(B30&lt;&gt;"",COUNTA($B$13:B30),"")</f>
        <v/>
      </c>
      <c r="B30" s="207"/>
      <c r="C30" s="233"/>
      <c r="D30" s="233"/>
      <c r="E30" s="234"/>
      <c r="F30" s="207"/>
      <c r="G30" s="209"/>
      <c r="H30" s="209"/>
      <c r="I30" s="210"/>
      <c r="J30" s="235"/>
      <c r="K30" s="210"/>
      <c r="L30" s="283"/>
      <c r="M30" s="211"/>
      <c r="N30" s="210"/>
    </row>
    <row r="31" spans="1:14" ht="14" x14ac:dyDescent="0.3">
      <c r="A31" s="151">
        <f>IF(B31&lt;&gt;"",COUNTA($B$13:B31),"")</f>
        <v>17</v>
      </c>
      <c r="B31" s="228" t="s">
        <v>302</v>
      </c>
      <c r="F31" s="239"/>
      <c r="G31" s="240"/>
      <c r="H31" s="211"/>
      <c r="I31" s="210"/>
      <c r="K31" s="210"/>
      <c r="L31" s="241"/>
      <c r="M31" s="211"/>
      <c r="N31" s="210"/>
    </row>
    <row r="32" spans="1:14" ht="14" x14ac:dyDescent="0.3">
      <c r="A32" s="151">
        <f>IF(B32&lt;&gt;"",COUNTA($B$13:B32),"")</f>
        <v>18</v>
      </c>
      <c r="B32" s="207" t="str">
        <f>'G1NDMD BOST'!B20</f>
        <v>Revenue Decoupling</v>
      </c>
      <c r="C32" s="233" t="str">
        <f>'G1NDMD BOST'!C20</f>
        <v>RDAF</v>
      </c>
      <c r="D32" s="233"/>
      <c r="E32" s="242"/>
      <c r="F32" s="239"/>
      <c r="G32" s="236">
        <v>0</v>
      </c>
      <c r="H32" s="211"/>
      <c r="I32" s="210">
        <f>G32*$E$25</f>
        <v>0</v>
      </c>
      <c r="K32" s="210"/>
      <c r="L32" s="236">
        <v>-6.5773989014984496E-4</v>
      </c>
      <c r="M32" s="211"/>
      <c r="N32" s="210">
        <f>L32*$E$25</f>
        <v>-118917.92509648464</v>
      </c>
    </row>
    <row r="33" spans="1:14" ht="14" x14ac:dyDescent="0.3">
      <c r="A33" s="151">
        <f>IF(B33&lt;&gt;"",COUNTA($B$13:B33),"")</f>
        <v>19</v>
      </c>
      <c r="B33" s="207" t="str">
        <f>'G1NDMD BOST'!B21</f>
        <v>Residential Assistance Adjustment Factor</v>
      </c>
      <c r="C33" s="233" t="str">
        <f>'G1NDMD BOST'!C21</f>
        <v>RAAF</v>
      </c>
      <c r="D33" s="243"/>
      <c r="E33" s="206"/>
      <c r="F33" s="239"/>
      <c r="G33" s="236">
        <f>HLOOKUP(($C33&amp;"C"),'Exh 7_Recon Rates p1-2'!$J$6:$CC$34,'Exh 7_Recon Rates p1-2'!$D$15,FALSE)</f>
        <v>4.0699999999999998E-3</v>
      </c>
      <c r="H33" s="211"/>
      <c r="I33" s="210">
        <f t="shared" ref="I33:I46" si="2">G33*$E$25</f>
        <v>735847.0459081165</v>
      </c>
      <c r="K33" s="210"/>
      <c r="L33" s="236">
        <v>5.5567634866043316E-3</v>
      </c>
      <c r="M33" s="211"/>
      <c r="N33" s="210">
        <f t="shared" ref="N33:N46" si="3">L33*$E$25</f>
        <v>1004650.6133729443</v>
      </c>
    </row>
    <row r="34" spans="1:14" ht="14" x14ac:dyDescent="0.3">
      <c r="A34" s="151">
        <f>IF(B34&lt;&gt;"",COUNTA($B$13:B34),"")</f>
        <v>20</v>
      </c>
      <c r="B34" s="207" t="str">
        <f>'G1NDMD BOST'!B22</f>
        <v>Pension Adjustment Factor</v>
      </c>
      <c r="C34" s="233" t="str">
        <f>'G1NDMD BOST'!C22</f>
        <v>PAF</v>
      </c>
      <c r="D34" s="243"/>
      <c r="E34" s="206"/>
      <c r="F34" s="239"/>
      <c r="G34" s="236">
        <f>HLOOKUP(($C34&amp;"C"),'Exh 7_Recon Rates p1-2'!$J$6:$CC$34,'Exh 7_Recon Rates p1-2'!$D$15,FALSE)</f>
        <v>-1.1E-4</v>
      </c>
      <c r="H34" s="211"/>
      <c r="I34" s="210">
        <f t="shared" si="2"/>
        <v>-19887.757997516663</v>
      </c>
      <c r="K34" s="210"/>
      <c r="L34" s="236">
        <v>9.6711573714566921E-4</v>
      </c>
      <c r="M34" s="211"/>
      <c r="N34" s="210">
        <f t="shared" si="3"/>
        <v>174852.39759948186</v>
      </c>
    </row>
    <row r="35" spans="1:14" ht="14" x14ac:dyDescent="0.3">
      <c r="A35" s="151">
        <f>IF(B35&lt;&gt;"",COUNTA($B$13:B35),"")</f>
        <v>21</v>
      </c>
      <c r="B35" s="207" t="str">
        <f>'G1NDMD BOST'!B23</f>
        <v>Net Metering Recovery Surcharge</v>
      </c>
      <c r="C35" s="233" t="str">
        <f>'G1NDMD BOST'!C23</f>
        <v>NMRS</v>
      </c>
      <c r="D35" s="243"/>
      <c r="E35" s="206"/>
      <c r="F35" s="239"/>
      <c r="G35" s="236">
        <f>HLOOKUP(($C35&amp;"C"),'Exh 7_Recon Rates p1-2'!$J$6:$CC$34,'Exh 7_Recon Rates p1-2'!$D$15,FALSE)</f>
        <v>8.0300000000000007E-3</v>
      </c>
      <c r="H35" s="211"/>
      <c r="I35" s="210">
        <f t="shared" si="2"/>
        <v>1451806.3338187165</v>
      </c>
      <c r="K35" s="210"/>
      <c r="L35" s="236">
        <v>7.2455738567738549E-3</v>
      </c>
      <c r="M35" s="211"/>
      <c r="N35" s="210">
        <f t="shared" si="3"/>
        <v>1309983.8128786534</v>
      </c>
    </row>
    <row r="36" spans="1:14" ht="14" x14ac:dyDescent="0.3">
      <c r="A36" s="151">
        <f>IF(B36&lt;&gt;"",COUNTA($B$13:B36),"")</f>
        <v>22</v>
      </c>
      <c r="B36" s="207" t="str">
        <f>'G1NDMD BOST'!B24</f>
        <v>Long Term Renewable Contract Adjustment</v>
      </c>
      <c r="C36" s="233" t="str">
        <f>'G1NDMD BOST'!C24</f>
        <v>LTRCA</v>
      </c>
      <c r="D36" s="243"/>
      <c r="E36" s="206"/>
      <c r="F36" s="239"/>
      <c r="G36" s="236">
        <f>HLOOKUP(($C36&amp;"C"),'Exh 7_Recon Rates p1-2'!$J$6:$CC$34,'Exh 7_Recon Rates p1-2'!$D$15,FALSE)</f>
        <v>2.3600000000000001E-3</v>
      </c>
      <c r="H36" s="211"/>
      <c r="I36" s="210">
        <f t="shared" si="2"/>
        <v>426682.80794672115</v>
      </c>
      <c r="K36" s="210"/>
      <c r="L36" s="236">
        <v>1.7357128782064517E-3</v>
      </c>
      <c r="M36" s="211"/>
      <c r="N36" s="210">
        <f t="shared" si="3"/>
        <v>313813.06977220933</v>
      </c>
    </row>
    <row r="37" spans="1:14" ht="14" x14ac:dyDescent="0.3">
      <c r="A37" s="151">
        <f>IF(B37&lt;&gt;"",COUNTA($B$13:B37),"")</f>
        <v>23</v>
      </c>
      <c r="B37" s="207" t="str">
        <f>'G1NDMD BOST'!B25</f>
        <v>AG Consulting Expense</v>
      </c>
      <c r="C37" s="233" t="str">
        <f>'G1NDMD BOST'!C25</f>
        <v>AGCE</v>
      </c>
      <c r="D37" s="243"/>
      <c r="E37" s="206"/>
      <c r="F37" s="239"/>
      <c r="G37" s="236">
        <f>HLOOKUP(($C37&amp;"C"),'Exh 7_Recon Rates p1-2'!$J$6:$CC$34,'Exh 7_Recon Rates p1-2'!$D$15,FALSE)</f>
        <v>4.0000000000000003E-5</v>
      </c>
      <c r="H37" s="211"/>
      <c r="I37" s="210">
        <f t="shared" si="2"/>
        <v>7231.9119990969684</v>
      </c>
      <c r="K37" s="210"/>
      <c r="L37" s="236">
        <v>1.166713047491593E-5</v>
      </c>
      <c r="M37" s="211"/>
      <c r="N37" s="210">
        <f t="shared" si="3"/>
        <v>2109.3915219143605</v>
      </c>
    </row>
    <row r="38" spans="1:14" ht="14" x14ac:dyDescent="0.3">
      <c r="A38" s="151">
        <f>IF(B38&lt;&gt;"",COUNTA($B$13:B38),"")</f>
        <v>24</v>
      </c>
      <c r="B38" s="207" t="str">
        <f>'G1NDMD BOST'!B26</f>
        <v>Storm Cost Recovery Adjustment Factor</v>
      </c>
      <c r="C38" s="233" t="str">
        <f>'G1NDMD BOST'!C26</f>
        <v>SCRA</v>
      </c>
      <c r="D38" s="243"/>
      <c r="E38" s="206"/>
      <c r="F38" s="239"/>
      <c r="G38" s="236">
        <f>HLOOKUP(($C38&amp;"C"),'Exh 7_Recon Rates p1-2'!$J$6:$CC$34,'Exh 7_Recon Rates p1-2'!$D$15,FALSE)</f>
        <v>2.5100000000000001E-3</v>
      </c>
      <c r="H38" s="211"/>
      <c r="I38" s="210">
        <f t="shared" si="2"/>
        <v>453802.47794333479</v>
      </c>
      <c r="K38" s="210"/>
      <c r="L38" s="236">
        <v>4.2117864593232222E-3</v>
      </c>
      <c r="M38" s="211"/>
      <c r="N38" s="210">
        <f t="shared" si="3"/>
        <v>761481.72582034359</v>
      </c>
    </row>
    <row r="39" spans="1:14" ht="14" x14ac:dyDescent="0.3">
      <c r="A39" s="151">
        <f>IF(B39&lt;&gt;"",COUNTA($B$13:B39),"")</f>
        <v>25</v>
      </c>
      <c r="B39" s="207" t="str">
        <f>'G1NDMD BOST'!B27</f>
        <v>Storm Reserve Adjustment</v>
      </c>
      <c r="C39" s="233" t="str">
        <f>'G1NDMD BOST'!C27</f>
        <v>SRA</v>
      </c>
      <c r="D39" s="243"/>
      <c r="E39" s="206"/>
      <c r="F39" s="239"/>
      <c r="G39" s="236">
        <f>HLOOKUP(($C39&amp;"C"),'Exh 7_Recon Rates p1-2'!$J$6:$CC$34,'Exh 7_Recon Rates p1-2'!$D$15,FALSE)</f>
        <v>0</v>
      </c>
      <c r="H39" s="211"/>
      <c r="I39" s="210">
        <f t="shared" si="2"/>
        <v>0</v>
      </c>
      <c r="K39" s="210"/>
      <c r="L39" s="236">
        <v>0</v>
      </c>
      <c r="M39" s="211"/>
      <c r="N39" s="210">
        <f t="shared" si="3"/>
        <v>0</v>
      </c>
    </row>
    <row r="40" spans="1:14" ht="14" x14ac:dyDescent="0.3">
      <c r="A40" s="151">
        <f>IF(B40&lt;&gt;"",COUNTA($B$13:B40),"")</f>
        <v>26</v>
      </c>
      <c r="B40" s="207" t="str">
        <f>'G1NDMD BOST'!B28</f>
        <v>Basic Service Cost True Up Factor</v>
      </c>
      <c r="C40" s="233" t="str">
        <f>'G1NDMD BOST'!C28</f>
        <v>BSTF</v>
      </c>
      <c r="D40" s="243"/>
      <c r="E40" s="206"/>
      <c r="F40" s="239"/>
      <c r="G40" s="236">
        <f>HLOOKUP(($C40&amp;"C"),'Exh 7_Recon Rates p1-2'!$J$6:$CC$34,'Exh 7_Recon Rates p1-2'!$D$15,FALSE)</f>
        <v>2.1700000000000001E-3</v>
      </c>
      <c r="H40" s="211"/>
      <c r="I40" s="210">
        <f t="shared" si="2"/>
        <v>392331.22595101054</v>
      </c>
      <c r="K40" s="210"/>
      <c r="L40" s="236">
        <v>-2.7574022080967562E-4</v>
      </c>
      <c r="M40" s="211"/>
      <c r="N40" s="210">
        <f t="shared" si="3"/>
        <v>-49853.225287678513</v>
      </c>
    </row>
    <row r="41" spans="1:14" ht="14" x14ac:dyDescent="0.3">
      <c r="A41" s="151">
        <f>IF(B41&lt;&gt;"",COUNTA($B$13:B41),"")</f>
        <v>27</v>
      </c>
      <c r="B41" s="207" t="str">
        <f>'G1NDMD BOST'!B29</f>
        <v>Solar Program Cost Adjustment Factor</v>
      </c>
      <c r="C41" s="233" t="str">
        <f>'G1NDMD BOST'!C29</f>
        <v>SPCA</v>
      </c>
      <c r="D41" s="233"/>
      <c r="E41" s="206"/>
      <c r="F41" s="239"/>
      <c r="G41" s="236">
        <f>HLOOKUP(($C41&amp;"C"),'Exh 7_Recon Rates p1-2'!$J$6:$CC$34,'Exh 7_Recon Rates p1-2'!$D$15,FALSE)</f>
        <v>0</v>
      </c>
      <c r="H41" s="211"/>
      <c r="I41" s="210">
        <f t="shared" si="2"/>
        <v>0</v>
      </c>
      <c r="K41" s="210"/>
      <c r="L41" s="236">
        <v>4.9071975383342255E-5</v>
      </c>
      <c r="M41" s="211"/>
      <c r="N41" s="210">
        <f t="shared" si="3"/>
        <v>8872.1051898545975</v>
      </c>
    </row>
    <row r="42" spans="1:14" ht="14" x14ac:dyDescent="0.3">
      <c r="A42" s="151">
        <f>IF(B42&lt;&gt;"",COUNTA($B$13:B42),"")</f>
        <v>28</v>
      </c>
      <c r="B42" s="207" t="str">
        <f>'G1NDMD BOST'!B30</f>
        <v>Solar Expansion Cost Recovery Factor</v>
      </c>
      <c r="C42" s="233" t="str">
        <f>'G1NDMD BOST'!C30</f>
        <v>SECRF</v>
      </c>
      <c r="D42" s="233"/>
      <c r="E42" s="206"/>
      <c r="F42" s="239"/>
      <c r="G42" s="236">
        <f>HLOOKUP(($C42&amp;"C"),'Exh 7_Recon Rates p1-2'!$J$6:$CC$34,'Exh 7_Recon Rates p1-2'!$D$15,FALSE)</f>
        <v>0</v>
      </c>
      <c r="H42" s="211"/>
      <c r="I42" s="210">
        <f t="shared" si="2"/>
        <v>0</v>
      </c>
      <c r="K42" s="210"/>
      <c r="L42" s="236">
        <v>8.6551738253377874E-4</v>
      </c>
      <c r="M42" s="211"/>
      <c r="N42" s="210">
        <f t="shared" si="3"/>
        <v>156483.63860432588</v>
      </c>
    </row>
    <row r="43" spans="1:14" ht="14" x14ac:dyDescent="0.3">
      <c r="A43" s="151">
        <f>IF(B43&lt;&gt;"",COUNTA($B$13:B43),"")</f>
        <v>29</v>
      </c>
      <c r="B43" s="207" t="str">
        <f>'G1NDMD BOST'!B31</f>
        <v>Vegetation Management</v>
      </c>
      <c r="C43" s="233" t="str">
        <f>'G1NDMD BOST'!C31</f>
        <v>RTWF</v>
      </c>
      <c r="D43" s="233"/>
      <c r="E43" s="206"/>
      <c r="F43" s="239"/>
      <c r="G43" s="236">
        <f>HLOOKUP(($C43&amp;"C"),'Exh 7_Recon Rates p1-2'!$J$6:$CC$34,'Exh 7_Recon Rates p1-2'!$D$15,FALSE)</f>
        <v>0</v>
      </c>
      <c r="H43" s="211"/>
      <c r="I43" s="210">
        <f t="shared" si="2"/>
        <v>0</v>
      </c>
      <c r="K43" s="210"/>
      <c r="L43" s="236">
        <v>1.7314640393667022E-3</v>
      </c>
      <c r="M43" s="211"/>
      <c r="N43" s="210">
        <f t="shared" si="3"/>
        <v>313044.88905752398</v>
      </c>
    </row>
    <row r="44" spans="1:14" ht="14" x14ac:dyDescent="0.3">
      <c r="A44" s="151">
        <f>IF(B44&lt;&gt;"",COUNTA($B$13:B44),"")</f>
        <v>30</v>
      </c>
      <c r="B44" s="207" t="str">
        <f>'G1NDMD BOST'!B32</f>
        <v>Solar Massachusetts Renewable Target</v>
      </c>
      <c r="C44" s="233" t="str">
        <f>'G1NDMD BOST'!C32</f>
        <v>SMART</v>
      </c>
      <c r="D44" s="233"/>
      <c r="E44" s="206"/>
      <c r="F44" s="239"/>
      <c r="G44" s="236">
        <f>HLOOKUP(($C44&amp;"C"),'Exh 7_Recon Rates p1-2'!$J$6:$CC$34,'Exh 7_Recon Rates p1-2'!$D$15,FALSE)</f>
        <v>0</v>
      </c>
      <c r="H44" s="211"/>
      <c r="I44" s="210">
        <f t="shared" si="2"/>
        <v>0</v>
      </c>
      <c r="K44" s="210"/>
      <c r="L44" s="236">
        <v>1.0140750703614848E-3</v>
      </c>
      <c r="M44" s="211"/>
      <c r="N44" s="210">
        <f t="shared" si="3"/>
        <v>183342.54173330811</v>
      </c>
    </row>
    <row r="45" spans="1:14" ht="14" x14ac:dyDescent="0.3">
      <c r="A45" s="151">
        <f>IF(B45&lt;&gt;"",COUNTA($B$13:B45),"")</f>
        <v>31</v>
      </c>
      <c r="B45" s="207" t="str">
        <f>'G1NDMD BOST'!B33</f>
        <v>Tax Act Credit Factor</v>
      </c>
      <c r="C45" s="233" t="str">
        <f>'G1NDMD BOST'!C33</f>
        <v>TACF</v>
      </c>
      <c r="D45" s="233"/>
      <c r="E45" s="206"/>
      <c r="F45" s="239"/>
      <c r="G45" s="236">
        <f>HLOOKUP(($C45&amp;"C"),'Exh 7_Recon Rates p1-2'!$J$6:$CC$34,'Exh 7_Recon Rates p1-2'!$D$15,FALSE)</f>
        <v>0</v>
      </c>
      <c r="H45" s="211"/>
      <c r="I45" s="210">
        <f t="shared" si="2"/>
        <v>0</v>
      </c>
      <c r="K45" s="210"/>
      <c r="L45" s="236">
        <v>-1.5351402468605643E-3</v>
      </c>
      <c r="M45" s="211"/>
      <c r="N45" s="210">
        <f t="shared" si="3"/>
        <v>-277549.97928918991</v>
      </c>
    </row>
    <row r="46" spans="1:14" ht="14" x14ac:dyDescent="0.3">
      <c r="A46" s="151">
        <f>IF(B46&lt;&gt;"",COUNTA($B$13:B46),"")</f>
        <v>32</v>
      </c>
      <c r="B46" s="207" t="str">
        <f>'G1NDMD BOST'!B34</f>
        <v>Transition</v>
      </c>
      <c r="C46" s="233" t="str">
        <f>'G1NDMD BOST'!C34</f>
        <v>TRNSN</v>
      </c>
      <c r="D46" s="233"/>
      <c r="E46" s="206"/>
      <c r="F46" s="239"/>
      <c r="G46" s="236">
        <v>-6.0999999999999997E-4</v>
      </c>
      <c r="H46" s="211"/>
      <c r="I46" s="210">
        <f t="shared" si="2"/>
        <v>-110286.65798622876</v>
      </c>
      <c r="K46" s="210"/>
      <c r="L46" s="236">
        <v>-5.210932140356871E-4</v>
      </c>
      <c r="M46" s="211"/>
      <c r="N46" s="210">
        <f t="shared" si="3"/>
        <v>-94212.506680817256</v>
      </c>
    </row>
    <row r="47" spans="1:14" ht="14" x14ac:dyDescent="0.3">
      <c r="A47" s="151">
        <f>IF(B47&lt;&gt;"",COUNTA($B$13:B47),"")</f>
        <v>33</v>
      </c>
      <c r="B47" s="207" t="s">
        <v>381</v>
      </c>
      <c r="C47" s="233" t="s">
        <v>382</v>
      </c>
      <c r="D47" s="233"/>
      <c r="E47" s="206"/>
      <c r="F47" s="239"/>
      <c r="G47" s="209">
        <v>18.190000000000001</v>
      </c>
      <c r="H47" s="211"/>
      <c r="I47" s="210">
        <f>G47*E15</f>
        <v>527752.87638269726</v>
      </c>
      <c r="K47" s="210"/>
      <c r="L47" s="238">
        <v>15.946292014264005</v>
      </c>
      <c r="M47" s="211"/>
      <c r="N47" s="210">
        <f>+L47*E15</f>
        <v>462655.38637527556</v>
      </c>
    </row>
    <row r="48" spans="1:14" ht="14" x14ac:dyDescent="0.3">
      <c r="A48" s="151">
        <f>IF(B48&lt;&gt;"",COUNTA($B$13:B48),"")</f>
        <v>34</v>
      </c>
      <c r="B48" s="207" t="s">
        <v>383</v>
      </c>
      <c r="C48" s="233" t="s">
        <v>382</v>
      </c>
      <c r="D48" s="233"/>
      <c r="E48" s="206"/>
      <c r="F48" s="239"/>
      <c r="G48" s="209">
        <v>56.49</v>
      </c>
      <c r="H48" s="211"/>
      <c r="I48" s="210">
        <f>G48*E17</f>
        <v>885949.64380784205</v>
      </c>
      <c r="K48" s="210"/>
      <c r="L48" s="238">
        <v>46.759944011824082</v>
      </c>
      <c r="M48" s="211"/>
      <c r="N48" s="210">
        <f>+L48*E17</f>
        <v>733350.25211099628</v>
      </c>
    </row>
    <row r="49" spans="1:14" ht="14" x14ac:dyDescent="0.3">
      <c r="A49" s="151">
        <f>IF(B49&lt;&gt;"",COUNTA($B$13:B49),"")</f>
        <v>35</v>
      </c>
      <c r="B49" s="207" t="s">
        <v>384</v>
      </c>
      <c r="C49" s="233" t="s">
        <v>316</v>
      </c>
      <c r="D49" s="233"/>
      <c r="E49" s="206"/>
      <c r="F49" s="239"/>
      <c r="G49" s="236">
        <v>1.9310000000000001E-2</v>
      </c>
      <c r="H49" s="211"/>
      <c r="I49" s="210">
        <f>G49*SUM(E19,E22)</f>
        <v>2932404.9418855114</v>
      </c>
      <c r="K49" s="210"/>
      <c r="L49" s="281">
        <v>1.6995477135063837E-2</v>
      </c>
      <c r="M49" s="211"/>
      <c r="N49" s="210">
        <f>L49*SUM(E19,E22)</f>
        <v>2580922.8969737655</v>
      </c>
    </row>
    <row r="50" spans="1:14" ht="14" x14ac:dyDescent="0.3">
      <c r="A50" s="151">
        <f>IF(B50&lt;&gt;"",COUNTA($B$13:B50),"")</f>
        <v>36</v>
      </c>
      <c r="B50" s="207" t="s">
        <v>385</v>
      </c>
      <c r="C50" s="233" t="s">
        <v>316</v>
      </c>
      <c r="D50" s="233"/>
      <c r="E50" s="206"/>
      <c r="F50" s="239"/>
      <c r="G50" s="236">
        <v>1.9310000000000001E-2</v>
      </c>
      <c r="H50" s="211"/>
      <c r="I50" s="210">
        <f>G50*SUM(E20,E23)</f>
        <v>388228.36716006545</v>
      </c>
      <c r="K50" s="210"/>
      <c r="L50" s="281">
        <v>1.6995477135063837E-2</v>
      </c>
      <c r="M50" s="211"/>
      <c r="N50" s="210">
        <f>L50*SUM(E20,E23)</f>
        <v>341694.78701460699</v>
      </c>
    </row>
    <row r="51" spans="1:14" ht="14" x14ac:dyDescent="0.3">
      <c r="A51" s="151">
        <f>IF(B51&lt;&gt;"",COUNTA($B$13:B51),"")</f>
        <v>37</v>
      </c>
      <c r="B51" s="207" t="s">
        <v>386</v>
      </c>
      <c r="C51" s="233" t="s">
        <v>316</v>
      </c>
      <c r="D51" s="233"/>
      <c r="E51" s="206"/>
      <c r="F51" s="239"/>
      <c r="G51" s="236">
        <v>0</v>
      </c>
      <c r="H51" s="211"/>
      <c r="I51" s="210">
        <f>G51*SUM(E21,E24)</f>
        <v>0</v>
      </c>
      <c r="K51" s="210"/>
      <c r="L51" s="281">
        <v>0</v>
      </c>
      <c r="M51" s="211"/>
      <c r="N51" s="210">
        <f>L51*SUM(E21,E24)</f>
        <v>0</v>
      </c>
    </row>
    <row r="52" spans="1:14" ht="14" x14ac:dyDescent="0.3">
      <c r="A52" s="151">
        <f>IF(B52&lt;&gt;"",COUNTA($B$13:B52),"")</f>
        <v>38</v>
      </c>
      <c r="B52" s="207" t="str">
        <f>'G1NDMD BOST'!B36</f>
        <v>Energy Efficiency Reconciliation Factor</v>
      </c>
      <c r="C52" s="233" t="str">
        <f>'G1NDMD BOST'!C36</f>
        <v>EERF</v>
      </c>
      <c r="D52" s="233"/>
      <c r="E52" s="206"/>
      <c r="F52" s="239"/>
      <c r="G52" s="236">
        <v>8.4600000000000005E-3</v>
      </c>
      <c r="H52" s="211"/>
      <c r="I52" s="210">
        <f t="shared" ref="I52:I55" si="4">G52*$E$25</f>
        <v>1529549.3878090088</v>
      </c>
      <c r="K52" s="210"/>
      <c r="L52" s="281">
        <v>8.4600000000000005E-3</v>
      </c>
      <c r="M52" s="211"/>
      <c r="N52" s="210">
        <f t="shared" ref="N52:N55" si="5">L52*$E$25</f>
        <v>1529549.3878090088</v>
      </c>
    </row>
    <row r="53" spans="1:14" ht="14" x14ac:dyDescent="0.3">
      <c r="A53" s="151">
        <f>IF(B53&lt;&gt;"",COUNTA($B$13:B53),"")</f>
        <v>39</v>
      </c>
      <c r="B53" s="207" t="str">
        <f>'G1NDMD BOST'!B37</f>
        <v>System Benefits Charge</v>
      </c>
      <c r="C53" s="233" t="str">
        <f>'G1NDMD BOST'!C37</f>
        <v>SBC</v>
      </c>
      <c r="D53" s="233"/>
      <c r="E53" s="206"/>
      <c r="F53" s="239"/>
      <c r="G53" s="236">
        <v>2.5000000000000001E-3</v>
      </c>
      <c r="H53" s="211"/>
      <c r="I53" s="210">
        <f t="shared" si="4"/>
        <v>451994.49994356051</v>
      </c>
      <c r="K53" s="210"/>
      <c r="L53" s="281">
        <f>+G53</f>
        <v>2.5000000000000001E-3</v>
      </c>
      <c r="M53" s="211"/>
      <c r="N53" s="210">
        <f t="shared" si="5"/>
        <v>451994.49994356051</v>
      </c>
    </row>
    <row r="54" spans="1:14" ht="14" x14ac:dyDescent="0.3">
      <c r="A54" s="151">
        <f>IF(B54&lt;&gt;"",COUNTA($B$13:B54),"")</f>
        <v>40</v>
      </c>
      <c r="B54" s="207" t="str">
        <f>'G1NDMD BOST'!B38</f>
        <v>Renewable Energy Charge</v>
      </c>
      <c r="C54" s="233" t="str">
        <f>'G1NDMD BOST'!C38</f>
        <v>RNEW</v>
      </c>
      <c r="D54" s="233"/>
      <c r="E54" s="206"/>
      <c r="F54" s="239"/>
      <c r="G54" s="236">
        <v>5.0000000000000001E-4</v>
      </c>
      <c r="H54" s="211"/>
      <c r="I54" s="210">
        <f t="shared" si="4"/>
        <v>90398.899988712103</v>
      </c>
      <c r="K54" s="210"/>
      <c r="L54" s="281">
        <f>+G54</f>
        <v>5.0000000000000001E-4</v>
      </c>
      <c r="M54" s="211"/>
      <c r="N54" s="210">
        <f t="shared" si="5"/>
        <v>90398.899988712103</v>
      </c>
    </row>
    <row r="55" spans="1:14" ht="14" x14ac:dyDescent="0.3">
      <c r="A55" s="151">
        <f>IF(B55&lt;&gt;"",COUNTA($B$13:B55),"")</f>
        <v>41</v>
      </c>
      <c r="B55" s="207" t="str">
        <f>'G1NDMD BOST'!B39</f>
        <v>Basic Service Charge</v>
      </c>
      <c r="C55" s="233" t="str">
        <f>'G1NDMD BOST'!C39</f>
        <v>BS</v>
      </c>
      <c r="D55" s="233"/>
      <c r="E55" s="206"/>
      <c r="F55" s="239"/>
      <c r="G55" s="236">
        <v>0.11403000000000001</v>
      </c>
      <c r="H55" s="211"/>
      <c r="I55" s="237">
        <f t="shared" si="4"/>
        <v>20616373.131425682</v>
      </c>
      <c r="K55" s="210"/>
      <c r="L55" s="281">
        <v>0.13185000000000002</v>
      </c>
      <c r="M55" s="211"/>
      <c r="N55" s="237">
        <f t="shared" si="5"/>
        <v>23838189.927023385</v>
      </c>
    </row>
    <row r="56" spans="1:14" ht="14" x14ac:dyDescent="0.3">
      <c r="A56" s="151" t="str">
        <f>IF(B56&lt;&gt;"",COUNTA($B$13:B56),"")</f>
        <v/>
      </c>
      <c r="B56" s="207"/>
      <c r="E56" s="206"/>
      <c r="F56" s="239"/>
      <c r="G56" s="241"/>
      <c r="H56" s="211"/>
      <c r="I56" s="244"/>
      <c r="K56" s="210"/>
      <c r="L56" s="241"/>
      <c r="M56" s="211"/>
      <c r="N56" s="244"/>
    </row>
    <row r="57" spans="1:14" ht="14" x14ac:dyDescent="0.3">
      <c r="A57" s="151">
        <f>IF(B57&lt;&gt;"",COUNTA($B$13:B57),"")</f>
        <v>42</v>
      </c>
      <c r="B57" s="188" t="s">
        <v>46</v>
      </c>
      <c r="E57" s="188"/>
      <c r="G57" s="245" t="s">
        <v>324</v>
      </c>
      <c r="H57" s="246"/>
      <c r="I57" s="154">
        <f>SUM(I26:I56)</f>
        <v>41511491.360703327</v>
      </c>
      <c r="K57" s="247"/>
      <c r="L57" s="245"/>
      <c r="N57" s="154">
        <f>SUM(N26:N56)</f>
        <v>44823551.731306352</v>
      </c>
    </row>
    <row r="58" spans="1:14" ht="14" x14ac:dyDescent="0.3">
      <c r="A58" s="151" t="str">
        <f>IF(B58&lt;&gt;"",COUNTA($B$13:B58),"")</f>
        <v/>
      </c>
      <c r="E58" s="188"/>
      <c r="H58" s="188"/>
      <c r="I58" s="154"/>
      <c r="K58" s="265"/>
      <c r="L58" s="278"/>
      <c r="N58" s="265"/>
    </row>
    <row r="59" spans="1:14" ht="14" x14ac:dyDescent="0.3">
      <c r="A59" s="151">
        <f>IF(B59&lt;&gt;"",COUNTA($B$13:B59),"")</f>
        <v>43</v>
      </c>
      <c r="B59" s="188" t="s">
        <v>46</v>
      </c>
      <c r="E59" s="188"/>
      <c r="G59" s="188"/>
      <c r="H59" s="188"/>
      <c r="I59" s="188"/>
      <c r="J59" s="188"/>
      <c r="L59" s="248" t="s">
        <v>325</v>
      </c>
      <c r="N59" s="160">
        <f>+N57/I57-1</f>
        <v>7.9786590701445448E-2</v>
      </c>
    </row>
    <row r="60" spans="1:14" ht="14" x14ac:dyDescent="0.3">
      <c r="A60" s="151" t="str">
        <f>IF(B60&lt;&gt;"",COUNTA($B$13:B60),"")</f>
        <v/>
      </c>
      <c r="E60" s="188"/>
      <c r="G60" s="188"/>
      <c r="H60" s="188"/>
      <c r="I60" s="188"/>
      <c r="J60" s="188"/>
      <c r="L60" s="248"/>
      <c r="N60" s="160"/>
    </row>
    <row r="61" spans="1:14" ht="14" x14ac:dyDescent="0.3">
      <c r="A61" s="151" t="str">
        <f>IF(B61&lt;&gt;"",COUNTA($B$13:B61),"")</f>
        <v/>
      </c>
      <c r="E61" s="188"/>
      <c r="G61" s="186"/>
      <c r="H61" s="188"/>
      <c r="I61" s="188"/>
      <c r="L61" s="248"/>
      <c r="N61" s="160"/>
    </row>
    <row r="62" spans="1:14" ht="14.5" thickBot="1" x14ac:dyDescent="0.35">
      <c r="A62" s="151">
        <f>IF(B62&lt;&gt;"",COUNTA($B$13:B62),"")</f>
        <v>44</v>
      </c>
      <c r="B62" s="188" t="s">
        <v>46</v>
      </c>
      <c r="E62" s="279" t="s">
        <v>326</v>
      </c>
      <c r="F62" s="135"/>
      <c r="G62" s="280"/>
      <c r="I62" s="279" t="s">
        <v>327</v>
      </c>
      <c r="J62" s="135"/>
      <c r="L62" s="279" t="s">
        <v>328</v>
      </c>
      <c r="M62" s="135"/>
      <c r="N62" s="137"/>
    </row>
    <row r="63" spans="1:14" ht="14" x14ac:dyDescent="0.3">
      <c r="A63" s="151">
        <f>IF(B63&lt;&gt;"",COUNTA($B$13:B63),"")</f>
        <v>45</v>
      </c>
      <c r="B63" s="144" t="s">
        <v>329</v>
      </c>
      <c r="C63" s="144"/>
      <c r="D63" s="144"/>
      <c r="E63" s="249" t="s">
        <v>148</v>
      </c>
      <c r="F63" s="250"/>
      <c r="G63" s="251" t="s">
        <v>330</v>
      </c>
      <c r="I63" s="249" t="s">
        <v>148</v>
      </c>
      <c r="J63" s="251" t="s">
        <v>330</v>
      </c>
      <c r="K63" s="212"/>
      <c r="L63" s="249" t="s">
        <v>148</v>
      </c>
      <c r="M63" s="252"/>
      <c r="N63" s="251" t="s">
        <v>330</v>
      </c>
    </row>
    <row r="64" spans="1:14" ht="14" x14ac:dyDescent="0.3">
      <c r="A64" s="151">
        <f>IF(B64&lt;&gt;"",COUNTA($B$13:B64),"")</f>
        <v>46</v>
      </c>
      <c r="B64" s="130" t="str">
        <f>+'G1NDMD BOST'!B48</f>
        <v>Distribution</v>
      </c>
      <c r="C64" s="253" t="str">
        <f>+'G1NDMD BOST'!C48</f>
        <v>DIST</v>
      </c>
      <c r="D64" s="253"/>
      <c r="E64" s="154">
        <f t="shared" ref="E64:E79" si="6">SUMIF($C$13:$C$55,$C64,$I$13:$I$55)</f>
        <v>10751312.224716997</v>
      </c>
      <c r="G64" s="254">
        <f>+E64/$E$25*100</f>
        <v>5.9465946079318934</v>
      </c>
      <c r="I64" s="154">
        <f t="shared" ref="I64:I79" si="7">SUMIF($C$13:$C$55,$C64,$N$13:$N$55)</f>
        <v>11106695.144870648</v>
      </c>
      <c r="J64" s="254">
        <f>+I64/$E$25*100</f>
        <v>6.1431583494143815</v>
      </c>
      <c r="L64" s="154">
        <f t="shared" ref="L64:L84" si="8">I64-E64</f>
        <v>355382.92015365139</v>
      </c>
      <c r="N64" s="254">
        <f>+L64/$E$19*100</f>
        <v>0.35499223421741438</v>
      </c>
    </row>
    <row r="65" spans="1:14" ht="14" x14ac:dyDescent="0.3">
      <c r="A65" s="151">
        <f>IF(B65&lt;&gt;"",COUNTA($B$13:B65),"")</f>
        <v>47</v>
      </c>
      <c r="B65" s="130" t="str">
        <f>+'G1NDMD BOST'!B49</f>
        <v>Revenue Decoupling</v>
      </c>
      <c r="C65" s="253" t="str">
        <f>+'G1NDMD BOST'!C49</f>
        <v>RDAF</v>
      </c>
      <c r="D65" s="253"/>
      <c r="E65" s="154">
        <f t="shared" si="6"/>
        <v>0</v>
      </c>
      <c r="G65" s="254">
        <f t="shared" ref="G65:G85" si="9">+E65/$E$25*100</f>
        <v>0</v>
      </c>
      <c r="I65" s="154">
        <f t="shared" si="7"/>
        <v>-118917.92509648464</v>
      </c>
      <c r="J65" s="254">
        <f t="shared" ref="J65:J85" si="10">+I65/$E$25*100</f>
        <v>-6.5773989014984491E-2</v>
      </c>
      <c r="L65" s="154">
        <f>I65-E65</f>
        <v>-118917.92509648464</v>
      </c>
      <c r="N65" s="254">
        <f t="shared" ref="N65:N85" si="11">+L65/$E$19*100</f>
        <v>-0.1187871941067072</v>
      </c>
    </row>
    <row r="66" spans="1:14" ht="14" x14ac:dyDescent="0.3">
      <c r="A66" s="151">
        <f>IF(B66&lt;&gt;"",COUNTA($B$13:B66),"")</f>
        <v>48</v>
      </c>
      <c r="B66" s="130" t="str">
        <f>+'G1NDMD BOST'!B50</f>
        <v>Residential Assistance Adjustment Factor</v>
      </c>
      <c r="C66" s="253" t="str">
        <f>+'G1NDMD BOST'!C50</f>
        <v>RAAF</v>
      </c>
      <c r="D66" s="253"/>
      <c r="E66" s="154">
        <f t="shared" si="6"/>
        <v>735847.0459081165</v>
      </c>
      <c r="G66" s="254">
        <f t="shared" si="9"/>
        <v>0.40699999999999997</v>
      </c>
      <c r="I66" s="154">
        <f t="shared" si="7"/>
        <v>1004650.6133729443</v>
      </c>
      <c r="J66" s="254">
        <f t="shared" si="10"/>
        <v>0.55567634866043314</v>
      </c>
      <c r="L66" s="154">
        <f t="shared" si="8"/>
        <v>268803.56746482779</v>
      </c>
      <c r="N66" s="254">
        <f t="shared" si="11"/>
        <v>0.26850806149798662</v>
      </c>
    </row>
    <row r="67" spans="1:14" ht="14" x14ac:dyDescent="0.3">
      <c r="A67" s="151">
        <f>IF(B67&lt;&gt;"",COUNTA($B$13:B67),"")</f>
        <v>49</v>
      </c>
      <c r="B67" s="130" t="str">
        <f>+'G1NDMD BOST'!B51</f>
        <v>Pension Adjustment Factor</v>
      </c>
      <c r="C67" s="253" t="str">
        <f>+'G1NDMD BOST'!C51</f>
        <v>PAF</v>
      </c>
      <c r="D67" s="253"/>
      <c r="E67" s="154">
        <f t="shared" si="6"/>
        <v>-19887.757997516663</v>
      </c>
      <c r="G67" s="254">
        <f t="shared" si="9"/>
        <v>-1.1000000000000001E-2</v>
      </c>
      <c r="I67" s="154">
        <f t="shared" si="7"/>
        <v>174852.39759948186</v>
      </c>
      <c r="J67" s="254">
        <f t="shared" si="10"/>
        <v>9.6711573714566915E-2</v>
      </c>
      <c r="L67" s="154">
        <f t="shared" si="8"/>
        <v>194740.15559699852</v>
      </c>
      <c r="N67" s="254">
        <f t="shared" si="11"/>
        <v>0.19452607035064096</v>
      </c>
    </row>
    <row r="68" spans="1:14" ht="14" x14ac:dyDescent="0.3">
      <c r="A68" s="151">
        <f>IF(B68&lt;&gt;"",COUNTA($B$13:B68),"")</f>
        <v>50</v>
      </c>
      <c r="B68" s="130" t="str">
        <f>+'G1NDMD BOST'!B52</f>
        <v>Net Metering Recovery Surcharge</v>
      </c>
      <c r="C68" s="253" t="str">
        <f>+'G1NDMD BOST'!C52</f>
        <v>NMRS</v>
      </c>
      <c r="D68" s="253"/>
      <c r="E68" s="154">
        <f t="shared" si="6"/>
        <v>1451806.3338187165</v>
      </c>
      <c r="G68" s="254">
        <f t="shared" si="9"/>
        <v>0.80300000000000005</v>
      </c>
      <c r="I68" s="154">
        <f t="shared" si="7"/>
        <v>1309983.8128786534</v>
      </c>
      <c r="J68" s="254">
        <f t="shared" si="10"/>
        <v>0.72455738567738548</v>
      </c>
      <c r="L68" s="154">
        <f t="shared" si="8"/>
        <v>-141822.52094006306</v>
      </c>
      <c r="N68" s="254">
        <f t="shared" si="11"/>
        <v>-0.14166661005850181</v>
      </c>
    </row>
    <row r="69" spans="1:14" ht="14" x14ac:dyDescent="0.3">
      <c r="A69" s="151">
        <f>IF(B69&lt;&gt;"",COUNTA($B$13:B69),"")</f>
        <v>51</v>
      </c>
      <c r="B69" s="130" t="str">
        <f>+'G1NDMD BOST'!B53</f>
        <v>Long Term Renewable Contract Adjustment</v>
      </c>
      <c r="C69" s="253" t="str">
        <f>+'G1NDMD BOST'!C53</f>
        <v>LTRCA</v>
      </c>
      <c r="D69" s="253"/>
      <c r="E69" s="154">
        <f t="shared" si="6"/>
        <v>426682.80794672115</v>
      </c>
      <c r="G69" s="254">
        <f t="shared" si="9"/>
        <v>0.23600000000000002</v>
      </c>
      <c r="I69" s="154">
        <f t="shared" si="7"/>
        <v>313813.06977220933</v>
      </c>
      <c r="J69" s="254">
        <f t="shared" si="10"/>
        <v>0.17357128782064518</v>
      </c>
      <c r="L69" s="154">
        <f t="shared" si="8"/>
        <v>-112869.73817451182</v>
      </c>
      <c r="N69" s="254">
        <f t="shared" si="11"/>
        <v>-0.11274565618623711</v>
      </c>
    </row>
    <row r="70" spans="1:14" ht="14" x14ac:dyDescent="0.3">
      <c r="A70" s="151">
        <f>IF(B70&lt;&gt;"",COUNTA($B$13:B70),"")</f>
        <v>52</v>
      </c>
      <c r="B70" s="130" t="str">
        <f>+'G1NDMD BOST'!B54</f>
        <v>AG Consulting Expense</v>
      </c>
      <c r="C70" s="253" t="str">
        <f>+'G1NDMD BOST'!C54</f>
        <v>AGCE</v>
      </c>
      <c r="D70" s="253"/>
      <c r="E70" s="154">
        <f t="shared" si="6"/>
        <v>7231.9119990969684</v>
      </c>
      <c r="G70" s="254">
        <f t="shared" si="9"/>
        <v>4.0000000000000001E-3</v>
      </c>
      <c r="I70" s="154">
        <f t="shared" si="7"/>
        <v>2109.3915219143605</v>
      </c>
      <c r="J70" s="254">
        <f t="shared" si="10"/>
        <v>1.1667130474915929E-3</v>
      </c>
      <c r="L70" s="154">
        <f t="shared" si="8"/>
        <v>-5122.5204771826084</v>
      </c>
      <c r="N70" s="254">
        <f t="shared" si="11"/>
        <v>-5.1168890959455583E-3</v>
      </c>
    </row>
    <row r="71" spans="1:14" ht="14" x14ac:dyDescent="0.3">
      <c r="A71" s="151">
        <f>IF(B71&lt;&gt;"",COUNTA($B$13:B71),"")</f>
        <v>53</v>
      </c>
      <c r="B71" s="130" t="str">
        <f>+'G1NDMD BOST'!B55</f>
        <v>Storm Cost Recovery Adjustment Factor</v>
      </c>
      <c r="C71" s="253" t="str">
        <f>+'G1NDMD BOST'!C55</f>
        <v>SCRA</v>
      </c>
      <c r="D71" s="253"/>
      <c r="E71" s="154">
        <f t="shared" si="6"/>
        <v>453802.47794333479</v>
      </c>
      <c r="G71" s="254">
        <f t="shared" si="9"/>
        <v>0.251</v>
      </c>
      <c r="I71" s="154">
        <f t="shared" si="7"/>
        <v>761481.72582034359</v>
      </c>
      <c r="J71" s="254">
        <f t="shared" si="10"/>
        <v>0.42117864593232224</v>
      </c>
      <c r="L71" s="154">
        <f>I71-E71</f>
        <v>307679.24787700881</v>
      </c>
      <c r="N71" s="254">
        <f t="shared" si="11"/>
        <v>0.30734100439877537</v>
      </c>
    </row>
    <row r="72" spans="1:14" ht="14" x14ac:dyDescent="0.3">
      <c r="A72" s="151">
        <f>IF(B72&lt;&gt;"",COUNTA($B$13:B72),"")</f>
        <v>54</v>
      </c>
      <c r="B72" s="130" t="str">
        <f>+'G1NDMD BOST'!B56</f>
        <v>Storm Reserve Adjustment</v>
      </c>
      <c r="C72" s="253" t="str">
        <f>+'G1NDMD BOST'!C56</f>
        <v>SRA</v>
      </c>
      <c r="D72" s="253"/>
      <c r="E72" s="154">
        <f t="shared" si="6"/>
        <v>0</v>
      </c>
      <c r="G72" s="254">
        <f t="shared" si="9"/>
        <v>0</v>
      </c>
      <c r="I72" s="154">
        <f t="shared" si="7"/>
        <v>0</v>
      </c>
      <c r="J72" s="254">
        <f t="shared" si="10"/>
        <v>0</v>
      </c>
      <c r="L72" s="154">
        <f>I72-E72</f>
        <v>0</v>
      </c>
      <c r="N72" s="254">
        <f t="shared" si="11"/>
        <v>0</v>
      </c>
    </row>
    <row r="73" spans="1:14" ht="14" x14ac:dyDescent="0.3">
      <c r="A73" s="151">
        <f>IF(B73&lt;&gt;"",COUNTA($B$13:B73),"")</f>
        <v>55</v>
      </c>
      <c r="B73" s="130" t="str">
        <f>+'G1NDMD BOST'!B57</f>
        <v>Basic Service Cost True Up Factor</v>
      </c>
      <c r="C73" s="253" t="str">
        <f>+'G1NDMD BOST'!C57</f>
        <v>BSTF</v>
      </c>
      <c r="D73" s="253"/>
      <c r="E73" s="154">
        <f t="shared" si="6"/>
        <v>392331.22595101054</v>
      </c>
      <c r="G73" s="254">
        <f t="shared" si="9"/>
        <v>0.217</v>
      </c>
      <c r="I73" s="154">
        <f t="shared" si="7"/>
        <v>-49853.225287678513</v>
      </c>
      <c r="J73" s="254">
        <f t="shared" si="10"/>
        <v>-2.7574022080967563E-2</v>
      </c>
      <c r="L73" s="154">
        <f t="shared" ref="L73:L79" si="12">I73-E73</f>
        <v>-442184.45123868907</v>
      </c>
      <c r="N73" s="254">
        <f t="shared" si="11"/>
        <v>-0.44169834108391026</v>
      </c>
    </row>
    <row r="74" spans="1:14" ht="14" x14ac:dyDescent="0.3">
      <c r="A74" s="151">
        <f>IF(B74&lt;&gt;"",COUNTA($B$13:B74),"")</f>
        <v>56</v>
      </c>
      <c r="B74" s="130" t="str">
        <f>+'G1NDMD BOST'!B58</f>
        <v>Solar Program Cost Adjustment Factor</v>
      </c>
      <c r="C74" s="253" t="str">
        <f>+'G1NDMD BOST'!C58</f>
        <v>SPCA</v>
      </c>
      <c r="D74" s="253"/>
      <c r="E74" s="154">
        <f t="shared" si="6"/>
        <v>0</v>
      </c>
      <c r="G74" s="254">
        <f t="shared" si="9"/>
        <v>0</v>
      </c>
      <c r="I74" s="154">
        <f t="shared" si="7"/>
        <v>8872.1051898545975</v>
      </c>
      <c r="J74" s="254">
        <f t="shared" si="10"/>
        <v>4.9071975383342256E-3</v>
      </c>
      <c r="L74" s="154">
        <f t="shared" si="12"/>
        <v>8872.1051898545975</v>
      </c>
      <c r="N74" s="254">
        <f t="shared" si="11"/>
        <v>8.8623517477899282E-3</v>
      </c>
    </row>
    <row r="75" spans="1:14" ht="14" x14ac:dyDescent="0.3">
      <c r="A75" s="151">
        <f>IF(B75&lt;&gt;"",COUNTA($B$13:B75),"")</f>
        <v>57</v>
      </c>
      <c r="B75" s="130" t="str">
        <f>+'G1NDMD BOST'!B59</f>
        <v>Solar Expansion Cost Recovery Factor</v>
      </c>
      <c r="C75" s="253" t="str">
        <f>+'G1NDMD BOST'!C59</f>
        <v>SECRF</v>
      </c>
      <c r="D75" s="253"/>
      <c r="E75" s="154">
        <f t="shared" si="6"/>
        <v>0</v>
      </c>
      <c r="G75" s="254">
        <f t="shared" si="9"/>
        <v>0</v>
      </c>
      <c r="I75" s="154">
        <f t="shared" si="7"/>
        <v>156483.63860432588</v>
      </c>
      <c r="J75" s="254">
        <f t="shared" si="10"/>
        <v>8.6551738253377877E-2</v>
      </c>
      <c r="L75" s="154">
        <f t="shared" si="12"/>
        <v>156483.63860432588</v>
      </c>
      <c r="N75" s="254">
        <f t="shared" si="11"/>
        <v>0.15631161019950698</v>
      </c>
    </row>
    <row r="76" spans="1:14" ht="14" x14ac:dyDescent="0.3">
      <c r="A76" s="151">
        <f>IF(B76&lt;&gt;"",COUNTA($B$13:B76),"")</f>
        <v>58</v>
      </c>
      <c r="B76" s="130" t="str">
        <f>+'G1NDMD BOST'!B60</f>
        <v>Vegetation Management</v>
      </c>
      <c r="C76" s="253" t="str">
        <f>+'G1NDMD BOST'!C60</f>
        <v>RTWF</v>
      </c>
      <c r="D76" s="253"/>
      <c r="E76" s="154">
        <f t="shared" si="6"/>
        <v>0</v>
      </c>
      <c r="G76" s="254">
        <f t="shared" si="9"/>
        <v>0</v>
      </c>
      <c r="I76" s="154">
        <f t="shared" si="7"/>
        <v>313044.88905752398</v>
      </c>
      <c r="J76" s="254">
        <f t="shared" si="10"/>
        <v>0.17314640393667022</v>
      </c>
      <c r="L76" s="154">
        <f t="shared" si="12"/>
        <v>313044.88905752398</v>
      </c>
      <c r="N76" s="254">
        <f t="shared" si="11"/>
        <v>0.31270074692623423</v>
      </c>
    </row>
    <row r="77" spans="1:14" ht="14" x14ac:dyDescent="0.3">
      <c r="A77" s="151">
        <f>IF(B77&lt;&gt;"",COUNTA($B$13:B77),"")</f>
        <v>59</v>
      </c>
      <c r="B77" s="130" t="str">
        <f>+'G1NDMD BOST'!B61</f>
        <v>Solar Massachusetts Renewable Target</v>
      </c>
      <c r="C77" s="253" t="str">
        <f>+'G1NDMD BOST'!C61</f>
        <v>SMART</v>
      </c>
      <c r="D77" s="253"/>
      <c r="E77" s="154">
        <f t="shared" si="6"/>
        <v>0</v>
      </c>
      <c r="G77" s="254">
        <f t="shared" si="9"/>
        <v>0</v>
      </c>
      <c r="I77" s="154">
        <f t="shared" si="7"/>
        <v>183342.54173330811</v>
      </c>
      <c r="J77" s="254">
        <f t="shared" si="10"/>
        <v>0.10140750703614848</v>
      </c>
      <c r="L77" s="154">
        <f t="shared" si="12"/>
        <v>183342.54173330811</v>
      </c>
      <c r="N77" s="254">
        <f t="shared" si="11"/>
        <v>0.18314098631658132</v>
      </c>
    </row>
    <row r="78" spans="1:14" ht="14" x14ac:dyDescent="0.3">
      <c r="A78" s="151">
        <f>IF(B78&lt;&gt;"",COUNTA($B$13:B78),"")</f>
        <v>60</v>
      </c>
      <c r="B78" s="130" t="str">
        <f>+'G1NDMD BOST'!B62</f>
        <v>Tax Act Credit Factor</v>
      </c>
      <c r="C78" s="253" t="str">
        <f>+'G1NDMD BOST'!C62</f>
        <v>TACF</v>
      </c>
      <c r="D78" s="253"/>
      <c r="E78" s="154">
        <f t="shared" si="6"/>
        <v>0</v>
      </c>
      <c r="G78" s="254">
        <f t="shared" si="9"/>
        <v>0</v>
      </c>
      <c r="I78" s="154">
        <f t="shared" si="7"/>
        <v>-277549.97928918991</v>
      </c>
      <c r="J78" s="254">
        <f t="shared" si="10"/>
        <v>-0.15351402468605643</v>
      </c>
      <c r="L78" s="154">
        <f t="shared" si="12"/>
        <v>-277549.97928918991</v>
      </c>
      <c r="N78" s="254">
        <f t="shared" si="11"/>
        <v>-0.27724485805977267</v>
      </c>
    </row>
    <row r="79" spans="1:14" ht="14" x14ac:dyDescent="0.3">
      <c r="A79" s="151">
        <f>IF(B79&lt;&gt;"",COUNTA($B$13:B79),"")</f>
        <v>61</v>
      </c>
      <c r="B79" s="130" t="str">
        <f>+'G1NDMD BOST'!B63</f>
        <v>Transition</v>
      </c>
      <c r="C79" s="253" t="str">
        <f>+'G1NDMD BOST'!C63</f>
        <v>TRNSN</v>
      </c>
      <c r="D79" s="253"/>
      <c r="E79" s="154">
        <f t="shared" si="6"/>
        <v>-110286.65798622876</v>
      </c>
      <c r="G79" s="254">
        <f t="shared" si="9"/>
        <v>-6.0999999999999999E-2</v>
      </c>
      <c r="I79" s="154">
        <f t="shared" si="7"/>
        <v>-94212.506680817256</v>
      </c>
      <c r="J79" s="254">
        <f t="shared" si="10"/>
        <v>-5.2109321403568713E-2</v>
      </c>
      <c r="L79" s="154">
        <f t="shared" si="12"/>
        <v>16074.151305411506</v>
      </c>
      <c r="N79" s="254">
        <f t="shared" si="11"/>
        <v>1.6056480380626334E-2</v>
      </c>
    </row>
    <row r="80" spans="1:14" ht="14" x14ac:dyDescent="0.3">
      <c r="A80" s="151">
        <f>IF(B80&lt;&gt;"",COUNTA($B$13:B80),"")</f>
        <v>62</v>
      </c>
      <c r="B80" s="130" t="str">
        <f>+'G1NDMD BOST'!B64</f>
        <v>Transmission</v>
      </c>
      <c r="C80" s="253" t="str">
        <f>+'G1NDMD BOST'!C64</f>
        <v>TRNSM</v>
      </c>
      <c r="D80" s="253"/>
      <c r="E80" s="154">
        <f>SUM(SUMIF($C$13:$C$55,{"TMKW","TMKWH"},$I$13:$I$55))</f>
        <v>4734335.8292361163</v>
      </c>
      <c r="G80" s="254">
        <f t="shared" si="9"/>
        <v>2.6185804417018801</v>
      </c>
      <c r="I80" s="154">
        <f>SUM(SUMIF($C$13:$C$55,{"TMKW","TMKWH"},$N$13:$N$55))</f>
        <v>4118623.3224746441</v>
      </c>
      <c r="J80" s="254">
        <f t="shared" si="10"/>
        <v>2.278027344906258</v>
      </c>
      <c r="L80" s="154">
        <f t="shared" si="8"/>
        <v>-615712.50676147221</v>
      </c>
      <c r="N80" s="254">
        <f t="shared" si="11"/>
        <v>-0.61503563062726474</v>
      </c>
    </row>
    <row r="81" spans="1:14" ht="14" x14ac:dyDescent="0.3">
      <c r="A81" s="151">
        <f>IF(B81&lt;&gt;"",COUNTA($B$13:B81),"")</f>
        <v>63</v>
      </c>
      <c r="B81" s="130" t="str">
        <f>+'G1NDMD BOST'!B65</f>
        <v>Energy Efficiency Reconciliation Factor</v>
      </c>
      <c r="C81" s="253" t="str">
        <f>+'G1NDMD BOST'!C65</f>
        <v>EERF</v>
      </c>
      <c r="D81" s="253"/>
      <c r="E81" s="154">
        <f>SUMIF($C$13:$C$55,$C81,$I$13:$I$55)</f>
        <v>1529549.3878090088</v>
      </c>
      <c r="G81" s="254">
        <f t="shared" si="9"/>
        <v>0.84600000000000009</v>
      </c>
      <c r="I81" s="154">
        <f>SUMIF($C$13:$C$55,$C81,$N$13:$N$55)</f>
        <v>1529549.3878090088</v>
      </c>
      <c r="J81" s="254">
        <f t="shared" si="10"/>
        <v>0.84600000000000009</v>
      </c>
      <c r="L81" s="154">
        <f t="shared" si="8"/>
        <v>0</v>
      </c>
      <c r="N81" s="254">
        <f t="shared" si="11"/>
        <v>0</v>
      </c>
    </row>
    <row r="82" spans="1:14" ht="14" x14ac:dyDescent="0.3">
      <c r="A82" s="151">
        <f>IF(B82&lt;&gt;"",COUNTA($B$13:B82),"")</f>
        <v>64</v>
      </c>
      <c r="B82" s="130" t="str">
        <f>+'G1NDMD BOST'!B66</f>
        <v>System Benefits Charge</v>
      </c>
      <c r="C82" s="253" t="str">
        <f>+'G1NDMD BOST'!C66</f>
        <v>SBC</v>
      </c>
      <c r="D82" s="253"/>
      <c r="E82" s="154">
        <f>SUMIF($C$13:$C$55,$C82,$I$13:$I$55)</f>
        <v>451994.49994356051</v>
      </c>
      <c r="G82" s="254">
        <f t="shared" si="9"/>
        <v>0.25</v>
      </c>
      <c r="I82" s="154">
        <f>SUMIF($C$13:$C$55,$C82,$N$13:$N$55)</f>
        <v>451994.49994356051</v>
      </c>
      <c r="J82" s="254">
        <f t="shared" si="10"/>
        <v>0.25</v>
      </c>
      <c r="L82" s="154">
        <f t="shared" si="8"/>
        <v>0</v>
      </c>
      <c r="N82" s="254">
        <f t="shared" si="11"/>
        <v>0</v>
      </c>
    </row>
    <row r="83" spans="1:14" ht="14" x14ac:dyDescent="0.3">
      <c r="A83" s="151">
        <f>IF(B83&lt;&gt;"",COUNTA($B$13:B83),"")</f>
        <v>65</v>
      </c>
      <c r="B83" s="130" t="str">
        <f>+'G1NDMD BOST'!B67</f>
        <v>Renewable Energy Charge</v>
      </c>
      <c r="C83" s="253" t="str">
        <f>+'G1NDMD BOST'!C67</f>
        <v>RNEW</v>
      </c>
      <c r="D83" s="253"/>
      <c r="E83" s="154">
        <f>SUMIF($C$13:$C$55,$C83,$I$13:$I$55)</f>
        <v>90398.899988712103</v>
      </c>
      <c r="G83" s="254">
        <f t="shared" si="9"/>
        <v>0.05</v>
      </c>
      <c r="I83" s="154">
        <f>SUMIF($C$13:$C$55,$C83,$N$13:$N$55)</f>
        <v>90398.899988712103</v>
      </c>
      <c r="J83" s="254">
        <f t="shared" si="10"/>
        <v>0.05</v>
      </c>
      <c r="L83" s="154">
        <f>I83-E83</f>
        <v>0</v>
      </c>
      <c r="N83" s="254">
        <f t="shared" si="11"/>
        <v>0</v>
      </c>
    </row>
    <row r="84" spans="1:14" ht="14" x14ac:dyDescent="0.3">
      <c r="A84" s="151">
        <f>IF(B84&lt;&gt;"",COUNTA($B$13:B84),"")</f>
        <v>66</v>
      </c>
      <c r="B84" s="130" t="str">
        <f>+'G1NDMD BOST'!B68</f>
        <v>Basic Service Charge</v>
      </c>
      <c r="C84" s="253" t="str">
        <f>+'G1NDMD BOST'!C68</f>
        <v>BS</v>
      </c>
      <c r="D84" s="253"/>
      <c r="E84" s="255">
        <f>SUMIF($C$13:$C$55,$C84,$I$13:$I$55)</f>
        <v>20616373.131425682</v>
      </c>
      <c r="F84" s="256"/>
      <c r="G84" s="257">
        <f t="shared" si="9"/>
        <v>11.403</v>
      </c>
      <c r="H84" s="258"/>
      <c r="I84" s="255">
        <f>SUMIF($C$13:$C$55,$C84,$N$13:$N$55)</f>
        <v>23838189.927023385</v>
      </c>
      <c r="J84" s="257">
        <f t="shared" si="10"/>
        <v>13.185000000000002</v>
      </c>
      <c r="K84" s="255"/>
      <c r="L84" s="255">
        <f t="shared" si="8"/>
        <v>3221816.7955977023</v>
      </c>
      <c r="M84" s="259"/>
      <c r="N84" s="257">
        <f t="shared" si="11"/>
        <v>3.2182749300780316</v>
      </c>
    </row>
    <row r="85" spans="1:14" ht="14" x14ac:dyDescent="0.3">
      <c r="A85" s="151">
        <f>IF(B85&lt;&gt;"",COUNTA($B$13:B85),"")</f>
        <v>67</v>
      </c>
      <c r="B85" s="130" t="str">
        <f>+'G1NDMD BOST'!B69</f>
        <v>Total</v>
      </c>
      <c r="C85" s="130"/>
      <c r="D85" s="130"/>
      <c r="E85" s="154">
        <f>SUM(E64:E84)</f>
        <v>41511491.360703327</v>
      </c>
      <c r="G85" s="254">
        <f t="shared" si="9"/>
        <v>22.960175049633772</v>
      </c>
      <c r="I85" s="154">
        <f>SUM(I64:I84)</f>
        <v>44823551.731306344</v>
      </c>
      <c r="J85" s="254">
        <f t="shared" si="10"/>
        <v>24.792089138752438</v>
      </c>
      <c r="L85" s="154">
        <f>SUM(L64:L84)</f>
        <v>3312060.3706030194</v>
      </c>
      <c r="N85" s="254">
        <f t="shared" si="11"/>
        <v>3.3084192968952477</v>
      </c>
    </row>
    <row r="86" spans="1:14" ht="14" x14ac:dyDescent="0.3">
      <c r="A86" s="151" t="str">
        <f>IF(B86&lt;&gt;"",COUNTA($B$10:B86),"")</f>
        <v/>
      </c>
    </row>
    <row r="87" spans="1:14" ht="14" x14ac:dyDescent="0.3">
      <c r="A87" s="151"/>
      <c r="B87" s="256" t="s">
        <v>164</v>
      </c>
      <c r="E87" s="188"/>
      <c r="G87" s="188"/>
      <c r="H87" s="188"/>
      <c r="I87" s="188"/>
      <c r="J87" s="188"/>
      <c r="K87" s="188"/>
      <c r="L87" s="188"/>
      <c r="M87" s="188"/>
      <c r="N87" s="188"/>
    </row>
    <row r="88" spans="1:14" ht="14" x14ac:dyDescent="0.3">
      <c r="A88" s="151"/>
      <c r="B88" s="130" t="str">
        <f>+'G1NDMD BOST'!B72</f>
        <v>Col. (a): Company's forecast</v>
      </c>
    </row>
    <row r="89" spans="1:14" ht="14" x14ac:dyDescent="0.3">
      <c r="A89" s="151"/>
      <c r="B89" s="130" t="str">
        <f>+'G1NDMD BOST'!B73</f>
        <v>Col. (b): Current rates</v>
      </c>
    </row>
    <row r="90" spans="1:14" ht="14" x14ac:dyDescent="0.3">
      <c r="A90" s="151"/>
      <c r="B90" s="130" t="str">
        <f>+'G1NDMD BOST'!B74</f>
        <v>Col. (c): Col. (a) x Col. (b)</v>
      </c>
    </row>
    <row r="91" spans="1:14" ht="14" x14ac:dyDescent="0.3">
      <c r="A91" s="151"/>
      <c r="B91" s="130" t="str">
        <f>+'G1NDMD BOST'!B75</f>
        <v>Col. (e): Proposed rates</v>
      </c>
    </row>
    <row r="92" spans="1:14" ht="14" x14ac:dyDescent="0.3">
      <c r="A92" s="151"/>
      <c r="B92" s="188" t="s">
        <v>387</v>
      </c>
    </row>
  </sheetData>
  <mergeCells count="6">
    <mergeCell ref="A4:N4"/>
    <mergeCell ref="A5:N5"/>
    <mergeCell ref="A7:N7"/>
    <mergeCell ref="A8:N8"/>
    <mergeCell ref="G10:I10"/>
    <mergeCell ref="L10:N10"/>
  </mergeCells>
  <pageMargins left="0.7" right="0.7" top="0.75" bottom="0.75" header="0.3" footer="0.3"/>
  <pageSetup scale="54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BA618-B85D-49BC-A037-7B35AF9E9624}">
  <sheetPr>
    <tabColor theme="9" tint="0.59999389629810485"/>
    <pageSetUpPr fitToPage="1"/>
  </sheetPr>
  <dimension ref="A4:N84"/>
  <sheetViews>
    <sheetView workbookViewId="0"/>
  </sheetViews>
  <sheetFormatPr defaultRowHeight="12.5" x14ac:dyDescent="0.25"/>
  <cols>
    <col min="1" max="1" width="3.26953125" bestFit="1" customWidth="1"/>
    <col min="2" max="2" width="41.1796875" customWidth="1"/>
    <col min="3" max="3" width="10.81640625" bestFit="1" customWidth="1"/>
    <col min="4" max="4" width="1.26953125" customWidth="1"/>
    <col min="5" max="5" width="13.7265625" bestFit="1" customWidth="1"/>
    <col min="6" max="6" width="1.26953125" customWidth="1"/>
    <col min="7" max="7" width="12.7265625" customWidth="1"/>
    <col min="8" max="8" width="1.26953125" customWidth="1"/>
    <col min="9" max="9" width="9.26953125" bestFit="1" customWidth="1"/>
    <col min="11" max="11" width="1.26953125" customWidth="1"/>
    <col min="12" max="12" width="12.7265625" customWidth="1"/>
    <col min="13" max="13" width="1.26953125" customWidth="1"/>
    <col min="14" max="14" width="11" bestFit="1" customWidth="1"/>
  </cols>
  <sheetData>
    <row r="4" spans="1:14" ht="14" x14ac:dyDescent="0.3">
      <c r="A4" s="748" t="str">
        <f>'R1 EMA'!A4:N4</f>
        <v>Eastern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4" ht="14" x14ac:dyDescent="0.3">
      <c r="A5" s="748" t="str">
        <f>'R1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4" ht="14" x14ac:dyDescent="0.3">
      <c r="A6" s="205"/>
      <c r="C6" s="205"/>
      <c r="D6" s="205"/>
      <c r="E6" s="206"/>
      <c r="F6" s="207"/>
      <c r="G6" s="208"/>
      <c r="H6" s="209"/>
      <c r="I6" s="210"/>
      <c r="J6" s="210"/>
      <c r="K6" s="210"/>
      <c r="L6" s="211"/>
      <c r="M6" s="211"/>
      <c r="N6" s="212"/>
    </row>
    <row r="7" spans="1:14" ht="14" x14ac:dyDescent="0.3">
      <c r="A7" s="748" t="s">
        <v>346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4" ht="14" x14ac:dyDescent="0.3">
      <c r="A8" s="748" t="s">
        <v>388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4" ht="14" x14ac:dyDescent="0.3">
      <c r="B9" s="207"/>
      <c r="C9" s="207"/>
      <c r="D9" s="207"/>
      <c r="E9" s="213"/>
      <c r="F9" s="207"/>
      <c r="I9" s="210"/>
      <c r="J9" s="210"/>
      <c r="K9" s="210"/>
      <c r="L9" s="214"/>
      <c r="M9" s="214"/>
      <c r="N9" s="215"/>
    </row>
    <row r="10" spans="1:14" ht="14.5" thickBot="1" x14ac:dyDescent="0.35">
      <c r="A10" s="151"/>
      <c r="B10" s="216" t="s">
        <v>46</v>
      </c>
      <c r="C10" s="216"/>
      <c r="D10" s="216"/>
      <c r="E10" s="217" t="s">
        <v>144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4" ht="14" x14ac:dyDescent="0.3">
      <c r="A11" s="151"/>
      <c r="B11" s="219" t="s">
        <v>293</v>
      </c>
      <c r="C11" s="220" t="s">
        <v>294</v>
      </c>
      <c r="D11" s="220"/>
      <c r="E11" s="221" t="s">
        <v>295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4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4" ht="14" x14ac:dyDescent="0.3">
      <c r="A13" s="151">
        <f>IF(B13&lt;&gt;"",COUNTA($B$13:B13),"")</f>
        <v>1</v>
      </c>
      <c r="B13" s="232" t="s">
        <v>296</v>
      </c>
      <c r="C13" s="233" t="s">
        <v>297</v>
      </c>
      <c r="D13" s="233"/>
      <c r="E13" s="234">
        <v>691.96255897375204</v>
      </c>
      <c r="F13" s="207"/>
      <c r="G13" s="209">
        <v>10</v>
      </c>
      <c r="H13" s="209"/>
      <c r="I13" s="210">
        <f>G13*E13</f>
        <v>6919.6255897375204</v>
      </c>
      <c r="J13" s="235"/>
      <c r="K13" s="210"/>
      <c r="L13" s="209">
        <v>10</v>
      </c>
      <c r="M13" s="211"/>
      <c r="N13" s="210">
        <f>L13*E13</f>
        <v>6919.6255897375204</v>
      </c>
    </row>
    <row r="14" spans="1:14" ht="14" x14ac:dyDescent="0.3">
      <c r="A14" s="151">
        <f>IF(B14&lt;&gt;"",COUNTA($B$13:B14),"")</f>
        <v>2</v>
      </c>
      <c r="B14" s="207" t="s">
        <v>389</v>
      </c>
      <c r="C14" s="273" t="s">
        <v>366</v>
      </c>
      <c r="D14" s="233"/>
      <c r="E14" s="234">
        <v>55423.781604105949</v>
      </c>
      <c r="F14" s="207"/>
      <c r="G14" s="236">
        <v>6.9199999999999998E-2</v>
      </c>
      <c r="H14" s="209"/>
      <c r="I14" s="210">
        <f t="shared" ref="I14:I17" si="0">G14*E14</f>
        <v>3835.3256870041314</v>
      </c>
      <c r="J14" s="235"/>
      <c r="K14" s="210"/>
      <c r="L14" s="236">
        <v>7.2690000000000005E-2</v>
      </c>
      <c r="M14" s="211"/>
      <c r="N14" s="210">
        <f t="shared" ref="N14:N17" si="1">L14*E14</f>
        <v>4028.7546848024617</v>
      </c>
    </row>
    <row r="15" spans="1:14" ht="14" x14ac:dyDescent="0.3">
      <c r="A15" s="151">
        <f>IF(B15&lt;&gt;"",COUNTA($B$13:B15),"")</f>
        <v>3</v>
      </c>
      <c r="B15" s="207" t="s">
        <v>390</v>
      </c>
      <c r="C15" s="273" t="s">
        <v>368</v>
      </c>
      <c r="D15" s="233"/>
      <c r="E15" s="234">
        <v>149457.50309604243</v>
      </c>
      <c r="F15" s="207"/>
      <c r="G15" s="236">
        <v>1.7639999999999999E-2</v>
      </c>
      <c r="H15" s="209"/>
      <c r="I15" s="210">
        <f t="shared" si="0"/>
        <v>2636.4303546141887</v>
      </c>
      <c r="J15" s="235"/>
      <c r="K15" s="210"/>
      <c r="L15" s="236">
        <v>1.8530000000000001E-2</v>
      </c>
      <c r="M15" s="211"/>
      <c r="N15" s="210">
        <f t="shared" si="1"/>
        <v>2769.4475323696665</v>
      </c>
    </row>
    <row r="16" spans="1:14" ht="14" x14ac:dyDescent="0.3">
      <c r="A16" s="151">
        <f>IF(B16&lt;&gt;"",COUNTA($B$13:B16),"")</f>
        <v>4</v>
      </c>
      <c r="B16" s="207" t="s">
        <v>391</v>
      </c>
      <c r="C16" s="273" t="s">
        <v>372</v>
      </c>
      <c r="D16" s="233"/>
      <c r="E16" s="234">
        <v>23262.268258009124</v>
      </c>
      <c r="F16" s="207"/>
      <c r="G16" s="236">
        <v>0.14760999999999999</v>
      </c>
      <c r="H16" s="209"/>
      <c r="I16" s="210">
        <f t="shared" si="0"/>
        <v>3433.7434175647268</v>
      </c>
      <c r="J16" s="235"/>
      <c r="K16" s="210"/>
      <c r="L16" s="236">
        <v>0.15506</v>
      </c>
      <c r="M16" s="211"/>
      <c r="N16" s="210">
        <f t="shared" si="1"/>
        <v>3607.0473160868951</v>
      </c>
    </row>
    <row r="17" spans="1:14" ht="14" x14ac:dyDescent="0.3">
      <c r="A17" s="151">
        <f>IF(B17&lt;&gt;"",COUNTA($B$13:B17),"")</f>
        <v>5</v>
      </c>
      <c r="B17" s="207" t="s">
        <v>392</v>
      </c>
      <c r="C17" s="273" t="s">
        <v>374</v>
      </c>
      <c r="D17" s="233"/>
      <c r="E17" s="234">
        <v>33680.136678329611</v>
      </c>
      <c r="F17" s="207"/>
      <c r="G17" s="236">
        <v>1.9460000000000002E-2</v>
      </c>
      <c r="H17" s="209"/>
      <c r="I17" s="210">
        <f t="shared" si="0"/>
        <v>655.41545976029431</v>
      </c>
      <c r="J17" s="235"/>
      <c r="K17" s="210"/>
      <c r="L17" s="236">
        <v>2.044E-2</v>
      </c>
      <c r="M17" s="211"/>
      <c r="N17" s="210">
        <f t="shared" si="1"/>
        <v>688.42199370505728</v>
      </c>
    </row>
    <row r="18" spans="1:14" ht="14" x14ac:dyDescent="0.3">
      <c r="A18" s="151">
        <f>IF(B18&lt;&gt;"",COUNTA($B$13:B18),"")</f>
        <v>6</v>
      </c>
      <c r="B18" s="207" t="s">
        <v>352</v>
      </c>
      <c r="C18" s="233" t="s">
        <v>299</v>
      </c>
      <c r="D18" s="233"/>
      <c r="E18" s="234">
        <v>261823.68963648711</v>
      </c>
      <c r="F18" s="207"/>
      <c r="G18" s="236"/>
      <c r="H18" s="209"/>
      <c r="I18" s="237"/>
      <c r="J18" s="235"/>
      <c r="K18" s="210"/>
      <c r="L18" s="281"/>
      <c r="M18" s="211"/>
      <c r="N18" s="237"/>
    </row>
    <row r="19" spans="1:14" ht="14" x14ac:dyDescent="0.3">
      <c r="A19" s="151">
        <f>IF(B19&lt;&gt;"",COUNTA($B$13:B19),"")</f>
        <v>7</v>
      </c>
      <c r="B19" s="207" t="s">
        <v>300</v>
      </c>
      <c r="C19" s="233" t="s">
        <v>301</v>
      </c>
      <c r="D19" s="233"/>
      <c r="E19" s="234"/>
      <c r="F19" s="207"/>
      <c r="G19" s="209"/>
      <c r="H19" s="209"/>
      <c r="I19" s="210">
        <f>SUM(I13:I18)</f>
        <v>17480.540508680864</v>
      </c>
      <c r="J19" s="235"/>
      <c r="K19" s="210"/>
      <c r="L19" s="238"/>
      <c r="M19" s="211"/>
      <c r="N19" s="210">
        <f>SUM(N13:N18)</f>
        <v>18013.2971167016</v>
      </c>
    </row>
    <row r="20" spans="1:14" ht="14" x14ac:dyDescent="0.3">
      <c r="A20" s="151" t="str">
        <f>IF(B20&lt;&gt;"",COUNTA($B$13:B20),"")</f>
        <v/>
      </c>
      <c r="B20" s="207"/>
      <c r="C20" s="233"/>
      <c r="D20" s="233"/>
      <c r="E20" s="234"/>
      <c r="F20" s="207"/>
      <c r="G20" s="209"/>
      <c r="H20" s="209"/>
      <c r="I20" s="210"/>
      <c r="J20" s="235"/>
      <c r="K20" s="210"/>
      <c r="L20" s="238"/>
      <c r="M20" s="211"/>
      <c r="N20" s="210"/>
    </row>
    <row r="21" spans="1:14" ht="14" x14ac:dyDescent="0.3">
      <c r="A21" s="151">
        <f>IF(B21&lt;&gt;"",COUNTA($B$13:B21),"")</f>
        <v>8</v>
      </c>
      <c r="B21" s="207" t="s">
        <v>377</v>
      </c>
      <c r="C21" s="233" t="s">
        <v>378</v>
      </c>
      <c r="D21" s="233"/>
      <c r="E21" s="234"/>
      <c r="F21" s="207"/>
      <c r="G21" s="209"/>
      <c r="H21" s="209"/>
      <c r="I21" s="210"/>
      <c r="J21" s="235"/>
      <c r="K21" s="210"/>
      <c r="L21" s="238"/>
      <c r="M21" s="211"/>
      <c r="N21" s="210"/>
    </row>
    <row r="22" spans="1:14" ht="14" x14ac:dyDescent="0.3">
      <c r="A22" s="151">
        <f>IF(B22&lt;&gt;"",COUNTA($B$13:B22),"")</f>
        <v>9</v>
      </c>
      <c r="B22" s="207" t="s">
        <v>379</v>
      </c>
      <c r="C22" s="233" t="s">
        <v>380</v>
      </c>
      <c r="D22" s="233"/>
      <c r="E22" s="234"/>
      <c r="F22" s="207"/>
      <c r="G22" s="209"/>
      <c r="H22" s="209"/>
      <c r="I22" s="210"/>
      <c r="J22" s="235"/>
      <c r="K22" s="210"/>
      <c r="L22" s="238"/>
      <c r="M22" s="211"/>
      <c r="N22" s="210"/>
    </row>
    <row r="23" spans="1:14" ht="14" x14ac:dyDescent="0.3">
      <c r="A23" s="151" t="str">
        <f>IF(B23&lt;&gt;"",COUNTA($B$13:B23),"")</f>
        <v/>
      </c>
      <c r="B23" s="207"/>
      <c r="C23" s="233"/>
      <c r="D23" s="233"/>
      <c r="E23" s="234"/>
      <c r="F23" s="207"/>
      <c r="G23" s="209"/>
      <c r="H23" s="209"/>
      <c r="I23" s="210"/>
      <c r="J23" s="235"/>
      <c r="K23" s="210"/>
      <c r="L23" s="238"/>
      <c r="M23" s="211"/>
      <c r="N23" s="210"/>
    </row>
    <row r="24" spans="1:14" ht="14" x14ac:dyDescent="0.3">
      <c r="A24" s="151">
        <f>IF(B24&lt;&gt;"",COUNTA($B$13:B24),"")</f>
        <v>10</v>
      </c>
      <c r="B24" s="228" t="s">
        <v>302</v>
      </c>
      <c r="F24" s="239"/>
      <c r="G24" s="240"/>
      <c r="H24" s="211"/>
      <c r="I24" s="210"/>
      <c r="K24" s="210"/>
      <c r="L24" s="241"/>
      <c r="M24" s="211"/>
      <c r="N24" s="210"/>
    </row>
    <row r="25" spans="1:14" ht="14" x14ac:dyDescent="0.3">
      <c r="A25" s="151">
        <f>IF(B25&lt;&gt;"",COUNTA($B$13:B25),"")</f>
        <v>11</v>
      </c>
      <c r="B25" s="207" t="str">
        <f>+'G1NDMD BOST'!B20</f>
        <v>Revenue Decoupling</v>
      </c>
      <c r="C25" s="233" t="str">
        <f>+'G1NDMD BOST'!C20</f>
        <v>RDAF</v>
      </c>
      <c r="D25" s="233"/>
      <c r="E25" s="242"/>
      <c r="F25" s="239"/>
      <c r="G25" s="236">
        <v>0</v>
      </c>
      <c r="H25" s="211"/>
      <c r="I25" s="210">
        <f>G25*$E$18</f>
        <v>0</v>
      </c>
      <c r="K25" s="210"/>
      <c r="L25" s="236">
        <v>-6.5773989014984496E-4</v>
      </c>
      <c r="M25" s="211"/>
      <c r="N25" s="210">
        <f>L25*$E$18</f>
        <v>-172.21188486013014</v>
      </c>
    </row>
    <row r="26" spans="1:14" ht="14" x14ac:dyDescent="0.3">
      <c r="A26" s="151">
        <f>IF(B26&lt;&gt;"",COUNTA($B$13:B26),"")</f>
        <v>12</v>
      </c>
      <c r="B26" s="207" t="str">
        <f>+'G1NDMD BOST'!B21</f>
        <v>Residential Assistance Adjustment Factor</v>
      </c>
      <c r="C26" s="233" t="str">
        <f>+'G1NDMD BOST'!C21</f>
        <v>RAAF</v>
      </c>
      <c r="D26" s="243"/>
      <c r="E26" s="206"/>
      <c r="F26" s="239"/>
      <c r="G26" s="236">
        <f>HLOOKUP(($C26&amp;"C"),'Exh 7_Recon Rates p1-2'!$J$6:$CC$34,'Exh 7_Recon Rates p1-2'!$D$15,FALSE)</f>
        <v>4.0699999999999998E-3</v>
      </c>
      <c r="H26" s="211"/>
      <c r="I26" s="210">
        <f t="shared" ref="I26:I39" si="2">G26*$E$18</f>
        <v>1065.6224168205024</v>
      </c>
      <c r="K26" s="210"/>
      <c r="L26" s="236">
        <v>5.5567634866043316E-3</v>
      </c>
      <c r="M26" s="211"/>
      <c r="N26" s="210">
        <f t="shared" ref="N26:N39" si="3">L26*$E$18</f>
        <v>1454.8923185000565</v>
      </c>
    </row>
    <row r="27" spans="1:14" ht="14" x14ac:dyDescent="0.3">
      <c r="A27" s="151">
        <f>IF(B27&lt;&gt;"",COUNTA($B$13:B27),"")</f>
        <v>13</v>
      </c>
      <c r="B27" s="207" t="str">
        <f>+'G1NDMD BOST'!B22</f>
        <v>Pension Adjustment Factor</v>
      </c>
      <c r="C27" s="233" t="str">
        <f>+'G1NDMD BOST'!C22</f>
        <v>PAF</v>
      </c>
      <c r="D27" s="243"/>
      <c r="E27" s="206"/>
      <c r="F27" s="239"/>
      <c r="G27" s="236">
        <f>HLOOKUP(($C27&amp;"C"),'Exh 7_Recon Rates p1-2'!$J$6:$CC$34,'Exh 7_Recon Rates p1-2'!$D$15,FALSE)</f>
        <v>-1.1E-4</v>
      </c>
      <c r="H27" s="211"/>
      <c r="I27" s="210">
        <f t="shared" si="2"/>
        <v>-28.800605860013583</v>
      </c>
      <c r="K27" s="210"/>
      <c r="L27" s="236">
        <v>9.6711573714566921E-4</v>
      </c>
      <c r="M27" s="211"/>
      <c r="N27" s="210">
        <f t="shared" si="3"/>
        <v>253.21381060499013</v>
      </c>
    </row>
    <row r="28" spans="1:14" ht="14" x14ac:dyDescent="0.3">
      <c r="A28" s="151">
        <f>IF(B28&lt;&gt;"",COUNTA($B$13:B28),"")</f>
        <v>14</v>
      </c>
      <c r="B28" s="207" t="str">
        <f>+'G1NDMD BOST'!B23</f>
        <v>Net Metering Recovery Surcharge</v>
      </c>
      <c r="C28" s="233" t="str">
        <f>+'G1NDMD BOST'!C23</f>
        <v>NMRS</v>
      </c>
      <c r="D28" s="243"/>
      <c r="E28" s="206"/>
      <c r="F28" s="239"/>
      <c r="G28" s="236">
        <f>HLOOKUP(($C28&amp;"C"),'Exh 7_Recon Rates p1-2'!$J$6:$CC$34,'Exh 7_Recon Rates p1-2'!$D$15,FALSE)</f>
        <v>8.0300000000000007E-3</v>
      </c>
      <c r="H28" s="211"/>
      <c r="I28" s="210">
        <f t="shared" si="2"/>
        <v>2102.4442277809917</v>
      </c>
      <c r="K28" s="210"/>
      <c r="L28" s="236">
        <v>7.2455738567738549E-3</v>
      </c>
      <c r="M28" s="211"/>
      <c r="N28" s="210">
        <f t="shared" si="3"/>
        <v>1897.0628807142027</v>
      </c>
    </row>
    <row r="29" spans="1:14" ht="14" x14ac:dyDescent="0.3">
      <c r="A29" s="151">
        <f>IF(B29&lt;&gt;"",COUNTA($B$13:B29),"")</f>
        <v>15</v>
      </c>
      <c r="B29" s="207" t="str">
        <f>+'G1NDMD BOST'!B24</f>
        <v>Long Term Renewable Contract Adjustment</v>
      </c>
      <c r="C29" s="233" t="str">
        <f>+'G1NDMD BOST'!C24</f>
        <v>LTRCA</v>
      </c>
      <c r="D29" s="243"/>
      <c r="E29" s="206"/>
      <c r="F29" s="239"/>
      <c r="G29" s="236">
        <f>HLOOKUP(($C29&amp;"C"),'Exh 7_Recon Rates p1-2'!$J$6:$CC$34,'Exh 7_Recon Rates p1-2'!$D$15,FALSE)</f>
        <v>2.3600000000000001E-3</v>
      </c>
      <c r="H29" s="211"/>
      <c r="I29" s="210">
        <f t="shared" si="2"/>
        <v>617.90390754210955</v>
      </c>
      <c r="K29" s="210"/>
      <c r="L29" s="236">
        <v>1.7357128782064517E-3</v>
      </c>
      <c r="M29" s="211"/>
      <c r="N29" s="210">
        <f t="shared" si="3"/>
        <v>454.45074992157976</v>
      </c>
    </row>
    <row r="30" spans="1:14" ht="14" x14ac:dyDescent="0.3">
      <c r="A30" s="151">
        <f>IF(B30&lt;&gt;"",COUNTA($B$13:B30),"")</f>
        <v>16</v>
      </c>
      <c r="B30" s="207" t="str">
        <f>+'G1NDMD BOST'!B25</f>
        <v>AG Consulting Expense</v>
      </c>
      <c r="C30" s="233" t="str">
        <f>+'G1NDMD BOST'!C25</f>
        <v>AGCE</v>
      </c>
      <c r="D30" s="243"/>
      <c r="E30" s="206"/>
      <c r="F30" s="239"/>
      <c r="G30" s="236">
        <f>HLOOKUP(($C30&amp;"C"),'Exh 7_Recon Rates p1-2'!$J$6:$CC$34,'Exh 7_Recon Rates p1-2'!$D$15,FALSE)</f>
        <v>4.0000000000000003E-5</v>
      </c>
      <c r="H30" s="211"/>
      <c r="I30" s="210">
        <f t="shared" si="2"/>
        <v>10.472947585459485</v>
      </c>
      <c r="K30" s="210"/>
      <c r="L30" s="236">
        <v>1.166713047491593E-5</v>
      </c>
      <c r="M30" s="211"/>
      <c r="N30" s="210">
        <f t="shared" si="3"/>
        <v>3.0547311484127886</v>
      </c>
    </row>
    <row r="31" spans="1:14" ht="14" x14ac:dyDescent="0.3">
      <c r="A31" s="151">
        <f>IF(B31&lt;&gt;"",COUNTA($B$13:B31),"")</f>
        <v>17</v>
      </c>
      <c r="B31" s="207" t="str">
        <f>+'G1NDMD BOST'!B26</f>
        <v>Storm Cost Recovery Adjustment Factor</v>
      </c>
      <c r="C31" s="233" t="str">
        <f>+'G1NDMD BOST'!C26</f>
        <v>SCRA</v>
      </c>
      <c r="D31" s="243"/>
      <c r="E31" s="206"/>
      <c r="F31" s="239"/>
      <c r="G31" s="236">
        <f>HLOOKUP(($C31&amp;"C"),'Exh 7_Recon Rates p1-2'!$J$6:$CC$34,'Exh 7_Recon Rates p1-2'!$D$15,FALSE)</f>
        <v>2.5100000000000001E-3</v>
      </c>
      <c r="H31" s="211"/>
      <c r="I31" s="210">
        <f t="shared" si="2"/>
        <v>657.17746098758266</v>
      </c>
      <c r="K31" s="210"/>
      <c r="L31" s="236">
        <v>4.2117864593232222E-3</v>
      </c>
      <c r="M31" s="211"/>
      <c r="N31" s="210">
        <f t="shared" si="3"/>
        <v>1102.7454707410022</v>
      </c>
    </row>
    <row r="32" spans="1:14" ht="14" x14ac:dyDescent="0.3">
      <c r="A32" s="151">
        <f>IF(B32&lt;&gt;"",COUNTA($B$13:B32),"")</f>
        <v>18</v>
      </c>
      <c r="B32" s="207" t="str">
        <f>+'G1NDMD BOST'!B27</f>
        <v>Storm Reserve Adjustment</v>
      </c>
      <c r="C32" s="233" t="str">
        <f>+'G1NDMD BOST'!C27</f>
        <v>SRA</v>
      </c>
      <c r="D32" s="243"/>
      <c r="E32" s="206"/>
      <c r="F32" s="239"/>
      <c r="G32" s="236">
        <f>HLOOKUP(($C32&amp;"C"),'Exh 7_Recon Rates p1-2'!$J$6:$CC$34,'Exh 7_Recon Rates p1-2'!$D$15,FALSE)</f>
        <v>0</v>
      </c>
      <c r="H32" s="211"/>
      <c r="I32" s="210">
        <f t="shared" si="2"/>
        <v>0</v>
      </c>
      <c r="K32" s="210"/>
      <c r="L32" s="236">
        <v>0</v>
      </c>
      <c r="M32" s="211"/>
      <c r="N32" s="210">
        <f t="shared" si="3"/>
        <v>0</v>
      </c>
    </row>
    <row r="33" spans="1:14" ht="14" x14ac:dyDescent="0.3">
      <c r="A33" s="151">
        <f>IF(B33&lt;&gt;"",COUNTA($B$13:B33),"")</f>
        <v>19</v>
      </c>
      <c r="B33" s="207" t="str">
        <f>+'G1NDMD BOST'!B28</f>
        <v>Basic Service Cost True Up Factor</v>
      </c>
      <c r="C33" s="233" t="str">
        <f>+'G1NDMD BOST'!C28</f>
        <v>BSTF</v>
      </c>
      <c r="D33" s="243"/>
      <c r="E33" s="206"/>
      <c r="F33" s="239"/>
      <c r="G33" s="236">
        <f>HLOOKUP(($C33&amp;"C"),'Exh 7_Recon Rates p1-2'!$J$6:$CC$34,'Exh 7_Recon Rates p1-2'!$D$15,FALSE)</f>
        <v>2.1700000000000001E-3</v>
      </c>
      <c r="H33" s="211"/>
      <c r="I33" s="210">
        <f t="shared" si="2"/>
        <v>568.15740651117699</v>
      </c>
      <c r="K33" s="210"/>
      <c r="L33" s="236">
        <v>-2.7574022080967562E-4</v>
      </c>
      <c r="M33" s="211"/>
      <c r="N33" s="210">
        <f t="shared" si="3"/>
        <v>-72.195321993568939</v>
      </c>
    </row>
    <row r="34" spans="1:14" ht="14" x14ac:dyDescent="0.3">
      <c r="A34" s="151">
        <f>IF(B34&lt;&gt;"",COUNTA($B$13:B34),"")</f>
        <v>20</v>
      </c>
      <c r="B34" s="207" t="str">
        <f>+'G1NDMD BOST'!B29</f>
        <v>Solar Program Cost Adjustment Factor</v>
      </c>
      <c r="C34" s="233" t="str">
        <f>+'G1NDMD BOST'!C29</f>
        <v>SPCA</v>
      </c>
      <c r="D34" s="233"/>
      <c r="E34" s="206"/>
      <c r="F34" s="239"/>
      <c r="G34" s="236">
        <f>HLOOKUP(($C34&amp;"C"),'Exh 7_Recon Rates p1-2'!$J$6:$CC$34,'Exh 7_Recon Rates p1-2'!$D$15,FALSE)</f>
        <v>0</v>
      </c>
      <c r="H34" s="211"/>
      <c r="I34" s="210">
        <f t="shared" si="2"/>
        <v>0</v>
      </c>
      <c r="K34" s="210"/>
      <c r="L34" s="236">
        <v>4.9071975383342255E-5</v>
      </c>
      <c r="M34" s="211"/>
      <c r="N34" s="210">
        <f t="shared" si="3"/>
        <v>12.848205652617539</v>
      </c>
    </row>
    <row r="35" spans="1:14" ht="14" x14ac:dyDescent="0.3">
      <c r="A35" s="151">
        <f>IF(B35&lt;&gt;"",COUNTA($B$13:B35),"")</f>
        <v>21</v>
      </c>
      <c r="B35" s="207" t="str">
        <f>+'G1NDMD BOST'!B30</f>
        <v>Solar Expansion Cost Recovery Factor</v>
      </c>
      <c r="C35" s="233" t="str">
        <f>+'G1NDMD BOST'!C30</f>
        <v>SECRF</v>
      </c>
      <c r="D35" s="233"/>
      <c r="E35" s="206"/>
      <c r="F35" s="239"/>
      <c r="G35" s="236">
        <f>HLOOKUP(($C35&amp;"C"),'Exh 7_Recon Rates p1-2'!$J$6:$CC$34,'Exh 7_Recon Rates p1-2'!$D$15,FALSE)</f>
        <v>0</v>
      </c>
      <c r="H35" s="211"/>
      <c r="I35" s="210">
        <f t="shared" si="2"/>
        <v>0</v>
      </c>
      <c r="K35" s="210"/>
      <c r="L35" s="236">
        <v>8.6551738253377874E-4</v>
      </c>
      <c r="M35" s="211"/>
      <c r="N35" s="210">
        <f t="shared" si="3"/>
        <v>226.61295453950876</v>
      </c>
    </row>
    <row r="36" spans="1:14" ht="14" x14ac:dyDescent="0.3">
      <c r="A36" s="151">
        <f>IF(B36&lt;&gt;"",COUNTA($B$13:B36),"")</f>
        <v>22</v>
      </c>
      <c r="B36" s="207" t="str">
        <f>+'G1NDMD BOST'!B31</f>
        <v>Vegetation Management</v>
      </c>
      <c r="C36" s="233" t="str">
        <f>+'G1NDMD BOST'!C31</f>
        <v>RTWF</v>
      </c>
      <c r="D36" s="233"/>
      <c r="E36" s="206"/>
      <c r="F36" s="239"/>
      <c r="G36" s="236">
        <f>HLOOKUP(($C36&amp;"C"),'Exh 7_Recon Rates p1-2'!$J$6:$CC$34,'Exh 7_Recon Rates p1-2'!$D$15,FALSE)</f>
        <v>0</v>
      </c>
      <c r="H36" s="211"/>
      <c r="I36" s="210">
        <f t="shared" si="2"/>
        <v>0</v>
      </c>
      <c r="K36" s="210"/>
      <c r="L36" s="236">
        <v>1.7314640393667022E-3</v>
      </c>
      <c r="M36" s="211"/>
      <c r="N36" s="210">
        <f t="shared" si="3"/>
        <v>453.33830325988572</v>
      </c>
    </row>
    <row r="37" spans="1:14" ht="14" x14ac:dyDescent="0.3">
      <c r="A37" s="151">
        <f>IF(B37&lt;&gt;"",COUNTA($B$13:B37),"")</f>
        <v>23</v>
      </c>
      <c r="B37" s="207" t="str">
        <f>+'G1NDMD BOST'!B32</f>
        <v>Solar Massachusetts Renewable Target</v>
      </c>
      <c r="C37" s="233" t="str">
        <f>+'G1NDMD BOST'!C32</f>
        <v>SMART</v>
      </c>
      <c r="D37" s="233"/>
      <c r="E37" s="206"/>
      <c r="F37" s="239"/>
      <c r="G37" s="236">
        <f>HLOOKUP(($C37&amp;"C"),'Exh 7_Recon Rates p1-2'!$J$6:$CC$34,'Exh 7_Recon Rates p1-2'!$D$15,FALSE)</f>
        <v>0</v>
      </c>
      <c r="H37" s="211"/>
      <c r="I37" s="210">
        <f t="shared" si="2"/>
        <v>0</v>
      </c>
      <c r="K37" s="210"/>
      <c r="L37" s="236">
        <v>1.0140750703614848E-3</v>
      </c>
      <c r="M37" s="211"/>
      <c r="N37" s="210">
        <f t="shared" si="3"/>
        <v>265.5088764904242</v>
      </c>
    </row>
    <row r="38" spans="1:14" ht="14" x14ac:dyDescent="0.3">
      <c r="A38" s="151">
        <f>IF(B38&lt;&gt;"",COUNTA($B$13:B38),"")</f>
        <v>24</v>
      </c>
      <c r="B38" s="207" t="str">
        <f>+'G1NDMD BOST'!B33</f>
        <v>Tax Act Credit Factor</v>
      </c>
      <c r="C38" s="233" t="str">
        <f>+'G1NDMD BOST'!C33</f>
        <v>TACF</v>
      </c>
      <c r="D38" s="233"/>
      <c r="E38" s="206"/>
      <c r="F38" s="239"/>
      <c r="G38" s="236">
        <f>HLOOKUP(($C38&amp;"C"),'Exh 7_Recon Rates p1-2'!$J$6:$CC$34,'Exh 7_Recon Rates p1-2'!$D$15,FALSE)</f>
        <v>0</v>
      </c>
      <c r="H38" s="211"/>
      <c r="I38" s="210">
        <f t="shared" si="2"/>
        <v>0</v>
      </c>
      <c r="K38" s="210"/>
      <c r="L38" s="236">
        <v>-1.5351402468605643E-3</v>
      </c>
      <c r="M38" s="211"/>
      <c r="N38" s="210">
        <f t="shared" si="3"/>
        <v>-401.93608354250057</v>
      </c>
    </row>
    <row r="39" spans="1:14" ht="14" x14ac:dyDescent="0.3">
      <c r="A39" s="151">
        <f>IF(B39&lt;&gt;"",COUNTA($B$13:B39),"")</f>
        <v>25</v>
      </c>
      <c r="B39" s="207" t="str">
        <f>+'G1NDMD BOST'!B34</f>
        <v>Transition</v>
      </c>
      <c r="C39" s="233" t="str">
        <f>+'G1NDMD BOST'!C34</f>
        <v>TRNSN</v>
      </c>
      <c r="D39" s="233"/>
      <c r="E39" s="206"/>
      <c r="F39" s="239"/>
      <c r="G39" s="236">
        <v>-6.0999999999999997E-4</v>
      </c>
      <c r="H39" s="211"/>
      <c r="I39" s="210">
        <f t="shared" si="2"/>
        <v>-159.71245067825714</v>
      </c>
      <c r="K39" s="210"/>
      <c r="L39" s="236">
        <v>-5.210932140356871E-4</v>
      </c>
      <c r="M39" s="211"/>
      <c r="N39" s="210">
        <f t="shared" si="3"/>
        <v>-136.43454794335929</v>
      </c>
    </row>
    <row r="40" spans="1:14" ht="14" x14ac:dyDescent="0.3">
      <c r="A40" s="151">
        <f>IF(B40&lt;&gt;"",COUNTA($B$13:B40),"")</f>
        <v>26</v>
      </c>
      <c r="B40" s="207" t="s">
        <v>393</v>
      </c>
      <c r="C40" s="233" t="s">
        <v>316</v>
      </c>
      <c r="D40" s="233"/>
      <c r="E40" s="206"/>
      <c r="F40" s="239"/>
      <c r="G40" s="236">
        <v>7.8329999999999997E-2</v>
      </c>
      <c r="H40" s="211"/>
      <c r="I40" s="210">
        <f>G40*E14</f>
        <v>4341.344813049619</v>
      </c>
      <c r="K40" s="210"/>
      <c r="L40" s="281">
        <v>7.4611527869766853E-2</v>
      </c>
      <c r="M40" s="211"/>
      <c r="N40" s="210">
        <f>L40*E14</f>
        <v>4135.2530258026227</v>
      </c>
    </row>
    <row r="41" spans="1:14" ht="14" x14ac:dyDescent="0.3">
      <c r="A41" s="151">
        <f>IF(B41&lt;&gt;"",COUNTA($B$13:B41),"")</f>
        <v>27</v>
      </c>
      <c r="B41" s="207" t="s">
        <v>394</v>
      </c>
      <c r="C41" s="233" t="s">
        <v>316</v>
      </c>
      <c r="D41" s="233"/>
      <c r="E41" s="206"/>
      <c r="F41" s="239"/>
      <c r="G41" s="236">
        <v>0</v>
      </c>
      <c r="H41" s="211"/>
      <c r="I41" s="210">
        <f>G41*E15</f>
        <v>0</v>
      </c>
      <c r="K41" s="210"/>
      <c r="L41" s="281">
        <v>0</v>
      </c>
      <c r="M41" s="211"/>
      <c r="N41" s="210">
        <f>L41*E15</f>
        <v>0</v>
      </c>
    </row>
    <row r="42" spans="1:14" ht="14" x14ac:dyDescent="0.3">
      <c r="A42" s="151">
        <f>IF(B42&lt;&gt;"",COUNTA($B$13:B42),"")</f>
        <v>28</v>
      </c>
      <c r="B42" s="207" t="s">
        <v>395</v>
      </c>
      <c r="C42" s="233" t="s">
        <v>316</v>
      </c>
      <c r="D42" s="233"/>
      <c r="E42" s="206"/>
      <c r="F42" s="239"/>
      <c r="G42" s="236">
        <v>0.17133000000000001</v>
      </c>
      <c r="H42" s="211"/>
      <c r="I42" s="210">
        <f>G42*E16</f>
        <v>3985.5244206447032</v>
      </c>
      <c r="K42" s="210"/>
      <c r="L42" s="281">
        <v>7.8632152259239502E-2</v>
      </c>
      <c r="M42" s="211"/>
      <c r="N42" s="210">
        <f>L42*E16</f>
        <v>1829.1622195590476</v>
      </c>
    </row>
    <row r="43" spans="1:14" ht="14" x14ac:dyDescent="0.3">
      <c r="A43" s="151">
        <f>IF(B43&lt;&gt;"",COUNTA($B$13:B43),"")</f>
        <v>29</v>
      </c>
      <c r="B43" s="207" t="s">
        <v>396</v>
      </c>
      <c r="C43" s="233" t="s">
        <v>316</v>
      </c>
      <c r="D43" s="233"/>
      <c r="E43" s="206"/>
      <c r="F43" s="239"/>
      <c r="G43" s="236">
        <v>0</v>
      </c>
      <c r="H43" s="211"/>
      <c r="I43" s="210">
        <f>G43*E17</f>
        <v>0</v>
      </c>
      <c r="K43" s="210"/>
      <c r="L43" s="281">
        <v>0</v>
      </c>
      <c r="M43" s="211"/>
      <c r="N43" s="210">
        <f>L43*E17</f>
        <v>0</v>
      </c>
    </row>
    <row r="44" spans="1:14" ht="14" x14ac:dyDescent="0.3">
      <c r="A44" s="151">
        <f>IF(B44&lt;&gt;"",COUNTA($B$13:B44),"")</f>
        <v>30</v>
      </c>
      <c r="B44" s="207" t="str">
        <f>+'G1NDMD BOST'!B36</f>
        <v>Energy Efficiency Reconciliation Factor</v>
      </c>
      <c r="C44" s="233" t="str">
        <f>+'G1NDMD BOST'!C36</f>
        <v>EERF</v>
      </c>
      <c r="D44" s="233"/>
      <c r="E44" s="206"/>
      <c r="F44" s="239"/>
      <c r="G44" s="236">
        <v>8.4600000000000005E-3</v>
      </c>
      <c r="H44" s="211"/>
      <c r="I44" s="210">
        <f t="shared" ref="I44:I47" si="4">G44*$E$18</f>
        <v>2215.0284143246809</v>
      </c>
      <c r="K44" s="210"/>
      <c r="L44" s="281">
        <v>8.4600000000000005E-3</v>
      </c>
      <c r="M44" s="211"/>
      <c r="N44" s="210">
        <f t="shared" ref="N44:N47" si="5">L44*$E$18</f>
        <v>2215.0284143246809</v>
      </c>
    </row>
    <row r="45" spans="1:14" ht="14" x14ac:dyDescent="0.3">
      <c r="A45" s="151">
        <f>IF(B45&lt;&gt;"",COUNTA($B$13:B45),"")</f>
        <v>31</v>
      </c>
      <c r="B45" s="207" t="str">
        <f>+'G1NDMD BOST'!B37</f>
        <v>System Benefits Charge</v>
      </c>
      <c r="C45" s="233" t="str">
        <f>+'G1NDMD BOST'!C37</f>
        <v>SBC</v>
      </c>
      <c r="D45" s="233"/>
      <c r="E45" s="206"/>
      <c r="F45" s="239"/>
      <c r="G45" s="236">
        <v>2.5000000000000001E-3</v>
      </c>
      <c r="H45" s="211"/>
      <c r="I45" s="210">
        <f t="shared" si="4"/>
        <v>654.55922409121774</v>
      </c>
      <c r="K45" s="210"/>
      <c r="L45" s="281">
        <f>+G45</f>
        <v>2.5000000000000001E-3</v>
      </c>
      <c r="M45" s="211"/>
      <c r="N45" s="210">
        <f t="shared" si="5"/>
        <v>654.55922409121774</v>
      </c>
    </row>
    <row r="46" spans="1:14" ht="14" x14ac:dyDescent="0.3">
      <c r="A46" s="151">
        <f>IF(B46&lt;&gt;"",COUNTA($B$13:B46),"")</f>
        <v>32</v>
      </c>
      <c r="B46" s="207" t="str">
        <f>+'G1NDMD BOST'!B38</f>
        <v>Renewable Energy Charge</v>
      </c>
      <c r="C46" s="233" t="str">
        <f>+'G1NDMD BOST'!C38</f>
        <v>RNEW</v>
      </c>
      <c r="D46" s="233"/>
      <c r="E46" s="206"/>
      <c r="F46" s="239"/>
      <c r="G46" s="236">
        <v>5.0000000000000001E-4</v>
      </c>
      <c r="H46" s="211"/>
      <c r="I46" s="210">
        <f t="shared" si="4"/>
        <v>130.91184481824357</v>
      </c>
      <c r="K46" s="210"/>
      <c r="L46" s="281">
        <f>+G46</f>
        <v>5.0000000000000001E-4</v>
      </c>
      <c r="M46" s="211"/>
      <c r="N46" s="210">
        <f t="shared" si="5"/>
        <v>130.91184481824357</v>
      </c>
    </row>
    <row r="47" spans="1:14" ht="14" x14ac:dyDescent="0.3">
      <c r="A47" s="151">
        <f>IF(B47&lt;&gt;"",COUNTA($B$13:B47),"")</f>
        <v>33</v>
      </c>
      <c r="B47" s="207" t="str">
        <f>+'G1NDMD BOST'!B39</f>
        <v>Basic Service Charge</v>
      </c>
      <c r="C47" s="233" t="str">
        <f>+'G1NDMD BOST'!C39</f>
        <v>BS</v>
      </c>
      <c r="D47" s="233"/>
      <c r="E47" s="206"/>
      <c r="F47" s="239"/>
      <c r="G47" s="236">
        <v>0.11403000000000001</v>
      </c>
      <c r="H47" s="211"/>
      <c r="I47" s="237">
        <f t="shared" si="4"/>
        <v>29855.755329248626</v>
      </c>
      <c r="K47" s="210"/>
      <c r="L47" s="281">
        <v>0.13185000000000002</v>
      </c>
      <c r="M47" s="211"/>
      <c r="N47" s="237">
        <f t="shared" si="5"/>
        <v>34521.453478570831</v>
      </c>
    </row>
    <row r="48" spans="1:14" ht="14" x14ac:dyDescent="0.3">
      <c r="A48" s="151" t="str">
        <f>IF(B48&lt;&gt;"",COUNTA($B$13:B48),"")</f>
        <v/>
      </c>
      <c r="B48" s="207"/>
      <c r="E48" s="206"/>
      <c r="F48" s="239"/>
      <c r="G48" s="241"/>
      <c r="H48" s="211"/>
      <c r="I48" s="244"/>
      <c r="K48" s="210"/>
      <c r="L48" s="241"/>
      <c r="M48" s="211"/>
      <c r="N48" s="244"/>
    </row>
    <row r="49" spans="1:14" ht="14" x14ac:dyDescent="0.3">
      <c r="A49" s="151">
        <f>IF(B49&lt;&gt;"",COUNTA($B$13:B49),"")</f>
        <v>34</v>
      </c>
      <c r="B49" s="188" t="s">
        <v>46</v>
      </c>
      <c r="E49" s="188"/>
      <c r="G49" s="245" t="s">
        <v>324</v>
      </c>
      <c r="H49" s="246"/>
      <c r="I49" s="154">
        <f>SUM(I19:I48)</f>
        <v>63496.9298655475</v>
      </c>
      <c r="K49" s="247"/>
      <c r="L49" s="245"/>
      <c r="N49" s="154">
        <f>SUM(N19:N48)</f>
        <v>66840.615787101371</v>
      </c>
    </row>
    <row r="50" spans="1:14" ht="14" x14ac:dyDescent="0.3">
      <c r="A50" s="151" t="str">
        <f>IF(B50&lt;&gt;"",COUNTA($B$13:B50),"")</f>
        <v/>
      </c>
      <c r="E50" s="188"/>
      <c r="H50" s="188"/>
      <c r="I50" s="154"/>
      <c r="K50" s="265"/>
      <c r="L50" s="278"/>
      <c r="N50" s="265"/>
    </row>
    <row r="51" spans="1:14" ht="14" x14ac:dyDescent="0.3">
      <c r="A51" s="151">
        <f>IF(B51&lt;&gt;"",COUNTA($B$13:B51),"")</f>
        <v>35</v>
      </c>
      <c r="B51" s="188" t="s">
        <v>46</v>
      </c>
      <c r="E51" s="188"/>
      <c r="G51" s="188"/>
      <c r="H51" s="188"/>
      <c r="I51" s="188"/>
      <c r="J51" s="188"/>
      <c r="L51" s="248" t="s">
        <v>325</v>
      </c>
      <c r="N51" s="160">
        <f>+N49/I49-1</f>
        <v>5.2659017193965152E-2</v>
      </c>
    </row>
    <row r="52" spans="1:14" ht="14" x14ac:dyDescent="0.3">
      <c r="A52" s="151" t="str">
        <f>IF(B52&lt;&gt;"",COUNTA($B$13:B52),"")</f>
        <v/>
      </c>
      <c r="E52" s="188"/>
      <c r="G52" s="188"/>
      <c r="H52" s="188"/>
      <c r="I52" s="188"/>
      <c r="J52" s="188"/>
      <c r="L52" s="248"/>
      <c r="N52" s="160"/>
    </row>
    <row r="53" spans="1:14" ht="14" x14ac:dyDescent="0.3">
      <c r="A53" s="151" t="str">
        <f>IF(B53&lt;&gt;"",COUNTA($B$13:B53),"")</f>
        <v/>
      </c>
      <c r="E53" s="188"/>
      <c r="G53" s="186"/>
      <c r="H53" s="188"/>
      <c r="I53" s="188"/>
      <c r="L53" s="248"/>
      <c r="N53" s="160"/>
    </row>
    <row r="54" spans="1:14" ht="14.5" thickBot="1" x14ac:dyDescent="0.35">
      <c r="A54" s="151">
        <f>IF(B54&lt;&gt;"",COUNTA($B$13:B54),"")</f>
        <v>36</v>
      </c>
      <c r="B54" s="188" t="s">
        <v>46</v>
      </c>
      <c r="E54" s="279" t="s">
        <v>326</v>
      </c>
      <c r="F54" s="135"/>
      <c r="G54" s="280"/>
      <c r="I54" s="279" t="s">
        <v>327</v>
      </c>
      <c r="J54" s="135"/>
      <c r="L54" s="279" t="s">
        <v>328</v>
      </c>
      <c r="M54" s="135"/>
      <c r="N54" s="137"/>
    </row>
    <row r="55" spans="1:14" ht="14" x14ac:dyDescent="0.3">
      <c r="A55" s="151">
        <f>IF(B55&lt;&gt;"",COUNTA($B$13:B55),"")</f>
        <v>37</v>
      </c>
      <c r="B55" s="144" t="s">
        <v>329</v>
      </c>
      <c r="C55" s="144"/>
      <c r="D55" s="144"/>
      <c r="E55" s="249" t="s">
        <v>148</v>
      </c>
      <c r="F55" s="250"/>
      <c r="G55" s="251" t="s">
        <v>330</v>
      </c>
      <c r="I55" s="249" t="s">
        <v>148</v>
      </c>
      <c r="J55" s="251" t="s">
        <v>330</v>
      </c>
      <c r="K55" s="212"/>
      <c r="L55" s="249" t="s">
        <v>148</v>
      </c>
      <c r="M55" s="252"/>
      <c r="N55" s="251" t="s">
        <v>330</v>
      </c>
    </row>
    <row r="56" spans="1:14" ht="14" x14ac:dyDescent="0.3">
      <c r="A56" s="151">
        <f>IF(B56&lt;&gt;"",COUNTA($B$13:B56),"")</f>
        <v>38</v>
      </c>
      <c r="B56" s="130" t="str">
        <f>+'G1NDMD BOST'!B48</f>
        <v>Distribution</v>
      </c>
      <c r="C56" s="253" t="str">
        <f>+'G1NDMD BOST'!C48</f>
        <v>DIST</v>
      </c>
      <c r="D56" s="253"/>
      <c r="E56" s="154">
        <f t="shared" ref="E56:E71" si="6">SUMIF($C$13:$C$47,$C56,$I$13:$I$47)</f>
        <v>17480.540508680864</v>
      </c>
      <c r="G56" s="254">
        <f>+E56/$E$18*100</f>
        <v>6.6764548818904199</v>
      </c>
      <c r="I56" s="154">
        <f t="shared" ref="I56:I71" si="7">SUMIF($C$13:$C$47,$C56,$N$13:$N$47)</f>
        <v>18013.2971167016</v>
      </c>
      <c r="J56" s="254">
        <f>+I56/$E$18*100</f>
        <v>6.8799340280136789</v>
      </c>
      <c r="L56" s="154">
        <f t="shared" ref="L56:L76" si="8">I56-E56</f>
        <v>532.75660802073617</v>
      </c>
      <c r="N56" s="254">
        <f>+L56/$E$14*100</f>
        <v>0.96124189400542104</v>
      </c>
    </row>
    <row r="57" spans="1:14" ht="14" x14ac:dyDescent="0.3">
      <c r="A57" s="151">
        <f>IF(B57&lt;&gt;"",COUNTA($B$13:B57),"")</f>
        <v>39</v>
      </c>
      <c r="B57" s="130" t="str">
        <f>+'G1NDMD BOST'!B49</f>
        <v>Revenue Decoupling</v>
      </c>
      <c r="C57" s="253" t="str">
        <f>+'G1NDMD BOST'!C49</f>
        <v>RDAF</v>
      </c>
      <c r="D57" s="253"/>
      <c r="E57" s="154">
        <f t="shared" si="6"/>
        <v>0</v>
      </c>
      <c r="G57" s="254">
        <f t="shared" ref="G57:G77" si="9">+E57/$E$18*100</f>
        <v>0</v>
      </c>
      <c r="I57" s="154">
        <f t="shared" si="7"/>
        <v>-172.21188486013014</v>
      </c>
      <c r="J57" s="254">
        <f t="shared" ref="J57:J77" si="10">+I57/$E$18*100</f>
        <v>-6.5773989014984491E-2</v>
      </c>
      <c r="L57" s="154">
        <f>I57-E57</f>
        <v>-172.21188486013014</v>
      </c>
      <c r="N57" s="254">
        <f t="shared" ref="N57:N77" si="11">+L57/$E$14*100</f>
        <v>-0.31071839538168972</v>
      </c>
    </row>
    <row r="58" spans="1:14" ht="14" x14ac:dyDescent="0.3">
      <c r="A58" s="151">
        <f>IF(B58&lt;&gt;"",COUNTA($B$13:B58),"")</f>
        <v>40</v>
      </c>
      <c r="B58" s="130" t="str">
        <f>+'G1NDMD BOST'!B50</f>
        <v>Residential Assistance Adjustment Factor</v>
      </c>
      <c r="C58" s="253" t="str">
        <f>+'G1NDMD BOST'!C50</f>
        <v>RAAF</v>
      </c>
      <c r="D58" s="253"/>
      <c r="E58" s="154">
        <f t="shared" si="6"/>
        <v>1065.6224168205024</v>
      </c>
      <c r="G58" s="254">
        <f t="shared" si="9"/>
        <v>0.40699999999999997</v>
      </c>
      <c r="I58" s="154">
        <f t="shared" si="7"/>
        <v>1454.8923185000565</v>
      </c>
      <c r="J58" s="254">
        <f t="shared" si="10"/>
        <v>0.55567634866043314</v>
      </c>
      <c r="L58" s="154">
        <f t="shared" si="8"/>
        <v>389.2699016795541</v>
      </c>
      <c r="N58" s="254">
        <f t="shared" si="11"/>
        <v>0.70235175300762209</v>
      </c>
    </row>
    <row r="59" spans="1:14" ht="14" x14ac:dyDescent="0.3">
      <c r="A59" s="151">
        <f>IF(B59&lt;&gt;"",COUNTA($B$13:B59),"")</f>
        <v>41</v>
      </c>
      <c r="B59" s="130" t="str">
        <f>+'G1NDMD BOST'!B51</f>
        <v>Pension Adjustment Factor</v>
      </c>
      <c r="C59" s="253" t="str">
        <f>+'G1NDMD BOST'!C51</f>
        <v>PAF</v>
      </c>
      <c r="D59" s="253"/>
      <c r="E59" s="154">
        <f t="shared" si="6"/>
        <v>-28.800605860013583</v>
      </c>
      <c r="G59" s="254">
        <f t="shared" si="9"/>
        <v>-1.1000000000000001E-2</v>
      </c>
      <c r="I59" s="154">
        <f t="shared" si="7"/>
        <v>253.21381060499013</v>
      </c>
      <c r="J59" s="254">
        <f t="shared" si="10"/>
        <v>9.6711573714566915E-2</v>
      </c>
      <c r="L59" s="154">
        <f t="shared" si="8"/>
        <v>282.01441646500371</v>
      </c>
      <c r="N59" s="254">
        <f t="shared" si="11"/>
        <v>0.5088328661502074</v>
      </c>
    </row>
    <row r="60" spans="1:14" ht="14" x14ac:dyDescent="0.3">
      <c r="A60" s="151">
        <f>IF(B60&lt;&gt;"",COUNTA($B$13:B60),"")</f>
        <v>42</v>
      </c>
      <c r="B60" s="130" t="str">
        <f>+'G1NDMD BOST'!B52</f>
        <v>Net Metering Recovery Surcharge</v>
      </c>
      <c r="C60" s="253" t="str">
        <f>+'G1NDMD BOST'!C52</f>
        <v>NMRS</v>
      </c>
      <c r="D60" s="253"/>
      <c r="E60" s="154">
        <f t="shared" si="6"/>
        <v>2102.4442277809917</v>
      </c>
      <c r="G60" s="254">
        <f t="shared" si="9"/>
        <v>0.80300000000000005</v>
      </c>
      <c r="I60" s="154">
        <f t="shared" si="7"/>
        <v>1897.0628807142027</v>
      </c>
      <c r="J60" s="254">
        <f t="shared" si="10"/>
        <v>0.72455738567738548</v>
      </c>
      <c r="L60" s="154">
        <f t="shared" si="8"/>
        <v>-205.38134706678898</v>
      </c>
      <c r="N60" s="254">
        <f t="shared" si="11"/>
        <v>-0.37056538027995867</v>
      </c>
    </row>
    <row r="61" spans="1:14" ht="14" x14ac:dyDescent="0.3">
      <c r="A61" s="151">
        <f>IF(B61&lt;&gt;"",COUNTA($B$13:B61),"")</f>
        <v>43</v>
      </c>
      <c r="B61" s="130" t="str">
        <f>+'G1NDMD BOST'!B53</f>
        <v>Long Term Renewable Contract Adjustment</v>
      </c>
      <c r="C61" s="253" t="str">
        <f>+'G1NDMD BOST'!C53</f>
        <v>LTRCA</v>
      </c>
      <c r="D61" s="253"/>
      <c r="E61" s="154">
        <f t="shared" si="6"/>
        <v>617.90390754210955</v>
      </c>
      <c r="G61" s="254">
        <f t="shared" si="9"/>
        <v>0.23600000000000002</v>
      </c>
      <c r="I61" s="154">
        <f t="shared" si="7"/>
        <v>454.45074992157976</v>
      </c>
      <c r="J61" s="254">
        <f t="shared" si="10"/>
        <v>0.17357128782064518</v>
      </c>
      <c r="L61" s="154">
        <f t="shared" si="8"/>
        <v>-163.45315762052979</v>
      </c>
      <c r="N61" s="254">
        <f t="shared" si="11"/>
        <v>-0.29491520226476342</v>
      </c>
    </row>
    <row r="62" spans="1:14" ht="14" x14ac:dyDescent="0.3">
      <c r="A62" s="151">
        <f>IF(B62&lt;&gt;"",COUNTA($B$13:B62),"")</f>
        <v>44</v>
      </c>
      <c r="B62" s="130" t="str">
        <f>+'G1NDMD BOST'!B54</f>
        <v>AG Consulting Expense</v>
      </c>
      <c r="C62" s="253" t="str">
        <f>+'G1NDMD BOST'!C54</f>
        <v>AGCE</v>
      </c>
      <c r="D62" s="253"/>
      <c r="E62" s="154">
        <f t="shared" si="6"/>
        <v>10.472947585459485</v>
      </c>
      <c r="G62" s="254">
        <f t="shared" si="9"/>
        <v>4.0000000000000001E-3</v>
      </c>
      <c r="I62" s="154">
        <f t="shared" si="7"/>
        <v>3.0547311484127886</v>
      </c>
      <c r="J62" s="254">
        <f t="shared" si="10"/>
        <v>1.1667130474915929E-3</v>
      </c>
      <c r="L62" s="154">
        <f t="shared" si="8"/>
        <v>-7.4182164370466968</v>
      </c>
      <c r="N62" s="254">
        <f t="shared" si="11"/>
        <v>-1.3384536786095328E-2</v>
      </c>
    </row>
    <row r="63" spans="1:14" ht="14" x14ac:dyDescent="0.3">
      <c r="A63" s="151">
        <f>IF(B63&lt;&gt;"",COUNTA($B$13:B63),"")</f>
        <v>45</v>
      </c>
      <c r="B63" s="130" t="str">
        <f>+'G1NDMD BOST'!B55</f>
        <v>Storm Cost Recovery Adjustment Factor</v>
      </c>
      <c r="C63" s="253" t="str">
        <f>+'G1NDMD BOST'!C55</f>
        <v>SCRA</v>
      </c>
      <c r="D63" s="253"/>
      <c r="E63" s="154">
        <f t="shared" si="6"/>
        <v>657.17746098758266</v>
      </c>
      <c r="G63" s="254">
        <f t="shared" si="9"/>
        <v>0.251</v>
      </c>
      <c r="I63" s="154">
        <f t="shared" si="7"/>
        <v>1102.7454707410022</v>
      </c>
      <c r="J63" s="254">
        <f t="shared" si="10"/>
        <v>0.42117864593232224</v>
      </c>
      <c r="L63" s="154">
        <f>I63-E63</f>
        <v>445.56800975341957</v>
      </c>
      <c r="N63" s="254">
        <f t="shared" si="11"/>
        <v>0.80392928244436257</v>
      </c>
    </row>
    <row r="64" spans="1:14" ht="14" x14ac:dyDescent="0.3">
      <c r="A64" s="151">
        <f>IF(B64&lt;&gt;"",COUNTA($B$13:B64),"")</f>
        <v>46</v>
      </c>
      <c r="B64" s="130" t="str">
        <f>+'G1NDMD BOST'!B56</f>
        <v>Storm Reserve Adjustment</v>
      </c>
      <c r="C64" s="253" t="str">
        <f>+'G1NDMD BOST'!C56</f>
        <v>SRA</v>
      </c>
      <c r="D64" s="253"/>
      <c r="E64" s="154">
        <f t="shared" si="6"/>
        <v>0</v>
      </c>
      <c r="G64" s="254">
        <f t="shared" si="9"/>
        <v>0</v>
      </c>
      <c r="I64" s="154">
        <f t="shared" si="7"/>
        <v>0</v>
      </c>
      <c r="J64" s="254">
        <f t="shared" si="10"/>
        <v>0</v>
      </c>
      <c r="L64" s="154">
        <f>I64-E64</f>
        <v>0</v>
      </c>
      <c r="N64" s="254">
        <f t="shared" si="11"/>
        <v>0</v>
      </c>
    </row>
    <row r="65" spans="1:14" ht="14" x14ac:dyDescent="0.3">
      <c r="A65" s="151">
        <f>IF(B65&lt;&gt;"",COUNTA($B$13:B65),"")</f>
        <v>47</v>
      </c>
      <c r="B65" s="130" t="str">
        <f>+'G1NDMD BOST'!B57</f>
        <v>Basic Service Cost True Up Factor</v>
      </c>
      <c r="C65" s="253" t="str">
        <f>+'G1NDMD BOST'!C57</f>
        <v>BSTF</v>
      </c>
      <c r="D65" s="253"/>
      <c r="E65" s="154">
        <f t="shared" si="6"/>
        <v>568.15740651117699</v>
      </c>
      <c r="G65" s="254">
        <f t="shared" si="9"/>
        <v>0.217</v>
      </c>
      <c r="I65" s="154">
        <f t="shared" si="7"/>
        <v>-72.195321993568939</v>
      </c>
      <c r="J65" s="254">
        <f t="shared" si="10"/>
        <v>-2.7574022080967563E-2</v>
      </c>
      <c r="L65" s="154">
        <f t="shared" ref="L65:L71" si="12">I65-E65</f>
        <v>-640.35272850474598</v>
      </c>
      <c r="N65" s="254">
        <f t="shared" si="11"/>
        <v>-1.1553753821397617</v>
      </c>
    </row>
    <row r="66" spans="1:14" ht="14" x14ac:dyDescent="0.3">
      <c r="A66" s="151">
        <f>IF(B66&lt;&gt;"",COUNTA($B$13:B66),"")</f>
        <v>48</v>
      </c>
      <c r="B66" s="130" t="str">
        <f>+'G1NDMD BOST'!B58</f>
        <v>Solar Program Cost Adjustment Factor</v>
      </c>
      <c r="C66" s="253" t="str">
        <f>+'G1NDMD BOST'!C58</f>
        <v>SPCA</v>
      </c>
      <c r="D66" s="253"/>
      <c r="E66" s="154">
        <f t="shared" si="6"/>
        <v>0</v>
      </c>
      <c r="G66" s="254">
        <f t="shared" si="9"/>
        <v>0</v>
      </c>
      <c r="I66" s="154">
        <f t="shared" si="7"/>
        <v>12.848205652617539</v>
      </c>
      <c r="J66" s="254">
        <f t="shared" si="10"/>
        <v>4.9071975383342256E-3</v>
      </c>
      <c r="L66" s="154">
        <f t="shared" si="12"/>
        <v>12.848205652617539</v>
      </c>
      <c r="N66" s="254">
        <f t="shared" si="11"/>
        <v>2.3181755702620096E-2</v>
      </c>
    </row>
    <row r="67" spans="1:14" ht="14" x14ac:dyDescent="0.3">
      <c r="A67" s="151">
        <f>IF(B67&lt;&gt;"",COUNTA($B$13:B67),"")</f>
        <v>49</v>
      </c>
      <c r="B67" s="130" t="str">
        <f>+'G1NDMD BOST'!B59</f>
        <v>Solar Expansion Cost Recovery Factor</v>
      </c>
      <c r="C67" s="253" t="str">
        <f>+'G1NDMD BOST'!C59</f>
        <v>SECRF</v>
      </c>
      <c r="D67" s="253"/>
      <c r="E67" s="154">
        <f t="shared" si="6"/>
        <v>0</v>
      </c>
      <c r="G67" s="254">
        <f t="shared" si="9"/>
        <v>0</v>
      </c>
      <c r="I67" s="154">
        <f t="shared" si="7"/>
        <v>226.61295453950876</v>
      </c>
      <c r="J67" s="254">
        <f t="shared" si="10"/>
        <v>8.6551738253377877E-2</v>
      </c>
      <c r="L67" s="154">
        <f t="shared" si="12"/>
        <v>226.61295453950876</v>
      </c>
      <c r="N67" s="254">
        <f t="shared" si="11"/>
        <v>0.40887313709160661</v>
      </c>
    </row>
    <row r="68" spans="1:14" ht="14" x14ac:dyDescent="0.3">
      <c r="A68" s="151">
        <f>IF(B68&lt;&gt;"",COUNTA($B$13:B68),"")</f>
        <v>50</v>
      </c>
      <c r="B68" s="130" t="str">
        <f>+'G1NDMD BOST'!B60</f>
        <v>Vegetation Management</v>
      </c>
      <c r="C68" s="253" t="str">
        <f>+'G1NDMD BOST'!C60</f>
        <v>RTWF</v>
      </c>
      <c r="D68" s="253"/>
      <c r="E68" s="154">
        <f t="shared" si="6"/>
        <v>0</v>
      </c>
      <c r="G68" s="254">
        <f t="shared" si="9"/>
        <v>0</v>
      </c>
      <c r="I68" s="154">
        <f t="shared" si="7"/>
        <v>453.33830325988572</v>
      </c>
      <c r="J68" s="254">
        <f t="shared" si="10"/>
        <v>0.17314640393667022</v>
      </c>
      <c r="L68" s="154">
        <f t="shared" si="12"/>
        <v>453.33830325988572</v>
      </c>
      <c r="N68" s="254">
        <f t="shared" si="11"/>
        <v>0.81794906471394779</v>
      </c>
    </row>
    <row r="69" spans="1:14" ht="14" x14ac:dyDescent="0.3">
      <c r="A69" s="151">
        <f>IF(B69&lt;&gt;"",COUNTA($B$13:B69),"")</f>
        <v>51</v>
      </c>
      <c r="B69" s="130" t="str">
        <f>+'G1NDMD BOST'!B61</f>
        <v>Solar Massachusetts Renewable Target</v>
      </c>
      <c r="C69" s="253" t="str">
        <f>+'G1NDMD BOST'!C61</f>
        <v>SMART</v>
      </c>
      <c r="D69" s="253"/>
      <c r="E69" s="154">
        <f t="shared" si="6"/>
        <v>0</v>
      </c>
      <c r="G69" s="254">
        <f t="shared" si="9"/>
        <v>0</v>
      </c>
      <c r="I69" s="154">
        <f t="shared" si="7"/>
        <v>265.5088764904242</v>
      </c>
      <c r="J69" s="254">
        <f t="shared" si="10"/>
        <v>0.10140750703614848</v>
      </c>
      <c r="L69" s="154">
        <f t="shared" si="12"/>
        <v>265.5088764904242</v>
      </c>
      <c r="N69" s="254">
        <f t="shared" si="11"/>
        <v>0.47905225664131612</v>
      </c>
    </row>
    <row r="70" spans="1:14" ht="14" x14ac:dyDescent="0.3">
      <c r="A70" s="151">
        <f>IF(B70&lt;&gt;"",COUNTA($B$13:B70),"")</f>
        <v>52</v>
      </c>
      <c r="B70" s="130" t="str">
        <f>+'G1NDMD BOST'!B62</f>
        <v>Tax Act Credit Factor</v>
      </c>
      <c r="C70" s="253" t="str">
        <f>+'G1NDMD BOST'!C62</f>
        <v>TACF</v>
      </c>
      <c r="D70" s="253"/>
      <c r="E70" s="154">
        <f t="shared" si="6"/>
        <v>0</v>
      </c>
      <c r="G70" s="254">
        <f t="shared" si="9"/>
        <v>0</v>
      </c>
      <c r="I70" s="154">
        <f t="shared" si="7"/>
        <v>-401.93608354250057</v>
      </c>
      <c r="J70" s="254">
        <f t="shared" si="10"/>
        <v>-0.15351402468605643</v>
      </c>
      <c r="L70" s="154">
        <f t="shared" si="12"/>
        <v>-401.93608354250057</v>
      </c>
      <c r="N70" s="254">
        <f t="shared" si="11"/>
        <v>-0.72520508689490792</v>
      </c>
    </row>
    <row r="71" spans="1:14" ht="14" x14ac:dyDescent="0.3">
      <c r="A71" s="151">
        <f>IF(B71&lt;&gt;"",COUNTA($B$13:B71),"")</f>
        <v>53</v>
      </c>
      <c r="B71" s="130" t="str">
        <f>+'G1NDMD BOST'!B63</f>
        <v>Transition</v>
      </c>
      <c r="C71" s="253" t="str">
        <f>+'G1NDMD BOST'!C63</f>
        <v>TRNSN</v>
      </c>
      <c r="D71" s="253"/>
      <c r="E71" s="154">
        <f t="shared" si="6"/>
        <v>-159.71245067825714</v>
      </c>
      <c r="G71" s="254">
        <f t="shared" si="9"/>
        <v>-6.0999999999999999E-2</v>
      </c>
      <c r="I71" s="154">
        <f t="shared" si="7"/>
        <v>-136.43454794335929</v>
      </c>
      <c r="J71" s="254">
        <f t="shared" si="10"/>
        <v>-5.2109321403568713E-2</v>
      </c>
      <c r="L71" s="154">
        <f t="shared" si="12"/>
        <v>23.27790273489785</v>
      </c>
      <c r="N71" s="254">
        <f t="shared" si="11"/>
        <v>4.1999845664037763E-2</v>
      </c>
    </row>
    <row r="72" spans="1:14" ht="14" x14ac:dyDescent="0.3">
      <c r="A72" s="151">
        <f>IF(B72&lt;&gt;"",COUNTA($B$13:B72),"")</f>
        <v>54</v>
      </c>
      <c r="B72" s="130" t="str">
        <f>+'G1NDMD BOST'!B64</f>
        <v>Transmission</v>
      </c>
      <c r="C72" s="253" t="str">
        <f>+'G1NDMD BOST'!C64</f>
        <v>TRNSM</v>
      </c>
      <c r="D72" s="253"/>
      <c r="E72" s="154">
        <f>SUM(SUMIF($C$13:$C$47,{"TMKW","TMKWH"},$I$13:$I$47))</f>
        <v>8326.8692336943222</v>
      </c>
      <c r="G72" s="254">
        <f t="shared" si="9"/>
        <v>3.1803345393441087</v>
      </c>
      <c r="I72" s="154">
        <f>SUM(SUMIF($C$13:$C$47,{"TMKW","TMKWH"},$N$13:$N$47))</f>
        <v>5964.4152453616698</v>
      </c>
      <c r="J72" s="254">
        <f t="shared" si="10"/>
        <v>2.2780273449062585</v>
      </c>
      <c r="L72" s="154">
        <f t="shared" si="8"/>
        <v>-2362.4539883326524</v>
      </c>
      <c r="N72" s="254">
        <f t="shared" si="11"/>
        <v>-4.2625276008911586</v>
      </c>
    </row>
    <row r="73" spans="1:14" ht="14" x14ac:dyDescent="0.3">
      <c r="A73" s="151">
        <f>IF(B73&lt;&gt;"",COUNTA($B$13:B73),"")</f>
        <v>55</v>
      </c>
      <c r="B73" s="130" t="str">
        <f>+'G1NDMD BOST'!B65</f>
        <v>Energy Efficiency Reconciliation Factor</v>
      </c>
      <c r="C73" s="253" t="str">
        <f>+'G1NDMD BOST'!C65</f>
        <v>EERF</v>
      </c>
      <c r="D73" s="253"/>
      <c r="E73" s="154">
        <f>SUMIF($C$13:$C$47,$C73,$I$13:$I$47)</f>
        <v>2215.0284143246809</v>
      </c>
      <c r="G73" s="254">
        <f t="shared" si="9"/>
        <v>0.84600000000000009</v>
      </c>
      <c r="I73" s="154">
        <f>SUMIF($C$13:$C$47,$C73,$N$13:$N$47)</f>
        <v>2215.0284143246809</v>
      </c>
      <c r="J73" s="254">
        <f t="shared" si="10"/>
        <v>0.84600000000000009</v>
      </c>
      <c r="L73" s="154">
        <f t="shared" si="8"/>
        <v>0</v>
      </c>
      <c r="N73" s="254">
        <f t="shared" si="11"/>
        <v>0</v>
      </c>
    </row>
    <row r="74" spans="1:14" ht="14" x14ac:dyDescent="0.3">
      <c r="A74" s="151">
        <f>IF(B74&lt;&gt;"",COUNTA($B$13:B74),"")</f>
        <v>56</v>
      </c>
      <c r="B74" s="130" t="str">
        <f>+'G1NDMD BOST'!B66</f>
        <v>System Benefits Charge</v>
      </c>
      <c r="C74" s="253" t="str">
        <f>+'G1NDMD BOST'!C66</f>
        <v>SBC</v>
      </c>
      <c r="D74" s="253"/>
      <c r="E74" s="154">
        <f>SUMIF($C$13:$C$47,$C74,$I$13:$I$47)</f>
        <v>654.55922409121774</v>
      </c>
      <c r="G74" s="254">
        <f t="shared" si="9"/>
        <v>0.25</v>
      </c>
      <c r="I74" s="154">
        <f>SUMIF($C$13:$C$47,$C74,$N$13:$N$47)</f>
        <v>654.55922409121774</v>
      </c>
      <c r="J74" s="254">
        <f t="shared" si="10"/>
        <v>0.25</v>
      </c>
      <c r="L74" s="154">
        <f t="shared" si="8"/>
        <v>0</v>
      </c>
      <c r="N74" s="254">
        <f t="shared" si="11"/>
        <v>0</v>
      </c>
    </row>
    <row r="75" spans="1:14" ht="14" x14ac:dyDescent="0.3">
      <c r="A75" s="151">
        <f>IF(B75&lt;&gt;"",COUNTA($B$13:B75),"")</f>
        <v>57</v>
      </c>
      <c r="B75" s="130" t="str">
        <f>+'G1NDMD BOST'!B67</f>
        <v>Renewable Energy Charge</v>
      </c>
      <c r="C75" s="253" t="str">
        <f>+'G1NDMD BOST'!C67</f>
        <v>RNEW</v>
      </c>
      <c r="D75" s="253"/>
      <c r="E75" s="154">
        <f>SUMIF($C$13:$C$47,$C75,$I$13:$I$47)</f>
        <v>130.91184481824357</v>
      </c>
      <c r="G75" s="254">
        <f t="shared" si="9"/>
        <v>0.05</v>
      </c>
      <c r="I75" s="154">
        <f>SUMIF($C$13:$C$47,$C75,$N$13:$N$47)</f>
        <v>130.91184481824357</v>
      </c>
      <c r="J75" s="254">
        <f t="shared" si="10"/>
        <v>0.05</v>
      </c>
      <c r="L75" s="154">
        <f>I75-E75</f>
        <v>0</v>
      </c>
      <c r="N75" s="254">
        <f t="shared" si="11"/>
        <v>0</v>
      </c>
    </row>
    <row r="76" spans="1:14" ht="14" x14ac:dyDescent="0.3">
      <c r="A76" s="151">
        <f>IF(B76&lt;&gt;"",COUNTA($B$13:B76),"")</f>
        <v>58</v>
      </c>
      <c r="B76" s="130" t="str">
        <f>+'G1NDMD BOST'!B68</f>
        <v>Basic Service Charge</v>
      </c>
      <c r="C76" s="253" t="str">
        <f>+'G1NDMD BOST'!C68</f>
        <v>BS</v>
      </c>
      <c r="D76" s="253"/>
      <c r="E76" s="255">
        <f>SUMIF($C$13:$C$47,$C76,$I$13:$I$47)</f>
        <v>29855.755329248626</v>
      </c>
      <c r="F76" s="256"/>
      <c r="G76" s="257">
        <f t="shared" si="9"/>
        <v>11.403</v>
      </c>
      <c r="H76" s="258"/>
      <c r="I76" s="255">
        <f>SUMIF($C$13:$C$47,$C76,$N$13:$N$47)</f>
        <v>34521.453478570831</v>
      </c>
      <c r="J76" s="257">
        <f t="shared" si="10"/>
        <v>13.185000000000002</v>
      </c>
      <c r="K76" s="255"/>
      <c r="L76" s="255">
        <f t="shared" si="8"/>
        <v>4665.6981493222047</v>
      </c>
      <c r="M76" s="259"/>
      <c r="N76" s="257">
        <f t="shared" si="11"/>
        <v>8.4182241165885312</v>
      </c>
    </row>
    <row r="77" spans="1:14" ht="14" x14ac:dyDescent="0.3">
      <c r="A77" s="151">
        <f>IF(B77&lt;&gt;"",COUNTA($B$13:B77),"")</f>
        <v>59</v>
      </c>
      <c r="B77" s="130" t="str">
        <f>+'G1NDMD BOST'!B69</f>
        <v>Total</v>
      </c>
      <c r="C77" s="130"/>
      <c r="D77" s="130"/>
      <c r="E77" s="154">
        <f>SUM(E56:E76)</f>
        <v>63496.9298655475</v>
      </c>
      <c r="G77" s="254">
        <f t="shared" si="9"/>
        <v>24.251789421234527</v>
      </c>
      <c r="I77" s="154">
        <f>SUM(I56:I76)</f>
        <v>66840.615787101371</v>
      </c>
      <c r="J77" s="254">
        <f t="shared" si="10"/>
        <v>25.528864817351739</v>
      </c>
      <c r="L77" s="154">
        <f>SUM(L56:L76)</f>
        <v>3343.685921553858</v>
      </c>
      <c r="N77" s="254">
        <f t="shared" si="11"/>
        <v>6.0329443873713382</v>
      </c>
    </row>
    <row r="78" spans="1:14" ht="14" x14ac:dyDescent="0.3">
      <c r="A78" s="151" t="str">
        <f>IF(B78&lt;&gt;"",COUNTA($B$10:B78),"")</f>
        <v/>
      </c>
    </row>
    <row r="79" spans="1:14" ht="14" x14ac:dyDescent="0.3">
      <c r="A79" s="151"/>
      <c r="B79" s="256" t="s">
        <v>164</v>
      </c>
      <c r="E79" s="188"/>
      <c r="G79" s="188"/>
      <c r="H79" s="188"/>
      <c r="I79" s="188"/>
      <c r="J79" s="188"/>
      <c r="K79" s="188"/>
      <c r="L79" s="188"/>
      <c r="M79" s="188"/>
      <c r="N79" s="188"/>
    </row>
    <row r="80" spans="1:14" ht="14" x14ac:dyDescent="0.3">
      <c r="A80" s="151"/>
      <c r="B80" s="130" t="str">
        <f>+'G1NDMD BOST'!B72</f>
        <v>Col. (a): Company's forecast</v>
      </c>
    </row>
    <row r="81" spans="1:2" ht="14" x14ac:dyDescent="0.3">
      <c r="A81" s="151"/>
      <c r="B81" s="130" t="str">
        <f>+'G1NDMD BOST'!B73</f>
        <v>Col. (b): Current rates</v>
      </c>
    </row>
    <row r="82" spans="1:2" ht="14" x14ac:dyDescent="0.3">
      <c r="A82" s="151"/>
      <c r="B82" s="130" t="str">
        <f>+'G1NDMD BOST'!B74</f>
        <v>Col. (c): Col. (a) x Col. (b)</v>
      </c>
    </row>
    <row r="83" spans="1:2" ht="14" x14ac:dyDescent="0.3">
      <c r="A83" s="151"/>
      <c r="B83" s="130" t="str">
        <f>+'G1NDMD BOST'!B75</f>
        <v>Col. (e): Proposed rates</v>
      </c>
    </row>
    <row r="84" spans="1:2" ht="14" x14ac:dyDescent="0.3">
      <c r="A84" s="151"/>
      <c r="B84" s="188" t="s">
        <v>397</v>
      </c>
    </row>
  </sheetData>
  <mergeCells count="6">
    <mergeCell ref="A4:N4"/>
    <mergeCell ref="A5:N5"/>
    <mergeCell ref="A7:N7"/>
    <mergeCell ref="A8:N8"/>
    <mergeCell ref="G10:I10"/>
    <mergeCell ref="L10:N10"/>
  </mergeCells>
  <pageMargins left="0.7" right="0.7" top="0.75" bottom="0.75" header="0.3" footer="0.3"/>
  <pageSetup scale="58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CB63E-F085-4C8E-8318-01CAA22F37E9}">
  <sheetPr>
    <tabColor theme="9" tint="0.59999389629810485"/>
    <pageSetUpPr fitToPage="1"/>
  </sheetPr>
  <dimension ref="A4:N104"/>
  <sheetViews>
    <sheetView zoomScaleNormal="100" workbookViewId="0"/>
  </sheetViews>
  <sheetFormatPr defaultRowHeight="12.5" x14ac:dyDescent="0.25"/>
  <cols>
    <col min="1" max="1" width="4" bestFit="1" customWidth="1"/>
    <col min="2" max="2" width="41.1796875" customWidth="1"/>
    <col min="3" max="3" width="10.81640625" bestFit="1" customWidth="1"/>
    <col min="4" max="4" width="1.26953125" customWidth="1"/>
    <col min="5" max="5" width="14.54296875" bestFit="1" customWidth="1"/>
    <col min="6" max="6" width="1.26953125" customWidth="1"/>
    <col min="7" max="7" width="12.7265625" customWidth="1"/>
    <col min="8" max="8" width="1.26953125" customWidth="1"/>
    <col min="9" max="9" width="14.54296875" bestFit="1" customWidth="1"/>
    <col min="11" max="11" width="1.26953125" customWidth="1"/>
    <col min="12" max="12" width="14" customWidth="1"/>
    <col min="13" max="13" width="1.26953125" customWidth="1"/>
    <col min="14" max="14" width="15.26953125" customWidth="1"/>
  </cols>
  <sheetData>
    <row r="4" spans="1:14" ht="14" x14ac:dyDescent="0.3">
      <c r="A4" s="748" t="str">
        <f>'R1 EMA'!A4:N4</f>
        <v>Eastern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4" ht="14" x14ac:dyDescent="0.3">
      <c r="A5" s="748" t="str">
        <f>'R1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4" ht="14" x14ac:dyDescent="0.3">
      <c r="A6" s="205"/>
      <c r="C6" s="205"/>
      <c r="D6" s="205"/>
      <c r="E6" s="206"/>
      <c r="F6" s="207"/>
      <c r="G6" s="208"/>
      <c r="H6" s="209"/>
      <c r="I6" s="210"/>
      <c r="J6" s="210"/>
      <c r="K6" s="210"/>
      <c r="L6" s="211"/>
      <c r="M6" s="211"/>
      <c r="N6" s="212"/>
    </row>
    <row r="7" spans="1:14" ht="14" x14ac:dyDescent="0.3">
      <c r="A7" s="748" t="s">
        <v>346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4" ht="14" x14ac:dyDescent="0.3">
      <c r="A8" s="748" t="s">
        <v>398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4" ht="14" x14ac:dyDescent="0.3">
      <c r="B9" s="207"/>
      <c r="C9" s="207"/>
      <c r="D9" s="207"/>
      <c r="E9" s="213"/>
      <c r="F9" s="207"/>
      <c r="I9" s="210"/>
      <c r="J9" s="210"/>
      <c r="K9" s="210"/>
      <c r="L9" s="214"/>
      <c r="M9" s="214"/>
      <c r="N9" s="215"/>
    </row>
    <row r="10" spans="1:14" ht="14.5" thickBot="1" x14ac:dyDescent="0.35">
      <c r="A10" s="151"/>
      <c r="B10" s="216" t="s">
        <v>46</v>
      </c>
      <c r="C10" s="216"/>
      <c r="D10" s="216"/>
      <c r="E10" s="217" t="s">
        <v>144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4" ht="14" x14ac:dyDescent="0.3">
      <c r="A11" s="151"/>
      <c r="B11" s="219" t="s">
        <v>293</v>
      </c>
      <c r="C11" s="220" t="s">
        <v>294</v>
      </c>
      <c r="D11" s="220"/>
      <c r="E11" s="221" t="s">
        <v>295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4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4" ht="14" x14ac:dyDescent="0.3">
      <c r="A13" s="151">
        <f>IF(B13&lt;&gt;"",COUNTA($B$13:B13),"")</f>
        <v>1</v>
      </c>
      <c r="B13" s="232" t="s">
        <v>296</v>
      </c>
      <c r="C13" s="233" t="s">
        <v>297</v>
      </c>
      <c r="D13" s="233"/>
      <c r="E13" s="234">
        <v>360837.18600859313</v>
      </c>
      <c r="F13" s="207"/>
      <c r="G13" s="209">
        <v>18</v>
      </c>
      <c r="H13" s="209"/>
      <c r="I13" s="210">
        <f>G13*E13</f>
        <v>6495069.3481546761</v>
      </c>
      <c r="J13" s="235"/>
      <c r="K13" s="210"/>
      <c r="L13" s="209">
        <v>18</v>
      </c>
      <c r="M13" s="211"/>
      <c r="N13" s="210">
        <f>L13*E13</f>
        <v>6495069.3481546761</v>
      </c>
    </row>
    <row r="14" spans="1:14" ht="14" x14ac:dyDescent="0.3">
      <c r="A14" s="151">
        <f>IF(B14&lt;&gt;"",COUNTA($B$13:B14),"")</f>
        <v>2</v>
      </c>
      <c r="B14" s="232" t="s">
        <v>355</v>
      </c>
      <c r="C14" s="234" t="s">
        <v>356</v>
      </c>
      <c r="D14" s="233"/>
      <c r="E14" s="234">
        <v>2154660.6091094445</v>
      </c>
      <c r="F14" s="207"/>
      <c r="G14" s="209">
        <v>0</v>
      </c>
      <c r="H14" s="209"/>
      <c r="I14" s="210">
        <f t="shared" ref="I14:I24" si="0">G14*E14</f>
        <v>0</v>
      </c>
      <c r="J14" s="235"/>
      <c r="K14" s="210"/>
      <c r="L14" s="209">
        <v>0</v>
      </c>
      <c r="M14" s="211"/>
      <c r="N14" s="210">
        <f>L14*E14</f>
        <v>0</v>
      </c>
    </row>
    <row r="15" spans="1:14" ht="14" x14ac:dyDescent="0.3">
      <c r="A15" s="151">
        <f>IF(B15&lt;&gt;"",COUNTA($B$13:B15),"")</f>
        <v>3</v>
      </c>
      <c r="B15" s="232" t="s">
        <v>357</v>
      </c>
      <c r="C15" s="234" t="s">
        <v>358</v>
      </c>
      <c r="D15" s="233"/>
      <c r="E15" s="234">
        <v>3642302.8635264449</v>
      </c>
      <c r="F15" s="207"/>
      <c r="G15" s="209">
        <v>9.32</v>
      </c>
      <c r="H15" s="209"/>
      <c r="I15" s="210">
        <f t="shared" si="0"/>
        <v>33946262.688066468</v>
      </c>
      <c r="J15" s="235"/>
      <c r="K15" s="210"/>
      <c r="L15" s="209">
        <v>9.65</v>
      </c>
      <c r="M15" s="211"/>
      <c r="N15" s="210">
        <f>L15*E15</f>
        <v>35148222.633030191</v>
      </c>
    </row>
    <row r="16" spans="1:14" ht="14" x14ac:dyDescent="0.3">
      <c r="A16" s="151">
        <f>IF(B16&lt;&gt;"",COUNTA($B$13:B16),"")</f>
        <v>4</v>
      </c>
      <c r="B16" s="232" t="s">
        <v>359</v>
      </c>
      <c r="C16" s="234" t="s">
        <v>360</v>
      </c>
      <c r="D16" s="233"/>
      <c r="E16" s="234">
        <v>1095090.8090128344</v>
      </c>
      <c r="F16" s="207"/>
      <c r="G16" s="209">
        <v>0</v>
      </c>
      <c r="H16" s="209"/>
      <c r="I16" s="210">
        <f t="shared" si="0"/>
        <v>0</v>
      </c>
      <c r="J16" s="235"/>
      <c r="K16" s="210"/>
      <c r="L16" s="209">
        <v>0</v>
      </c>
      <c r="M16" s="211"/>
      <c r="N16" s="210">
        <f>L16*E16</f>
        <v>0</v>
      </c>
    </row>
    <row r="17" spans="1:14" ht="14" x14ac:dyDescent="0.3">
      <c r="A17" s="151">
        <f>IF(B17&lt;&gt;"",COUNTA($B$13:B17),"")</f>
        <v>5</v>
      </c>
      <c r="B17" s="232" t="s">
        <v>361</v>
      </c>
      <c r="C17" s="234" t="s">
        <v>362</v>
      </c>
      <c r="D17" s="233"/>
      <c r="E17" s="234">
        <v>2109955.2752222181</v>
      </c>
      <c r="F17" s="207"/>
      <c r="G17" s="209">
        <v>19.989999999999998</v>
      </c>
      <c r="H17" s="209"/>
      <c r="I17" s="210">
        <f t="shared" si="0"/>
        <v>42178005.951692134</v>
      </c>
      <c r="J17" s="235"/>
      <c r="K17" s="210"/>
      <c r="L17" s="209">
        <v>20.68</v>
      </c>
      <c r="M17" s="211"/>
      <c r="N17" s="210">
        <f>L17*E17</f>
        <v>43633875.091595471</v>
      </c>
    </row>
    <row r="18" spans="1:14" ht="14" x14ac:dyDescent="0.3">
      <c r="A18" s="151">
        <f>IF(B18&lt;&gt;"",COUNTA($B$13:B18),"")</f>
        <v>6</v>
      </c>
      <c r="B18" s="232" t="s">
        <v>363</v>
      </c>
      <c r="C18" s="233" t="s">
        <v>364</v>
      </c>
      <c r="D18" s="233"/>
      <c r="E18" s="234">
        <f>SUM(E14:E17)</f>
        <v>9002009.5568709411</v>
      </c>
      <c r="F18" s="207"/>
      <c r="G18" s="209"/>
      <c r="H18" s="209"/>
      <c r="I18" s="210"/>
      <c r="J18" s="235"/>
      <c r="K18" s="210"/>
      <c r="L18" s="209"/>
      <c r="M18" s="211"/>
      <c r="N18" s="210"/>
    </row>
    <row r="19" spans="1:14" ht="14" x14ac:dyDescent="0.3">
      <c r="A19" s="151">
        <f>IF(B19&lt;&gt;"",COUNTA($B$13:B19),"")</f>
        <v>7</v>
      </c>
      <c r="B19" s="207" t="s">
        <v>365</v>
      </c>
      <c r="C19" s="282" t="s">
        <v>366</v>
      </c>
      <c r="D19" s="233"/>
      <c r="E19" s="234">
        <v>394008026.39536381</v>
      </c>
      <c r="F19" s="207"/>
      <c r="G19" s="236">
        <v>1.7639999999999999E-2</v>
      </c>
      <c r="H19" s="209"/>
      <c r="I19" s="210">
        <f t="shared" si="0"/>
        <v>6950301.5856142174</v>
      </c>
      <c r="J19" s="235"/>
      <c r="K19" s="210"/>
      <c r="L19" s="236">
        <v>1.8270000000000002E-2</v>
      </c>
      <c r="M19" s="211"/>
      <c r="N19" s="210">
        <f t="shared" ref="N19:N24" si="1">L19*E19</f>
        <v>7198526.6422432978</v>
      </c>
    </row>
    <row r="20" spans="1:14" ht="14" x14ac:dyDescent="0.3">
      <c r="A20" s="151">
        <f>IF(B20&lt;&gt;"",COUNTA($B$13:B20),"")</f>
        <v>8</v>
      </c>
      <c r="B20" s="207" t="s">
        <v>367</v>
      </c>
      <c r="C20" s="282" t="s">
        <v>368</v>
      </c>
      <c r="D20" s="233"/>
      <c r="E20" s="234">
        <v>660403729.2317642</v>
      </c>
      <c r="F20" s="207"/>
      <c r="G20" s="236">
        <v>1.264E-2</v>
      </c>
      <c r="H20" s="209"/>
      <c r="I20" s="210">
        <f t="shared" si="0"/>
        <v>8347503.1374894995</v>
      </c>
      <c r="J20" s="235"/>
      <c r="K20" s="210"/>
      <c r="L20" s="236">
        <v>1.3100000000000001E-2</v>
      </c>
      <c r="M20" s="211"/>
      <c r="N20" s="210">
        <f t="shared" si="1"/>
        <v>8651288.8529361114</v>
      </c>
    </row>
    <row r="21" spans="1:14" ht="14" x14ac:dyDescent="0.3">
      <c r="A21" s="151">
        <f>IF(B21&lt;&gt;"",COUNTA($B$13:B21),"")</f>
        <v>9</v>
      </c>
      <c r="B21" s="207" t="s">
        <v>369</v>
      </c>
      <c r="C21" s="282" t="s">
        <v>370</v>
      </c>
      <c r="D21" s="233"/>
      <c r="E21" s="234">
        <v>576980388.82622516</v>
      </c>
      <c r="F21" s="207"/>
      <c r="G21" s="236">
        <v>1.0789999999999999E-2</v>
      </c>
      <c r="H21" s="209"/>
      <c r="I21" s="210">
        <f t="shared" si="0"/>
        <v>6225618.3954349691</v>
      </c>
      <c r="J21" s="235"/>
      <c r="K21" s="210"/>
      <c r="L21" s="236">
        <v>1.119E-2</v>
      </c>
      <c r="M21" s="211"/>
      <c r="N21" s="210">
        <f t="shared" si="1"/>
        <v>6456410.55096546</v>
      </c>
    </row>
    <row r="22" spans="1:14" ht="14" x14ac:dyDescent="0.3">
      <c r="A22" s="151">
        <f>IF(B22&lt;&gt;"",COUNTA($B$13:B22),"")</f>
        <v>10</v>
      </c>
      <c r="B22" s="207" t="s">
        <v>371</v>
      </c>
      <c r="C22" s="282" t="s">
        <v>372</v>
      </c>
      <c r="D22" s="233"/>
      <c r="E22" s="234">
        <v>201434919.52469474</v>
      </c>
      <c r="F22" s="207"/>
      <c r="G22" s="236">
        <v>2.7459999999999998E-2</v>
      </c>
      <c r="H22" s="209"/>
      <c r="I22" s="210">
        <f t="shared" si="0"/>
        <v>5531402.8901481172</v>
      </c>
      <c r="J22" s="235"/>
      <c r="K22" s="210"/>
      <c r="L22" s="236">
        <v>2.8410000000000001E-2</v>
      </c>
      <c r="M22" s="211"/>
      <c r="N22" s="210">
        <f t="shared" si="1"/>
        <v>5722766.0636965781</v>
      </c>
    </row>
    <row r="23" spans="1:14" ht="14" x14ac:dyDescent="0.3">
      <c r="A23" s="151">
        <f>IF(B23&lt;&gt;"",COUNTA($B$13:B23),"")</f>
        <v>11</v>
      </c>
      <c r="B23" s="207" t="s">
        <v>373</v>
      </c>
      <c r="C23" s="282" t="s">
        <v>374</v>
      </c>
      <c r="D23" s="233"/>
      <c r="E23" s="234">
        <v>380232350.348544</v>
      </c>
      <c r="F23" s="207"/>
      <c r="G23" s="236">
        <v>1.435E-2</v>
      </c>
      <c r="H23" s="209"/>
      <c r="I23" s="210">
        <f t="shared" si="0"/>
        <v>5456334.2275016066</v>
      </c>
      <c r="J23" s="235"/>
      <c r="K23" s="210"/>
      <c r="L23" s="236">
        <v>1.487E-2</v>
      </c>
      <c r="M23" s="211"/>
      <c r="N23" s="210">
        <f t="shared" si="1"/>
        <v>5654055.0496828491</v>
      </c>
    </row>
    <row r="24" spans="1:14" ht="14" x14ac:dyDescent="0.3">
      <c r="A24" s="151">
        <f>IF(B24&lt;&gt;"",COUNTA($B$13:B24),"")</f>
        <v>12</v>
      </c>
      <c r="B24" s="207" t="s">
        <v>375</v>
      </c>
      <c r="C24" s="282" t="s">
        <v>376</v>
      </c>
      <c r="D24" s="233"/>
      <c r="E24" s="234">
        <v>350003589.73333937</v>
      </c>
      <c r="F24" s="207"/>
      <c r="G24" s="236">
        <v>1.128E-2</v>
      </c>
      <c r="H24" s="209"/>
      <c r="I24" s="210">
        <f t="shared" si="0"/>
        <v>3948040.4921920681</v>
      </c>
      <c r="J24" s="235"/>
      <c r="K24" s="210"/>
      <c r="L24" s="236">
        <v>1.1690000000000001E-2</v>
      </c>
      <c r="M24" s="211"/>
      <c r="N24" s="210">
        <f t="shared" si="1"/>
        <v>4091541.9639827376</v>
      </c>
    </row>
    <row r="25" spans="1:14" ht="14" x14ac:dyDescent="0.3">
      <c r="A25" s="151">
        <f>IF(B25&lt;&gt;"",COUNTA($B$13:B25),"")</f>
        <v>13</v>
      </c>
      <c r="B25" s="207" t="s">
        <v>352</v>
      </c>
      <c r="C25" s="233" t="s">
        <v>299</v>
      </c>
      <c r="D25" s="233"/>
      <c r="E25" s="234">
        <f>SUM(E19:E24)</f>
        <v>2563063004.0599313</v>
      </c>
      <c r="F25" s="207"/>
      <c r="G25" s="236"/>
      <c r="H25" s="209"/>
      <c r="I25" s="210"/>
      <c r="J25" s="235"/>
      <c r="K25" s="210"/>
      <c r="L25" s="238"/>
      <c r="M25" s="211"/>
      <c r="N25" s="210"/>
    </row>
    <row r="26" spans="1:14" ht="14" x14ac:dyDescent="0.3">
      <c r="A26" s="151" t="str">
        <f>IF(B26&lt;&gt;"",COUNTA($B$13:B26),"")</f>
        <v/>
      </c>
      <c r="B26" s="207"/>
      <c r="C26" s="233"/>
      <c r="D26" s="233"/>
      <c r="E26" s="234"/>
      <c r="F26" s="207"/>
      <c r="G26" s="209"/>
      <c r="H26" s="209"/>
      <c r="I26" s="244"/>
      <c r="J26" s="235"/>
      <c r="K26" s="210"/>
      <c r="L26" s="238"/>
      <c r="M26" s="211"/>
      <c r="N26" s="244"/>
    </row>
    <row r="27" spans="1:14" ht="14.5" x14ac:dyDescent="0.35">
      <c r="A27" s="151">
        <f>IF(B27&lt;&gt;"",COUNTA($B$13:B27),"")</f>
        <v>14</v>
      </c>
      <c r="B27" s="284" t="s">
        <v>399</v>
      </c>
      <c r="C27" s="233"/>
      <c r="D27" s="233"/>
      <c r="E27" s="234"/>
      <c r="F27" s="207"/>
      <c r="G27" s="209"/>
      <c r="H27" s="209"/>
      <c r="I27" s="244"/>
      <c r="J27" s="235"/>
      <c r="K27" s="210"/>
      <c r="L27" s="238"/>
      <c r="M27" s="211"/>
      <c r="N27" s="244"/>
    </row>
    <row r="28" spans="1:14" ht="14" x14ac:dyDescent="0.3">
      <c r="A28" s="151">
        <f>IF(B28&lt;&gt;"",COUNTA($B$13:B28),"")</f>
        <v>15</v>
      </c>
      <c r="B28" s="232" t="s">
        <v>296</v>
      </c>
      <c r="C28" s="233" t="s">
        <v>297</v>
      </c>
      <c r="D28" s="233"/>
      <c r="E28" s="234">
        <v>721.17174191788183</v>
      </c>
      <c r="F28" s="207"/>
      <c r="G28" s="209">
        <f>+G13</f>
        <v>18</v>
      </c>
      <c r="H28" s="209"/>
      <c r="I28" s="210">
        <f>G28*E28</f>
        <v>12981.091354521874</v>
      </c>
      <c r="J28" s="235"/>
      <c r="K28" s="210"/>
      <c r="L28" s="209">
        <f>+L13</f>
        <v>18</v>
      </c>
      <c r="M28" s="211"/>
      <c r="N28" s="210">
        <f>L28*E28</f>
        <v>12981.091354521874</v>
      </c>
    </row>
    <row r="29" spans="1:14" ht="14" x14ac:dyDescent="0.3">
      <c r="A29" s="151">
        <f>IF(B29&lt;&gt;"",COUNTA($B$13:B29),"")</f>
        <v>16</v>
      </c>
      <c r="B29" s="232" t="str">
        <f>+B14</f>
        <v>Distribution Demand &lt;=10 kW - Winter</v>
      </c>
      <c r="C29" s="234" t="s">
        <v>356</v>
      </c>
      <c r="D29" s="233"/>
      <c r="E29" s="234">
        <v>4604.644364518881</v>
      </c>
      <c r="F29" s="207"/>
      <c r="G29" s="209">
        <v>0</v>
      </c>
      <c r="H29" s="209"/>
      <c r="I29" s="210">
        <f t="shared" ref="I29:I32" si="2">G29*E29</f>
        <v>0</v>
      </c>
      <c r="J29" s="235"/>
      <c r="K29" s="210"/>
      <c r="L29" s="209">
        <v>0</v>
      </c>
      <c r="M29" s="211"/>
      <c r="N29" s="210">
        <f>L29*E29</f>
        <v>0</v>
      </c>
    </row>
    <row r="30" spans="1:14" ht="14" x14ac:dyDescent="0.3">
      <c r="A30" s="151">
        <f>IF(B30&lt;&gt;"",COUNTA($B$13:B30),"")</f>
        <v>17</v>
      </c>
      <c r="B30" s="232" t="str">
        <f t="shared" ref="B30:B40" si="3">+B15</f>
        <v>Distribution Demand &gt;10 kW- Winter</v>
      </c>
      <c r="C30" s="234" t="s">
        <v>358</v>
      </c>
      <c r="D30" s="233"/>
      <c r="E30" s="234">
        <v>9516.4187974956567</v>
      </c>
      <c r="F30" s="207"/>
      <c r="G30" s="209">
        <f>+G15*0.45</f>
        <v>4.194</v>
      </c>
      <c r="H30" s="285"/>
      <c r="I30" s="286">
        <f t="shared" si="2"/>
        <v>39911.860436696785</v>
      </c>
      <c r="J30" s="287"/>
      <c r="K30" s="286"/>
      <c r="L30" s="285">
        <f>+L15</f>
        <v>9.65</v>
      </c>
      <c r="M30" s="211"/>
      <c r="N30" s="210">
        <f>L30*E30</f>
        <v>91833.441395833084</v>
      </c>
    </row>
    <row r="31" spans="1:14" ht="14" x14ac:dyDescent="0.3">
      <c r="A31" s="151">
        <f>IF(B31&lt;&gt;"",COUNTA($B$13:B31),"")</f>
        <v>18</v>
      </c>
      <c r="B31" s="232" t="str">
        <f t="shared" si="3"/>
        <v>Distribution Demand &lt;=10 kW - Summer</v>
      </c>
      <c r="C31" s="234" t="s">
        <v>360</v>
      </c>
      <c r="D31" s="233"/>
      <c r="E31" s="234">
        <v>4215.3040405669162</v>
      </c>
      <c r="F31" s="207"/>
      <c r="G31" s="285">
        <v>0</v>
      </c>
      <c r="H31" s="285"/>
      <c r="I31" s="286">
        <f t="shared" si="2"/>
        <v>0</v>
      </c>
      <c r="J31" s="287"/>
      <c r="K31" s="286"/>
      <c r="L31" s="285">
        <v>0</v>
      </c>
      <c r="M31" s="211"/>
      <c r="N31" s="210">
        <f>L31*E31</f>
        <v>0</v>
      </c>
    </row>
    <row r="32" spans="1:14" ht="14" x14ac:dyDescent="0.3">
      <c r="A32" s="151">
        <f>IF(B32&lt;&gt;"",COUNTA($B$13:B32),"")</f>
        <v>19</v>
      </c>
      <c r="B32" s="232" t="str">
        <f t="shared" si="3"/>
        <v>Distribution Demand &gt;10 kW - Summer</v>
      </c>
      <c r="C32" s="234" t="s">
        <v>362</v>
      </c>
      <c r="D32" s="233"/>
      <c r="E32" s="234">
        <v>8991.5114758055097</v>
      </c>
      <c r="F32" s="207"/>
      <c r="G32" s="209">
        <f>+G17*0.45</f>
        <v>8.9954999999999998</v>
      </c>
      <c r="H32" s="209"/>
      <c r="I32" s="210">
        <f t="shared" si="2"/>
        <v>80883.141480608465</v>
      </c>
      <c r="J32" s="235"/>
      <c r="K32" s="210"/>
      <c r="L32" s="209">
        <f>+L17*0.45</f>
        <v>9.3060000000000009</v>
      </c>
      <c r="M32" s="211"/>
      <c r="N32" s="210">
        <f>L32*E32</f>
        <v>83675.005793846081</v>
      </c>
    </row>
    <row r="33" spans="1:14" ht="14" x14ac:dyDescent="0.3">
      <c r="A33" s="151">
        <f>IF(B33&lt;&gt;"",COUNTA($B$13:B33),"")</f>
        <v>20</v>
      </c>
      <c r="B33" s="232" t="str">
        <f t="shared" si="3"/>
        <v>Distribution Demand - Total</v>
      </c>
      <c r="C33" s="233" t="s">
        <v>364</v>
      </c>
      <c r="D33" s="233"/>
      <c r="E33" s="288">
        <f>SUM(E29:E32)</f>
        <v>27327.878678386962</v>
      </c>
      <c r="F33" s="207"/>
      <c r="G33" s="209"/>
      <c r="H33" s="209"/>
      <c r="I33" s="210"/>
      <c r="J33" s="235"/>
      <c r="K33" s="210"/>
      <c r="L33" s="209"/>
      <c r="M33" s="211"/>
      <c r="N33" s="210"/>
    </row>
    <row r="34" spans="1:14" ht="14" x14ac:dyDescent="0.3">
      <c r="A34" s="151">
        <f>IF(B34&lt;&gt;"",COUNTA($B$13:B34),"")</f>
        <v>21</v>
      </c>
      <c r="B34" s="232" t="str">
        <f t="shared" si="3"/>
        <v>Distribution Energy - 1st 2000 kWh - Winter</v>
      </c>
      <c r="C34" s="282" t="s">
        <v>366</v>
      </c>
      <c r="D34" s="233"/>
      <c r="E34" s="234">
        <v>350678.32487338287</v>
      </c>
      <c r="F34" s="207"/>
      <c r="G34" s="236">
        <f>+G19</f>
        <v>1.7639999999999999E-2</v>
      </c>
      <c r="H34" s="209"/>
      <c r="I34" s="210">
        <f t="shared" ref="I34:I39" si="4">G34*E34</f>
        <v>6185.9656507664731</v>
      </c>
      <c r="J34" s="235"/>
      <c r="K34" s="210"/>
      <c r="L34" s="236">
        <f>+L19</f>
        <v>1.8270000000000002E-2</v>
      </c>
      <c r="M34" s="211"/>
      <c r="N34" s="210">
        <f t="shared" ref="N34:N39" si="5">L34*E34</f>
        <v>6406.8929954367059</v>
      </c>
    </row>
    <row r="35" spans="1:14" ht="14" x14ac:dyDescent="0.3">
      <c r="A35" s="151">
        <f>IF(B35&lt;&gt;"",COUNTA($B$13:B35),"")</f>
        <v>22</v>
      </c>
      <c r="B35" s="232" t="str">
        <f t="shared" si="3"/>
        <v>Distribution Energy - next 150 hrs*kW - Winter</v>
      </c>
      <c r="C35" s="282" t="s">
        <v>368</v>
      </c>
      <c r="D35" s="233"/>
      <c r="E35" s="234">
        <v>358014.14203728421</v>
      </c>
      <c r="F35" s="207"/>
      <c r="G35" s="236">
        <f t="shared" ref="G35:G39" si="6">+G20</f>
        <v>1.264E-2</v>
      </c>
      <c r="H35" s="209"/>
      <c r="I35" s="210">
        <f t="shared" si="4"/>
        <v>4525.2987553512721</v>
      </c>
      <c r="J35" s="235"/>
      <c r="K35" s="210"/>
      <c r="L35" s="236">
        <f t="shared" ref="L35:L39" si="7">+L20</f>
        <v>1.3100000000000001E-2</v>
      </c>
      <c r="M35" s="211"/>
      <c r="N35" s="210">
        <f t="shared" si="5"/>
        <v>4689.9852606884233</v>
      </c>
    </row>
    <row r="36" spans="1:14" ht="14" x14ac:dyDescent="0.3">
      <c r="A36" s="151">
        <f>IF(B36&lt;&gt;"",COUNTA($B$13:B36),"")</f>
        <v>23</v>
      </c>
      <c r="B36" s="232" t="str">
        <f t="shared" si="3"/>
        <v>Distribution Energy - remainder kWh - Winter</v>
      </c>
      <c r="C36" s="282" t="s">
        <v>370</v>
      </c>
      <c r="D36" s="233"/>
      <c r="E36" s="234">
        <v>73377.056596558527</v>
      </c>
      <c r="F36" s="207"/>
      <c r="G36" s="236">
        <f t="shared" si="6"/>
        <v>1.0789999999999999E-2</v>
      </c>
      <c r="H36" s="209"/>
      <c r="I36" s="210">
        <f t="shared" si="4"/>
        <v>791.73844067686639</v>
      </c>
      <c r="J36" s="235"/>
      <c r="K36" s="210"/>
      <c r="L36" s="236">
        <f t="shared" si="7"/>
        <v>1.119E-2</v>
      </c>
      <c r="M36" s="211"/>
      <c r="N36" s="210">
        <f t="shared" si="5"/>
        <v>821.08926331548992</v>
      </c>
    </row>
    <row r="37" spans="1:14" ht="14" x14ac:dyDescent="0.3">
      <c r="A37" s="151">
        <f>IF(B37&lt;&gt;"",COUNTA($B$13:B37),"")</f>
        <v>24</v>
      </c>
      <c r="B37" s="232" t="str">
        <f t="shared" si="3"/>
        <v>Distribution Energy - 1st 2000 kWh - Summer</v>
      </c>
      <c r="C37" s="282" t="s">
        <v>372</v>
      </c>
      <c r="D37" s="233"/>
      <c r="E37" s="234">
        <v>324299.91699621693</v>
      </c>
      <c r="F37" s="207"/>
      <c r="G37" s="236">
        <f t="shared" si="6"/>
        <v>2.7459999999999998E-2</v>
      </c>
      <c r="H37" s="209"/>
      <c r="I37" s="210">
        <f t="shared" si="4"/>
        <v>8905.2757207161158</v>
      </c>
      <c r="J37" s="235"/>
      <c r="K37" s="210"/>
      <c r="L37" s="236">
        <f t="shared" si="7"/>
        <v>2.8410000000000001E-2</v>
      </c>
      <c r="M37" s="211"/>
      <c r="N37" s="210">
        <f t="shared" si="5"/>
        <v>9213.3606418625241</v>
      </c>
    </row>
    <row r="38" spans="1:14" ht="14" x14ac:dyDescent="0.3">
      <c r="A38" s="151">
        <f>IF(B38&lt;&gt;"",COUNTA($B$13:B38),"")</f>
        <v>25</v>
      </c>
      <c r="B38" s="232" t="str">
        <f t="shared" si="3"/>
        <v>Distribution Energy - next 150 hrs*kW - Summer</v>
      </c>
      <c r="C38" s="282" t="s">
        <v>374</v>
      </c>
      <c r="D38" s="233"/>
      <c r="E38" s="234">
        <v>302910.89939146326</v>
      </c>
      <c r="F38" s="207"/>
      <c r="G38" s="236">
        <f t="shared" si="6"/>
        <v>1.435E-2</v>
      </c>
      <c r="H38" s="209"/>
      <c r="I38" s="210">
        <f t="shared" si="4"/>
        <v>4346.7714062674977</v>
      </c>
      <c r="J38" s="235"/>
      <c r="K38" s="210"/>
      <c r="L38" s="236">
        <f t="shared" si="7"/>
        <v>1.487E-2</v>
      </c>
      <c r="M38" s="211"/>
      <c r="N38" s="210">
        <f t="shared" si="5"/>
        <v>4504.2850739510586</v>
      </c>
    </row>
    <row r="39" spans="1:14" ht="14" x14ac:dyDescent="0.3">
      <c r="A39" s="151">
        <f>IF(B39&lt;&gt;"",COUNTA($B$13:B39),"")</f>
        <v>26</v>
      </c>
      <c r="B39" s="232" t="str">
        <f t="shared" si="3"/>
        <v>Distribution Energy - remainder kWh - Summer</v>
      </c>
      <c r="C39" s="282" t="s">
        <v>376</v>
      </c>
      <c r="D39" s="233"/>
      <c r="E39" s="234">
        <v>25263.88515677278</v>
      </c>
      <c r="F39" s="207"/>
      <c r="G39" s="236">
        <f t="shared" si="6"/>
        <v>1.128E-2</v>
      </c>
      <c r="H39" s="209"/>
      <c r="I39" s="210">
        <f t="shared" si="4"/>
        <v>284.97662456839697</v>
      </c>
      <c r="J39" s="235"/>
      <c r="K39" s="210"/>
      <c r="L39" s="236">
        <f t="shared" si="7"/>
        <v>1.1690000000000001E-2</v>
      </c>
      <c r="M39" s="211"/>
      <c r="N39" s="210">
        <f t="shared" si="5"/>
        <v>295.33481748267383</v>
      </c>
    </row>
    <row r="40" spans="1:14" ht="14" x14ac:dyDescent="0.3">
      <c r="A40" s="151">
        <f>IF(B40&lt;&gt;"",COUNTA($B$13:B40),"")</f>
        <v>27</v>
      </c>
      <c r="B40" s="232" t="str">
        <f t="shared" si="3"/>
        <v>Distribution Energy - Total</v>
      </c>
      <c r="C40" s="233" t="s">
        <v>299</v>
      </c>
      <c r="D40" s="233"/>
      <c r="E40" s="288">
        <f>SUM(E34:E39)</f>
        <v>1434544.2250516785</v>
      </c>
      <c r="F40" s="207"/>
      <c r="G40" s="236"/>
      <c r="H40" s="209"/>
      <c r="I40" s="210"/>
      <c r="J40" s="235"/>
      <c r="K40" s="210"/>
      <c r="L40" s="238"/>
      <c r="M40" s="211"/>
      <c r="N40" s="210"/>
    </row>
    <row r="41" spans="1:14" ht="14" x14ac:dyDescent="0.3">
      <c r="A41" s="151" t="str">
        <f>IF(B41&lt;&gt;"",COUNTA($B$13:B41),"")</f>
        <v/>
      </c>
      <c r="B41" s="207"/>
      <c r="C41" s="233"/>
      <c r="D41" s="233"/>
      <c r="E41" s="234"/>
      <c r="F41" s="207"/>
      <c r="G41" s="209"/>
      <c r="H41" s="209"/>
      <c r="I41" s="237"/>
      <c r="J41" s="235"/>
      <c r="K41" s="210"/>
      <c r="L41" s="238"/>
      <c r="M41" s="211"/>
      <c r="N41" s="237"/>
    </row>
    <row r="42" spans="1:14" ht="14" x14ac:dyDescent="0.3">
      <c r="A42" s="151">
        <f>IF(B42&lt;&gt;"",COUNTA($B$13:B42),"")</f>
        <v>28</v>
      </c>
      <c r="B42" s="207" t="s">
        <v>300</v>
      </c>
      <c r="C42" s="233" t="s">
        <v>301</v>
      </c>
      <c r="D42" s="233"/>
      <c r="E42" s="234"/>
      <c r="F42" s="207"/>
      <c r="G42" s="209"/>
      <c r="H42" s="209"/>
      <c r="I42" s="210">
        <f>SUM(I13:I41)</f>
        <v>119237354.83616392</v>
      </c>
      <c r="J42" s="235"/>
      <c r="K42" s="210"/>
      <c r="L42" s="238"/>
      <c r="M42" s="211"/>
      <c r="N42" s="210">
        <f>SUM(N13:N41)</f>
        <v>123266176.68288432</v>
      </c>
    </row>
    <row r="43" spans="1:14" ht="14" x14ac:dyDescent="0.3">
      <c r="A43" s="151" t="str">
        <f>IF(B43&lt;&gt;"",COUNTA($B$13:B43),"")</f>
        <v/>
      </c>
      <c r="B43" s="207"/>
      <c r="C43" s="233"/>
      <c r="D43" s="233"/>
      <c r="E43" s="234"/>
      <c r="F43" s="207"/>
      <c r="G43" s="209"/>
      <c r="H43" s="209"/>
      <c r="I43" s="210"/>
      <c r="J43" s="235"/>
      <c r="K43" s="210"/>
      <c r="L43" s="238"/>
      <c r="M43" s="211"/>
      <c r="N43" s="210"/>
    </row>
    <row r="44" spans="1:14" ht="14" x14ac:dyDescent="0.3">
      <c r="A44" s="151">
        <f>IF(B44&lt;&gt;"",COUNTA($B$13:B44),"")</f>
        <v>29</v>
      </c>
      <c r="B44" s="228" t="s">
        <v>302</v>
      </c>
      <c r="F44" s="239"/>
      <c r="G44" s="240"/>
      <c r="H44" s="211"/>
      <c r="I44" s="210"/>
      <c r="K44" s="210"/>
      <c r="L44" s="241"/>
      <c r="M44" s="211"/>
      <c r="N44" s="210"/>
    </row>
    <row r="45" spans="1:14" ht="14" x14ac:dyDescent="0.3">
      <c r="A45" s="151">
        <f>IF(B45&lt;&gt;"",COUNTA($B$13:B45),"")</f>
        <v>30</v>
      </c>
      <c r="B45" s="207" t="str">
        <f>+'G1NDMD BOST'!B20</f>
        <v>Revenue Decoupling</v>
      </c>
      <c r="C45" s="233" t="str">
        <f>+'G1NDMD BOST'!C20</f>
        <v>RDAF</v>
      </c>
      <c r="D45" s="233"/>
      <c r="E45" s="242"/>
      <c r="F45" s="239"/>
      <c r="G45" s="236">
        <v>0</v>
      </c>
      <c r="H45" s="211"/>
      <c r="I45" s="210">
        <f t="shared" ref="I45:I59" si="8">G45*($E$25+$E$40)</f>
        <v>0</v>
      </c>
      <c r="K45" s="210"/>
      <c r="L45" s="236">
        <v>-4.0901264133415543E-4</v>
      </c>
      <c r="M45" s="211"/>
      <c r="N45" s="210">
        <f t="shared" ref="N45:N59" si="9">L45*($E$25+$E$40)</f>
        <v>-1048911.9159190068</v>
      </c>
    </row>
    <row r="46" spans="1:14" ht="14" x14ac:dyDescent="0.3">
      <c r="A46" s="151">
        <f>IF(B46&lt;&gt;"",COUNTA($B$13:B46),"")</f>
        <v>31</v>
      </c>
      <c r="B46" s="207" t="str">
        <f>+'G1NDMD BOST'!B21</f>
        <v>Residential Assistance Adjustment Factor</v>
      </c>
      <c r="C46" s="233" t="str">
        <f>+'G1NDMD BOST'!C21</f>
        <v>RAAF</v>
      </c>
      <c r="D46" s="243"/>
      <c r="E46" s="206"/>
      <c r="F46" s="239"/>
      <c r="G46" s="236">
        <v>2.5000000000000001E-3</v>
      </c>
      <c r="H46" s="211"/>
      <c r="I46" s="210">
        <f t="shared" si="8"/>
        <v>6411243.8707124582</v>
      </c>
      <c r="K46" s="210"/>
      <c r="L46" s="236">
        <v>3.4554487951269715E-3</v>
      </c>
      <c r="M46" s="211"/>
      <c r="N46" s="210">
        <f t="shared" si="9"/>
        <v>8861489.9633274172</v>
      </c>
    </row>
    <row r="47" spans="1:14" ht="14" x14ac:dyDescent="0.3">
      <c r="A47" s="151">
        <f>IF(B47&lt;&gt;"",COUNTA($B$13:B47),"")</f>
        <v>32</v>
      </c>
      <c r="B47" s="207" t="str">
        <f>+'G1NDMD BOST'!B22</f>
        <v>Pension Adjustment Factor</v>
      </c>
      <c r="C47" s="233" t="str">
        <f>+'G1NDMD BOST'!C22</f>
        <v>PAF</v>
      </c>
      <c r="D47" s="243"/>
      <c r="E47" s="206"/>
      <c r="F47" s="239"/>
      <c r="G47" s="236">
        <v>-5.0000000000000002E-5</v>
      </c>
      <c r="H47" s="211"/>
      <c r="I47" s="210">
        <f t="shared" si="8"/>
        <v>-128224.87741424916</v>
      </c>
      <c r="K47" s="210"/>
      <c r="L47" s="236">
        <v>4.6556868638834658E-4</v>
      </c>
      <c r="M47" s="211"/>
      <c r="N47" s="210">
        <f t="shared" si="9"/>
        <v>1193949.7548011751</v>
      </c>
    </row>
    <row r="48" spans="1:14" ht="14" x14ac:dyDescent="0.3">
      <c r="A48" s="151">
        <f>IF(B48&lt;&gt;"",COUNTA($B$13:B48),"")</f>
        <v>33</v>
      </c>
      <c r="B48" s="207" t="str">
        <f>+'G1NDMD BOST'!B23</f>
        <v>Net Metering Recovery Surcharge</v>
      </c>
      <c r="C48" s="233" t="str">
        <f>+'G1NDMD BOST'!C23</f>
        <v>NMRS</v>
      </c>
      <c r="D48" s="243"/>
      <c r="E48" s="206"/>
      <c r="F48" s="239"/>
      <c r="G48" s="236">
        <v>4.9300000000000004E-3</v>
      </c>
      <c r="H48" s="211"/>
      <c r="I48" s="210">
        <f t="shared" si="8"/>
        <v>12642972.913044969</v>
      </c>
      <c r="K48" s="210"/>
      <c r="L48" s="236">
        <v>4.505628053767018E-3</v>
      </c>
      <c r="M48" s="211"/>
      <c r="N48" s="210">
        <f t="shared" si="9"/>
        <v>11554672.097369557</v>
      </c>
    </row>
    <row r="49" spans="1:14" ht="14" x14ac:dyDescent="0.3">
      <c r="A49" s="151">
        <f>IF(B49&lt;&gt;"",COUNTA($B$13:B49),"")</f>
        <v>34</v>
      </c>
      <c r="B49" s="207" t="str">
        <f>+'G1NDMD BOST'!B24</f>
        <v>Long Term Renewable Contract Adjustment</v>
      </c>
      <c r="C49" s="233" t="str">
        <f>+'G1NDMD BOST'!C24</f>
        <v>LTRCA</v>
      </c>
      <c r="D49" s="243"/>
      <c r="E49" s="206"/>
      <c r="F49" s="239"/>
      <c r="G49" s="236">
        <v>2.3600000000000001E-3</v>
      </c>
      <c r="H49" s="211"/>
      <c r="I49" s="210">
        <f t="shared" si="8"/>
        <v>6052214.2139525609</v>
      </c>
      <c r="K49" s="210"/>
      <c r="L49" s="236">
        <v>1.7357128782064517E-3</v>
      </c>
      <c r="M49" s="211"/>
      <c r="N49" s="210">
        <f t="shared" si="9"/>
        <v>4451231.4206871167</v>
      </c>
    </row>
    <row r="50" spans="1:14" ht="14" x14ac:dyDescent="0.3">
      <c r="A50" s="151">
        <f>IF(B50&lt;&gt;"",COUNTA($B$13:B50),"")</f>
        <v>35</v>
      </c>
      <c r="B50" s="207" t="str">
        <f>+'G1NDMD BOST'!B25</f>
        <v>AG Consulting Expense</v>
      </c>
      <c r="C50" s="233" t="str">
        <f>+'G1NDMD BOST'!C25</f>
        <v>AGCE</v>
      </c>
      <c r="D50" s="243"/>
      <c r="E50" s="206"/>
      <c r="F50" s="239"/>
      <c r="G50" s="236">
        <v>3.0000000000000001E-5</v>
      </c>
      <c r="H50" s="211"/>
      <c r="I50" s="210">
        <f t="shared" si="8"/>
        <v>76934.926448549493</v>
      </c>
      <c r="K50" s="210"/>
      <c r="L50" s="236">
        <v>7.2551534790575584E-6</v>
      </c>
      <c r="M50" s="211"/>
      <c r="N50" s="210">
        <f t="shared" si="9"/>
        <v>18605.823309474374</v>
      </c>
    </row>
    <row r="51" spans="1:14" ht="14" x14ac:dyDescent="0.3">
      <c r="A51" s="151">
        <f>IF(B51&lt;&gt;"",COUNTA($B$13:B51),"")</f>
        <v>36</v>
      </c>
      <c r="B51" s="207" t="str">
        <f>+'G1NDMD BOST'!B26</f>
        <v>Storm Cost Recovery Adjustment Factor</v>
      </c>
      <c r="C51" s="233" t="str">
        <f>+'G1NDMD BOST'!C26</f>
        <v>SCRA</v>
      </c>
      <c r="D51" s="243"/>
      <c r="E51" s="206"/>
      <c r="F51" s="239"/>
      <c r="G51" s="236">
        <v>1.5399999999999999E-3</v>
      </c>
      <c r="H51" s="211"/>
      <c r="I51" s="210">
        <f t="shared" si="8"/>
        <v>3949326.2243588739</v>
      </c>
      <c r="K51" s="210"/>
      <c r="L51" s="236">
        <v>2.6187956578597508E-3</v>
      </c>
      <c r="M51" s="211"/>
      <c r="N51" s="210">
        <f t="shared" si="9"/>
        <v>6715895.0440406902</v>
      </c>
    </row>
    <row r="52" spans="1:14" ht="14" x14ac:dyDescent="0.3">
      <c r="A52" s="151">
        <f>IF(B52&lt;&gt;"",COUNTA($B$13:B52),"")</f>
        <v>37</v>
      </c>
      <c r="B52" s="207" t="str">
        <f>+'G1NDMD BOST'!B27</f>
        <v>Storm Reserve Adjustment</v>
      </c>
      <c r="C52" s="233" t="str">
        <f>+'G1NDMD BOST'!C27</f>
        <v>SRA</v>
      </c>
      <c r="D52" s="243"/>
      <c r="E52" s="206"/>
      <c r="F52" s="239"/>
      <c r="G52" s="236">
        <v>0</v>
      </c>
      <c r="H52" s="211"/>
      <c r="I52" s="210">
        <f t="shared" si="8"/>
        <v>0</v>
      </c>
      <c r="K52" s="210"/>
      <c r="L52" s="236">
        <v>0</v>
      </c>
      <c r="M52" s="211"/>
      <c r="N52" s="210">
        <f t="shared" si="9"/>
        <v>0</v>
      </c>
    </row>
    <row r="53" spans="1:14" ht="14" x14ac:dyDescent="0.3">
      <c r="A53" s="151">
        <f>IF(B53&lt;&gt;"",COUNTA($B$13:B53),"")</f>
        <v>38</v>
      </c>
      <c r="B53" s="207" t="str">
        <f>+'G1NDMD BOST'!B28</f>
        <v>Basic Service Cost True Up Factor</v>
      </c>
      <c r="C53" s="233" t="str">
        <f>+'G1NDMD BOST'!C28</f>
        <v>BSTF</v>
      </c>
      <c r="D53" s="243"/>
      <c r="E53" s="206"/>
      <c r="F53" s="239"/>
      <c r="G53" s="236">
        <v>1.34E-3</v>
      </c>
      <c r="H53" s="211"/>
      <c r="I53" s="210">
        <f t="shared" si="8"/>
        <v>3436426.7147018774</v>
      </c>
      <c r="K53" s="210"/>
      <c r="L53" s="236">
        <v>-1.7146783663939721E-4</v>
      </c>
      <c r="M53" s="211"/>
      <c r="N53" s="210">
        <f t="shared" si="9"/>
        <v>-439728.84667146415</v>
      </c>
    </row>
    <row r="54" spans="1:14" ht="14" x14ac:dyDescent="0.3">
      <c r="A54" s="151">
        <f>IF(B54&lt;&gt;"",COUNTA($B$13:B54),"")</f>
        <v>39</v>
      </c>
      <c r="B54" s="207" t="str">
        <f>+'G1NDMD BOST'!B29</f>
        <v>Solar Program Cost Adjustment Factor</v>
      </c>
      <c r="C54" s="233" t="str">
        <f>+'G1NDMD BOST'!C29</f>
        <v>SPCA</v>
      </c>
      <c r="D54" s="233"/>
      <c r="E54" s="206"/>
      <c r="F54" s="239"/>
      <c r="G54" s="236">
        <v>0</v>
      </c>
      <c r="H54" s="211"/>
      <c r="I54" s="210">
        <f t="shared" si="8"/>
        <v>0</v>
      </c>
      <c r="K54" s="210"/>
      <c r="L54" s="236">
        <v>3.0515190833952497E-5</v>
      </c>
      <c r="M54" s="211"/>
      <c r="N54" s="210">
        <f t="shared" si="9"/>
        <v>78256.132079119576</v>
      </c>
    </row>
    <row r="55" spans="1:14" ht="14" x14ac:dyDescent="0.3">
      <c r="A55" s="151">
        <f>IF(B55&lt;&gt;"",COUNTA($B$13:B55),"")</f>
        <v>40</v>
      </c>
      <c r="B55" s="207" t="str">
        <f>+'G1NDMD BOST'!B30</f>
        <v>Solar Expansion Cost Recovery Factor</v>
      </c>
      <c r="C55" s="233" t="str">
        <f>+'G1NDMD BOST'!C30</f>
        <v>SECRF</v>
      </c>
      <c r="D55" s="233"/>
      <c r="E55" s="206"/>
      <c r="F55" s="239"/>
      <c r="G55" s="236">
        <v>0</v>
      </c>
      <c r="H55" s="211"/>
      <c r="I55" s="210">
        <f t="shared" si="8"/>
        <v>0</v>
      </c>
      <c r="K55" s="210"/>
      <c r="L55" s="236">
        <v>5.382181559189245E-4</v>
      </c>
      <c r="M55" s="211"/>
      <c r="N55" s="210">
        <f t="shared" si="9"/>
        <v>1380259.1412965467</v>
      </c>
    </row>
    <row r="56" spans="1:14" ht="14" x14ac:dyDescent="0.3">
      <c r="A56" s="151">
        <f>IF(B56&lt;&gt;"",COUNTA($B$13:B56),"")</f>
        <v>41</v>
      </c>
      <c r="B56" s="207" t="str">
        <f>+'G1NDMD BOST'!B31</f>
        <v>Vegetation Management</v>
      </c>
      <c r="C56" s="233" t="str">
        <f>+'G1NDMD BOST'!C31</f>
        <v>RTWF</v>
      </c>
      <c r="D56" s="233"/>
      <c r="E56" s="206"/>
      <c r="F56" s="239"/>
      <c r="G56" s="236">
        <v>0</v>
      </c>
      <c r="H56" s="211"/>
      <c r="I56" s="210">
        <f t="shared" si="8"/>
        <v>0</v>
      </c>
      <c r="K56" s="210"/>
      <c r="L56" s="236">
        <v>8.3352530351307567E-4</v>
      </c>
      <c r="M56" s="211"/>
      <c r="N56" s="210">
        <f t="shared" si="9"/>
        <v>2137573.597292779</v>
      </c>
    </row>
    <row r="57" spans="1:14" ht="14" x14ac:dyDescent="0.3">
      <c r="A57" s="151">
        <f>IF(B57&lt;&gt;"",COUNTA($B$13:B57),"")</f>
        <v>42</v>
      </c>
      <c r="B57" s="207" t="str">
        <f>+'G1NDMD BOST'!B32</f>
        <v>Solar Massachusetts Renewable Target</v>
      </c>
      <c r="C57" s="233" t="str">
        <f>+'G1NDMD BOST'!C32</f>
        <v>SMART</v>
      </c>
      <c r="D57" s="233"/>
      <c r="E57" s="206"/>
      <c r="F57" s="239"/>
      <c r="G57" s="236">
        <v>0</v>
      </c>
      <c r="H57" s="211"/>
      <c r="I57" s="210">
        <f t="shared" si="8"/>
        <v>0</v>
      </c>
      <c r="K57" s="210"/>
      <c r="L57" s="236">
        <v>6.3059809698508404E-4</v>
      </c>
      <c r="M57" s="211"/>
      <c r="N57" s="210">
        <f t="shared" si="9"/>
        <v>1617167.273671424</v>
      </c>
    </row>
    <row r="58" spans="1:14" ht="14" x14ac:dyDescent="0.3">
      <c r="A58" s="151">
        <f>IF(B58&lt;&gt;"",COUNTA($B$13:B58),"")</f>
        <v>43</v>
      </c>
      <c r="B58" s="207" t="str">
        <f>+'G1NDMD BOST'!B33</f>
        <v>Tax Act Credit Factor</v>
      </c>
      <c r="C58" s="233" t="str">
        <f>+'G1NDMD BOST'!C33</f>
        <v>TACF</v>
      </c>
      <c r="D58" s="233"/>
      <c r="E58" s="206"/>
      <c r="F58" s="239"/>
      <c r="G58" s="236">
        <v>0</v>
      </c>
      <c r="H58" s="211"/>
      <c r="I58" s="210">
        <f t="shared" si="8"/>
        <v>0</v>
      </c>
      <c r="K58" s="210"/>
      <c r="L58" s="236">
        <v>-9.5462017218350833E-4</v>
      </c>
      <c r="M58" s="211"/>
      <c r="N58" s="210">
        <f t="shared" si="9"/>
        <v>-2448121.0911079957</v>
      </c>
    </row>
    <row r="59" spans="1:14" ht="14" x14ac:dyDescent="0.3">
      <c r="A59" s="151">
        <f>IF(B59&lt;&gt;"",COUNTA($B$13:B59),"")</f>
        <v>44</v>
      </c>
      <c r="B59" s="207" t="str">
        <f>+'G1NDMD BOST'!B34</f>
        <v>Transition</v>
      </c>
      <c r="C59" s="233" t="str">
        <f>+'G1NDMD BOST'!C34</f>
        <v>TRNSN</v>
      </c>
      <c r="D59" s="233"/>
      <c r="E59" s="206"/>
      <c r="F59" s="239"/>
      <c r="G59" s="236">
        <v>-6.0999999999999997E-4</v>
      </c>
      <c r="H59" s="211"/>
      <c r="I59" s="210">
        <f t="shared" si="8"/>
        <v>-1564343.5044538397</v>
      </c>
      <c r="K59" s="210"/>
      <c r="L59" s="236">
        <v>-5.210932140356871E-4</v>
      </c>
      <c r="M59" s="211"/>
      <c r="N59" s="210">
        <f t="shared" si="9"/>
        <v>-1336342.2698224615</v>
      </c>
    </row>
    <row r="60" spans="1:14" ht="14" x14ac:dyDescent="0.3">
      <c r="A60" s="151">
        <f>IF(B60&lt;&gt;"",COUNTA($B$13:B60),"")</f>
        <v>45</v>
      </c>
      <c r="B60" s="207" t="s">
        <v>381</v>
      </c>
      <c r="C60" s="233" t="s">
        <v>382</v>
      </c>
      <c r="D60" s="233"/>
      <c r="E60" s="206"/>
      <c r="F60" s="239"/>
      <c r="G60" s="283">
        <v>8.73</v>
      </c>
      <c r="H60" s="211"/>
      <c r="I60" s="210">
        <f>G60*E$15</f>
        <v>31797303.998585865</v>
      </c>
      <c r="K60" s="210"/>
      <c r="L60" s="283">
        <v>7.5426021357766668</v>
      </c>
      <c r="M60" s="211"/>
      <c r="N60" s="210">
        <f>+L60*E15</f>
        <v>27472441.357580032</v>
      </c>
    </row>
    <row r="61" spans="1:14" ht="14" x14ac:dyDescent="0.3">
      <c r="A61" s="151">
        <f>IF(B61&lt;&gt;"",COUNTA($B$13:B61),"")</f>
        <v>46</v>
      </c>
      <c r="B61" s="207" t="s">
        <v>383</v>
      </c>
      <c r="C61" s="233" t="s">
        <v>382</v>
      </c>
      <c r="D61" s="233"/>
      <c r="E61" s="206"/>
      <c r="F61" s="239"/>
      <c r="G61" s="283">
        <v>23.43</v>
      </c>
      <c r="H61" s="211"/>
      <c r="I61" s="210">
        <f>G61*E$17</f>
        <v>49436252.098456569</v>
      </c>
      <c r="K61" s="210"/>
      <c r="L61" s="283">
        <v>19.98529476251997</v>
      </c>
      <c r="M61" s="211"/>
      <c r="N61" s="210">
        <f>+L61*E17</f>
        <v>42168078.11104998</v>
      </c>
    </row>
    <row r="62" spans="1:14" ht="14" x14ac:dyDescent="0.3">
      <c r="A62" s="151">
        <f>IF(B62&lt;&gt;"",COUNTA($B$13:B62),"")</f>
        <v>47</v>
      </c>
      <c r="B62" s="207" t="s">
        <v>400</v>
      </c>
      <c r="C62" s="233" t="s">
        <v>382</v>
      </c>
      <c r="D62" s="233"/>
      <c r="E62" s="206"/>
      <c r="F62" s="239"/>
      <c r="G62" s="283">
        <f>+G60*0.45</f>
        <v>3.9285000000000001</v>
      </c>
      <c r="H62" s="211"/>
      <c r="I62" s="210">
        <f>+G62*E30</f>
        <v>37385.251245961692</v>
      </c>
      <c r="K62" s="210"/>
      <c r="L62" s="283">
        <v>3.3915700638113009</v>
      </c>
      <c r="M62" s="211"/>
      <c r="N62" s="210">
        <f>+L62*E30</f>
        <v>32275.601108277409</v>
      </c>
    </row>
    <row r="63" spans="1:14" ht="14" x14ac:dyDescent="0.3">
      <c r="A63" s="151">
        <f>IF(B63&lt;&gt;"",COUNTA($B$13:B63),"")</f>
        <v>48</v>
      </c>
      <c r="B63" s="207" t="s">
        <v>401</v>
      </c>
      <c r="C63" s="233" t="s">
        <v>382</v>
      </c>
      <c r="D63" s="233"/>
      <c r="E63" s="206"/>
      <c r="F63" s="239"/>
      <c r="G63" s="283">
        <f>+G61*0.45</f>
        <v>10.5435</v>
      </c>
      <c r="H63" s="211"/>
      <c r="I63" s="210">
        <f>+G63*E32</f>
        <v>94802.001245155392</v>
      </c>
      <c r="K63" s="210"/>
      <c r="L63" s="283">
        <v>8.9887010280152264</v>
      </c>
      <c r="M63" s="211"/>
      <c r="N63" s="210">
        <f>+L63*E32</f>
        <v>80822.008445983694</v>
      </c>
    </row>
    <row r="64" spans="1:14" ht="14" x14ac:dyDescent="0.3">
      <c r="A64" s="151">
        <f>IF(B64&lt;&gt;"",COUNTA($B$13:B64),"")</f>
        <v>49</v>
      </c>
      <c r="B64" s="207" t="str">
        <f>+'G1NDMD BOST'!B36</f>
        <v>Energy Efficiency Reconciliation Factor</v>
      </c>
      <c r="C64" s="233" t="str">
        <f>+'G1NDMD BOST'!C36</f>
        <v>EERF</v>
      </c>
      <c r="D64" s="233"/>
      <c r="E64" s="206"/>
      <c r="F64" s="239"/>
      <c r="G64" s="236">
        <v>8.4600000000000005E-3</v>
      </c>
      <c r="H64" s="211"/>
      <c r="I64" s="210">
        <f>G64*($E$25+$E$40)</f>
        <v>21695649.258490957</v>
      </c>
      <c r="K64" s="210"/>
      <c r="L64" s="281">
        <v>8.4600000000000005E-3</v>
      </c>
      <c r="M64" s="211"/>
      <c r="N64" s="210">
        <f>L64*($E$25+$E$40)</f>
        <v>21695649.258490957</v>
      </c>
    </row>
    <row r="65" spans="1:14" ht="14" x14ac:dyDescent="0.3">
      <c r="A65" s="151">
        <f>IF(B65&lt;&gt;"",COUNTA($B$13:B65),"")</f>
        <v>50</v>
      </c>
      <c r="B65" s="207" t="str">
        <f>+'G1NDMD BOST'!B37</f>
        <v>System Benefits Charge</v>
      </c>
      <c r="C65" s="233" t="str">
        <f>+'G1NDMD BOST'!C37</f>
        <v>SBC</v>
      </c>
      <c r="D65" s="233"/>
      <c r="E65" s="206"/>
      <c r="F65" s="239"/>
      <c r="G65" s="236">
        <v>2.5000000000000001E-3</v>
      </c>
      <c r="H65" s="211"/>
      <c r="I65" s="210">
        <f>G65*($E$25+$E$40)</f>
        <v>6411243.8707124582</v>
      </c>
      <c r="K65" s="210"/>
      <c r="L65" s="241">
        <f>+G65</f>
        <v>2.5000000000000001E-3</v>
      </c>
      <c r="M65" s="211"/>
      <c r="N65" s="210">
        <f>L65*($E$25+$E$40)</f>
        <v>6411243.8707124582</v>
      </c>
    </row>
    <row r="66" spans="1:14" ht="14" x14ac:dyDescent="0.3">
      <c r="A66" s="151">
        <f>IF(B66&lt;&gt;"",COUNTA($B$13:B66),"")</f>
        <v>51</v>
      </c>
      <c r="B66" s="207" t="str">
        <f>+'G1NDMD BOST'!B38</f>
        <v>Renewable Energy Charge</v>
      </c>
      <c r="C66" s="233" t="str">
        <f>+'G1NDMD BOST'!C38</f>
        <v>RNEW</v>
      </c>
      <c r="D66" s="233"/>
      <c r="E66" s="206"/>
      <c r="F66" s="239"/>
      <c r="G66" s="236">
        <v>5.0000000000000001E-4</v>
      </c>
      <c r="H66" s="211"/>
      <c r="I66" s="210">
        <f>G66*($E$25+$E$40)</f>
        <v>1282248.7741424916</v>
      </c>
      <c r="K66" s="210"/>
      <c r="L66" s="241">
        <f>+G66</f>
        <v>5.0000000000000001E-4</v>
      </c>
      <c r="M66" s="211"/>
      <c r="N66" s="210">
        <f>L66*($E$25+$E$40)</f>
        <v>1282248.7741424916</v>
      </c>
    </row>
    <row r="67" spans="1:14" ht="14" x14ac:dyDescent="0.3">
      <c r="A67" s="151">
        <f>IF(B67&lt;&gt;"",COUNTA($B$13:B67),"")</f>
        <v>52</v>
      </c>
      <c r="B67" s="207" t="str">
        <f>+'G1NDMD BOST'!B39</f>
        <v>Basic Service Charge</v>
      </c>
      <c r="C67" s="233" t="str">
        <f>+'G1NDMD BOST'!C39</f>
        <v>BS</v>
      </c>
      <c r="D67" s="233"/>
      <c r="E67" s="206"/>
      <c r="F67" s="239"/>
      <c r="G67" s="236">
        <v>0.11403000000000001</v>
      </c>
      <c r="H67" s="211"/>
      <c r="I67" s="237">
        <f>G67*($E$25+$E$40)</f>
        <v>292429655.43093663</v>
      </c>
      <c r="K67" s="210"/>
      <c r="L67" s="241">
        <v>0.13185000000000002</v>
      </c>
      <c r="M67" s="211"/>
      <c r="N67" s="237">
        <f>L67*($E$25+$E$40)</f>
        <v>338129001.74137509</v>
      </c>
    </row>
    <row r="68" spans="1:14" ht="14" x14ac:dyDescent="0.3">
      <c r="A68" s="151" t="str">
        <f>IF(B68&lt;&gt;"",COUNTA($B$13:B68),"")</f>
        <v/>
      </c>
      <c r="B68" s="207"/>
      <c r="E68" s="206"/>
      <c r="F68" s="239"/>
      <c r="G68" s="241"/>
      <c r="H68" s="211"/>
      <c r="I68" s="244"/>
      <c r="K68" s="210"/>
      <c r="L68" s="241"/>
      <c r="M68" s="211"/>
      <c r="N68" s="244"/>
    </row>
    <row r="69" spans="1:14" ht="14" x14ac:dyDescent="0.3">
      <c r="A69" s="151">
        <f>IF(B69&lt;&gt;"",COUNTA($B$13:B69),"")</f>
        <v>53</v>
      </c>
      <c r="B69" s="188" t="s">
        <v>46</v>
      </c>
      <c r="E69" s="188"/>
      <c r="G69" s="245" t="s">
        <v>324</v>
      </c>
      <c r="H69" s="246"/>
      <c r="I69" s="154">
        <f>SUM(I42:I68)</f>
        <v>553298446.00133121</v>
      </c>
      <c r="K69" s="247"/>
      <c r="L69" s="245"/>
      <c r="N69" s="154">
        <f>SUM(N42:N68)</f>
        <v>593273933.53014398</v>
      </c>
    </row>
    <row r="70" spans="1:14" ht="14" x14ac:dyDescent="0.3">
      <c r="A70" s="151" t="str">
        <f>IF(B70&lt;&gt;"",COUNTA($B$13:B70),"")</f>
        <v/>
      </c>
      <c r="E70" s="188"/>
      <c r="H70" s="188"/>
      <c r="I70" s="154"/>
      <c r="K70" s="265"/>
      <c r="L70" s="278"/>
      <c r="N70" s="265"/>
    </row>
    <row r="71" spans="1:14" ht="14" x14ac:dyDescent="0.3">
      <c r="A71" s="151">
        <f>IF(B71&lt;&gt;"",COUNTA($B$13:B71),"")</f>
        <v>54</v>
      </c>
      <c r="B71" s="188" t="s">
        <v>46</v>
      </c>
      <c r="E71" s="188"/>
      <c r="G71" s="188"/>
      <c r="H71" s="188"/>
      <c r="I71" s="154"/>
      <c r="J71" s="188"/>
      <c r="L71" s="248" t="s">
        <v>325</v>
      </c>
      <c r="N71" s="160">
        <f>+N69/I69-1</f>
        <v>7.224941226152759E-2</v>
      </c>
    </row>
    <row r="72" spans="1:14" ht="14" x14ac:dyDescent="0.3">
      <c r="A72" s="151" t="str">
        <f>IF(B72&lt;&gt;"",COUNTA($B$13:B72),"")</f>
        <v/>
      </c>
      <c r="E72" s="188"/>
      <c r="G72" s="188"/>
      <c r="H72" s="188"/>
      <c r="I72" s="188"/>
      <c r="J72" s="188"/>
      <c r="L72" s="248"/>
      <c r="N72" s="160"/>
    </row>
    <row r="73" spans="1:14" ht="14" x14ac:dyDescent="0.3">
      <c r="A73" s="151" t="str">
        <f>IF(B73&lt;&gt;"",COUNTA($B$13:B73),"")</f>
        <v/>
      </c>
      <c r="E73" s="188"/>
      <c r="G73" s="186"/>
      <c r="H73" s="188"/>
      <c r="I73" s="188"/>
      <c r="L73" s="248"/>
      <c r="N73" s="160"/>
    </row>
    <row r="74" spans="1:14" ht="14.5" thickBot="1" x14ac:dyDescent="0.35">
      <c r="A74" s="151">
        <f>IF(B74&lt;&gt;"",COUNTA($B$13:B74),"")</f>
        <v>55</v>
      </c>
      <c r="B74" s="188" t="s">
        <v>46</v>
      </c>
      <c r="E74" s="279" t="s">
        <v>326</v>
      </c>
      <c r="F74" s="135"/>
      <c r="G74" s="280"/>
      <c r="I74" s="279" t="s">
        <v>327</v>
      </c>
      <c r="J74" s="135"/>
      <c r="L74" s="279" t="s">
        <v>328</v>
      </c>
      <c r="M74" s="135"/>
      <c r="N74" s="137"/>
    </row>
    <row r="75" spans="1:14" ht="14" x14ac:dyDescent="0.3">
      <c r="A75" s="151">
        <f>IF(B75&lt;&gt;"",COUNTA($B$13:B75),"")</f>
        <v>56</v>
      </c>
      <c r="B75" s="144" t="s">
        <v>329</v>
      </c>
      <c r="C75" s="144"/>
      <c r="D75" s="144"/>
      <c r="E75" s="249" t="s">
        <v>148</v>
      </c>
      <c r="F75" s="250"/>
      <c r="G75" s="251" t="s">
        <v>330</v>
      </c>
      <c r="I75" s="249" t="s">
        <v>148</v>
      </c>
      <c r="J75" s="251" t="s">
        <v>330</v>
      </c>
      <c r="K75" s="212"/>
      <c r="L75" s="249" t="s">
        <v>148</v>
      </c>
      <c r="M75" s="252"/>
      <c r="N75" s="251" t="s">
        <v>330</v>
      </c>
    </row>
    <row r="76" spans="1:14" ht="14" x14ac:dyDescent="0.3">
      <c r="A76" s="151">
        <f>IF(B76&lt;&gt;"",COUNTA($B$13:B76),"")</f>
        <v>57</v>
      </c>
      <c r="B76" s="207" t="str">
        <f>+'G1NDMD BOST'!B48</f>
        <v>Distribution</v>
      </c>
      <c r="C76" s="253" t="str">
        <f>+'G1NDMD BOST'!C48</f>
        <v>DIST</v>
      </c>
      <c r="D76" s="253"/>
      <c r="E76" s="154">
        <f t="shared" ref="E76:E91" si="10">SUMIF($C$13:$C$67,$C76,$I$13:$I$67)</f>
        <v>119237354.83616392</v>
      </c>
      <c r="G76" s="254">
        <f t="shared" ref="G76:G97" si="11">+E76/$E$25*100</f>
        <v>4.6521429495603543</v>
      </c>
      <c r="I76" s="154">
        <f t="shared" ref="I76:I91" si="12">SUMIF($C$13:$C$67,$C76,$N$13:$N$67)</f>
        <v>123266176.68288432</v>
      </c>
      <c r="J76" s="254">
        <f>+I76/($E$25+$E$40)*100</f>
        <v>4.8066404573215138</v>
      </c>
      <c r="L76" s="154">
        <f t="shared" ref="L76:L96" si="13">I76-E76</f>
        <v>4028821.8467203975</v>
      </c>
      <c r="N76" s="254">
        <f t="shared" ref="N76:N97" si="14">+L76/$E$25*100</f>
        <v>0.15718778041502224</v>
      </c>
    </row>
    <row r="77" spans="1:14" ht="14" x14ac:dyDescent="0.3">
      <c r="A77" s="151">
        <f>IF(B77&lt;&gt;"",COUNTA($B$13:B77),"")</f>
        <v>58</v>
      </c>
      <c r="B77" s="207" t="str">
        <f>+'G1NDMD BOST'!B49</f>
        <v>Revenue Decoupling</v>
      </c>
      <c r="C77" s="253" t="str">
        <f>+'G1NDMD BOST'!C49</f>
        <v>RDAF</v>
      </c>
      <c r="D77" s="253"/>
      <c r="E77" s="154">
        <f t="shared" si="10"/>
        <v>0</v>
      </c>
      <c r="G77" s="254">
        <f t="shared" si="11"/>
        <v>0</v>
      </c>
      <c r="I77" s="154">
        <f t="shared" si="12"/>
        <v>-1048911.9159190068</v>
      </c>
      <c r="J77" s="254">
        <f t="shared" ref="J77:J96" si="15">+I77/($E$25+$E$40)*100</f>
        <v>-4.0901264133415542E-2</v>
      </c>
      <c r="L77" s="154">
        <f>I77-E77</f>
        <v>-1048911.9159190068</v>
      </c>
      <c r="N77" s="254">
        <f t="shared" si="14"/>
        <v>-4.092415653682778E-2</v>
      </c>
    </row>
    <row r="78" spans="1:14" ht="14" x14ac:dyDescent="0.3">
      <c r="A78" s="151">
        <f>IF(B78&lt;&gt;"",COUNTA($B$13:B78),"")</f>
        <v>59</v>
      </c>
      <c r="B78" s="207" t="str">
        <f>+'G1NDMD BOST'!B50</f>
        <v>Residential Assistance Adjustment Factor</v>
      </c>
      <c r="C78" s="253" t="str">
        <f>+'G1NDMD BOST'!C50</f>
        <v>RAAF</v>
      </c>
      <c r="D78" s="253"/>
      <c r="E78" s="154">
        <f t="shared" si="10"/>
        <v>6411243.8707124582</v>
      </c>
      <c r="G78" s="254">
        <f t="shared" si="11"/>
        <v>0.25013992479142921</v>
      </c>
      <c r="I78" s="154">
        <f t="shared" si="12"/>
        <v>8861489.9633274172</v>
      </c>
      <c r="J78" s="254">
        <f t="shared" si="15"/>
        <v>0.34554487951269713</v>
      </c>
      <c r="L78" s="154">
        <f t="shared" si="13"/>
        <v>2450246.092614959</v>
      </c>
      <c r="N78" s="254">
        <f t="shared" si="14"/>
        <v>9.559835590204889E-2</v>
      </c>
    </row>
    <row r="79" spans="1:14" ht="14" x14ac:dyDescent="0.3">
      <c r="A79" s="151">
        <f>IF(B79&lt;&gt;"",COUNTA($B$13:B79),"")</f>
        <v>60</v>
      </c>
      <c r="B79" s="207" t="str">
        <f>+'G1NDMD BOST'!B51</f>
        <v>Pension Adjustment Factor</v>
      </c>
      <c r="C79" s="253" t="str">
        <f>+'G1NDMD BOST'!C51</f>
        <v>PAF</v>
      </c>
      <c r="D79" s="253"/>
      <c r="E79" s="154">
        <f t="shared" si="10"/>
        <v>-128224.87741424916</v>
      </c>
      <c r="G79" s="254">
        <f t="shared" si="11"/>
        <v>-5.0027984958285841E-3</v>
      </c>
      <c r="I79" s="154">
        <f t="shared" si="12"/>
        <v>1193949.7548011751</v>
      </c>
      <c r="J79" s="254">
        <f t="shared" si="15"/>
        <v>4.655686863883466E-2</v>
      </c>
      <c r="L79" s="154">
        <f t="shared" si="13"/>
        <v>1322174.6322154242</v>
      </c>
      <c r="N79" s="254">
        <f t="shared" si="14"/>
        <v>5.1585724975198782E-2</v>
      </c>
    </row>
    <row r="80" spans="1:14" ht="14" x14ac:dyDescent="0.3">
      <c r="A80" s="151">
        <f>IF(B80&lt;&gt;"",COUNTA($B$13:B80),"")</f>
        <v>61</v>
      </c>
      <c r="B80" s="207" t="str">
        <f>+'G1NDMD BOST'!B52</f>
        <v>Net Metering Recovery Surcharge</v>
      </c>
      <c r="C80" s="253" t="str">
        <f>+'G1NDMD BOST'!C52</f>
        <v>NMRS</v>
      </c>
      <c r="D80" s="253"/>
      <c r="E80" s="154">
        <f t="shared" si="10"/>
        <v>12642972.913044969</v>
      </c>
      <c r="G80" s="254">
        <f t="shared" si="11"/>
        <v>0.49327593168869849</v>
      </c>
      <c r="I80" s="154">
        <f t="shared" si="12"/>
        <v>11554672.097369557</v>
      </c>
      <c r="J80" s="254">
        <f t="shared" si="15"/>
        <v>0.45056280537670179</v>
      </c>
      <c r="L80" s="154">
        <f t="shared" si="13"/>
        <v>-1088300.8156754114</v>
      </c>
      <c r="N80" s="254">
        <f t="shared" si="14"/>
        <v>-4.246094668572431E-2</v>
      </c>
    </row>
    <row r="81" spans="1:14" ht="14" x14ac:dyDescent="0.3">
      <c r="A81" s="151">
        <f>IF(B81&lt;&gt;"",COUNTA($B$13:B81),"")</f>
        <v>62</v>
      </c>
      <c r="B81" s="207" t="str">
        <f>+'G1NDMD BOST'!B53</f>
        <v>Long Term Renewable Contract Adjustment</v>
      </c>
      <c r="C81" s="253" t="str">
        <f>+'G1NDMD BOST'!C53</f>
        <v>LTRCA</v>
      </c>
      <c r="D81" s="253"/>
      <c r="E81" s="154">
        <f t="shared" si="10"/>
        <v>6052214.2139525609</v>
      </c>
      <c r="G81" s="254">
        <f t="shared" si="11"/>
        <v>0.2361320890031092</v>
      </c>
      <c r="I81" s="154">
        <f t="shared" si="12"/>
        <v>4451231.4206871167</v>
      </c>
      <c r="J81" s="254">
        <f t="shared" si="15"/>
        <v>0.17357128782064515</v>
      </c>
      <c r="L81" s="154">
        <f t="shared" si="13"/>
        <v>-1600982.7932654442</v>
      </c>
      <c r="N81" s="254">
        <f t="shared" si="14"/>
        <v>-6.2463653477478426E-2</v>
      </c>
    </row>
    <row r="82" spans="1:14" ht="14" x14ac:dyDescent="0.3">
      <c r="A82" s="151">
        <f>IF(B82&lt;&gt;"",COUNTA($B$13:B82),"")</f>
        <v>63</v>
      </c>
      <c r="B82" s="207" t="str">
        <f>+'G1NDMD BOST'!B54</f>
        <v>AG Consulting Expense</v>
      </c>
      <c r="C82" s="253" t="str">
        <f>+'G1NDMD BOST'!C54</f>
        <v>AGCE</v>
      </c>
      <c r="D82" s="253"/>
      <c r="E82" s="154">
        <f t="shared" si="10"/>
        <v>76934.926448549493</v>
      </c>
      <c r="G82" s="254">
        <f t="shared" si="11"/>
        <v>3.0016790974971503E-3</v>
      </c>
      <c r="I82" s="154">
        <f t="shared" si="12"/>
        <v>18605.823309474374</v>
      </c>
      <c r="J82" s="254">
        <f t="shared" si="15"/>
        <v>7.2551534790575578E-4</v>
      </c>
      <c r="L82" s="154">
        <f t="shared" si="13"/>
        <v>-58329.103139075116</v>
      </c>
      <c r="N82" s="254">
        <f t="shared" si="14"/>
        <v>-2.2757576792564564E-3</v>
      </c>
    </row>
    <row r="83" spans="1:14" ht="14" x14ac:dyDescent="0.3">
      <c r="A83" s="151">
        <f>IF(B83&lt;&gt;"",COUNTA($B$13:B83),"")</f>
        <v>64</v>
      </c>
      <c r="B83" s="207" t="str">
        <f>+'G1NDMD BOST'!B55</f>
        <v>Storm Cost Recovery Adjustment Factor</v>
      </c>
      <c r="C83" s="253" t="str">
        <f>+'G1NDMD BOST'!C55</f>
        <v>SCRA</v>
      </c>
      <c r="D83" s="253"/>
      <c r="E83" s="154">
        <f t="shared" si="10"/>
        <v>3949326.2243588739</v>
      </c>
      <c r="G83" s="254">
        <f t="shared" si="11"/>
        <v>0.15408619367152038</v>
      </c>
      <c r="I83" s="154">
        <f t="shared" si="12"/>
        <v>6715895.0440406902</v>
      </c>
      <c r="J83" s="254">
        <f t="shared" si="15"/>
        <v>0.2618795657859751</v>
      </c>
      <c r="L83" s="154">
        <f>I83-E83</f>
        <v>2766568.8196818163</v>
      </c>
      <c r="N83" s="254">
        <f t="shared" si="14"/>
        <v>0.10793994588894339</v>
      </c>
    </row>
    <row r="84" spans="1:14" ht="14" x14ac:dyDescent="0.3">
      <c r="A84" s="151">
        <f>IF(B84&lt;&gt;"",COUNTA($B$13:B84),"")</f>
        <v>65</v>
      </c>
      <c r="B84" s="207" t="str">
        <f>+'G1NDMD BOST'!B56</f>
        <v>Storm Reserve Adjustment</v>
      </c>
      <c r="C84" s="253" t="str">
        <f>+'G1NDMD BOST'!C56</f>
        <v>SRA</v>
      </c>
      <c r="D84" s="253"/>
      <c r="E84" s="154">
        <f t="shared" si="10"/>
        <v>0</v>
      </c>
      <c r="G84" s="254">
        <f t="shared" si="11"/>
        <v>0</v>
      </c>
      <c r="I84" s="154">
        <f t="shared" si="12"/>
        <v>0</v>
      </c>
      <c r="J84" s="254">
        <f t="shared" si="15"/>
        <v>0</v>
      </c>
      <c r="L84" s="154">
        <f>I84-E84</f>
        <v>0</v>
      </c>
      <c r="N84" s="254">
        <f t="shared" si="14"/>
        <v>0</v>
      </c>
    </row>
    <row r="85" spans="1:14" ht="14" x14ac:dyDescent="0.3">
      <c r="A85" s="151">
        <f>IF(B85&lt;&gt;"",COUNTA($B$13:B85),"")</f>
        <v>66</v>
      </c>
      <c r="B85" s="207" t="str">
        <f>+'G1NDMD BOST'!B57</f>
        <v>Basic Service Cost True Up Factor</v>
      </c>
      <c r="C85" s="253" t="str">
        <f>+'G1NDMD BOST'!C57</f>
        <v>BSTF</v>
      </c>
      <c r="D85" s="253"/>
      <c r="E85" s="154">
        <f t="shared" si="10"/>
        <v>3436426.7147018774</v>
      </c>
      <c r="G85" s="254">
        <f t="shared" si="11"/>
        <v>0.13407499968820605</v>
      </c>
      <c r="I85" s="154">
        <f t="shared" si="12"/>
        <v>-439728.84667146415</v>
      </c>
      <c r="J85" s="254">
        <f t="shared" si="15"/>
        <v>-1.7146783663939721E-2</v>
      </c>
      <c r="L85" s="154">
        <f>I85-E85</f>
        <v>-3876155.5613733418</v>
      </c>
      <c r="N85" s="254">
        <f t="shared" si="14"/>
        <v>-0.15123138039265721</v>
      </c>
    </row>
    <row r="86" spans="1:14" ht="14" x14ac:dyDescent="0.3">
      <c r="A86" s="151">
        <f>IF(B86&lt;&gt;"",COUNTA($B$13:B86),"")</f>
        <v>67</v>
      </c>
      <c r="B86" s="207" t="str">
        <f>+'G1NDMD BOST'!B58</f>
        <v>Solar Program Cost Adjustment Factor</v>
      </c>
      <c r="C86" s="253" t="str">
        <f>+'G1NDMD BOST'!C58</f>
        <v>SPCA</v>
      </c>
      <c r="D86" s="253"/>
      <c r="E86" s="154">
        <f t="shared" si="10"/>
        <v>0</v>
      </c>
      <c r="G86" s="254">
        <f t="shared" si="11"/>
        <v>0</v>
      </c>
      <c r="I86" s="154">
        <f t="shared" si="12"/>
        <v>78256.132079119576</v>
      </c>
      <c r="J86" s="254">
        <f t="shared" si="15"/>
        <v>3.0515190833952498E-3</v>
      </c>
      <c r="L86" s="154">
        <f t="shared" ref="L86:L91" si="16">I86-E86</f>
        <v>78256.132079119576</v>
      </c>
      <c r="N86" s="254">
        <f t="shared" si="14"/>
        <v>3.0532270160803952E-3</v>
      </c>
    </row>
    <row r="87" spans="1:14" ht="14" x14ac:dyDescent="0.3">
      <c r="A87" s="151">
        <f>IF(B87&lt;&gt;"",COUNTA($B$13:B87),"")</f>
        <v>68</v>
      </c>
      <c r="B87" s="207" t="str">
        <f>+'G1NDMD BOST'!B59</f>
        <v>Solar Expansion Cost Recovery Factor</v>
      </c>
      <c r="C87" s="253" t="str">
        <f>+'G1NDMD BOST'!C59</f>
        <v>SECRF</v>
      </c>
      <c r="D87" s="253"/>
      <c r="E87" s="154">
        <f t="shared" si="10"/>
        <v>0</v>
      </c>
      <c r="G87" s="254">
        <f t="shared" si="11"/>
        <v>0</v>
      </c>
      <c r="I87" s="154">
        <f t="shared" si="12"/>
        <v>1380259.1412965467</v>
      </c>
      <c r="J87" s="254">
        <f t="shared" si="15"/>
        <v>5.3821815591892447E-2</v>
      </c>
      <c r="L87" s="154">
        <f t="shared" si="16"/>
        <v>1380259.1412965467</v>
      </c>
      <c r="N87" s="254">
        <f t="shared" si="14"/>
        <v>5.3851939617176596E-2</v>
      </c>
    </row>
    <row r="88" spans="1:14" ht="14" x14ac:dyDescent="0.3">
      <c r="A88" s="151">
        <f>IF(B88&lt;&gt;"",COUNTA($B$13:B88),"")</f>
        <v>69</v>
      </c>
      <c r="B88" s="207" t="str">
        <f>+'G1NDMD BOST'!B60</f>
        <v>Vegetation Management</v>
      </c>
      <c r="C88" s="253" t="str">
        <f>+'G1NDMD BOST'!C60</f>
        <v>RTWF</v>
      </c>
      <c r="D88" s="253"/>
      <c r="E88" s="154">
        <f t="shared" si="10"/>
        <v>0</v>
      </c>
      <c r="G88" s="254">
        <f t="shared" si="11"/>
        <v>0</v>
      </c>
      <c r="I88" s="154">
        <f t="shared" si="12"/>
        <v>2137573.597292779</v>
      </c>
      <c r="J88" s="254">
        <f t="shared" si="15"/>
        <v>8.3352530351307574E-2</v>
      </c>
      <c r="L88" s="154">
        <f t="shared" si="16"/>
        <v>2137573.597292779</v>
      </c>
      <c r="N88" s="254">
        <f t="shared" si="14"/>
        <v>8.3399182693005572E-2</v>
      </c>
    </row>
    <row r="89" spans="1:14" ht="14" x14ac:dyDescent="0.3">
      <c r="A89" s="151">
        <f>IF(B89&lt;&gt;"",COUNTA($B$13:B89),"")</f>
        <v>70</v>
      </c>
      <c r="B89" s="207" t="str">
        <f>+'G1NDMD BOST'!B61</f>
        <v>Solar Massachusetts Renewable Target</v>
      </c>
      <c r="C89" s="253" t="str">
        <f>+'G1NDMD BOST'!C61</f>
        <v>SMART</v>
      </c>
      <c r="D89" s="253"/>
      <c r="E89" s="154">
        <f t="shared" si="10"/>
        <v>0</v>
      </c>
      <c r="G89" s="254">
        <f t="shared" si="11"/>
        <v>0</v>
      </c>
      <c r="I89" s="154">
        <f t="shared" si="12"/>
        <v>1617167.273671424</v>
      </c>
      <c r="J89" s="254">
        <f t="shared" si="15"/>
        <v>6.3059809698508398E-2</v>
      </c>
      <c r="L89" s="154">
        <f t="shared" si="16"/>
        <v>1617167.273671424</v>
      </c>
      <c r="N89" s="254">
        <f t="shared" si="14"/>
        <v>6.3095104221386922E-2</v>
      </c>
    </row>
    <row r="90" spans="1:14" ht="14" x14ac:dyDescent="0.3">
      <c r="A90" s="151">
        <f>IF(B90&lt;&gt;"",COUNTA($B$13:B90),"")</f>
        <v>71</v>
      </c>
      <c r="B90" s="207" t="str">
        <f>+'G1NDMD BOST'!B62</f>
        <v>Tax Act Credit Factor</v>
      </c>
      <c r="C90" s="253" t="str">
        <f>+'G1NDMD BOST'!C62</f>
        <v>TACF</v>
      </c>
      <c r="D90" s="253"/>
      <c r="E90" s="154">
        <f t="shared" si="10"/>
        <v>0</v>
      </c>
      <c r="G90" s="254">
        <f t="shared" si="11"/>
        <v>0</v>
      </c>
      <c r="I90" s="154">
        <f t="shared" si="12"/>
        <v>-2448121.0911079957</v>
      </c>
      <c r="J90" s="254">
        <f t="shared" si="15"/>
        <v>-9.5462017218350834E-2</v>
      </c>
      <c r="L90" s="154">
        <f t="shared" si="16"/>
        <v>-2448121.0911079957</v>
      </c>
      <c r="N90" s="254">
        <f t="shared" si="14"/>
        <v>-9.5515447229745587E-2</v>
      </c>
    </row>
    <row r="91" spans="1:14" ht="14" x14ac:dyDescent="0.3">
      <c r="A91" s="151">
        <f>IF(B91&lt;&gt;"",COUNTA($B$13:B91),"")</f>
        <v>72</v>
      </c>
      <c r="B91" s="207" t="str">
        <f>+'G1NDMD BOST'!B63</f>
        <v>Transition</v>
      </c>
      <c r="C91" s="253" t="str">
        <f>+'G1NDMD BOST'!C63</f>
        <v>TRNSN</v>
      </c>
      <c r="D91" s="253"/>
      <c r="E91" s="154">
        <f t="shared" si="10"/>
        <v>-1564343.5044538397</v>
      </c>
      <c r="G91" s="254">
        <f t="shared" si="11"/>
        <v>-6.1034141649108718E-2</v>
      </c>
      <c r="I91" s="154">
        <f t="shared" si="12"/>
        <v>-1336342.2698224615</v>
      </c>
      <c r="J91" s="254">
        <f t="shared" si="15"/>
        <v>-5.2109321403568713E-2</v>
      </c>
      <c r="L91" s="154">
        <f t="shared" si="16"/>
        <v>228001.2346313782</v>
      </c>
      <c r="N91" s="254">
        <f t="shared" si="14"/>
        <v>8.8956547018243688E-3</v>
      </c>
    </row>
    <row r="92" spans="1:14" ht="14" x14ac:dyDescent="0.3">
      <c r="A92" s="151">
        <f>IF(B92&lt;&gt;"",COUNTA($B$13:B92),"")</f>
        <v>73</v>
      </c>
      <c r="B92" s="207" t="str">
        <f>+'G1NDMD BOST'!B64</f>
        <v>Transmission</v>
      </c>
      <c r="C92" s="253" t="str">
        <f>+'G1NDMD BOST'!C64</f>
        <v>TRNSM</v>
      </c>
      <c r="D92" s="253"/>
      <c r="E92" s="154">
        <f>SUM(SUMIF($C$13:$C$67,{"TMKW","TMKWH"},$I$13:$I$67))</f>
        <v>81365743.349533558</v>
      </c>
      <c r="G92" s="254">
        <f t="shared" si="11"/>
        <v>3.1745510438350117</v>
      </c>
      <c r="I92" s="154">
        <f>SUM(SUMIF($C$13:$C$67,{"TMKW","TMKWH"},$N$13:$N$67))</f>
        <v>69753617.078184277</v>
      </c>
      <c r="J92" s="254">
        <f t="shared" si="15"/>
        <v>2.7199720711307469</v>
      </c>
      <c r="L92" s="154">
        <f t="shared" si="13"/>
        <v>-11612126.271349281</v>
      </c>
      <c r="N92" s="254">
        <f t="shared" si="14"/>
        <v>-0.4530566066052803</v>
      </c>
    </row>
    <row r="93" spans="1:14" ht="14" x14ac:dyDescent="0.3">
      <c r="A93" s="151">
        <f>IF(B93&lt;&gt;"",COUNTA($B$13:B93),"")</f>
        <v>74</v>
      </c>
      <c r="B93" s="207" t="str">
        <f>+'G1NDMD BOST'!B65</f>
        <v>Energy Efficiency Reconciliation Factor</v>
      </c>
      <c r="C93" s="253" t="str">
        <f>+'G1NDMD BOST'!C65</f>
        <v>EERF</v>
      </c>
      <c r="D93" s="253"/>
      <c r="E93" s="154">
        <f>SUMIF($C$13:$C$67,$C93,$I$13:$I$67)</f>
        <v>21695649.258490957</v>
      </c>
      <c r="G93" s="254">
        <f t="shared" si="11"/>
        <v>0.84647350549419631</v>
      </c>
      <c r="I93" s="154">
        <f>SUMIF($C$13:$C$67,$C93,$N$13:$N$67)</f>
        <v>21695649.258490957</v>
      </c>
      <c r="J93" s="254">
        <f t="shared" si="15"/>
        <v>0.84600000000000009</v>
      </c>
      <c r="L93" s="154">
        <f t="shared" si="13"/>
        <v>0</v>
      </c>
      <c r="N93" s="254">
        <f t="shared" si="14"/>
        <v>0</v>
      </c>
    </row>
    <row r="94" spans="1:14" ht="14" x14ac:dyDescent="0.3">
      <c r="A94" s="151">
        <f>IF(B94&lt;&gt;"",COUNTA($B$13:B94),"")</f>
        <v>75</v>
      </c>
      <c r="B94" s="207" t="str">
        <f>+'G1NDMD BOST'!B66</f>
        <v>System Benefits Charge</v>
      </c>
      <c r="C94" s="253" t="str">
        <f>+'G1NDMD BOST'!C66</f>
        <v>SBC</v>
      </c>
      <c r="D94" s="253"/>
      <c r="E94" s="154">
        <f>SUMIF($C$13:$C$67,$C94,$I$13:$I$67)</f>
        <v>6411243.8707124582</v>
      </c>
      <c r="G94" s="254">
        <f t="shared" si="11"/>
        <v>0.25013992479142921</v>
      </c>
      <c r="I94" s="154">
        <f>SUMIF($C$13:$C$67,$C94,$N$13:$N$67)</f>
        <v>6411243.8707124582</v>
      </c>
      <c r="J94" s="254">
        <f t="shared" si="15"/>
        <v>0.25</v>
      </c>
      <c r="L94" s="154">
        <f t="shared" si="13"/>
        <v>0</v>
      </c>
      <c r="N94" s="254">
        <f t="shared" si="14"/>
        <v>0</v>
      </c>
    </row>
    <row r="95" spans="1:14" ht="14" x14ac:dyDescent="0.3">
      <c r="A95" s="151">
        <f>IF(B95&lt;&gt;"",COUNTA($B$13:B95),"")</f>
        <v>76</v>
      </c>
      <c r="B95" s="207" t="str">
        <f>+'G1NDMD BOST'!B67</f>
        <v>Renewable Energy Charge</v>
      </c>
      <c r="C95" s="253" t="str">
        <f>+'G1NDMD BOST'!C67</f>
        <v>RNEW</v>
      </c>
      <c r="D95" s="253"/>
      <c r="E95" s="154">
        <f>SUMIF($C$13:$C$67,$C95,$I$13:$I$67)</f>
        <v>1282248.7741424916</v>
      </c>
      <c r="G95" s="254">
        <f t="shared" si="11"/>
        <v>5.0027984958285844E-2</v>
      </c>
      <c r="I95" s="154">
        <f>SUMIF($C$13:$C$67,$C95,$N$13:$N$67)</f>
        <v>1282248.7741424916</v>
      </c>
      <c r="J95" s="254">
        <f t="shared" si="15"/>
        <v>0.05</v>
      </c>
      <c r="L95" s="154">
        <f>I95-E95</f>
        <v>0</v>
      </c>
      <c r="N95" s="254">
        <f t="shared" si="14"/>
        <v>0</v>
      </c>
    </row>
    <row r="96" spans="1:14" ht="14" x14ac:dyDescent="0.3">
      <c r="A96" s="151">
        <f>IF(B96&lt;&gt;"",COUNTA($B$13:B96),"")</f>
        <v>77</v>
      </c>
      <c r="B96" s="207" t="str">
        <f>+'G1NDMD BOST'!B68</f>
        <v>Basic Service Charge</v>
      </c>
      <c r="C96" s="253" t="str">
        <f>+'G1NDMD BOST'!C68</f>
        <v>BS</v>
      </c>
      <c r="D96" s="253"/>
      <c r="E96" s="255">
        <f>SUMIF($C$13:$C$67,$C96,$I$13:$I$67)</f>
        <v>292429655.43093663</v>
      </c>
      <c r="F96" s="256"/>
      <c r="G96" s="257">
        <f t="shared" si="11"/>
        <v>11.409382249586669</v>
      </c>
      <c r="H96" s="258"/>
      <c r="I96" s="255">
        <f>SUMIF($C$13:$C$67,$C96,$N$13:$N$67)</f>
        <v>338129001.74137509</v>
      </c>
      <c r="J96" s="257">
        <f t="shared" si="15"/>
        <v>13.185000000000002</v>
      </c>
      <c r="K96" s="255"/>
      <c r="L96" s="255">
        <f t="shared" si="13"/>
        <v>45699346.310438454</v>
      </c>
      <c r="M96" s="259"/>
      <c r="N96" s="257">
        <f t="shared" si="14"/>
        <v>1.7829973839133095</v>
      </c>
    </row>
    <row r="97" spans="1:14" ht="14" x14ac:dyDescent="0.3">
      <c r="A97" s="151">
        <f>IF(B97&lt;&gt;"",COUNTA($B$13:B97),"")</f>
        <v>78</v>
      </c>
      <c r="B97" s="207" t="str">
        <f>+'G1NDMD BOST'!B69</f>
        <v>Total</v>
      </c>
      <c r="C97" s="130"/>
      <c r="D97" s="130"/>
      <c r="E97" s="154">
        <f>SUM(E76:E96)</f>
        <v>553298446.00133133</v>
      </c>
      <c r="G97" s="254">
        <f t="shared" si="11"/>
        <v>21.587391536021475</v>
      </c>
      <c r="I97" s="154">
        <f>SUM(I76:I96)</f>
        <v>593273933.53014398</v>
      </c>
      <c r="J97" s="254">
        <f t="shared" ref="J97" si="17">+I97/$E$25*100</f>
        <v>23.147067886758496</v>
      </c>
      <c r="L97" s="154">
        <f>SUM(L76:L96)</f>
        <v>39975487.528812744</v>
      </c>
      <c r="N97" s="254">
        <f t="shared" si="14"/>
        <v>1.5596763507370266</v>
      </c>
    </row>
    <row r="98" spans="1:14" ht="14" x14ac:dyDescent="0.3">
      <c r="A98" s="151" t="str">
        <f>IF(B98&lt;&gt;"",COUNTA($B$10:B98),"")</f>
        <v/>
      </c>
    </row>
    <row r="99" spans="1:14" ht="14" x14ac:dyDescent="0.3">
      <c r="A99" s="151"/>
      <c r="B99" s="256" t="s">
        <v>164</v>
      </c>
      <c r="E99" s="188"/>
      <c r="G99" s="188"/>
      <c r="H99" s="188"/>
      <c r="I99" s="188"/>
      <c r="J99" s="188"/>
      <c r="K99" s="188"/>
      <c r="L99" s="188"/>
      <c r="M99" s="188"/>
      <c r="N99" s="188"/>
    </row>
    <row r="100" spans="1:14" ht="14" x14ac:dyDescent="0.3">
      <c r="A100" s="151"/>
      <c r="B100" s="188" t="str">
        <f>'T1 BOST'!B80</f>
        <v>Col. (a): Company's forecast</v>
      </c>
    </row>
    <row r="101" spans="1:14" ht="14" x14ac:dyDescent="0.3">
      <c r="A101" s="151"/>
      <c r="B101" s="188" t="str">
        <f>'T1 BOST'!B81</f>
        <v>Col. (b): Current rates</v>
      </c>
    </row>
    <row r="102" spans="1:14" ht="14" x14ac:dyDescent="0.3">
      <c r="A102" s="151"/>
      <c r="B102" s="188" t="str">
        <f>'T1 BOST'!B82</f>
        <v>Col. (c): Col. (a) x Col. (b)</v>
      </c>
    </row>
    <row r="103" spans="1:14" ht="14" x14ac:dyDescent="0.3">
      <c r="A103" s="151"/>
      <c r="B103" s="188" t="str">
        <f>'T1 BOST'!B83</f>
        <v>Col. (e): Proposed rates</v>
      </c>
    </row>
    <row r="104" spans="1:14" ht="14" x14ac:dyDescent="0.3">
      <c r="A104" s="151"/>
      <c r="B104" s="188" t="s">
        <v>402</v>
      </c>
    </row>
  </sheetData>
  <mergeCells count="6">
    <mergeCell ref="A4:N4"/>
    <mergeCell ref="A5:N5"/>
    <mergeCell ref="A7:N7"/>
    <mergeCell ref="A8:N8"/>
    <mergeCell ref="G10:I10"/>
    <mergeCell ref="L10:N10"/>
  </mergeCells>
  <pageMargins left="0.7" right="0.7" top="0.75" bottom="0.75" header="0.3" footer="0.3"/>
  <pageSetup scale="47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E889F-7D07-4D8D-B0CA-360CF994574F}">
  <sheetPr>
    <tabColor theme="9" tint="0.59999389629810485"/>
    <pageSetUpPr fitToPage="1"/>
  </sheetPr>
  <dimension ref="A4:N80"/>
  <sheetViews>
    <sheetView workbookViewId="0"/>
  </sheetViews>
  <sheetFormatPr defaultRowHeight="12.5" x14ac:dyDescent="0.25"/>
  <cols>
    <col min="1" max="1" width="3.26953125" bestFit="1" customWidth="1"/>
    <col min="2" max="2" width="41.1796875" customWidth="1"/>
    <col min="3" max="3" width="8.26953125" bestFit="1" customWidth="1"/>
    <col min="4" max="4" width="1.26953125" customWidth="1"/>
    <col min="5" max="5" width="14.453125" bestFit="1" customWidth="1"/>
    <col min="6" max="6" width="1.26953125" customWidth="1"/>
    <col min="7" max="7" width="12.7265625" customWidth="1"/>
    <col min="8" max="8" width="1.26953125" customWidth="1"/>
    <col min="9" max="9" width="14.453125" bestFit="1" customWidth="1"/>
    <col min="11" max="11" width="1.26953125" customWidth="1"/>
    <col min="12" max="12" width="14.1796875" customWidth="1"/>
    <col min="13" max="13" width="1.26953125" customWidth="1"/>
    <col min="14" max="14" width="14.453125" bestFit="1" customWidth="1"/>
  </cols>
  <sheetData>
    <row r="4" spans="1:14" ht="14" x14ac:dyDescent="0.3">
      <c r="A4" s="748" t="str">
        <f>'R1 EMA'!A4:N4</f>
        <v>Eastern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4" ht="14" x14ac:dyDescent="0.3">
      <c r="A5" s="748" t="str">
        <f>'R1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4" ht="14" x14ac:dyDescent="0.3">
      <c r="A6" s="205"/>
      <c r="C6" s="205"/>
      <c r="D6" s="205"/>
      <c r="E6" s="206"/>
      <c r="F6" s="207"/>
      <c r="G6" s="208"/>
      <c r="H6" s="209"/>
      <c r="I6" s="210"/>
      <c r="J6" s="210"/>
      <c r="K6" s="210"/>
      <c r="L6" s="211"/>
      <c r="M6" s="211"/>
      <c r="N6" s="212"/>
    </row>
    <row r="7" spans="1:14" ht="14" x14ac:dyDescent="0.3">
      <c r="A7" s="748" t="s">
        <v>346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4" ht="14" x14ac:dyDescent="0.3">
      <c r="A8" s="748" t="s">
        <v>403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4" ht="14" x14ac:dyDescent="0.3">
      <c r="B9" s="207"/>
      <c r="C9" s="207"/>
      <c r="D9" s="207"/>
      <c r="E9" s="213"/>
      <c r="F9" s="207"/>
      <c r="I9" s="210"/>
      <c r="J9" s="210"/>
      <c r="K9" s="210"/>
      <c r="L9" s="214"/>
      <c r="M9" s="214"/>
      <c r="N9" s="215"/>
    </row>
    <row r="10" spans="1:14" ht="14.5" thickBot="1" x14ac:dyDescent="0.35">
      <c r="A10" s="151"/>
      <c r="B10" s="216" t="s">
        <v>46</v>
      </c>
      <c r="C10" s="216"/>
      <c r="D10" s="216"/>
      <c r="E10" s="217" t="s">
        <v>144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4" ht="14" x14ac:dyDescent="0.3">
      <c r="A11" s="151"/>
      <c r="B11" s="219" t="s">
        <v>293</v>
      </c>
      <c r="C11" s="220" t="s">
        <v>294</v>
      </c>
      <c r="D11" s="220"/>
      <c r="E11" s="221" t="s">
        <v>295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4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4" ht="14" x14ac:dyDescent="0.3">
      <c r="A13" s="151">
        <f>IF(B13&lt;&gt;"",COUNTA($B$13:B13),"")</f>
        <v>1</v>
      </c>
      <c r="B13" s="232" t="s">
        <v>296</v>
      </c>
      <c r="C13" s="233" t="s">
        <v>297</v>
      </c>
      <c r="D13" s="233"/>
      <c r="E13" s="234">
        <v>5629.5660375498055</v>
      </c>
      <c r="F13" s="207"/>
      <c r="G13" s="209">
        <v>250</v>
      </c>
      <c r="H13" s="209"/>
      <c r="I13" s="210">
        <f>G13*E13</f>
        <v>1407391.5093874515</v>
      </c>
      <c r="J13" s="235"/>
      <c r="K13" s="210"/>
      <c r="L13" s="209">
        <v>250</v>
      </c>
      <c r="M13" s="211"/>
      <c r="N13" s="210">
        <f>L13*E13</f>
        <v>1407391.5093874515</v>
      </c>
    </row>
    <row r="14" spans="1:14" ht="14" x14ac:dyDescent="0.3">
      <c r="A14" s="151">
        <f>IF(B14&lt;&gt;"",COUNTA($B$13:B14),"")</f>
        <v>2</v>
      </c>
      <c r="B14" s="232" t="s">
        <v>404</v>
      </c>
      <c r="C14" s="233" t="s">
        <v>405</v>
      </c>
      <c r="D14" s="233"/>
      <c r="E14" s="234">
        <v>4079302.4860890545</v>
      </c>
      <c r="F14" s="207"/>
      <c r="G14" s="209">
        <v>8.58</v>
      </c>
      <c r="H14" s="209"/>
      <c r="I14" s="210">
        <f t="shared" ref="I14:I17" si="0">G14*E14</f>
        <v>35000415.330644086</v>
      </c>
      <c r="J14" s="235"/>
      <c r="K14" s="210"/>
      <c r="L14" s="209">
        <v>8.8699999999999992</v>
      </c>
      <c r="M14" s="211"/>
      <c r="N14" s="210">
        <f t="shared" ref="N14:N15" si="1">L14*E14</f>
        <v>36183413.051609911</v>
      </c>
    </row>
    <row r="15" spans="1:14" ht="14" x14ac:dyDescent="0.3">
      <c r="A15" s="151">
        <f>IF(B15&lt;&gt;"",COUNTA($B$13:B15),"")</f>
        <v>3</v>
      </c>
      <c r="B15" s="232" t="s">
        <v>406</v>
      </c>
      <c r="C15" s="233" t="s">
        <v>407</v>
      </c>
      <c r="D15" s="233"/>
      <c r="E15" s="234">
        <v>2332488.060180618</v>
      </c>
      <c r="F15" s="207"/>
      <c r="G15" s="209">
        <v>14.54</v>
      </c>
      <c r="H15" s="209"/>
      <c r="I15" s="210">
        <f t="shared" si="0"/>
        <v>33914376.395026185</v>
      </c>
      <c r="J15" s="235"/>
      <c r="K15" s="210"/>
      <c r="L15" s="209">
        <v>15.04</v>
      </c>
      <c r="M15" s="211"/>
      <c r="N15" s="210">
        <f t="shared" si="1"/>
        <v>35080620.425116494</v>
      </c>
    </row>
    <row r="16" spans="1:14" ht="14" x14ac:dyDescent="0.3">
      <c r="A16" s="151">
        <f>IF(B16&lt;&gt;"",COUNTA($B$13:B16),"")</f>
        <v>4</v>
      </c>
      <c r="B16" s="232" t="s">
        <v>363</v>
      </c>
      <c r="C16" s="233" t="s">
        <v>364</v>
      </c>
      <c r="D16" s="233"/>
      <c r="E16" s="234">
        <v>6411790.5462696729</v>
      </c>
      <c r="F16" s="207"/>
      <c r="G16" s="209"/>
      <c r="H16" s="209"/>
      <c r="I16" s="210"/>
      <c r="J16" s="235"/>
      <c r="K16" s="210"/>
      <c r="L16" s="209"/>
      <c r="M16" s="211"/>
      <c r="N16" s="210"/>
    </row>
    <row r="17" spans="1:14" ht="14" x14ac:dyDescent="0.3">
      <c r="A17" s="151">
        <f>IF(B17&lt;&gt;"",COUNTA($B$13:B17),"")</f>
        <v>5</v>
      </c>
      <c r="B17" s="207" t="s">
        <v>298</v>
      </c>
      <c r="C17" s="233" t="s">
        <v>299</v>
      </c>
      <c r="D17" s="233"/>
      <c r="E17" s="234">
        <v>3031837282.793479</v>
      </c>
      <c r="F17" s="207"/>
      <c r="G17" s="236">
        <v>0</v>
      </c>
      <c r="H17" s="209"/>
      <c r="I17" s="237">
        <f t="shared" si="0"/>
        <v>0</v>
      </c>
      <c r="J17" s="235"/>
      <c r="K17" s="210"/>
      <c r="L17" s="236">
        <v>0</v>
      </c>
      <c r="M17" s="211"/>
      <c r="N17" s="237">
        <f t="shared" ref="N17" si="2">L17*E17</f>
        <v>0</v>
      </c>
    </row>
    <row r="18" spans="1:14" ht="14" x14ac:dyDescent="0.3">
      <c r="A18" s="151">
        <f>IF(B18&lt;&gt;"",COUNTA($B$13:B18),"")</f>
        <v>6</v>
      </c>
      <c r="B18" s="207" t="s">
        <v>300</v>
      </c>
      <c r="C18" s="233" t="s">
        <v>301</v>
      </c>
      <c r="D18" s="233"/>
      <c r="E18" s="289"/>
      <c r="F18" s="207"/>
      <c r="G18" s="209"/>
      <c r="H18" s="209"/>
      <c r="I18" s="210">
        <f>SUM(I13:I17)</f>
        <v>70322183.235057712</v>
      </c>
      <c r="J18" s="235"/>
      <c r="K18" s="210"/>
      <c r="L18" s="238"/>
      <c r="M18" s="211"/>
      <c r="N18" s="210">
        <f>SUM(N13:N17)</f>
        <v>72671424.986113846</v>
      </c>
    </row>
    <row r="19" spans="1:14" ht="14" x14ac:dyDescent="0.3">
      <c r="A19" s="151" t="str">
        <f>IF(B19&lt;&gt;"",COUNTA($B$13:B19),"")</f>
        <v/>
      </c>
      <c r="B19" s="207"/>
      <c r="C19" s="233"/>
      <c r="D19" s="233"/>
      <c r="E19" s="234"/>
      <c r="F19" s="207"/>
      <c r="G19" s="209"/>
      <c r="H19" s="209"/>
      <c r="I19" s="210"/>
      <c r="J19" s="235"/>
      <c r="K19" s="210"/>
      <c r="L19" s="283"/>
      <c r="M19" s="211"/>
      <c r="N19" s="210"/>
    </row>
    <row r="20" spans="1:14" ht="14" x14ac:dyDescent="0.3">
      <c r="A20" s="151">
        <f>IF(B20&lt;&gt;"",COUNTA($B$13:B20),"")</f>
        <v>7</v>
      </c>
      <c r="B20" s="207" t="s">
        <v>377</v>
      </c>
      <c r="C20" s="233" t="s">
        <v>378</v>
      </c>
      <c r="D20" s="233"/>
      <c r="E20" s="234"/>
      <c r="F20" s="207"/>
      <c r="G20" s="209"/>
      <c r="H20" s="209"/>
      <c r="I20" s="210"/>
      <c r="J20" s="235"/>
      <c r="K20" s="210"/>
      <c r="L20" s="283"/>
      <c r="M20" s="211"/>
      <c r="N20" s="210"/>
    </row>
    <row r="21" spans="1:14" ht="14" x14ac:dyDescent="0.3">
      <c r="A21" s="151">
        <f>IF(B21&lt;&gt;"",COUNTA($B$13:B21),"")</f>
        <v>8</v>
      </c>
      <c r="B21" s="207" t="s">
        <v>379</v>
      </c>
      <c r="C21" s="233" t="s">
        <v>380</v>
      </c>
      <c r="D21" s="233"/>
      <c r="E21" s="234"/>
      <c r="F21" s="207"/>
      <c r="G21" s="209"/>
      <c r="H21" s="209"/>
      <c r="I21" s="210"/>
      <c r="J21" s="235"/>
      <c r="K21" s="210"/>
      <c r="L21" s="283"/>
      <c r="M21" s="211"/>
      <c r="N21" s="210"/>
    </row>
    <row r="22" spans="1:14" ht="14" x14ac:dyDescent="0.3">
      <c r="A22" s="151" t="str">
        <f>IF(B22&lt;&gt;"",COUNTA($B$13:B22),"")</f>
        <v/>
      </c>
      <c r="B22" s="207"/>
      <c r="C22" s="233"/>
      <c r="D22" s="233"/>
      <c r="E22" s="234"/>
      <c r="F22" s="207"/>
      <c r="G22" s="209"/>
      <c r="H22" s="209"/>
      <c r="I22" s="210"/>
      <c r="J22" s="235"/>
      <c r="K22" s="210"/>
      <c r="L22" s="283"/>
      <c r="M22" s="211"/>
      <c r="N22" s="210"/>
    </row>
    <row r="23" spans="1:14" ht="14" x14ac:dyDescent="0.3">
      <c r="A23" s="151">
        <f>IF(B23&lt;&gt;"",COUNTA($B$13:B23),"")</f>
        <v>9</v>
      </c>
      <c r="B23" s="228" t="s">
        <v>302</v>
      </c>
      <c r="F23" s="239"/>
      <c r="G23" s="240"/>
      <c r="H23" s="211"/>
      <c r="I23" s="210"/>
      <c r="K23" s="210"/>
      <c r="L23" s="241"/>
      <c r="M23" s="211"/>
      <c r="N23" s="210"/>
    </row>
    <row r="24" spans="1:14" ht="14" x14ac:dyDescent="0.3">
      <c r="A24" s="151">
        <f>IF(B24&lt;&gt;"",COUNTA($B$13:B24),"")</f>
        <v>10</v>
      </c>
      <c r="B24" s="207" t="str">
        <f>+'G1NDMD BOST'!B20</f>
        <v>Revenue Decoupling</v>
      </c>
      <c r="C24" s="233" t="str">
        <f>+'G1NDMD BOST'!C20</f>
        <v>RDAF</v>
      </c>
      <c r="D24" s="233"/>
      <c r="E24" s="242"/>
      <c r="F24" s="239"/>
      <c r="G24" s="236">
        <v>0</v>
      </c>
      <c r="H24" s="211"/>
      <c r="I24" s="210">
        <f>G24*$E$17</f>
        <v>0</v>
      </c>
      <c r="K24" s="210"/>
      <c r="L24" s="236">
        <v>-2.4001088181861674E-4</v>
      </c>
      <c r="M24" s="211"/>
      <c r="N24" s="210">
        <f t="shared" ref="N24:N38" si="3">L24*($E$17+$E$21)</f>
        <v>-727673.93977382174</v>
      </c>
    </row>
    <row r="25" spans="1:14" ht="14" x14ac:dyDescent="0.3">
      <c r="A25" s="151">
        <f>IF(B25&lt;&gt;"",COUNTA($B$13:B25),"")</f>
        <v>11</v>
      </c>
      <c r="B25" s="207" t="str">
        <f>+'G1NDMD BOST'!B21</f>
        <v>Residential Assistance Adjustment Factor</v>
      </c>
      <c r="C25" s="233" t="str">
        <f>+'G1NDMD BOST'!C21</f>
        <v>RAAF</v>
      </c>
      <c r="D25" s="243"/>
      <c r="E25" s="206"/>
      <c r="F25" s="239"/>
      <c r="G25" s="236">
        <v>1.47E-3</v>
      </c>
      <c r="H25" s="211"/>
      <c r="I25" s="210">
        <f t="shared" ref="I25:I38" si="4">G25*$E$17</f>
        <v>4456800.8057064144</v>
      </c>
      <c r="K25" s="210"/>
      <c r="L25" s="236">
        <v>2.0276764788791507E-3</v>
      </c>
      <c r="M25" s="211"/>
      <c r="N25" s="210">
        <f t="shared" si="3"/>
        <v>6147585.1461092131</v>
      </c>
    </row>
    <row r="26" spans="1:14" ht="14" x14ac:dyDescent="0.3">
      <c r="A26" s="151">
        <f>IF(B26&lt;&gt;"",COUNTA($B$13:B26),"")</f>
        <v>12</v>
      </c>
      <c r="B26" s="207" t="str">
        <f>+'G1NDMD BOST'!B22</f>
        <v>Pension Adjustment Factor</v>
      </c>
      <c r="C26" s="233" t="str">
        <f>+'G1NDMD BOST'!C22</f>
        <v>PAF</v>
      </c>
      <c r="D26" s="243"/>
      <c r="E26" s="206"/>
      <c r="F26" s="239"/>
      <c r="G26" s="236">
        <v>-3.0000000000000001E-5</v>
      </c>
      <c r="H26" s="211"/>
      <c r="I26" s="210">
        <f t="shared" si="4"/>
        <v>-90955.11848380437</v>
      </c>
      <c r="K26" s="210"/>
      <c r="L26" s="236">
        <v>2.9640365119940759E-4</v>
      </c>
      <c r="M26" s="211"/>
      <c r="N26" s="210">
        <f t="shared" si="3"/>
        <v>898647.64046247804</v>
      </c>
    </row>
    <row r="27" spans="1:14" ht="14" x14ac:dyDescent="0.3">
      <c r="A27" s="151">
        <f>IF(B27&lt;&gt;"",COUNTA($B$13:B27),"")</f>
        <v>13</v>
      </c>
      <c r="B27" s="207" t="str">
        <f>+'G1NDMD BOST'!B23</f>
        <v>Net Metering Recovery Surcharge</v>
      </c>
      <c r="C27" s="233" t="str">
        <f>+'G1NDMD BOST'!C23</f>
        <v>NMRS</v>
      </c>
      <c r="D27" s="243"/>
      <c r="E27" s="206"/>
      <c r="F27" s="239"/>
      <c r="G27" s="236">
        <v>2.8999999999999998E-3</v>
      </c>
      <c r="H27" s="211"/>
      <c r="I27" s="210">
        <f t="shared" si="4"/>
        <v>8792328.1201010887</v>
      </c>
      <c r="K27" s="210"/>
      <c r="L27" s="236">
        <v>2.6439274805881543E-3</v>
      </c>
      <c r="M27" s="211"/>
      <c r="N27" s="210">
        <f t="shared" si="3"/>
        <v>8015957.908649398</v>
      </c>
    </row>
    <row r="28" spans="1:14" ht="14" x14ac:dyDescent="0.3">
      <c r="A28" s="151">
        <f>IF(B28&lt;&gt;"",COUNTA($B$13:B28),"")</f>
        <v>14</v>
      </c>
      <c r="B28" s="207" t="str">
        <f>+'G1NDMD BOST'!B24</f>
        <v>Long Term Renewable Contract Adjustment</v>
      </c>
      <c r="C28" s="233" t="str">
        <f>+'G1NDMD BOST'!C24</f>
        <v>LTRCA</v>
      </c>
      <c r="D28" s="243"/>
      <c r="E28" s="206"/>
      <c r="F28" s="239"/>
      <c r="G28" s="236">
        <v>2.3600000000000001E-3</v>
      </c>
      <c r="H28" s="211"/>
      <c r="I28" s="210">
        <f t="shared" si="4"/>
        <v>7155135.9873926109</v>
      </c>
      <c r="K28" s="210"/>
      <c r="L28" s="236">
        <v>1.7357128782064517E-3</v>
      </c>
      <c r="M28" s="211"/>
      <c r="N28" s="210">
        <f t="shared" si="3"/>
        <v>5262399.0163710974</v>
      </c>
    </row>
    <row r="29" spans="1:14" ht="14" x14ac:dyDescent="0.3">
      <c r="A29" s="151">
        <f>IF(B29&lt;&gt;"",COUNTA($B$13:B29),"")</f>
        <v>15</v>
      </c>
      <c r="B29" s="207" t="str">
        <f>+'G1NDMD BOST'!B25</f>
        <v>AG Consulting Expense</v>
      </c>
      <c r="C29" s="233" t="str">
        <f>+'G1NDMD BOST'!C25</f>
        <v>AGCE</v>
      </c>
      <c r="D29" s="243"/>
      <c r="E29" s="206"/>
      <c r="F29" s="239"/>
      <c r="G29" s="236">
        <v>2.0000000000000002E-5</v>
      </c>
      <c r="H29" s="211"/>
      <c r="I29" s="210">
        <f t="shared" si="4"/>
        <v>60636.745655869585</v>
      </c>
      <c r="K29" s="210"/>
      <c r="L29" s="236">
        <v>4.2573642187635677E-6</v>
      </c>
      <c r="M29" s="211"/>
      <c r="N29" s="210">
        <f t="shared" si="3"/>
        <v>12907.635564878317</v>
      </c>
    </row>
    <row r="30" spans="1:14" ht="14" x14ac:dyDescent="0.3">
      <c r="A30" s="151">
        <f>IF(B30&lt;&gt;"",COUNTA($B$13:B30),"")</f>
        <v>16</v>
      </c>
      <c r="B30" s="207" t="str">
        <f>+'G1NDMD BOST'!B26</f>
        <v>Storm Cost Recovery Adjustment Factor</v>
      </c>
      <c r="C30" s="233" t="str">
        <f>+'G1NDMD BOST'!C26</f>
        <v>SCRA</v>
      </c>
      <c r="D30" s="243"/>
      <c r="E30" s="206"/>
      <c r="F30" s="239"/>
      <c r="G30" s="236">
        <v>9.1E-4</v>
      </c>
      <c r="H30" s="211"/>
      <c r="I30" s="210">
        <f t="shared" si="4"/>
        <v>2758971.9273420661</v>
      </c>
      <c r="K30" s="210"/>
      <c r="L30" s="236">
        <v>1.5367445995105196E-3</v>
      </c>
      <c r="M30" s="211"/>
      <c r="N30" s="210">
        <f t="shared" si="3"/>
        <v>4659159.5709275268</v>
      </c>
    </row>
    <row r="31" spans="1:14" ht="14" x14ac:dyDescent="0.3">
      <c r="A31" s="151">
        <f>IF(B31&lt;&gt;"",COUNTA($B$13:B31),"")</f>
        <v>17</v>
      </c>
      <c r="B31" s="207" t="str">
        <f>+'G1NDMD BOST'!B27</f>
        <v>Storm Reserve Adjustment</v>
      </c>
      <c r="C31" s="233" t="str">
        <f>+'G1NDMD BOST'!C27</f>
        <v>SRA</v>
      </c>
      <c r="D31" s="243"/>
      <c r="E31" s="206"/>
      <c r="F31" s="239"/>
      <c r="G31" s="236">
        <v>0</v>
      </c>
      <c r="H31" s="211"/>
      <c r="I31" s="210">
        <f t="shared" si="4"/>
        <v>0</v>
      </c>
      <c r="K31" s="210"/>
      <c r="L31" s="236">
        <v>0</v>
      </c>
      <c r="M31" s="211"/>
      <c r="N31" s="210">
        <f t="shared" si="3"/>
        <v>0</v>
      </c>
    </row>
    <row r="32" spans="1:14" ht="14" x14ac:dyDescent="0.3">
      <c r="A32" s="151">
        <f>IF(B32&lt;&gt;"",COUNTA($B$13:B32),"")</f>
        <v>18</v>
      </c>
      <c r="B32" s="207" t="str">
        <f>+'G1NDMD BOST'!B28</f>
        <v>Basic Service Cost True Up Factor</v>
      </c>
      <c r="C32" s="233" t="str">
        <f>+'G1NDMD BOST'!C28</f>
        <v>BSTF</v>
      </c>
      <c r="D32" s="243"/>
      <c r="E32" s="206"/>
      <c r="F32" s="239"/>
      <c r="G32" s="236">
        <v>7.7999999999999999E-4</v>
      </c>
      <c r="H32" s="211"/>
      <c r="I32" s="210">
        <f t="shared" si="4"/>
        <v>2364833.0805789134</v>
      </c>
      <c r="K32" s="210"/>
      <c r="L32" s="236">
        <v>-1.0061827561395616E-4</v>
      </c>
      <c r="M32" s="211"/>
      <c r="N32" s="210">
        <f t="shared" si="3"/>
        <v>-305058.23933678219</v>
      </c>
    </row>
    <row r="33" spans="1:14" ht="14" x14ac:dyDescent="0.3">
      <c r="A33" s="151">
        <f>IF(B33&lt;&gt;"",COUNTA($B$13:B33),"")</f>
        <v>19</v>
      </c>
      <c r="B33" s="207" t="str">
        <f>+'G1NDMD BOST'!B29</f>
        <v>Solar Program Cost Adjustment Factor</v>
      </c>
      <c r="C33" s="233" t="str">
        <f>+'G1NDMD BOST'!C29</f>
        <v>SPCA</v>
      </c>
      <c r="D33" s="233"/>
      <c r="E33" s="206"/>
      <c r="F33" s="239"/>
      <c r="G33" s="236">
        <v>0</v>
      </c>
      <c r="H33" s="211"/>
      <c r="I33" s="210">
        <f t="shared" si="4"/>
        <v>0</v>
      </c>
      <c r="K33" s="210"/>
      <c r="L33" s="236">
        <v>1.7906482882852422E-5</v>
      </c>
      <c r="M33" s="211"/>
      <c r="N33" s="210">
        <f t="shared" si="3"/>
        <v>54289.542407935231</v>
      </c>
    </row>
    <row r="34" spans="1:14" ht="14" x14ac:dyDescent="0.3">
      <c r="A34" s="151">
        <f>IF(B34&lt;&gt;"",COUNTA($B$13:B34),"")</f>
        <v>20</v>
      </c>
      <c r="B34" s="207" t="str">
        <f>+'G1NDMD BOST'!B30</f>
        <v>Solar Expansion Cost Recovery Factor</v>
      </c>
      <c r="C34" s="233" t="str">
        <f>+'G1NDMD BOST'!C30</f>
        <v>SECRF</v>
      </c>
      <c r="D34" s="233"/>
      <c r="E34" s="206"/>
      <c r="F34" s="239"/>
      <c r="G34" s="236">
        <v>0</v>
      </c>
      <c r="H34" s="211"/>
      <c r="I34" s="210">
        <f t="shared" si="4"/>
        <v>0</v>
      </c>
      <c r="K34" s="210"/>
      <c r="L34" s="236">
        <v>3.1582939292909221E-4</v>
      </c>
      <c r="M34" s="211"/>
      <c r="N34" s="210">
        <f t="shared" si="3"/>
        <v>957543.32848445291</v>
      </c>
    </row>
    <row r="35" spans="1:14" ht="14" x14ac:dyDescent="0.3">
      <c r="A35" s="151">
        <f>IF(B35&lt;&gt;"",COUNTA($B$13:B35),"")</f>
        <v>21</v>
      </c>
      <c r="B35" s="207" t="str">
        <f>+'G1NDMD BOST'!B31</f>
        <v>Vegetation Management</v>
      </c>
      <c r="C35" s="233" t="str">
        <f>+'G1NDMD BOST'!C31</f>
        <v>RTWF</v>
      </c>
      <c r="D35" s="233"/>
      <c r="E35" s="206"/>
      <c r="F35" s="239"/>
      <c r="G35" s="236">
        <v>0</v>
      </c>
      <c r="H35" s="211"/>
      <c r="I35" s="210">
        <f t="shared" si="4"/>
        <v>0</v>
      </c>
      <c r="K35" s="210"/>
      <c r="L35" s="236">
        <v>5.3066271540927685E-4</v>
      </c>
      <c r="M35" s="211"/>
      <c r="N35" s="210">
        <f t="shared" si="3"/>
        <v>1608883.0051662712</v>
      </c>
    </row>
    <row r="36" spans="1:14" ht="14" x14ac:dyDescent="0.3">
      <c r="A36" s="151">
        <f>IF(B36&lt;&gt;"",COUNTA($B$13:B36),"")</f>
        <v>22</v>
      </c>
      <c r="B36" s="207" t="str">
        <f>+'G1NDMD BOST'!B32</f>
        <v>Solar Massachusetts Renewable Target</v>
      </c>
      <c r="C36" s="233" t="str">
        <f>+'G1NDMD BOST'!C32</f>
        <v>SMART</v>
      </c>
      <c r="D36" s="233"/>
      <c r="E36" s="206"/>
      <c r="F36" s="239"/>
      <c r="G36" s="236">
        <v>0</v>
      </c>
      <c r="H36" s="211"/>
      <c r="I36" s="210">
        <f t="shared" si="4"/>
        <v>0</v>
      </c>
      <c r="K36" s="210"/>
      <c r="L36" s="236">
        <v>3.7003845366940938E-4</v>
      </c>
      <c r="M36" s="211"/>
      <c r="N36" s="210">
        <f t="shared" si="3"/>
        <v>1121896.3799021628</v>
      </c>
    </row>
    <row r="37" spans="1:14" ht="14" x14ac:dyDescent="0.3">
      <c r="A37" s="151">
        <f>IF(B37&lt;&gt;"",COUNTA($B$13:B37),"")</f>
        <v>23</v>
      </c>
      <c r="B37" s="207" t="str">
        <f>+'G1NDMD BOST'!B33</f>
        <v>Tax Act Credit Factor</v>
      </c>
      <c r="C37" s="233" t="str">
        <f>+'G1NDMD BOST'!C33</f>
        <v>TACF</v>
      </c>
      <c r="D37" s="233"/>
      <c r="E37" s="206"/>
      <c r="F37" s="239"/>
      <c r="G37" s="236">
        <v>0</v>
      </c>
      <c r="H37" s="211"/>
      <c r="I37" s="210">
        <f t="shared" si="4"/>
        <v>0</v>
      </c>
      <c r="K37" s="210"/>
      <c r="L37" s="236">
        <v>-5.6017640085705221E-4</v>
      </c>
      <c r="M37" s="211"/>
      <c r="N37" s="210">
        <f t="shared" si="3"/>
        <v>-1698363.6970594758</v>
      </c>
    </row>
    <row r="38" spans="1:14" ht="14" x14ac:dyDescent="0.3">
      <c r="A38" s="151">
        <f>IF(B38&lt;&gt;"",COUNTA($B$13:B38),"")</f>
        <v>24</v>
      </c>
      <c r="B38" s="207" t="str">
        <f>+'G1NDMD BOST'!B34</f>
        <v>Transition</v>
      </c>
      <c r="C38" s="233" t="str">
        <f>+'G1NDMD BOST'!C34</f>
        <v>TRNSN</v>
      </c>
      <c r="D38" s="233"/>
      <c r="E38" s="206"/>
      <c r="F38" s="239"/>
      <c r="G38" s="236">
        <v>-6.0999999999999997E-4</v>
      </c>
      <c r="H38" s="211"/>
      <c r="I38" s="210">
        <f t="shared" si="4"/>
        <v>-1849420.7425040221</v>
      </c>
      <c r="K38" s="210"/>
      <c r="L38" s="236">
        <v>-5.210932140356871E-4</v>
      </c>
      <c r="M38" s="211"/>
      <c r="N38" s="210">
        <f t="shared" si="3"/>
        <v>-1579869.8341240783</v>
      </c>
    </row>
    <row r="39" spans="1:14" ht="14" x14ac:dyDescent="0.3">
      <c r="A39" s="151">
        <f>IF(B39&lt;&gt;"",COUNTA($B$13:B39),"")</f>
        <v>25</v>
      </c>
      <c r="B39" s="207" t="s">
        <v>408</v>
      </c>
      <c r="C39" s="233" t="s">
        <v>382</v>
      </c>
      <c r="D39" s="233"/>
      <c r="E39" s="206"/>
      <c r="F39" s="239"/>
      <c r="G39" s="283">
        <v>10.28</v>
      </c>
      <c r="H39" s="211"/>
      <c r="I39" s="210">
        <f>G39*E16</f>
        <v>65913206.815652236</v>
      </c>
      <c r="K39" s="210"/>
      <c r="L39" s="238">
        <v>9.0509305618335674</v>
      </c>
      <c r="M39" s="211"/>
      <c r="N39" s="210">
        <f>L39*E16</f>
        <v>58032671.011307724</v>
      </c>
    </row>
    <row r="40" spans="1:14" ht="14" x14ac:dyDescent="0.3">
      <c r="A40" s="151">
        <f>IF(B40&lt;&gt;"",COUNTA($B$13:B40),"")</f>
        <v>26</v>
      </c>
      <c r="B40" s="207" t="str">
        <f>+'G1NDMD BOST'!B36</f>
        <v>Energy Efficiency Reconciliation Factor</v>
      </c>
      <c r="C40" s="233" t="str">
        <f>+'G1NDMD BOST'!C36</f>
        <v>EERF</v>
      </c>
      <c r="D40" s="233"/>
      <c r="E40" s="206"/>
      <c r="F40" s="239"/>
      <c r="G40" s="241">
        <v>8.4600000000000005E-3</v>
      </c>
      <c r="H40" s="211"/>
      <c r="I40" s="210">
        <f t="shared" ref="I40:I42" si="5">G40*$E$17</f>
        <v>25649343.412432835</v>
      </c>
      <c r="K40" s="210"/>
      <c r="L40" s="281">
        <v>8.4600000000000005E-3</v>
      </c>
      <c r="M40" s="211"/>
      <c r="N40" s="210">
        <f>L40*($E$17+$E$21)</f>
        <v>25649343.412432835</v>
      </c>
    </row>
    <row r="41" spans="1:14" ht="14" x14ac:dyDescent="0.3">
      <c r="A41" s="151">
        <f>IF(B41&lt;&gt;"",COUNTA($B$13:B41),"")</f>
        <v>27</v>
      </c>
      <c r="B41" s="207" t="str">
        <f>+'G1NDMD BOST'!B37</f>
        <v>System Benefits Charge</v>
      </c>
      <c r="C41" s="233" t="str">
        <f>+'G1NDMD BOST'!C37</f>
        <v>SBC</v>
      </c>
      <c r="D41" s="233"/>
      <c r="E41" s="206"/>
      <c r="F41" s="239"/>
      <c r="G41" s="241">
        <v>2.5000000000000001E-3</v>
      </c>
      <c r="H41" s="211"/>
      <c r="I41" s="210">
        <f t="shared" si="5"/>
        <v>7579593.2069836976</v>
      </c>
      <c r="K41" s="210"/>
      <c r="L41" s="281">
        <f>+G41</f>
        <v>2.5000000000000001E-3</v>
      </c>
      <c r="M41" s="211"/>
      <c r="N41" s="210">
        <f>L41*($E$17+$E$21)</f>
        <v>7579593.2069836976</v>
      </c>
    </row>
    <row r="42" spans="1:14" ht="14" x14ac:dyDescent="0.3">
      <c r="A42" s="151">
        <f>IF(B42&lt;&gt;"",COUNTA($B$13:B42),"")</f>
        <v>28</v>
      </c>
      <c r="B42" s="207" t="str">
        <f>+'G1NDMD BOST'!B38</f>
        <v>Renewable Energy Charge</v>
      </c>
      <c r="C42" s="233" t="str">
        <f>+'G1NDMD BOST'!C38</f>
        <v>RNEW</v>
      </c>
      <c r="D42" s="233"/>
      <c r="E42" s="206"/>
      <c r="F42" s="239"/>
      <c r="G42" s="241">
        <v>5.0000000000000001E-4</v>
      </c>
      <c r="H42" s="211"/>
      <c r="I42" s="210">
        <f t="shared" si="5"/>
        <v>1515918.6413967395</v>
      </c>
      <c r="K42" s="210"/>
      <c r="L42" s="281">
        <f>+G42</f>
        <v>5.0000000000000001E-4</v>
      </c>
      <c r="M42" s="211"/>
      <c r="N42" s="210">
        <f>L42*($E$17+$E$21)</f>
        <v>1515918.6413967395</v>
      </c>
    </row>
    <row r="43" spans="1:14" ht="14" x14ac:dyDescent="0.3">
      <c r="A43" s="151">
        <f>IF(B43&lt;&gt;"",COUNTA($B$13:B43),"")</f>
        <v>29</v>
      </c>
      <c r="B43" s="207" t="str">
        <f>+'G1NDMD BOST'!B39</f>
        <v>Basic Service Charge</v>
      </c>
      <c r="C43" s="233" t="str">
        <f>+'G1NDMD BOST'!C39</f>
        <v>BS</v>
      </c>
      <c r="D43" s="233"/>
      <c r="E43" s="206"/>
      <c r="F43" s="239"/>
      <c r="G43" s="241">
        <v>0.1326</v>
      </c>
      <c r="H43" s="211"/>
      <c r="I43" s="237">
        <f>G43*E17</f>
        <v>402021623.69841528</v>
      </c>
      <c r="K43" s="210"/>
      <c r="L43" s="241">
        <v>0.17265000000000003</v>
      </c>
      <c r="M43" s="211"/>
      <c r="N43" s="237">
        <f>L43*($E$17+$E$21)</f>
        <v>523446706.87429422</v>
      </c>
    </row>
    <row r="44" spans="1:14" ht="14" x14ac:dyDescent="0.3">
      <c r="A44" s="151" t="str">
        <f>IF(B44&lt;&gt;"",COUNTA($B$13:B44),"")</f>
        <v/>
      </c>
      <c r="B44" s="207"/>
      <c r="E44" s="206"/>
      <c r="F44" s="239"/>
      <c r="G44" s="241"/>
      <c r="H44" s="211"/>
      <c r="I44" s="244"/>
      <c r="K44" s="210"/>
      <c r="L44" s="241"/>
      <c r="M44" s="211"/>
      <c r="N44" s="244"/>
    </row>
    <row r="45" spans="1:14" ht="14" x14ac:dyDescent="0.3">
      <c r="A45" s="151">
        <f>IF(B45&lt;&gt;"",COUNTA($B$13:B45),"")</f>
        <v>30</v>
      </c>
      <c r="B45" s="188" t="s">
        <v>46</v>
      </c>
      <c r="E45" s="188"/>
      <c r="G45" s="245" t="s">
        <v>324</v>
      </c>
      <c r="H45" s="246"/>
      <c r="I45" s="154">
        <f>SUM(I18:I44)</f>
        <v>596650199.81572759</v>
      </c>
      <c r="K45" s="247"/>
      <c r="L45" s="245"/>
      <c r="N45" s="154">
        <f>SUM(N18:N44)</f>
        <v>713323961.59628034</v>
      </c>
    </row>
    <row r="46" spans="1:14" ht="14" x14ac:dyDescent="0.3">
      <c r="A46" s="151" t="str">
        <f>IF(B46&lt;&gt;"",COUNTA($B$13:B46),"")</f>
        <v/>
      </c>
      <c r="E46" s="188"/>
      <c r="H46" s="188"/>
      <c r="I46" s="154"/>
      <c r="K46" s="265"/>
      <c r="L46" s="278"/>
      <c r="N46" s="265"/>
    </row>
    <row r="47" spans="1:14" ht="14" x14ac:dyDescent="0.3">
      <c r="A47" s="151">
        <f>IF(B47&lt;&gt;"",COUNTA($B$13:B47),"")</f>
        <v>31</v>
      </c>
      <c r="B47" s="188" t="s">
        <v>46</v>
      </c>
      <c r="E47" s="188"/>
      <c r="G47" s="188"/>
      <c r="H47" s="188"/>
      <c r="I47" s="188"/>
      <c r="J47" s="188"/>
      <c r="L47" s="248" t="s">
        <v>325</v>
      </c>
      <c r="N47" s="160">
        <f>+N45/I45-1</f>
        <v>0.19554801425791335</v>
      </c>
    </row>
    <row r="48" spans="1:14" ht="14" x14ac:dyDescent="0.3">
      <c r="A48" s="151" t="str">
        <f>IF(B48&lt;&gt;"",COUNTA($B$13:B48),"")</f>
        <v/>
      </c>
      <c r="E48" s="188"/>
      <c r="G48" s="188"/>
      <c r="H48" s="188"/>
      <c r="I48" s="188"/>
      <c r="J48" s="188"/>
      <c r="L48" s="248"/>
      <c r="N48" s="160"/>
    </row>
    <row r="49" spans="1:14" ht="14" x14ac:dyDescent="0.3">
      <c r="A49" s="151" t="str">
        <f>IF(B49&lt;&gt;"",COUNTA($B$13:B49),"")</f>
        <v/>
      </c>
      <c r="E49" s="188"/>
      <c r="G49" s="186"/>
      <c r="H49" s="188"/>
      <c r="I49" s="188"/>
      <c r="L49" s="248"/>
      <c r="N49" s="160"/>
    </row>
    <row r="50" spans="1:14" ht="14.5" thickBot="1" x14ac:dyDescent="0.35">
      <c r="A50" s="151">
        <f>IF(B50&lt;&gt;"",COUNTA($B$13:B50),"")</f>
        <v>32</v>
      </c>
      <c r="B50" s="188" t="s">
        <v>46</v>
      </c>
      <c r="E50" s="279" t="s">
        <v>326</v>
      </c>
      <c r="F50" s="135"/>
      <c r="G50" s="280"/>
      <c r="I50" s="279" t="s">
        <v>327</v>
      </c>
      <c r="J50" s="135"/>
      <c r="L50" s="279" t="s">
        <v>328</v>
      </c>
      <c r="M50" s="135"/>
      <c r="N50" s="137"/>
    </row>
    <row r="51" spans="1:14" ht="14" x14ac:dyDescent="0.3">
      <c r="A51" s="151">
        <f>IF(B51&lt;&gt;"",COUNTA($B$13:B51),"")</f>
        <v>33</v>
      </c>
      <c r="B51" s="144" t="s">
        <v>329</v>
      </c>
      <c r="C51" s="144"/>
      <c r="D51" s="144"/>
      <c r="E51" s="249" t="s">
        <v>148</v>
      </c>
      <c r="F51" s="250"/>
      <c r="G51" s="251" t="s">
        <v>330</v>
      </c>
      <c r="I51" s="249" t="s">
        <v>148</v>
      </c>
      <c r="J51" s="251" t="s">
        <v>330</v>
      </c>
      <c r="K51" s="212"/>
      <c r="L51" s="249" t="s">
        <v>148</v>
      </c>
      <c r="M51" s="252"/>
      <c r="N51" s="251" t="s">
        <v>330</v>
      </c>
    </row>
    <row r="52" spans="1:14" ht="14" x14ac:dyDescent="0.3">
      <c r="A52" s="151">
        <f>IF(B52&lt;&gt;"",COUNTA($B$13:B52),"")</f>
        <v>34</v>
      </c>
      <c r="B52" s="130" t="str">
        <f>+'G1NDMD BOST'!B48</f>
        <v>Distribution</v>
      </c>
      <c r="C52" s="253" t="str">
        <f>+'G1NDMD BOST'!C48</f>
        <v>DIST</v>
      </c>
      <c r="D52" s="253"/>
      <c r="E52" s="154">
        <f t="shared" ref="E52:E67" si="6">SUMIF($C$13:$C$43,$C52,$I$13:$I$43)</f>
        <v>70322183.235057712</v>
      </c>
      <c r="G52" s="254">
        <f>+E52/$E$17*100</f>
        <v>2.3194576976197134</v>
      </c>
      <c r="I52" s="154">
        <f t="shared" ref="I52:I67" si="7">SUMIF($C$13:$C$43,$C52,$N$13:$N$43)</f>
        <v>72671424.986113846</v>
      </c>
      <c r="J52" s="254">
        <f>+I52/$E$17*100</f>
        <v>2.3969434441137203</v>
      </c>
      <c r="L52" s="154">
        <f t="shared" ref="L52:L72" si="8">I52-E52</f>
        <v>2349241.7510561347</v>
      </c>
      <c r="N52" s="254">
        <f>+L52/$E$17*100</f>
        <v>7.7485746494006649E-2</v>
      </c>
    </row>
    <row r="53" spans="1:14" ht="14" x14ac:dyDescent="0.3">
      <c r="A53" s="151">
        <f>IF(B53&lt;&gt;"",COUNTA($B$13:B53),"")</f>
        <v>35</v>
      </c>
      <c r="B53" s="130" t="str">
        <f>+'G1NDMD BOST'!B49</f>
        <v>Revenue Decoupling</v>
      </c>
      <c r="C53" s="253" t="str">
        <f>+'G1NDMD BOST'!C49</f>
        <v>RDAF</v>
      </c>
      <c r="D53" s="253"/>
      <c r="E53" s="154">
        <f t="shared" si="6"/>
        <v>0</v>
      </c>
      <c r="G53" s="254">
        <f t="shared" ref="G53:G73" si="9">+E53/$E$17*100</f>
        <v>0</v>
      </c>
      <c r="I53" s="154">
        <f t="shared" si="7"/>
        <v>-727673.93977382174</v>
      </c>
      <c r="J53" s="254">
        <f t="shared" ref="J53:J73" si="10">+I53/$E$17*100</f>
        <v>-2.4001088181861672E-2</v>
      </c>
      <c r="L53" s="154">
        <f>I53-E53</f>
        <v>-727673.93977382174</v>
      </c>
      <c r="N53" s="254">
        <f t="shared" ref="N53:N73" si="11">+L53/$E$17*100</f>
        <v>-2.4001088181861672E-2</v>
      </c>
    </row>
    <row r="54" spans="1:14" ht="14" x14ac:dyDescent="0.3">
      <c r="A54" s="151">
        <f>IF(B54&lt;&gt;"",COUNTA($B$13:B54),"")</f>
        <v>36</v>
      </c>
      <c r="B54" s="130" t="str">
        <f>+'G1NDMD BOST'!B50</f>
        <v>Residential Assistance Adjustment Factor</v>
      </c>
      <c r="C54" s="253" t="str">
        <f>+'G1NDMD BOST'!C50</f>
        <v>RAAF</v>
      </c>
      <c r="D54" s="253"/>
      <c r="E54" s="154">
        <f t="shared" si="6"/>
        <v>4456800.8057064144</v>
      </c>
      <c r="G54" s="254">
        <f t="shared" si="9"/>
        <v>0.14700000000000002</v>
      </c>
      <c r="I54" s="154">
        <f t="shared" si="7"/>
        <v>6147585.1461092131</v>
      </c>
      <c r="J54" s="254">
        <f t="shared" si="10"/>
        <v>0.20276764788791507</v>
      </c>
      <c r="L54" s="154">
        <f t="shared" si="8"/>
        <v>1690784.3404027987</v>
      </c>
      <c r="N54" s="254">
        <f t="shared" si="11"/>
        <v>5.5767647887915051E-2</v>
      </c>
    </row>
    <row r="55" spans="1:14" ht="14" x14ac:dyDescent="0.3">
      <c r="A55" s="151">
        <f>IF(B55&lt;&gt;"",COUNTA($B$13:B55),"")</f>
        <v>37</v>
      </c>
      <c r="B55" s="130" t="str">
        <f>+'G1NDMD BOST'!B51</f>
        <v>Pension Adjustment Factor</v>
      </c>
      <c r="C55" s="253" t="str">
        <f>+'G1NDMD BOST'!C51</f>
        <v>PAF</v>
      </c>
      <c r="D55" s="253"/>
      <c r="E55" s="154">
        <f t="shared" si="6"/>
        <v>-90955.11848380437</v>
      </c>
      <c r="G55" s="254">
        <f t="shared" si="9"/>
        <v>-3.0000000000000001E-3</v>
      </c>
      <c r="I55" s="154">
        <f t="shared" si="7"/>
        <v>898647.64046247804</v>
      </c>
      <c r="J55" s="254">
        <f t="shared" si="10"/>
        <v>2.9640365119940761E-2</v>
      </c>
      <c r="L55" s="154">
        <f t="shared" si="8"/>
        <v>989602.75894628244</v>
      </c>
      <c r="N55" s="254">
        <f t="shared" si="11"/>
        <v>3.2640365119940763E-2</v>
      </c>
    </row>
    <row r="56" spans="1:14" ht="14" x14ac:dyDescent="0.3">
      <c r="A56" s="151">
        <f>IF(B56&lt;&gt;"",COUNTA($B$13:B56),"")</f>
        <v>38</v>
      </c>
      <c r="B56" s="130" t="str">
        <f>+'G1NDMD BOST'!B52</f>
        <v>Net Metering Recovery Surcharge</v>
      </c>
      <c r="C56" s="253" t="str">
        <f>+'G1NDMD BOST'!C52</f>
        <v>NMRS</v>
      </c>
      <c r="D56" s="253"/>
      <c r="E56" s="154">
        <f t="shared" si="6"/>
        <v>8792328.1201010887</v>
      </c>
      <c r="G56" s="254">
        <f t="shared" si="9"/>
        <v>0.28999999999999998</v>
      </c>
      <c r="I56" s="154">
        <f t="shared" si="7"/>
        <v>8015957.908649398</v>
      </c>
      <c r="J56" s="254">
        <f t="shared" si="10"/>
        <v>0.26439274805881541</v>
      </c>
      <c r="L56" s="154">
        <f t="shared" si="8"/>
        <v>-776370.21145169064</v>
      </c>
      <c r="N56" s="254">
        <f t="shared" si="11"/>
        <v>-2.5607251941184572E-2</v>
      </c>
    </row>
    <row r="57" spans="1:14" ht="14" x14ac:dyDescent="0.3">
      <c r="A57" s="151">
        <f>IF(B57&lt;&gt;"",COUNTA($B$13:B57),"")</f>
        <v>39</v>
      </c>
      <c r="B57" s="130" t="str">
        <f>+'G1NDMD BOST'!B53</f>
        <v>Long Term Renewable Contract Adjustment</v>
      </c>
      <c r="C57" s="253" t="str">
        <f>+'G1NDMD BOST'!C53</f>
        <v>LTRCA</v>
      </c>
      <c r="D57" s="253"/>
      <c r="E57" s="154">
        <f t="shared" si="6"/>
        <v>7155135.9873926109</v>
      </c>
      <c r="G57" s="254">
        <f t="shared" si="9"/>
        <v>0.23600000000000002</v>
      </c>
      <c r="I57" s="154">
        <f t="shared" si="7"/>
        <v>5262399.0163710974</v>
      </c>
      <c r="J57" s="254">
        <f t="shared" si="10"/>
        <v>0.17357128782064518</v>
      </c>
      <c r="L57" s="154">
        <f t="shared" si="8"/>
        <v>-1892736.9710215135</v>
      </c>
      <c r="N57" s="254">
        <f t="shared" si="11"/>
        <v>-6.2428712179354841E-2</v>
      </c>
    </row>
    <row r="58" spans="1:14" ht="14" x14ac:dyDescent="0.3">
      <c r="A58" s="151">
        <f>IF(B58&lt;&gt;"",COUNTA($B$13:B58),"")</f>
        <v>40</v>
      </c>
      <c r="B58" s="130" t="str">
        <f>+'G1NDMD BOST'!B54</f>
        <v>AG Consulting Expense</v>
      </c>
      <c r="C58" s="253" t="str">
        <f>+'G1NDMD BOST'!C54</f>
        <v>AGCE</v>
      </c>
      <c r="D58" s="253"/>
      <c r="E58" s="154">
        <f t="shared" si="6"/>
        <v>60636.745655869585</v>
      </c>
      <c r="G58" s="254">
        <f t="shared" si="9"/>
        <v>2E-3</v>
      </c>
      <c r="I58" s="154">
        <f t="shared" si="7"/>
        <v>12907.635564878317</v>
      </c>
      <c r="J58" s="254">
        <f t="shared" si="10"/>
        <v>4.2573642187635678E-4</v>
      </c>
      <c r="L58" s="154">
        <f t="shared" si="8"/>
        <v>-47729.110090991264</v>
      </c>
      <c r="N58" s="254">
        <f t="shared" si="11"/>
        <v>-1.5742635781236434E-3</v>
      </c>
    </row>
    <row r="59" spans="1:14" ht="14" x14ac:dyDescent="0.3">
      <c r="A59" s="151">
        <f>IF(B59&lt;&gt;"",COUNTA($B$13:B59),"")</f>
        <v>41</v>
      </c>
      <c r="B59" s="130" t="str">
        <f>+'G1NDMD BOST'!B55</f>
        <v>Storm Cost Recovery Adjustment Factor</v>
      </c>
      <c r="C59" s="253" t="str">
        <f>+'G1NDMD BOST'!C55</f>
        <v>SCRA</v>
      </c>
      <c r="D59" s="253"/>
      <c r="E59" s="154">
        <f t="shared" si="6"/>
        <v>2758971.9273420661</v>
      </c>
      <c r="G59" s="254">
        <f t="shared" si="9"/>
        <v>9.1000000000000011E-2</v>
      </c>
      <c r="I59" s="154">
        <f t="shared" si="7"/>
        <v>4659159.5709275268</v>
      </c>
      <c r="J59" s="254">
        <f t="shared" si="10"/>
        <v>0.15367445995105197</v>
      </c>
      <c r="L59" s="154">
        <f>I59-E59</f>
        <v>1900187.6435854607</v>
      </c>
      <c r="N59" s="254">
        <f t="shared" si="11"/>
        <v>6.2674459951051947E-2</v>
      </c>
    </row>
    <row r="60" spans="1:14" ht="14" x14ac:dyDescent="0.3">
      <c r="A60" s="151">
        <f>IF(B60&lt;&gt;"",COUNTA($B$13:B60),"")</f>
        <v>42</v>
      </c>
      <c r="B60" s="130" t="str">
        <f>+'G1NDMD BOST'!B56</f>
        <v>Storm Reserve Adjustment</v>
      </c>
      <c r="C60" s="253" t="str">
        <f>+'G1NDMD BOST'!C56</f>
        <v>SRA</v>
      </c>
      <c r="D60" s="253"/>
      <c r="E60" s="154">
        <f t="shared" si="6"/>
        <v>0</v>
      </c>
      <c r="G60" s="254">
        <f t="shared" si="9"/>
        <v>0</v>
      </c>
      <c r="I60" s="154">
        <f t="shared" si="7"/>
        <v>0</v>
      </c>
      <c r="J60" s="254">
        <f t="shared" si="10"/>
        <v>0</v>
      </c>
      <c r="L60" s="154">
        <f>I60-E60</f>
        <v>0</v>
      </c>
      <c r="N60" s="254">
        <f t="shared" si="11"/>
        <v>0</v>
      </c>
    </row>
    <row r="61" spans="1:14" ht="14" x14ac:dyDescent="0.3">
      <c r="A61" s="151">
        <f>IF(B61&lt;&gt;"",COUNTA($B$13:B61),"")</f>
        <v>43</v>
      </c>
      <c r="B61" s="130" t="str">
        <f>+'G1NDMD BOST'!B57</f>
        <v>Basic Service Cost True Up Factor</v>
      </c>
      <c r="C61" s="253" t="str">
        <f>+'G1NDMD BOST'!C57</f>
        <v>BSTF</v>
      </c>
      <c r="D61" s="253"/>
      <c r="E61" s="154">
        <f t="shared" si="6"/>
        <v>2364833.0805789134</v>
      </c>
      <c r="G61" s="254">
        <f t="shared" si="9"/>
        <v>7.8E-2</v>
      </c>
      <c r="I61" s="154">
        <f t="shared" si="7"/>
        <v>-305058.23933678219</v>
      </c>
      <c r="J61" s="254">
        <f t="shared" si="10"/>
        <v>-1.0061827561395616E-2</v>
      </c>
      <c r="L61" s="154">
        <f t="shared" ref="L61:L67" si="12">I61-E61</f>
        <v>-2669891.3199156956</v>
      </c>
      <c r="N61" s="254">
        <f t="shared" si="11"/>
        <v>-8.8061827561395606E-2</v>
      </c>
    </row>
    <row r="62" spans="1:14" ht="14" x14ac:dyDescent="0.3">
      <c r="A62" s="151">
        <f>IF(B62&lt;&gt;"",COUNTA($B$13:B62),"")</f>
        <v>44</v>
      </c>
      <c r="B62" s="130" t="str">
        <f>+'G1NDMD BOST'!B58</f>
        <v>Solar Program Cost Adjustment Factor</v>
      </c>
      <c r="C62" s="253" t="str">
        <f>+'G1NDMD BOST'!C58</f>
        <v>SPCA</v>
      </c>
      <c r="D62" s="253"/>
      <c r="E62" s="154">
        <f t="shared" si="6"/>
        <v>0</v>
      </c>
      <c r="G62" s="254">
        <f t="shared" si="9"/>
        <v>0</v>
      </c>
      <c r="I62" s="154">
        <f t="shared" si="7"/>
        <v>54289.542407935231</v>
      </c>
      <c r="J62" s="254">
        <f t="shared" si="10"/>
        <v>1.7906482882852422E-3</v>
      </c>
      <c r="L62" s="154">
        <f t="shared" si="12"/>
        <v>54289.542407935231</v>
      </c>
      <c r="N62" s="254">
        <f t="shared" si="11"/>
        <v>1.7906482882852422E-3</v>
      </c>
    </row>
    <row r="63" spans="1:14" ht="14" x14ac:dyDescent="0.3">
      <c r="A63" s="151">
        <f>IF(B63&lt;&gt;"",COUNTA($B$13:B63),"")</f>
        <v>45</v>
      </c>
      <c r="B63" s="130" t="str">
        <f>+'G1NDMD BOST'!B59</f>
        <v>Solar Expansion Cost Recovery Factor</v>
      </c>
      <c r="C63" s="253" t="str">
        <f>+'G1NDMD BOST'!C59</f>
        <v>SECRF</v>
      </c>
      <c r="D63" s="253"/>
      <c r="E63" s="154">
        <f t="shared" si="6"/>
        <v>0</v>
      </c>
      <c r="G63" s="254">
        <f t="shared" si="9"/>
        <v>0</v>
      </c>
      <c r="I63" s="154">
        <f t="shared" si="7"/>
        <v>957543.32848445291</v>
      </c>
      <c r="J63" s="254">
        <f t="shared" si="10"/>
        <v>3.1582939292909222E-2</v>
      </c>
      <c r="L63" s="154">
        <f t="shared" si="12"/>
        <v>957543.32848445291</v>
      </c>
      <c r="N63" s="254">
        <f t="shared" si="11"/>
        <v>3.1582939292909222E-2</v>
      </c>
    </row>
    <row r="64" spans="1:14" ht="14" x14ac:dyDescent="0.3">
      <c r="A64" s="151">
        <f>IF(B64&lt;&gt;"",COUNTA($B$13:B64),"")</f>
        <v>46</v>
      </c>
      <c r="B64" s="130" t="str">
        <f>+'G1NDMD BOST'!B60</f>
        <v>Vegetation Management</v>
      </c>
      <c r="C64" s="253" t="str">
        <f>+'G1NDMD BOST'!C60</f>
        <v>RTWF</v>
      </c>
      <c r="D64" s="253"/>
      <c r="E64" s="154">
        <f t="shared" si="6"/>
        <v>0</v>
      </c>
      <c r="G64" s="254">
        <f t="shared" si="9"/>
        <v>0</v>
      </c>
      <c r="I64" s="154">
        <f t="shared" si="7"/>
        <v>1608883.0051662712</v>
      </c>
      <c r="J64" s="254">
        <f t="shared" si="10"/>
        <v>5.3066271540927683E-2</v>
      </c>
      <c r="L64" s="154">
        <f t="shared" si="12"/>
        <v>1608883.0051662712</v>
      </c>
      <c r="N64" s="254">
        <f t="shared" si="11"/>
        <v>5.3066271540927683E-2</v>
      </c>
    </row>
    <row r="65" spans="1:14" ht="14" x14ac:dyDescent="0.3">
      <c r="A65" s="151">
        <f>IF(B65&lt;&gt;"",COUNTA($B$13:B65),"")</f>
        <v>47</v>
      </c>
      <c r="B65" s="130" t="str">
        <f>+'G1NDMD BOST'!B61</f>
        <v>Solar Massachusetts Renewable Target</v>
      </c>
      <c r="C65" s="253" t="str">
        <f>+'G1NDMD BOST'!C61</f>
        <v>SMART</v>
      </c>
      <c r="D65" s="253"/>
      <c r="E65" s="154">
        <f t="shared" si="6"/>
        <v>0</v>
      </c>
      <c r="G65" s="254">
        <f t="shared" si="9"/>
        <v>0</v>
      </c>
      <c r="I65" s="154">
        <f t="shared" si="7"/>
        <v>1121896.3799021628</v>
      </c>
      <c r="J65" s="254">
        <f t="shared" si="10"/>
        <v>3.7003845366940936E-2</v>
      </c>
      <c r="L65" s="154">
        <f t="shared" si="12"/>
        <v>1121896.3799021628</v>
      </c>
      <c r="N65" s="254">
        <f t="shared" si="11"/>
        <v>3.7003845366940936E-2</v>
      </c>
    </row>
    <row r="66" spans="1:14" ht="14" x14ac:dyDescent="0.3">
      <c r="A66" s="151">
        <f>IF(B66&lt;&gt;"",COUNTA($B$13:B66),"")</f>
        <v>48</v>
      </c>
      <c r="B66" s="130" t="str">
        <f>+'G1NDMD BOST'!B62</f>
        <v>Tax Act Credit Factor</v>
      </c>
      <c r="C66" s="253" t="str">
        <f>+'G1NDMD BOST'!C62</f>
        <v>TACF</v>
      </c>
      <c r="D66" s="253"/>
      <c r="E66" s="154">
        <f t="shared" si="6"/>
        <v>0</v>
      </c>
      <c r="G66" s="254">
        <f t="shared" si="9"/>
        <v>0</v>
      </c>
      <c r="I66" s="154">
        <f t="shared" si="7"/>
        <v>-1698363.6970594758</v>
      </c>
      <c r="J66" s="254">
        <f t="shared" si="10"/>
        <v>-5.6017640085705221E-2</v>
      </c>
      <c r="L66" s="154">
        <f t="shared" si="12"/>
        <v>-1698363.6970594758</v>
      </c>
      <c r="N66" s="254">
        <f t="shared" si="11"/>
        <v>-5.6017640085705221E-2</v>
      </c>
    </row>
    <row r="67" spans="1:14" ht="14" x14ac:dyDescent="0.3">
      <c r="A67" s="151">
        <f>IF(B67&lt;&gt;"",COUNTA($B$13:B67),"")</f>
        <v>49</v>
      </c>
      <c r="B67" s="130" t="str">
        <f>+'G1NDMD BOST'!B63</f>
        <v>Transition</v>
      </c>
      <c r="C67" s="253" t="str">
        <f>+'G1NDMD BOST'!C63</f>
        <v>TRNSN</v>
      </c>
      <c r="D67" s="253"/>
      <c r="E67" s="154">
        <f t="shared" si="6"/>
        <v>-1849420.7425040221</v>
      </c>
      <c r="G67" s="254">
        <f t="shared" si="9"/>
        <v>-6.0999999999999999E-2</v>
      </c>
      <c r="I67" s="154">
        <f t="shared" si="7"/>
        <v>-1579869.8341240783</v>
      </c>
      <c r="J67" s="254">
        <f t="shared" si="10"/>
        <v>-5.2109321403568713E-2</v>
      </c>
      <c r="L67" s="154">
        <f t="shared" si="12"/>
        <v>269550.90837994381</v>
      </c>
      <c r="N67" s="254">
        <f t="shared" si="11"/>
        <v>8.8906785964312889E-3</v>
      </c>
    </row>
    <row r="68" spans="1:14" ht="14" x14ac:dyDescent="0.3">
      <c r="A68" s="151">
        <f>IF(B68&lt;&gt;"",COUNTA($B$13:B68),"")</f>
        <v>50</v>
      </c>
      <c r="B68" s="130" t="str">
        <f>+'G1NDMD BOST'!B64</f>
        <v>Transmission</v>
      </c>
      <c r="C68" s="253" t="str">
        <f>+'G1NDMD BOST'!C64</f>
        <v>TRNSM</v>
      </c>
      <c r="D68" s="253"/>
      <c r="E68" s="154">
        <f>SUM(SUMIF($C$13:$C$43,{"TMKW","TMKWH"},$I$13:$I$43))</f>
        <v>65913206.815652236</v>
      </c>
      <c r="G68" s="254">
        <f t="shared" si="9"/>
        <v>2.1740351037216952</v>
      </c>
      <c r="I68" s="154">
        <f>SUM(SUMIF($C$13:$C$43,{"TMKW","TMKWH"},$N$13:$N$43))</f>
        <v>58032671.011307724</v>
      </c>
      <c r="J68" s="254">
        <f t="shared" si="10"/>
        <v>1.9141090236161187</v>
      </c>
      <c r="L68" s="154">
        <f t="shared" si="8"/>
        <v>-7880535.8043445125</v>
      </c>
      <c r="N68" s="254">
        <f t="shared" si="11"/>
        <v>-0.2599260801055765</v>
      </c>
    </row>
    <row r="69" spans="1:14" ht="14" x14ac:dyDescent="0.3">
      <c r="A69" s="151">
        <f>IF(B69&lt;&gt;"",COUNTA($B$13:B69),"")</f>
        <v>51</v>
      </c>
      <c r="B69" s="130" t="str">
        <f>+'G1NDMD BOST'!B65</f>
        <v>Energy Efficiency Reconciliation Factor</v>
      </c>
      <c r="C69" s="253" t="str">
        <f>+'G1NDMD BOST'!C65</f>
        <v>EERF</v>
      </c>
      <c r="D69" s="253"/>
      <c r="E69" s="154">
        <f>SUMIF($C$13:$C$43,$C69,$I$13:$I$43)</f>
        <v>25649343.412432835</v>
      </c>
      <c r="G69" s="254">
        <f t="shared" si="9"/>
        <v>0.84600000000000009</v>
      </c>
      <c r="I69" s="154">
        <f>SUMIF($C$13:$C$43,$C69,$N$13:$N$43)</f>
        <v>25649343.412432835</v>
      </c>
      <c r="J69" s="254">
        <f t="shared" si="10"/>
        <v>0.84600000000000009</v>
      </c>
      <c r="L69" s="154">
        <f t="shared" si="8"/>
        <v>0</v>
      </c>
      <c r="N69" s="254">
        <f t="shared" si="11"/>
        <v>0</v>
      </c>
    </row>
    <row r="70" spans="1:14" ht="14" x14ac:dyDescent="0.3">
      <c r="A70" s="151">
        <f>IF(B70&lt;&gt;"",COUNTA($B$13:B70),"")</f>
        <v>52</v>
      </c>
      <c r="B70" s="130" t="str">
        <f>+'G1NDMD BOST'!B66</f>
        <v>System Benefits Charge</v>
      </c>
      <c r="C70" s="253" t="str">
        <f>+'G1NDMD BOST'!C66</f>
        <v>SBC</v>
      </c>
      <c r="D70" s="253"/>
      <c r="E70" s="154">
        <f>SUMIF($C$13:$C$43,$C70,$I$13:$I$43)</f>
        <v>7579593.2069836976</v>
      </c>
      <c r="G70" s="254">
        <f t="shared" si="9"/>
        <v>0.25</v>
      </c>
      <c r="I70" s="154">
        <f>SUMIF($C$13:$C$43,$C70,$N$13:$N$43)</f>
        <v>7579593.2069836976</v>
      </c>
      <c r="J70" s="254">
        <f t="shared" si="10"/>
        <v>0.25</v>
      </c>
      <c r="L70" s="154">
        <f t="shared" si="8"/>
        <v>0</v>
      </c>
      <c r="N70" s="254">
        <f t="shared" si="11"/>
        <v>0</v>
      </c>
    </row>
    <row r="71" spans="1:14" ht="14" x14ac:dyDescent="0.3">
      <c r="A71" s="151">
        <f>IF(B71&lt;&gt;"",COUNTA($B$13:B71),"")</f>
        <v>53</v>
      </c>
      <c r="B71" s="130" t="str">
        <f>+'G1NDMD BOST'!B67</f>
        <v>Renewable Energy Charge</v>
      </c>
      <c r="C71" s="253" t="str">
        <f>+'G1NDMD BOST'!C67</f>
        <v>RNEW</v>
      </c>
      <c r="D71" s="253"/>
      <c r="E71" s="154">
        <f>SUMIF($C$13:$C$43,$C71,$I$13:$I$43)</f>
        <v>1515918.6413967395</v>
      </c>
      <c r="G71" s="254">
        <f t="shared" si="9"/>
        <v>0.05</v>
      </c>
      <c r="I71" s="154">
        <f>SUMIF($C$13:$C$43,$C71,$N$13:$N$43)</f>
        <v>1515918.6413967395</v>
      </c>
      <c r="J71" s="254">
        <f t="shared" si="10"/>
        <v>0.05</v>
      </c>
      <c r="L71" s="154">
        <f>I71-E71</f>
        <v>0</v>
      </c>
      <c r="N71" s="254">
        <f t="shared" si="11"/>
        <v>0</v>
      </c>
    </row>
    <row r="72" spans="1:14" ht="14" x14ac:dyDescent="0.3">
      <c r="A72" s="151">
        <f>IF(B72&lt;&gt;"",COUNTA($B$13:B72),"")</f>
        <v>54</v>
      </c>
      <c r="B72" s="130" t="str">
        <f>+'G1NDMD BOST'!B68</f>
        <v>Basic Service Charge</v>
      </c>
      <c r="C72" s="253" t="str">
        <f>+'G1NDMD BOST'!C68</f>
        <v>BS</v>
      </c>
      <c r="D72" s="253"/>
      <c r="E72" s="255">
        <f>SUMIF($C$13:$C$43,$C72,$I$13:$I$43)</f>
        <v>402021623.69841528</v>
      </c>
      <c r="F72" s="256"/>
      <c r="G72" s="257">
        <f t="shared" si="9"/>
        <v>13.26</v>
      </c>
      <c r="H72" s="258"/>
      <c r="I72" s="255">
        <f>SUMIF($C$13:$C$43,$C72,$N$13:$N$43)</f>
        <v>523446706.87429422</v>
      </c>
      <c r="J72" s="257">
        <f t="shared" si="10"/>
        <v>17.265000000000004</v>
      </c>
      <c r="K72" s="255"/>
      <c r="L72" s="255">
        <f t="shared" si="8"/>
        <v>121425083.17587894</v>
      </c>
      <c r="M72" s="259"/>
      <c r="N72" s="257">
        <f t="shared" si="11"/>
        <v>4.0050000000000034</v>
      </c>
    </row>
    <row r="73" spans="1:14" ht="14" x14ac:dyDescent="0.3">
      <c r="A73" s="151">
        <f>IF(B73&lt;&gt;"",COUNTA($B$13:B73),"")</f>
        <v>55</v>
      </c>
      <c r="B73" s="130" t="str">
        <f>+'G1NDMD BOST'!B69</f>
        <v>Total</v>
      </c>
      <c r="C73" s="130"/>
      <c r="D73" s="130"/>
      <c r="E73" s="154">
        <f>SUM(E52:E72)</f>
        <v>596650199.81572759</v>
      </c>
      <c r="G73" s="254">
        <f t="shared" si="9"/>
        <v>19.679492801341407</v>
      </c>
      <c r="I73" s="154">
        <f>SUM(I52:I72)</f>
        <v>713323961.59628034</v>
      </c>
      <c r="J73" s="254">
        <f t="shared" si="10"/>
        <v>23.527778540246619</v>
      </c>
      <c r="L73" s="154">
        <f>SUM(L52:L72)</f>
        <v>116673761.78055269</v>
      </c>
      <c r="N73" s="254">
        <f t="shared" si="11"/>
        <v>3.8482857389052105</v>
      </c>
    </row>
    <row r="74" spans="1:14" ht="14" x14ac:dyDescent="0.3">
      <c r="A74" s="151" t="str">
        <f>IF(B74&lt;&gt;"",COUNTA($B$10:B74),"")</f>
        <v/>
      </c>
    </row>
    <row r="75" spans="1:14" ht="14" x14ac:dyDescent="0.3">
      <c r="A75" s="151"/>
      <c r="B75" s="256" t="s">
        <v>164</v>
      </c>
      <c r="E75" s="188"/>
      <c r="G75" s="188"/>
      <c r="H75" s="188"/>
      <c r="I75" s="188"/>
      <c r="J75" s="188"/>
      <c r="K75" s="188"/>
      <c r="L75" s="188"/>
      <c r="M75" s="188"/>
      <c r="N75" s="188"/>
    </row>
    <row r="76" spans="1:14" ht="14" x14ac:dyDescent="0.3">
      <c r="A76" s="151"/>
      <c r="B76" s="130" t="str">
        <f>+'G1NDMD BOST'!B72</f>
        <v>Col. (a): Company's forecast</v>
      </c>
    </row>
    <row r="77" spans="1:14" ht="14" x14ac:dyDescent="0.3">
      <c r="A77" s="151"/>
      <c r="B77" s="130" t="str">
        <f>+'G1NDMD BOST'!B73</f>
        <v>Col. (b): Current rates</v>
      </c>
    </row>
    <row r="78" spans="1:14" ht="14" x14ac:dyDescent="0.3">
      <c r="A78" s="151"/>
      <c r="B78" s="130" t="str">
        <f>+'G1NDMD BOST'!B74</f>
        <v>Col. (c): Col. (a) x Col. (b)</v>
      </c>
    </row>
    <row r="79" spans="1:14" ht="14" x14ac:dyDescent="0.3">
      <c r="A79" s="151"/>
      <c r="B79" s="130" t="str">
        <f>+'G1NDMD BOST'!B75</f>
        <v>Col. (e): Proposed rates</v>
      </c>
    </row>
    <row r="80" spans="1:14" ht="14" x14ac:dyDescent="0.3">
      <c r="A80" s="151"/>
      <c r="B80" s="188" t="s">
        <v>409</v>
      </c>
    </row>
  </sheetData>
  <mergeCells count="6">
    <mergeCell ref="A4:N4"/>
    <mergeCell ref="A5:N5"/>
    <mergeCell ref="A7:N7"/>
    <mergeCell ref="A8:N8"/>
    <mergeCell ref="G10:I10"/>
    <mergeCell ref="L10:N10"/>
  </mergeCells>
  <pageMargins left="0.7" right="0.7" top="0.75" bottom="0.75" header="0.3" footer="0.3"/>
  <pageSetup scale="62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E8179-AAFF-4134-8704-CFAFC0DC19C5}">
  <sheetPr>
    <tabColor theme="9" tint="0.59999389629810485"/>
    <pageSetUpPr fitToPage="1"/>
  </sheetPr>
  <dimension ref="A4:N84"/>
  <sheetViews>
    <sheetView workbookViewId="0"/>
  </sheetViews>
  <sheetFormatPr defaultRowHeight="12.5" x14ac:dyDescent="0.25"/>
  <cols>
    <col min="1" max="1" width="3.26953125" bestFit="1" customWidth="1"/>
    <col min="2" max="2" width="41.1796875" customWidth="1"/>
    <col min="3" max="3" width="8.26953125" bestFit="1" customWidth="1"/>
    <col min="4" max="4" width="1.26953125" customWidth="1"/>
    <col min="5" max="5" width="14.453125" bestFit="1" customWidth="1"/>
    <col min="6" max="6" width="1.26953125" customWidth="1"/>
    <col min="7" max="7" width="12.7265625" customWidth="1"/>
    <col min="8" max="8" width="1.26953125" customWidth="1"/>
    <col min="9" max="9" width="14.453125" bestFit="1" customWidth="1"/>
    <col min="11" max="11" width="1.26953125" customWidth="1"/>
    <col min="12" max="12" width="15" customWidth="1"/>
    <col min="13" max="13" width="1.26953125" customWidth="1"/>
    <col min="14" max="14" width="14.453125" bestFit="1" customWidth="1"/>
  </cols>
  <sheetData>
    <row r="4" spans="1:14" ht="14" x14ac:dyDescent="0.3">
      <c r="A4" s="748" t="str">
        <f>'R1 EMA'!A4:N4</f>
        <v>Eastern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4" ht="14" x14ac:dyDescent="0.3">
      <c r="A5" s="748" t="str">
        <f>'R1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4" ht="14" x14ac:dyDescent="0.3">
      <c r="A6" s="205"/>
      <c r="C6" s="205"/>
      <c r="D6" s="205"/>
      <c r="E6" s="206"/>
      <c r="F6" s="207"/>
      <c r="G6" s="208"/>
      <c r="H6" s="209"/>
      <c r="I6" s="210"/>
      <c r="J6" s="210"/>
      <c r="K6" s="210"/>
      <c r="L6" s="211"/>
      <c r="M6" s="211"/>
      <c r="N6" s="212"/>
    </row>
    <row r="7" spans="1:14" ht="14" x14ac:dyDescent="0.3">
      <c r="A7" s="748" t="s">
        <v>346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4" ht="14" x14ac:dyDescent="0.3">
      <c r="A8" s="748" t="s">
        <v>410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4" ht="14" x14ac:dyDescent="0.3">
      <c r="B9" s="207"/>
      <c r="C9" s="207"/>
      <c r="D9" s="207"/>
      <c r="E9" s="213"/>
      <c r="F9" s="207"/>
      <c r="I9" s="210"/>
      <c r="J9" s="210"/>
      <c r="K9" s="210"/>
      <c r="L9" s="214"/>
      <c r="M9" s="214"/>
      <c r="N9" s="215"/>
    </row>
    <row r="10" spans="1:14" ht="14.5" thickBot="1" x14ac:dyDescent="0.35">
      <c r="A10" s="151"/>
      <c r="B10" s="216" t="s">
        <v>46</v>
      </c>
      <c r="C10" s="216"/>
      <c r="D10" s="216"/>
      <c r="E10" s="217" t="s">
        <v>144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4" ht="14" x14ac:dyDescent="0.3">
      <c r="A11" s="151"/>
      <c r="B11" s="219" t="s">
        <v>293</v>
      </c>
      <c r="C11" s="220" t="s">
        <v>294</v>
      </c>
      <c r="D11" s="220"/>
      <c r="E11" s="221" t="s">
        <v>295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4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4" ht="14" x14ac:dyDescent="0.3">
      <c r="A13" s="151">
        <f>IF(B13&lt;&gt;"",COUNTA($B$13:B13),"")</f>
        <v>1</v>
      </c>
      <c r="B13" s="232" t="s">
        <v>411</v>
      </c>
      <c r="C13" s="233" t="s">
        <v>412</v>
      </c>
      <c r="D13" s="233"/>
      <c r="E13" s="234">
        <v>12727.713855843602</v>
      </c>
      <c r="F13" s="207"/>
      <c r="G13" s="209">
        <v>27</v>
      </c>
      <c r="H13" s="209"/>
      <c r="I13" s="210">
        <f>G13*E13</f>
        <v>343648.27410777722</v>
      </c>
      <c r="J13" s="235"/>
      <c r="K13" s="210"/>
      <c r="L13" s="209">
        <v>27</v>
      </c>
      <c r="M13" s="211"/>
      <c r="N13" s="210">
        <f>L13*E13</f>
        <v>343648.27410777722</v>
      </c>
    </row>
    <row r="14" spans="1:14" ht="14" x14ac:dyDescent="0.3">
      <c r="A14" s="151">
        <f>IF(B14&lt;&gt;"",COUNTA($B$13:B14),"")</f>
        <v>2</v>
      </c>
      <c r="B14" s="232" t="s">
        <v>413</v>
      </c>
      <c r="C14" s="233" t="s">
        <v>414</v>
      </c>
      <c r="D14" s="233"/>
      <c r="E14" s="234">
        <v>10705.362751592189</v>
      </c>
      <c r="F14" s="207"/>
      <c r="G14" s="209">
        <v>110</v>
      </c>
      <c r="H14" s="209"/>
      <c r="I14" s="210">
        <f t="shared" ref="I14:I21" si="0">G14*E14</f>
        <v>1177589.9026751409</v>
      </c>
      <c r="J14" s="235"/>
      <c r="K14" s="210"/>
      <c r="L14" s="209">
        <v>110</v>
      </c>
      <c r="M14" s="211"/>
      <c r="N14" s="210">
        <f t="shared" ref="N14:N21" si="1">L14*E14</f>
        <v>1177589.9026751409</v>
      </c>
    </row>
    <row r="15" spans="1:14" ht="14" x14ac:dyDescent="0.3">
      <c r="A15" s="151">
        <f>IF(B15&lt;&gt;"",COUNTA($B$13:B15),"")</f>
        <v>3</v>
      </c>
      <c r="B15" s="232" t="s">
        <v>415</v>
      </c>
      <c r="C15" s="233" t="s">
        <v>416</v>
      </c>
      <c r="D15" s="233"/>
      <c r="E15" s="234">
        <v>11690.408862717582</v>
      </c>
      <c r="F15" s="207"/>
      <c r="G15" s="209">
        <v>160</v>
      </c>
      <c r="H15" s="209"/>
      <c r="I15" s="210">
        <f t="shared" si="0"/>
        <v>1870465.4180348131</v>
      </c>
      <c r="J15" s="235"/>
      <c r="K15" s="210"/>
      <c r="L15" s="209">
        <v>160</v>
      </c>
      <c r="M15" s="211"/>
      <c r="N15" s="210">
        <f t="shared" si="1"/>
        <v>1870465.4180348131</v>
      </c>
    </row>
    <row r="16" spans="1:14" ht="14" x14ac:dyDescent="0.3">
      <c r="A16" s="151">
        <f>IF(B16&lt;&gt;"",COUNTA($B$13:B16),"")</f>
        <v>4</v>
      </c>
      <c r="B16" s="232" t="s">
        <v>417</v>
      </c>
      <c r="C16" s="233" t="s">
        <v>418</v>
      </c>
      <c r="D16" s="233"/>
      <c r="E16" s="234">
        <v>2009.2928714161046</v>
      </c>
      <c r="F16" s="207"/>
      <c r="G16" s="209">
        <v>360</v>
      </c>
      <c r="H16" s="209"/>
      <c r="I16" s="210">
        <f t="shared" si="0"/>
        <v>723345.43370979768</v>
      </c>
      <c r="J16" s="235"/>
      <c r="K16" s="210"/>
      <c r="L16" s="209">
        <v>360</v>
      </c>
      <c r="M16" s="211"/>
      <c r="N16" s="210">
        <f t="shared" si="1"/>
        <v>723345.43370979768</v>
      </c>
    </row>
    <row r="17" spans="1:14" ht="14" x14ac:dyDescent="0.3">
      <c r="A17" s="151">
        <f>IF(B17&lt;&gt;"",COUNTA($B$13:B17),"")</f>
        <v>5</v>
      </c>
      <c r="B17" s="232" t="s">
        <v>419</v>
      </c>
      <c r="C17" s="233" t="s">
        <v>297</v>
      </c>
      <c r="D17" s="233"/>
      <c r="E17" s="234">
        <v>37132.778341569472</v>
      </c>
      <c r="F17" s="207"/>
      <c r="G17" s="209"/>
      <c r="H17" s="209"/>
      <c r="I17" s="210"/>
      <c r="J17" s="235"/>
      <c r="K17" s="210"/>
      <c r="L17" s="209"/>
      <c r="M17" s="211"/>
      <c r="N17" s="210"/>
    </row>
    <row r="18" spans="1:14" ht="14" x14ac:dyDescent="0.3">
      <c r="A18" s="151">
        <f>IF(B18&lt;&gt;"",COUNTA($B$13:B18),"")</f>
        <v>6</v>
      </c>
      <c r="B18" s="232" t="s">
        <v>404</v>
      </c>
      <c r="C18" s="234" t="s">
        <v>405</v>
      </c>
      <c r="D18" s="233"/>
      <c r="E18" s="234">
        <v>6488704.3846281404</v>
      </c>
      <c r="F18" s="207"/>
      <c r="G18" s="209">
        <v>11.08</v>
      </c>
      <c r="H18" s="209"/>
      <c r="I18" s="210">
        <f t="shared" si="0"/>
        <v>71894844.581679791</v>
      </c>
      <c r="J18" s="235"/>
      <c r="K18" s="210"/>
      <c r="L18" s="209">
        <v>11.46</v>
      </c>
      <c r="M18" s="211"/>
      <c r="N18" s="210">
        <f t="shared" si="1"/>
        <v>74360552.247838497</v>
      </c>
    </row>
    <row r="19" spans="1:14" ht="14" x14ac:dyDescent="0.3">
      <c r="A19" s="151">
        <f>IF(B19&lt;&gt;"",COUNTA($B$13:B19),"")</f>
        <v>7</v>
      </c>
      <c r="B19" s="232" t="s">
        <v>406</v>
      </c>
      <c r="C19" s="234" t="s">
        <v>407</v>
      </c>
      <c r="D19" s="233"/>
      <c r="E19" s="234">
        <v>3671894.5425821557</v>
      </c>
      <c r="F19" s="207"/>
      <c r="G19" s="209">
        <v>19.45</v>
      </c>
      <c r="H19" s="209"/>
      <c r="I19" s="210">
        <f t="shared" si="0"/>
        <v>71418348.853222921</v>
      </c>
      <c r="J19" s="235"/>
      <c r="K19" s="210"/>
      <c r="L19" s="209">
        <v>20.11</v>
      </c>
      <c r="M19" s="211"/>
      <c r="N19" s="210">
        <f t="shared" si="1"/>
        <v>73841799.251327142</v>
      </c>
    </row>
    <row r="20" spans="1:14" ht="14" x14ac:dyDescent="0.3">
      <c r="A20" s="151">
        <f>IF(B20&lt;&gt;"",COUNTA($B$13:B20),"")</f>
        <v>8</v>
      </c>
      <c r="B20" s="232" t="s">
        <v>363</v>
      </c>
      <c r="C20" s="233" t="s">
        <v>364</v>
      </c>
      <c r="D20" s="233"/>
      <c r="E20" s="234">
        <v>10160598.927210297</v>
      </c>
      <c r="F20" s="207"/>
      <c r="G20" s="209"/>
      <c r="H20" s="209"/>
      <c r="I20" s="210"/>
      <c r="J20" s="235"/>
      <c r="K20" s="210"/>
      <c r="L20" s="209"/>
      <c r="M20" s="211"/>
      <c r="N20" s="210"/>
    </row>
    <row r="21" spans="1:14" ht="14" x14ac:dyDescent="0.3">
      <c r="A21" s="151">
        <f>IF(B21&lt;&gt;"",COUNTA($B$13:B21),"")</f>
        <v>9</v>
      </c>
      <c r="B21" s="207" t="s">
        <v>298</v>
      </c>
      <c r="C21" s="233" t="s">
        <v>299</v>
      </c>
      <c r="D21" s="233"/>
      <c r="E21" s="234">
        <v>3845423355.5168753</v>
      </c>
      <c r="F21" s="207"/>
      <c r="G21" s="236">
        <v>0</v>
      </c>
      <c r="H21" s="209"/>
      <c r="I21" s="237">
        <f t="shared" si="0"/>
        <v>0</v>
      </c>
      <c r="J21" s="235"/>
      <c r="K21" s="210"/>
      <c r="L21" s="236">
        <v>0</v>
      </c>
      <c r="M21" s="211"/>
      <c r="N21" s="237">
        <f t="shared" si="1"/>
        <v>0</v>
      </c>
    </row>
    <row r="22" spans="1:14" ht="14" x14ac:dyDescent="0.3">
      <c r="A22" s="151">
        <f>IF(B22&lt;&gt;"",COUNTA($B$13:B22),"")</f>
        <v>10</v>
      </c>
      <c r="B22" s="207" t="s">
        <v>300</v>
      </c>
      <c r="C22" s="233" t="s">
        <v>301</v>
      </c>
      <c r="D22" s="233"/>
      <c r="E22" s="234"/>
      <c r="F22" s="207"/>
      <c r="G22" s="209"/>
      <c r="H22" s="209"/>
      <c r="I22" s="210">
        <f>SUM(I13:I21)</f>
        <v>147428242.46343023</v>
      </c>
      <c r="J22" s="235"/>
      <c r="K22" s="210"/>
      <c r="L22" s="238"/>
      <c r="M22" s="211"/>
      <c r="N22" s="210">
        <f>SUM(N13:N21)</f>
        <v>152317400.52769315</v>
      </c>
    </row>
    <row r="23" spans="1:14" ht="14" x14ac:dyDescent="0.3">
      <c r="A23" s="151" t="str">
        <f>IF(B23&lt;&gt;"",COUNTA($B$13:B23),"")</f>
        <v/>
      </c>
      <c r="B23" s="207"/>
      <c r="C23" s="233"/>
      <c r="D23" s="233"/>
      <c r="E23" s="234"/>
      <c r="F23" s="207"/>
      <c r="G23" s="209"/>
      <c r="H23" s="209"/>
      <c r="I23" s="210"/>
      <c r="J23" s="235"/>
      <c r="K23" s="210"/>
      <c r="L23" s="238"/>
      <c r="M23" s="211"/>
      <c r="N23" s="210"/>
    </row>
    <row r="24" spans="1:14" ht="14" x14ac:dyDescent="0.3">
      <c r="A24" s="151">
        <f>IF(B24&lt;&gt;"",COUNTA($B$13:B24),"")</f>
        <v>11</v>
      </c>
      <c r="B24" s="207" t="s">
        <v>377</v>
      </c>
      <c r="C24" s="233" t="s">
        <v>378</v>
      </c>
      <c r="D24" s="233"/>
      <c r="E24" s="234"/>
      <c r="F24" s="207"/>
      <c r="G24" s="209"/>
      <c r="H24" s="209"/>
      <c r="I24" s="210"/>
      <c r="J24" s="235"/>
      <c r="K24" s="210"/>
      <c r="L24" s="238"/>
      <c r="M24" s="211"/>
      <c r="N24" s="210"/>
    </row>
    <row r="25" spans="1:14" ht="14" x14ac:dyDescent="0.3">
      <c r="A25" s="151">
        <f>IF(B25&lt;&gt;"",COUNTA($B$13:B25),"")</f>
        <v>12</v>
      </c>
      <c r="B25" s="207" t="s">
        <v>379</v>
      </c>
      <c r="C25" s="233" t="s">
        <v>380</v>
      </c>
      <c r="D25" s="233"/>
      <c r="E25" s="234"/>
      <c r="F25" s="207"/>
      <c r="G25" s="209"/>
      <c r="H25" s="209"/>
      <c r="I25" s="210"/>
      <c r="J25" s="235"/>
      <c r="K25" s="210"/>
      <c r="L25" s="238"/>
      <c r="M25" s="211"/>
      <c r="N25" s="210"/>
    </row>
    <row r="26" spans="1:14" ht="14" x14ac:dyDescent="0.3">
      <c r="A26" s="151" t="str">
        <f>IF(B26&lt;&gt;"",COUNTA($B$13:B26),"")</f>
        <v/>
      </c>
      <c r="B26" s="207"/>
      <c r="C26" s="233"/>
      <c r="D26" s="233"/>
      <c r="E26" s="234"/>
      <c r="F26" s="207"/>
      <c r="G26" s="209"/>
      <c r="H26" s="209"/>
      <c r="I26" s="210"/>
      <c r="J26" s="235"/>
      <c r="K26" s="210"/>
      <c r="L26" s="238"/>
      <c r="M26" s="211"/>
      <c r="N26" s="210"/>
    </row>
    <row r="27" spans="1:14" ht="14" x14ac:dyDescent="0.3">
      <c r="A27" s="151">
        <f>IF(B27&lt;&gt;"",COUNTA($B$13:B27),"")</f>
        <v>13</v>
      </c>
      <c r="B27" s="228" t="s">
        <v>302</v>
      </c>
      <c r="F27" s="239"/>
      <c r="G27" s="240"/>
      <c r="H27" s="211"/>
      <c r="I27" s="210"/>
      <c r="K27" s="210"/>
      <c r="L27" s="241"/>
      <c r="M27" s="211"/>
      <c r="N27" s="210"/>
    </row>
    <row r="28" spans="1:14" ht="14" x14ac:dyDescent="0.3">
      <c r="A28" s="151">
        <f>IF(B28&lt;&gt;"",COUNTA($B$13:B28),"")</f>
        <v>14</v>
      </c>
      <c r="B28" s="207" t="str">
        <f>+'G3 BOST'!B24</f>
        <v>Revenue Decoupling</v>
      </c>
      <c r="C28" s="233" t="str">
        <f>+'G3 BOST'!C24</f>
        <v>RDAF</v>
      </c>
      <c r="D28" s="233"/>
      <c r="E28" s="242"/>
      <c r="F28" s="239"/>
      <c r="G28" s="236">
        <v>0</v>
      </c>
      <c r="H28" s="211"/>
      <c r="I28" s="210">
        <f>G28*$E$21</f>
        <v>0</v>
      </c>
      <c r="K28" s="210"/>
      <c r="L28" s="236">
        <v>-4.0901264133415543E-4</v>
      </c>
      <c r="M28" s="211"/>
      <c r="N28" s="210">
        <f>L28*$E$21</f>
        <v>-1572826.7636880081</v>
      </c>
    </row>
    <row r="29" spans="1:14" ht="14" x14ac:dyDescent="0.3">
      <c r="A29" s="151">
        <f>IF(B29&lt;&gt;"",COUNTA($B$13:B29),"")</f>
        <v>15</v>
      </c>
      <c r="B29" s="207" t="str">
        <f>+'G3 BOST'!B25</f>
        <v>Residential Assistance Adjustment Factor</v>
      </c>
      <c r="C29" s="233" t="str">
        <f>+'G3 BOST'!C25</f>
        <v>RAAF</v>
      </c>
      <c r="D29" s="243"/>
      <c r="E29" s="206"/>
      <c r="F29" s="239"/>
      <c r="G29" s="236">
        <f>HLOOKUP(($C29&amp;"C"),'Exh 7_Recon Rates p1-2'!$J$6:$CC$34,'Exh 7_Recon Rates p1-2'!$D$16,FALSE)</f>
        <v>2.5000000000000001E-3</v>
      </c>
      <c r="H29" s="211"/>
      <c r="I29" s="210">
        <f t="shared" ref="I29:I42" si="2">G29*$E$21</f>
        <v>9613558.3887921888</v>
      </c>
      <c r="K29" s="210"/>
      <c r="L29" s="236">
        <v>3.4554487951269715E-3</v>
      </c>
      <c r="M29" s="211"/>
      <c r="N29" s="210">
        <f t="shared" ref="N29:N42" si="3">L29*$E$21</f>
        <v>13287663.500573903</v>
      </c>
    </row>
    <row r="30" spans="1:14" ht="14" x14ac:dyDescent="0.3">
      <c r="A30" s="151">
        <f>IF(B30&lt;&gt;"",COUNTA($B$13:B30),"")</f>
        <v>16</v>
      </c>
      <c r="B30" s="207" t="str">
        <f>+'G3 BOST'!B26</f>
        <v>Pension Adjustment Factor</v>
      </c>
      <c r="C30" s="233" t="str">
        <f>+'G3 BOST'!C26</f>
        <v>PAF</v>
      </c>
      <c r="D30" s="243"/>
      <c r="E30" s="206"/>
      <c r="F30" s="239"/>
      <c r="G30" s="236">
        <f>HLOOKUP(($C30&amp;"C"),'Exh 7_Recon Rates p1-2'!$J$6:$CC$34,'Exh 7_Recon Rates p1-2'!$D$16,FALSE)</f>
        <v>-5.0000000000000002E-5</v>
      </c>
      <c r="H30" s="211"/>
      <c r="I30" s="210">
        <f t="shared" si="2"/>
        <v>-192271.16777584376</v>
      </c>
      <c r="K30" s="210"/>
      <c r="L30" s="236">
        <v>4.6556868638834658E-4</v>
      </c>
      <c r="M30" s="211"/>
      <c r="N30" s="210">
        <f t="shared" si="3"/>
        <v>1790308.7002350595</v>
      </c>
    </row>
    <row r="31" spans="1:14" ht="14" x14ac:dyDescent="0.3">
      <c r="A31" s="151">
        <f>IF(B31&lt;&gt;"",COUNTA($B$13:B31),"")</f>
        <v>17</v>
      </c>
      <c r="B31" s="207" t="str">
        <f>+'G3 BOST'!B27</f>
        <v>Net Metering Recovery Surcharge</v>
      </c>
      <c r="C31" s="233" t="str">
        <f>+'G3 BOST'!C27</f>
        <v>NMRS</v>
      </c>
      <c r="D31" s="243"/>
      <c r="E31" s="206"/>
      <c r="F31" s="239"/>
      <c r="G31" s="236">
        <f>HLOOKUP(($C31&amp;"C"),'Exh 7_Recon Rates p1-2'!$J$6:$CC$34,'Exh 7_Recon Rates p1-2'!$D$16,FALSE)</f>
        <v>4.9300000000000004E-3</v>
      </c>
      <c r="H31" s="211"/>
      <c r="I31" s="210">
        <f t="shared" si="2"/>
        <v>18957937.142698195</v>
      </c>
      <c r="K31" s="210"/>
      <c r="L31" s="236">
        <v>4.505628053767018E-3</v>
      </c>
      <c r="M31" s="211"/>
      <c r="N31" s="210">
        <f t="shared" si="3"/>
        <v>17326047.349227734</v>
      </c>
    </row>
    <row r="32" spans="1:14" ht="14" x14ac:dyDescent="0.3">
      <c r="A32" s="151">
        <f>IF(B32&lt;&gt;"",COUNTA($B$13:B32),"")</f>
        <v>18</v>
      </c>
      <c r="B32" s="207" t="str">
        <f>+'G3 BOST'!B28</f>
        <v>Long Term Renewable Contract Adjustment</v>
      </c>
      <c r="C32" s="233" t="str">
        <f>+'G3 BOST'!C28</f>
        <v>LTRCA</v>
      </c>
      <c r="D32" s="243"/>
      <c r="E32" s="206"/>
      <c r="F32" s="239"/>
      <c r="G32" s="236">
        <f>HLOOKUP(($C32&amp;"C"),'Exh 7_Recon Rates p1-2'!$J$6:$CC$34,'Exh 7_Recon Rates p1-2'!$D$16,FALSE)</f>
        <v>2.3600000000000001E-3</v>
      </c>
      <c r="H32" s="211"/>
      <c r="I32" s="210">
        <f t="shared" si="2"/>
        <v>9075199.1190198269</v>
      </c>
      <c r="K32" s="210"/>
      <c r="L32" s="236">
        <v>1.7357128782064517E-3</v>
      </c>
      <c r="M32" s="211"/>
      <c r="N32" s="210">
        <f t="shared" si="3"/>
        <v>6674550.8403265066</v>
      </c>
    </row>
    <row r="33" spans="1:14" ht="14" x14ac:dyDescent="0.3">
      <c r="A33" s="151">
        <f>IF(B33&lt;&gt;"",COUNTA($B$13:B33),"")</f>
        <v>19</v>
      </c>
      <c r="B33" s="207" t="str">
        <f>+'G3 BOST'!B29</f>
        <v>AG Consulting Expense</v>
      </c>
      <c r="C33" s="233" t="str">
        <f>+'G3 BOST'!C29</f>
        <v>AGCE</v>
      </c>
      <c r="D33" s="243"/>
      <c r="E33" s="206"/>
      <c r="F33" s="239"/>
      <c r="G33" s="236">
        <f>HLOOKUP(($C33&amp;"C"),'Exh 7_Recon Rates p1-2'!$J$6:$CC$34,'Exh 7_Recon Rates p1-2'!$D$16,FALSE)</f>
        <v>3.0000000000000001E-5</v>
      </c>
      <c r="H33" s="211"/>
      <c r="I33" s="210">
        <f t="shared" si="2"/>
        <v>115362.70066550626</v>
      </c>
      <c r="K33" s="210"/>
      <c r="L33" s="236">
        <v>7.2551534790575584E-6</v>
      </c>
      <c r="M33" s="211"/>
      <c r="N33" s="210">
        <f t="shared" si="3"/>
        <v>27899.136636227449</v>
      </c>
    </row>
    <row r="34" spans="1:14" ht="14" x14ac:dyDescent="0.3">
      <c r="A34" s="151">
        <f>IF(B34&lt;&gt;"",COUNTA($B$13:B34),"")</f>
        <v>20</v>
      </c>
      <c r="B34" s="207" t="str">
        <f>+'G3 BOST'!B30</f>
        <v>Storm Cost Recovery Adjustment Factor</v>
      </c>
      <c r="C34" s="233" t="str">
        <f>+'G3 BOST'!C30</f>
        <v>SCRA</v>
      </c>
      <c r="D34" s="243"/>
      <c r="E34" s="206"/>
      <c r="F34" s="239"/>
      <c r="G34" s="236">
        <f>HLOOKUP(($C34&amp;"C"),'Exh 7_Recon Rates p1-2'!$J$6:$CC$34,'Exh 7_Recon Rates p1-2'!$D$16,FALSE)</f>
        <v>1.5399999999999999E-3</v>
      </c>
      <c r="H34" s="211"/>
      <c r="I34" s="210">
        <f t="shared" si="2"/>
        <v>5921951.9674959872</v>
      </c>
      <c r="K34" s="210"/>
      <c r="L34" s="236">
        <v>2.6187956578597508E-3</v>
      </c>
      <c r="M34" s="211"/>
      <c r="N34" s="210">
        <f t="shared" si="3"/>
        <v>10070377.986060066</v>
      </c>
    </row>
    <row r="35" spans="1:14" ht="14" x14ac:dyDescent="0.3">
      <c r="A35" s="151">
        <f>IF(B35&lt;&gt;"",COUNTA($B$13:B35),"")</f>
        <v>21</v>
      </c>
      <c r="B35" s="207" t="str">
        <f>+'G3 BOST'!B31</f>
        <v>Storm Reserve Adjustment</v>
      </c>
      <c r="C35" s="233" t="str">
        <f>+'G3 BOST'!C31</f>
        <v>SRA</v>
      </c>
      <c r="D35" s="243"/>
      <c r="E35" s="206"/>
      <c r="F35" s="239"/>
      <c r="G35" s="236">
        <f>HLOOKUP(($C35&amp;"C"),'Exh 7_Recon Rates p1-2'!$J$6:$CC$34,'Exh 7_Recon Rates p1-2'!$D$16,FALSE)</f>
        <v>0</v>
      </c>
      <c r="H35" s="211"/>
      <c r="I35" s="210">
        <f t="shared" si="2"/>
        <v>0</v>
      </c>
      <c r="K35" s="210"/>
      <c r="L35" s="236">
        <v>0</v>
      </c>
      <c r="M35" s="211"/>
      <c r="N35" s="210">
        <f t="shared" si="3"/>
        <v>0</v>
      </c>
    </row>
    <row r="36" spans="1:14" ht="14" x14ac:dyDescent="0.3">
      <c r="A36" s="151">
        <f>IF(B36&lt;&gt;"",COUNTA($B$13:B36),"")</f>
        <v>22</v>
      </c>
      <c r="B36" s="207" t="str">
        <f>+'G3 BOST'!B32</f>
        <v>Basic Service Cost True Up Factor</v>
      </c>
      <c r="C36" s="233" t="str">
        <f>+'G3 BOST'!C32</f>
        <v>BSTF</v>
      </c>
      <c r="D36" s="243"/>
      <c r="E36" s="206"/>
      <c r="F36" s="239"/>
      <c r="G36" s="236">
        <f>HLOOKUP(($C36&amp;"C"),'Exh 7_Recon Rates p1-2'!$J$6:$CC$34,'Exh 7_Recon Rates p1-2'!$D$16,FALSE)</f>
        <v>1.34E-3</v>
      </c>
      <c r="H36" s="211"/>
      <c r="I36" s="210">
        <f t="shared" si="2"/>
        <v>5152867.2963926131</v>
      </c>
      <c r="K36" s="210"/>
      <c r="L36" s="236">
        <v>-1.7146783663939721E-4</v>
      </c>
      <c r="M36" s="211"/>
      <c r="N36" s="210">
        <f t="shared" si="3"/>
        <v>-659366.42373309028</v>
      </c>
    </row>
    <row r="37" spans="1:14" ht="14" x14ac:dyDescent="0.3">
      <c r="A37" s="151">
        <f>IF(B37&lt;&gt;"",COUNTA($B$13:B37),"")</f>
        <v>23</v>
      </c>
      <c r="B37" s="207" t="str">
        <f>+'G3 BOST'!B33</f>
        <v>Solar Program Cost Adjustment Factor</v>
      </c>
      <c r="C37" s="233" t="str">
        <f>+'G3 BOST'!C33</f>
        <v>SPCA</v>
      </c>
      <c r="D37" s="233"/>
      <c r="E37" s="206"/>
      <c r="F37" s="239"/>
      <c r="G37" s="236">
        <f>HLOOKUP(($C37&amp;"C"),'Exh 7_Recon Rates p1-2'!$J$6:$CC$34,'Exh 7_Recon Rates p1-2'!$D$16,FALSE)</f>
        <v>0</v>
      </c>
      <c r="H37" s="211"/>
      <c r="I37" s="210">
        <f t="shared" si="2"/>
        <v>0</v>
      </c>
      <c r="K37" s="210"/>
      <c r="L37" s="236">
        <v>3.0515190833952497E-5</v>
      </c>
      <c r="M37" s="211"/>
      <c r="N37" s="210">
        <f t="shared" si="3"/>
        <v>117343.82753093541</v>
      </c>
    </row>
    <row r="38" spans="1:14" ht="14" x14ac:dyDescent="0.3">
      <c r="A38" s="151">
        <f>IF(B38&lt;&gt;"",COUNTA($B$13:B38),"")</f>
        <v>24</v>
      </c>
      <c r="B38" s="207" t="str">
        <f>+'G3 BOST'!B34</f>
        <v>Solar Expansion Cost Recovery Factor</v>
      </c>
      <c r="C38" s="233" t="str">
        <f>+'G3 BOST'!C34</f>
        <v>SECRF</v>
      </c>
      <c r="D38" s="233"/>
      <c r="E38" s="206"/>
      <c r="F38" s="239"/>
      <c r="G38" s="236">
        <f>HLOOKUP(($C38&amp;"C"),'Exh 7_Recon Rates p1-2'!$J$6:$CC$34,'Exh 7_Recon Rates p1-2'!$D$16,FALSE)</f>
        <v>0</v>
      </c>
      <c r="H38" s="211"/>
      <c r="I38" s="210">
        <f t="shared" si="2"/>
        <v>0</v>
      </c>
      <c r="K38" s="210"/>
      <c r="L38" s="236">
        <v>5.382181559189245E-4</v>
      </c>
      <c r="M38" s="211"/>
      <c r="N38" s="210">
        <f t="shared" si="3"/>
        <v>2069676.6671338554</v>
      </c>
    </row>
    <row r="39" spans="1:14" ht="14" x14ac:dyDescent="0.3">
      <c r="A39" s="151">
        <f>IF(B39&lt;&gt;"",COUNTA($B$13:B39),"")</f>
        <v>25</v>
      </c>
      <c r="B39" s="207" t="str">
        <f>+'G3 BOST'!B35</f>
        <v>Vegetation Management</v>
      </c>
      <c r="C39" s="233" t="str">
        <f>+'G3 BOST'!C35</f>
        <v>RTWF</v>
      </c>
      <c r="D39" s="233"/>
      <c r="E39" s="206"/>
      <c r="F39" s="239"/>
      <c r="G39" s="236">
        <f>HLOOKUP(($C39&amp;"C"),'Exh 7_Recon Rates p1-2'!$J$6:$CC$34,'Exh 7_Recon Rates p1-2'!$D$16,FALSE)</f>
        <v>0</v>
      </c>
      <c r="H39" s="211"/>
      <c r="I39" s="210">
        <f t="shared" si="2"/>
        <v>0</v>
      </c>
      <c r="K39" s="210"/>
      <c r="L39" s="236">
        <v>8.3352530351307567E-4</v>
      </c>
      <c r="M39" s="211"/>
      <c r="N39" s="210">
        <f t="shared" si="3"/>
        <v>3205257.6695434735</v>
      </c>
    </row>
    <row r="40" spans="1:14" ht="14" x14ac:dyDescent="0.3">
      <c r="A40" s="151">
        <f>IF(B40&lt;&gt;"",COUNTA($B$13:B40),"")</f>
        <v>26</v>
      </c>
      <c r="B40" s="207" t="str">
        <f>+'G3 BOST'!B36</f>
        <v>Solar Massachusetts Renewable Target</v>
      </c>
      <c r="C40" s="233" t="str">
        <f>+'G3 BOST'!C36</f>
        <v>SMART</v>
      </c>
      <c r="D40" s="233"/>
      <c r="E40" s="206"/>
      <c r="F40" s="239"/>
      <c r="G40" s="236">
        <f>HLOOKUP(($C40&amp;"C"),'Exh 7_Recon Rates p1-2'!$J$6:$CC$34,'Exh 7_Recon Rates p1-2'!$D$16,FALSE)</f>
        <v>0</v>
      </c>
      <c r="H40" s="211"/>
      <c r="I40" s="210">
        <f t="shared" si="2"/>
        <v>0</v>
      </c>
      <c r="K40" s="210"/>
      <c r="L40" s="236">
        <v>6.3059809698508404E-4</v>
      </c>
      <c r="M40" s="211"/>
      <c r="N40" s="210">
        <f t="shared" si="3"/>
        <v>2424916.650090938</v>
      </c>
    </row>
    <row r="41" spans="1:14" ht="14" x14ac:dyDescent="0.3">
      <c r="A41" s="151">
        <f>IF(B41&lt;&gt;"",COUNTA($B$13:B41),"")</f>
        <v>27</v>
      </c>
      <c r="B41" s="207" t="str">
        <f>+'G3 BOST'!B37</f>
        <v>Tax Act Credit Factor</v>
      </c>
      <c r="C41" s="233" t="str">
        <f>+'G3 BOST'!C37</f>
        <v>TACF</v>
      </c>
      <c r="D41" s="233"/>
      <c r="E41" s="206"/>
      <c r="F41" s="239"/>
      <c r="G41" s="236">
        <f>HLOOKUP(($C41&amp;"C"),'Exh 7_Recon Rates p1-2'!$J$6:$CC$34,'Exh 7_Recon Rates p1-2'!$D$16,FALSE)</f>
        <v>0</v>
      </c>
      <c r="H41" s="211"/>
      <c r="I41" s="210">
        <f t="shared" si="2"/>
        <v>0</v>
      </c>
      <c r="K41" s="210"/>
      <c r="L41" s="236">
        <v>-9.5462017218350833E-4</v>
      </c>
      <c r="M41" s="211"/>
      <c r="N41" s="210">
        <f t="shared" si="3"/>
        <v>-3670918.705762004</v>
      </c>
    </row>
    <row r="42" spans="1:14" ht="14" x14ac:dyDescent="0.3">
      <c r="A42" s="151">
        <f>IF(B42&lt;&gt;"",COUNTA($B$13:B42),"")</f>
        <v>28</v>
      </c>
      <c r="B42" s="207" t="str">
        <f>+'G3 BOST'!B38</f>
        <v>Transition</v>
      </c>
      <c r="C42" s="233" t="str">
        <f>+'G3 BOST'!C38</f>
        <v>TRNSN</v>
      </c>
      <c r="D42" s="233"/>
      <c r="E42" s="206"/>
      <c r="F42" s="239"/>
      <c r="G42" s="236">
        <v>-6.0999999999999997E-4</v>
      </c>
      <c r="H42" s="211"/>
      <c r="I42" s="210">
        <f t="shared" si="2"/>
        <v>-2345708.2468652939</v>
      </c>
      <c r="K42" s="210"/>
      <c r="L42" s="236">
        <v>-5.210932140356871E-4</v>
      </c>
      <c r="M42" s="211"/>
      <c r="N42" s="210">
        <f t="shared" si="3"/>
        <v>-2003824.0156541851</v>
      </c>
    </row>
    <row r="43" spans="1:14" ht="14" x14ac:dyDescent="0.3">
      <c r="A43" s="151">
        <f>IF(B43&lt;&gt;"",COUNTA($B$13:B43),"")</f>
        <v>29</v>
      </c>
      <c r="B43" s="207" t="str">
        <f>+'G3 BOST'!B39</f>
        <v>Transmission Demand</v>
      </c>
      <c r="C43" s="233" t="str">
        <f>+'G3 BOST'!C39</f>
        <v>TMKW</v>
      </c>
      <c r="D43" s="233"/>
      <c r="E43" s="206"/>
      <c r="F43" s="239"/>
      <c r="G43" s="283">
        <v>9</v>
      </c>
      <c r="H43" s="211"/>
      <c r="I43" s="210">
        <f>G43*E20</f>
        <v>91445390.344892681</v>
      </c>
      <c r="K43" s="210"/>
      <c r="L43" s="238">
        <v>7.7252198819769342</v>
      </c>
      <c r="M43" s="211"/>
      <c r="N43" s="210">
        <f>L43*E20</f>
        <v>78492860.845278502</v>
      </c>
    </row>
    <row r="44" spans="1:14" ht="14" x14ac:dyDescent="0.3">
      <c r="A44" s="151">
        <f>IF(B44&lt;&gt;"",COUNTA($B$13:B44),"")</f>
        <v>30</v>
      </c>
      <c r="B44" s="207" t="str">
        <f>+'G3 BOST'!B40</f>
        <v>Energy Efficiency Reconciliation Factor</v>
      </c>
      <c r="C44" s="233" t="str">
        <f>+'G3 BOST'!C40</f>
        <v>EERF</v>
      </c>
      <c r="D44" s="233"/>
      <c r="E44" s="206"/>
      <c r="F44" s="239"/>
      <c r="G44" s="236">
        <v>8.4600000000000005E-3</v>
      </c>
      <c r="H44" s="211"/>
      <c r="I44" s="210">
        <f t="shared" ref="I44:I47" si="4">G44*$E$21</f>
        <v>32532281.587672766</v>
      </c>
      <c r="K44" s="210"/>
      <c r="L44" s="281">
        <v>8.4600000000000005E-3</v>
      </c>
      <c r="M44" s="211"/>
      <c r="N44" s="210">
        <f t="shared" ref="N44:N47" si="5">L44*$E$21</f>
        <v>32532281.587672766</v>
      </c>
    </row>
    <row r="45" spans="1:14" ht="14" x14ac:dyDescent="0.3">
      <c r="A45" s="151">
        <f>IF(B45&lt;&gt;"",COUNTA($B$13:B45),"")</f>
        <v>31</v>
      </c>
      <c r="B45" s="207" t="str">
        <f>+'G3 BOST'!B41</f>
        <v>System Benefits Charge</v>
      </c>
      <c r="C45" s="233" t="str">
        <f>+'G3 BOST'!C41</f>
        <v>SBC</v>
      </c>
      <c r="D45" s="233"/>
      <c r="E45" s="206"/>
      <c r="F45" s="239"/>
      <c r="G45" s="236">
        <v>2.5000000000000001E-3</v>
      </c>
      <c r="H45" s="211"/>
      <c r="I45" s="210">
        <f t="shared" si="4"/>
        <v>9613558.3887921888</v>
      </c>
      <c r="K45" s="210"/>
      <c r="L45" s="281">
        <f>+G45</f>
        <v>2.5000000000000001E-3</v>
      </c>
      <c r="M45" s="211"/>
      <c r="N45" s="210">
        <f t="shared" si="5"/>
        <v>9613558.3887921888</v>
      </c>
    </row>
    <row r="46" spans="1:14" ht="14" x14ac:dyDescent="0.3">
      <c r="A46" s="151">
        <f>IF(B46&lt;&gt;"",COUNTA($B$13:B46),"")</f>
        <v>32</v>
      </c>
      <c r="B46" s="207" t="str">
        <f>+'G3 BOST'!B42</f>
        <v>Renewable Energy Charge</v>
      </c>
      <c r="C46" s="233" t="str">
        <f>+'G3 BOST'!C42</f>
        <v>RNEW</v>
      </c>
      <c r="D46" s="233"/>
      <c r="E46" s="206"/>
      <c r="F46" s="239"/>
      <c r="G46" s="236">
        <v>5.0000000000000001E-4</v>
      </c>
      <c r="H46" s="211"/>
      <c r="I46" s="210">
        <f t="shared" si="4"/>
        <v>1922711.6777584376</v>
      </c>
      <c r="K46" s="210"/>
      <c r="L46" s="281">
        <f>+G46</f>
        <v>5.0000000000000001E-4</v>
      </c>
      <c r="M46" s="211"/>
      <c r="N46" s="210">
        <f t="shared" si="5"/>
        <v>1922711.6777584376</v>
      </c>
    </row>
    <row r="47" spans="1:14" ht="14" x14ac:dyDescent="0.3">
      <c r="A47" s="151">
        <f>IF(B47&lt;&gt;"",COUNTA($B$13:B47),"")</f>
        <v>33</v>
      </c>
      <c r="B47" s="207" t="str">
        <f>+'G3 BOST'!B43</f>
        <v>Basic Service Charge</v>
      </c>
      <c r="C47" s="233" t="str">
        <f>+'G3 BOST'!C43</f>
        <v>BS</v>
      </c>
      <c r="D47" s="233"/>
      <c r="E47" s="206"/>
      <c r="F47" s="239"/>
      <c r="G47" s="241">
        <v>0.1326</v>
      </c>
      <c r="H47" s="211"/>
      <c r="I47" s="237">
        <f t="shared" si="4"/>
        <v>509903136.94153762</v>
      </c>
      <c r="K47" s="210"/>
      <c r="L47" s="281">
        <v>0.17265000000000003</v>
      </c>
      <c r="M47" s="211"/>
      <c r="N47" s="237">
        <f t="shared" si="5"/>
        <v>663912342.3299886</v>
      </c>
    </row>
    <row r="48" spans="1:14" ht="14" x14ac:dyDescent="0.3">
      <c r="A48" s="151" t="str">
        <f>IF(B48&lt;&gt;"",COUNTA($B$13:B48),"")</f>
        <v/>
      </c>
      <c r="B48" s="207"/>
      <c r="E48" s="206"/>
      <c r="F48" s="239"/>
      <c r="G48" s="241"/>
      <c r="H48" s="211"/>
      <c r="I48" s="244"/>
      <c r="K48" s="210"/>
      <c r="L48" s="241"/>
      <c r="M48" s="211"/>
      <c r="N48" s="244"/>
    </row>
    <row r="49" spans="1:14" ht="14" x14ac:dyDescent="0.3">
      <c r="A49" s="151">
        <f>IF(B49&lt;&gt;"",COUNTA($B$13:B49),"")</f>
        <v>34</v>
      </c>
      <c r="B49" s="188" t="s">
        <v>46</v>
      </c>
      <c r="E49" s="188"/>
      <c r="G49" s="245" t="s">
        <v>324</v>
      </c>
      <c r="H49" s="246"/>
      <c r="I49" s="154">
        <f>SUM(I22:I48)</f>
        <v>839144218.60450721</v>
      </c>
      <c r="K49" s="247"/>
      <c r="L49" s="245"/>
      <c r="N49" s="154">
        <f>SUM(N22:N48)</f>
        <v>987878261.7757051</v>
      </c>
    </row>
    <row r="50" spans="1:14" ht="14" x14ac:dyDescent="0.3">
      <c r="A50" s="151" t="str">
        <f>IF(B50&lt;&gt;"",COUNTA($B$13:B50),"")</f>
        <v/>
      </c>
      <c r="E50" s="188"/>
      <c r="H50" s="188"/>
      <c r="I50" s="154"/>
      <c r="K50" s="265"/>
      <c r="L50" s="278"/>
      <c r="N50" s="265"/>
    </row>
    <row r="51" spans="1:14" ht="14" x14ac:dyDescent="0.3">
      <c r="A51" s="151">
        <f>IF(B51&lt;&gt;"",COUNTA($B$13:B51),"")</f>
        <v>35</v>
      </c>
      <c r="B51" s="188" t="s">
        <v>46</v>
      </c>
      <c r="E51" s="188"/>
      <c r="G51" s="188"/>
      <c r="H51" s="188"/>
      <c r="I51" s="188"/>
      <c r="J51" s="188"/>
      <c r="L51" s="248" t="s">
        <v>325</v>
      </c>
      <c r="N51" s="160">
        <f>+N49/I49-1</f>
        <v>0.17724491198728853</v>
      </c>
    </row>
    <row r="52" spans="1:14" ht="14" x14ac:dyDescent="0.3">
      <c r="A52" s="151" t="str">
        <f>IF(B52&lt;&gt;"",COUNTA($B$13:B52),"")</f>
        <v/>
      </c>
      <c r="E52" s="188"/>
      <c r="G52" s="188"/>
      <c r="H52" s="188"/>
      <c r="I52" s="188"/>
      <c r="J52" s="188"/>
      <c r="L52" s="248"/>
      <c r="N52" s="160"/>
    </row>
    <row r="53" spans="1:14" ht="14" x14ac:dyDescent="0.3">
      <c r="A53" s="151" t="str">
        <f>IF(B53&lt;&gt;"",COUNTA($B$13:B53),"")</f>
        <v/>
      </c>
      <c r="E53" s="188"/>
      <c r="G53" s="186"/>
      <c r="H53" s="188"/>
      <c r="I53" s="188"/>
      <c r="L53" s="248"/>
      <c r="N53" s="160"/>
    </row>
    <row r="54" spans="1:14" ht="14.5" thickBot="1" x14ac:dyDescent="0.35">
      <c r="A54" s="151">
        <f>IF(B54&lt;&gt;"",COUNTA($B$13:B54),"")</f>
        <v>36</v>
      </c>
      <c r="B54" s="188" t="s">
        <v>46</v>
      </c>
      <c r="E54" s="279" t="s">
        <v>326</v>
      </c>
      <c r="F54" s="135"/>
      <c r="G54" s="280"/>
      <c r="I54" s="279" t="s">
        <v>327</v>
      </c>
      <c r="J54" s="135"/>
      <c r="L54" s="279" t="s">
        <v>328</v>
      </c>
      <c r="M54" s="135"/>
      <c r="N54" s="137"/>
    </row>
    <row r="55" spans="1:14" ht="14" x14ac:dyDescent="0.3">
      <c r="A55" s="151">
        <f>IF(B55&lt;&gt;"",COUNTA($B$13:B55),"")</f>
        <v>37</v>
      </c>
      <c r="B55" s="144" t="s">
        <v>329</v>
      </c>
      <c r="C55" s="144"/>
      <c r="D55" s="144"/>
      <c r="E55" s="249" t="s">
        <v>148</v>
      </c>
      <c r="F55" s="250"/>
      <c r="G55" s="251" t="s">
        <v>330</v>
      </c>
      <c r="I55" s="249" t="s">
        <v>148</v>
      </c>
      <c r="J55" s="251" t="s">
        <v>330</v>
      </c>
      <c r="K55" s="212"/>
      <c r="L55" s="249" t="s">
        <v>148</v>
      </c>
      <c r="M55" s="252"/>
      <c r="N55" s="251" t="s">
        <v>330</v>
      </c>
    </row>
    <row r="56" spans="1:14" ht="14" x14ac:dyDescent="0.3">
      <c r="A56" s="151">
        <f>IF(B56&lt;&gt;"",COUNTA($B$13:B56),"")</f>
        <v>38</v>
      </c>
      <c r="B56" s="130" t="str">
        <f>+'G3 BOST'!B52</f>
        <v>Distribution</v>
      </c>
      <c r="C56" s="253" t="str">
        <f>+'G3 BOST'!C52</f>
        <v>DIST</v>
      </c>
      <c r="D56" s="253"/>
      <c r="E56" s="154">
        <f t="shared" ref="E56:E71" si="6">SUMIF($C$13:$C$47,$C56,$I$13:$I$47)</f>
        <v>147428242.46343023</v>
      </c>
      <c r="G56" s="254">
        <f>+E56/$E$21*100</f>
        <v>3.833862460213147</v>
      </c>
      <c r="I56" s="154">
        <f t="shared" ref="I56:I71" si="7">SUMIF($C$13:$C$47,$C56,$N$13:$N$47)</f>
        <v>152317400.52769315</v>
      </c>
      <c r="J56" s="254">
        <f>+I56/$E$21*100</f>
        <v>3.9610047177034349</v>
      </c>
      <c r="L56" s="154">
        <f t="shared" ref="L56:L76" si="8">I56-E56</f>
        <v>4889158.0642629266</v>
      </c>
      <c r="N56" s="254">
        <f>+L56/$E$21*100</f>
        <v>0.12714225749028771</v>
      </c>
    </row>
    <row r="57" spans="1:14" ht="14" x14ac:dyDescent="0.3">
      <c r="A57" s="151">
        <f>IF(B57&lt;&gt;"",COUNTA($B$13:B57),"")</f>
        <v>39</v>
      </c>
      <c r="B57" s="130" t="str">
        <f>+'G3 BOST'!B53</f>
        <v>Revenue Decoupling</v>
      </c>
      <c r="C57" s="253" t="str">
        <f>+'G3 BOST'!C53</f>
        <v>RDAF</v>
      </c>
      <c r="D57" s="253"/>
      <c r="E57" s="154">
        <f t="shared" si="6"/>
        <v>0</v>
      </c>
      <c r="G57" s="254">
        <f t="shared" ref="G57:G77" si="9">+E57/$E$21*100</f>
        <v>0</v>
      </c>
      <c r="I57" s="154">
        <f t="shared" si="7"/>
        <v>-1572826.7636880081</v>
      </c>
      <c r="J57" s="254">
        <f t="shared" ref="J57:J77" si="10">+I57/$E$21*100</f>
        <v>-4.0901264133415542E-2</v>
      </c>
      <c r="L57" s="154">
        <f>I57-E57</f>
        <v>-1572826.7636880081</v>
      </c>
      <c r="N57" s="254">
        <f t="shared" ref="N57:N77" si="11">+L57/$E$21*100</f>
        <v>-4.0901264133415542E-2</v>
      </c>
    </row>
    <row r="58" spans="1:14" ht="14" x14ac:dyDescent="0.3">
      <c r="A58" s="151">
        <f>IF(B58&lt;&gt;"",COUNTA($B$13:B58),"")</f>
        <v>40</v>
      </c>
      <c r="B58" s="130" t="str">
        <f>+'G3 BOST'!B54</f>
        <v>Residential Assistance Adjustment Factor</v>
      </c>
      <c r="C58" s="253" t="str">
        <f>+'G3 BOST'!C54</f>
        <v>RAAF</v>
      </c>
      <c r="D58" s="253"/>
      <c r="E58" s="154">
        <f t="shared" si="6"/>
        <v>9613558.3887921888</v>
      </c>
      <c r="G58" s="254">
        <f t="shared" si="9"/>
        <v>0.25</v>
      </c>
      <c r="I58" s="154">
        <f t="shared" si="7"/>
        <v>13287663.500573903</v>
      </c>
      <c r="J58" s="254">
        <f t="shared" si="10"/>
        <v>0.34554487951269719</v>
      </c>
      <c r="L58" s="154">
        <f t="shared" si="8"/>
        <v>3674105.1117817145</v>
      </c>
      <c r="N58" s="254">
        <f t="shared" si="11"/>
        <v>9.5544879512697162E-2</v>
      </c>
    </row>
    <row r="59" spans="1:14" ht="14" x14ac:dyDescent="0.3">
      <c r="A59" s="151">
        <f>IF(B59&lt;&gt;"",COUNTA($B$13:B59),"")</f>
        <v>41</v>
      </c>
      <c r="B59" s="130" t="str">
        <f>+'G3 BOST'!B55</f>
        <v>Pension Adjustment Factor</v>
      </c>
      <c r="C59" s="253" t="str">
        <f>+'G3 BOST'!C55</f>
        <v>PAF</v>
      </c>
      <c r="D59" s="253"/>
      <c r="E59" s="154">
        <f t="shared" si="6"/>
        <v>-192271.16777584376</v>
      </c>
      <c r="G59" s="254">
        <f t="shared" si="9"/>
        <v>-4.9999999999999992E-3</v>
      </c>
      <c r="I59" s="154">
        <f t="shared" si="7"/>
        <v>1790308.7002350595</v>
      </c>
      <c r="J59" s="254">
        <f t="shared" si="10"/>
        <v>4.655686863883466E-2</v>
      </c>
      <c r="L59" s="154">
        <f t="shared" si="8"/>
        <v>1982579.8680109032</v>
      </c>
      <c r="N59" s="254">
        <f t="shared" si="11"/>
        <v>5.1556868638834658E-2</v>
      </c>
    </row>
    <row r="60" spans="1:14" ht="14" x14ac:dyDescent="0.3">
      <c r="A60" s="151">
        <f>IF(B60&lt;&gt;"",COUNTA($B$13:B60),"")</f>
        <v>42</v>
      </c>
      <c r="B60" s="130" t="str">
        <f>+'G3 BOST'!B56</f>
        <v>Net Metering Recovery Surcharge</v>
      </c>
      <c r="C60" s="253" t="str">
        <f>+'G3 BOST'!C56</f>
        <v>NMRS</v>
      </c>
      <c r="D60" s="253"/>
      <c r="E60" s="154">
        <f t="shared" si="6"/>
        <v>18957937.142698195</v>
      </c>
      <c r="G60" s="254">
        <f t="shared" si="9"/>
        <v>0.49300000000000005</v>
      </c>
      <c r="I60" s="154">
        <f t="shared" si="7"/>
        <v>17326047.349227734</v>
      </c>
      <c r="J60" s="254">
        <f t="shared" si="10"/>
        <v>0.45056280537670179</v>
      </c>
      <c r="L60" s="154">
        <f t="shared" si="8"/>
        <v>-1631889.7934704609</v>
      </c>
      <c r="N60" s="254">
        <f t="shared" si="11"/>
        <v>-4.2437194623298209E-2</v>
      </c>
    </row>
    <row r="61" spans="1:14" ht="14" x14ac:dyDescent="0.3">
      <c r="A61" s="151">
        <f>IF(B61&lt;&gt;"",COUNTA($B$13:B61),"")</f>
        <v>43</v>
      </c>
      <c r="B61" s="130" t="str">
        <f>+'G3 BOST'!B57</f>
        <v>Long Term Renewable Contract Adjustment</v>
      </c>
      <c r="C61" s="253" t="str">
        <f>+'G3 BOST'!C57</f>
        <v>LTRCA</v>
      </c>
      <c r="D61" s="253"/>
      <c r="E61" s="154">
        <f t="shared" si="6"/>
        <v>9075199.1190198269</v>
      </c>
      <c r="G61" s="254">
        <f t="shared" si="9"/>
        <v>0.23600000000000002</v>
      </c>
      <c r="I61" s="154">
        <f t="shared" si="7"/>
        <v>6674550.8403265066</v>
      </c>
      <c r="J61" s="254">
        <f t="shared" si="10"/>
        <v>0.17357128782064518</v>
      </c>
      <c r="L61" s="154">
        <f t="shared" si="8"/>
        <v>-2400648.2786933202</v>
      </c>
      <c r="N61" s="254">
        <f t="shared" si="11"/>
        <v>-6.2428712179354875E-2</v>
      </c>
    </row>
    <row r="62" spans="1:14" ht="14" x14ac:dyDescent="0.3">
      <c r="A62" s="151">
        <f>IF(B62&lt;&gt;"",COUNTA($B$13:B62),"")</f>
        <v>44</v>
      </c>
      <c r="B62" s="130" t="str">
        <f>+'G3 BOST'!B58</f>
        <v>AG Consulting Expense</v>
      </c>
      <c r="C62" s="253" t="str">
        <f>+'G3 BOST'!C58</f>
        <v>AGCE</v>
      </c>
      <c r="D62" s="253"/>
      <c r="E62" s="154">
        <f t="shared" si="6"/>
        <v>115362.70066550626</v>
      </c>
      <c r="G62" s="254">
        <f t="shared" si="9"/>
        <v>3.0000000000000001E-3</v>
      </c>
      <c r="I62" s="154">
        <f t="shared" si="7"/>
        <v>27899.136636227449</v>
      </c>
      <c r="J62" s="254">
        <f t="shared" si="10"/>
        <v>7.2551534790575589E-4</v>
      </c>
      <c r="L62" s="154">
        <f t="shared" si="8"/>
        <v>-87463.564029278816</v>
      </c>
      <c r="N62" s="254">
        <f t="shared" si="11"/>
        <v>-2.2744846520942443E-3</v>
      </c>
    </row>
    <row r="63" spans="1:14" ht="14" x14ac:dyDescent="0.3">
      <c r="A63" s="151">
        <f>IF(B63&lt;&gt;"",COUNTA($B$13:B63),"")</f>
        <v>45</v>
      </c>
      <c r="B63" s="130" t="str">
        <f>+'G3 BOST'!B59</f>
        <v>Storm Cost Recovery Adjustment Factor</v>
      </c>
      <c r="C63" s="253" t="str">
        <f>+'G3 BOST'!C59</f>
        <v>SCRA</v>
      </c>
      <c r="D63" s="253"/>
      <c r="E63" s="154">
        <f t="shared" si="6"/>
        <v>5921951.9674959872</v>
      </c>
      <c r="G63" s="254">
        <f t="shared" si="9"/>
        <v>0.154</v>
      </c>
      <c r="I63" s="154">
        <f t="shared" si="7"/>
        <v>10070377.986060066</v>
      </c>
      <c r="J63" s="254">
        <f t="shared" si="10"/>
        <v>0.2618795657859751</v>
      </c>
      <c r="L63" s="154">
        <f>I63-E63</f>
        <v>4148426.018564079</v>
      </c>
      <c r="N63" s="254">
        <f t="shared" si="11"/>
        <v>0.1078795657859751</v>
      </c>
    </row>
    <row r="64" spans="1:14" ht="14" x14ac:dyDescent="0.3">
      <c r="A64" s="151">
        <f>IF(B64&lt;&gt;"",COUNTA($B$13:B64),"")</f>
        <v>46</v>
      </c>
      <c r="B64" s="130" t="str">
        <f>+'G3 BOST'!B60</f>
        <v>Storm Reserve Adjustment</v>
      </c>
      <c r="C64" s="253" t="str">
        <f>+'G3 BOST'!C60</f>
        <v>SRA</v>
      </c>
      <c r="D64" s="253"/>
      <c r="E64" s="154">
        <f t="shared" si="6"/>
        <v>0</v>
      </c>
      <c r="G64" s="254">
        <f t="shared" si="9"/>
        <v>0</v>
      </c>
      <c r="I64" s="154">
        <f t="shared" si="7"/>
        <v>0</v>
      </c>
      <c r="J64" s="254">
        <f t="shared" si="10"/>
        <v>0</v>
      </c>
      <c r="L64" s="154">
        <f>I64-E64</f>
        <v>0</v>
      </c>
      <c r="N64" s="254">
        <f t="shared" si="11"/>
        <v>0</v>
      </c>
    </row>
    <row r="65" spans="1:14" ht="14" x14ac:dyDescent="0.3">
      <c r="A65" s="151">
        <f>IF(B65&lt;&gt;"",COUNTA($B$13:B65),"")</f>
        <v>47</v>
      </c>
      <c r="B65" s="130" t="str">
        <f>+'G3 BOST'!B61</f>
        <v>Basic Service Cost True Up Factor</v>
      </c>
      <c r="C65" s="253" t="str">
        <f>+'G3 BOST'!C61</f>
        <v>BSTF</v>
      </c>
      <c r="D65" s="253"/>
      <c r="E65" s="154">
        <f t="shared" si="6"/>
        <v>5152867.2963926131</v>
      </c>
      <c r="G65" s="254">
        <f t="shared" si="9"/>
        <v>0.13400000000000001</v>
      </c>
      <c r="I65" s="154">
        <f t="shared" si="7"/>
        <v>-659366.42373309028</v>
      </c>
      <c r="J65" s="254">
        <f t="shared" si="10"/>
        <v>-1.7146783663939725E-2</v>
      </c>
      <c r="L65" s="154">
        <f t="shared" ref="L65:L71" si="12">I65-E65</f>
        <v>-5812233.7201257031</v>
      </c>
      <c r="N65" s="254">
        <f t="shared" si="11"/>
        <v>-0.15114678366393972</v>
      </c>
    </row>
    <row r="66" spans="1:14" ht="14" x14ac:dyDescent="0.3">
      <c r="A66" s="151">
        <f>IF(B66&lt;&gt;"",COUNTA($B$13:B66),"")</f>
        <v>48</v>
      </c>
      <c r="B66" s="130" t="str">
        <f>+'G3 BOST'!B62</f>
        <v>Solar Program Cost Adjustment Factor</v>
      </c>
      <c r="C66" s="253" t="str">
        <f>+'G3 BOST'!C62</f>
        <v>SPCA</v>
      </c>
      <c r="D66" s="253"/>
      <c r="E66" s="154">
        <f t="shared" si="6"/>
        <v>0</v>
      </c>
      <c r="G66" s="254">
        <f t="shared" si="9"/>
        <v>0</v>
      </c>
      <c r="I66" s="154">
        <f t="shared" si="7"/>
        <v>117343.82753093541</v>
      </c>
      <c r="J66" s="254">
        <f t="shared" si="10"/>
        <v>3.0515190833952498E-3</v>
      </c>
      <c r="L66" s="154">
        <f t="shared" si="12"/>
        <v>117343.82753093541</v>
      </c>
      <c r="N66" s="254">
        <f t="shared" si="11"/>
        <v>3.0515190833952498E-3</v>
      </c>
    </row>
    <row r="67" spans="1:14" ht="14" x14ac:dyDescent="0.3">
      <c r="A67" s="151">
        <f>IF(B67&lt;&gt;"",COUNTA($B$13:B67),"")</f>
        <v>49</v>
      </c>
      <c r="B67" s="130" t="str">
        <f>+'G3 BOST'!B63</f>
        <v>Solar Expansion Cost Recovery Factor</v>
      </c>
      <c r="C67" s="253" t="str">
        <f>+'G3 BOST'!C63</f>
        <v>SECRF</v>
      </c>
      <c r="D67" s="253"/>
      <c r="E67" s="154">
        <f t="shared" si="6"/>
        <v>0</v>
      </c>
      <c r="G67" s="254">
        <f t="shared" si="9"/>
        <v>0</v>
      </c>
      <c r="I67" s="154">
        <f t="shared" si="7"/>
        <v>2069676.6671338554</v>
      </c>
      <c r="J67" s="254">
        <f t="shared" si="10"/>
        <v>5.3821815591892447E-2</v>
      </c>
      <c r="L67" s="154">
        <f t="shared" si="12"/>
        <v>2069676.6671338554</v>
      </c>
      <c r="N67" s="254">
        <f t="shared" si="11"/>
        <v>5.3821815591892447E-2</v>
      </c>
    </row>
    <row r="68" spans="1:14" ht="14" x14ac:dyDescent="0.3">
      <c r="A68" s="151">
        <f>IF(B68&lt;&gt;"",COUNTA($B$13:B68),"")</f>
        <v>50</v>
      </c>
      <c r="B68" s="130" t="str">
        <f>+'G3 BOST'!B64</f>
        <v>Vegetation Management</v>
      </c>
      <c r="C68" s="253" t="str">
        <f>+'G3 BOST'!C64</f>
        <v>RTWF</v>
      </c>
      <c r="D68" s="253"/>
      <c r="E68" s="154">
        <f t="shared" si="6"/>
        <v>0</v>
      </c>
      <c r="G68" s="254">
        <f t="shared" si="9"/>
        <v>0</v>
      </c>
      <c r="I68" s="154">
        <f t="shared" si="7"/>
        <v>3205257.6695434735</v>
      </c>
      <c r="J68" s="254">
        <f t="shared" si="10"/>
        <v>8.3352530351307574E-2</v>
      </c>
      <c r="L68" s="154">
        <f t="shared" si="12"/>
        <v>3205257.6695434735</v>
      </c>
      <c r="N68" s="254">
        <f t="shared" si="11"/>
        <v>8.3352530351307574E-2</v>
      </c>
    </row>
    <row r="69" spans="1:14" ht="14" x14ac:dyDescent="0.3">
      <c r="A69" s="151">
        <f>IF(B69&lt;&gt;"",COUNTA($B$13:B69),"")</f>
        <v>51</v>
      </c>
      <c r="B69" s="130" t="str">
        <f>+'G3 BOST'!B65</f>
        <v>Solar Massachusetts Renewable Target</v>
      </c>
      <c r="C69" s="253" t="str">
        <f>+'G3 BOST'!C65</f>
        <v>SMART</v>
      </c>
      <c r="D69" s="253"/>
      <c r="E69" s="154">
        <f t="shared" si="6"/>
        <v>0</v>
      </c>
      <c r="G69" s="254">
        <f t="shared" si="9"/>
        <v>0</v>
      </c>
      <c r="I69" s="154">
        <f t="shared" si="7"/>
        <v>2424916.650090938</v>
      </c>
      <c r="J69" s="254">
        <f t="shared" si="10"/>
        <v>6.3059809698508398E-2</v>
      </c>
      <c r="L69" s="154">
        <f t="shared" si="12"/>
        <v>2424916.650090938</v>
      </c>
      <c r="N69" s="254">
        <f t="shared" si="11"/>
        <v>6.3059809698508398E-2</v>
      </c>
    </row>
    <row r="70" spans="1:14" ht="14" x14ac:dyDescent="0.3">
      <c r="A70" s="151">
        <f>IF(B70&lt;&gt;"",COUNTA($B$13:B70),"")</f>
        <v>52</v>
      </c>
      <c r="B70" s="130" t="str">
        <f>+'G3 BOST'!B66</f>
        <v>Tax Act Credit Factor</v>
      </c>
      <c r="C70" s="253" t="str">
        <f>+'G3 BOST'!C66</f>
        <v>TACF</v>
      </c>
      <c r="D70" s="253"/>
      <c r="E70" s="154">
        <f t="shared" si="6"/>
        <v>0</v>
      </c>
      <c r="G70" s="254">
        <f t="shared" si="9"/>
        <v>0</v>
      </c>
      <c r="I70" s="154">
        <f t="shared" si="7"/>
        <v>-3670918.705762004</v>
      </c>
      <c r="J70" s="254">
        <f t="shared" si="10"/>
        <v>-9.5462017218350834E-2</v>
      </c>
      <c r="L70" s="154">
        <f t="shared" si="12"/>
        <v>-3670918.705762004</v>
      </c>
      <c r="N70" s="254">
        <f t="shared" si="11"/>
        <v>-9.5462017218350834E-2</v>
      </c>
    </row>
    <row r="71" spans="1:14" ht="14" x14ac:dyDescent="0.3">
      <c r="A71" s="151">
        <f>IF(B71&lt;&gt;"",COUNTA($B$13:B71),"")</f>
        <v>53</v>
      </c>
      <c r="B71" s="130" t="str">
        <f>+'G3 BOST'!B67</f>
        <v>Transition</v>
      </c>
      <c r="C71" s="253" t="str">
        <f>+'G3 BOST'!C67</f>
        <v>TRNSN</v>
      </c>
      <c r="D71" s="253"/>
      <c r="E71" s="154">
        <f t="shared" si="6"/>
        <v>-2345708.2468652939</v>
      </c>
      <c r="G71" s="254">
        <f t="shared" si="9"/>
        <v>-6.0999999999999999E-2</v>
      </c>
      <c r="I71" s="154">
        <f t="shared" si="7"/>
        <v>-2003824.0156541851</v>
      </c>
      <c r="J71" s="254">
        <f t="shared" si="10"/>
        <v>-5.2109321403568713E-2</v>
      </c>
      <c r="L71" s="154">
        <f t="shared" si="12"/>
        <v>341884.23121110885</v>
      </c>
      <c r="N71" s="254">
        <f t="shared" si="11"/>
        <v>8.8906785964312923E-3</v>
      </c>
    </row>
    <row r="72" spans="1:14" ht="14" x14ac:dyDescent="0.3">
      <c r="A72" s="151">
        <f>IF(B72&lt;&gt;"",COUNTA($B$13:B72),"")</f>
        <v>54</v>
      </c>
      <c r="B72" s="130" t="str">
        <f>+'G3 BOST'!B68</f>
        <v>Transmission</v>
      </c>
      <c r="C72" s="253" t="str">
        <f>+'G3 BOST'!C68</f>
        <v>TRNSM</v>
      </c>
      <c r="D72" s="253"/>
      <c r="E72" s="154">
        <f>SUM(SUMIF($C$13:$C$47,{"TMKW","TMKWH"},$I$13:$I$47))</f>
        <v>91445390.344892681</v>
      </c>
      <c r="G72" s="254">
        <f t="shared" si="9"/>
        <v>2.3780318027584566</v>
      </c>
      <c r="I72" s="154">
        <f>SUM(SUMIF($C$13:$C$47,{"TMKW","TMKWH"},$N$13:$N$47))</f>
        <v>78492860.845278502</v>
      </c>
      <c r="J72" s="254">
        <f t="shared" si="10"/>
        <v>2.0412020625158975</v>
      </c>
      <c r="L72" s="154">
        <f t="shared" si="8"/>
        <v>-12952529.499614179</v>
      </c>
      <c r="N72" s="254">
        <f t="shared" si="11"/>
        <v>-0.33682974024255879</v>
      </c>
    </row>
    <row r="73" spans="1:14" ht="14" x14ac:dyDescent="0.3">
      <c r="A73" s="151">
        <f>IF(B73&lt;&gt;"",COUNTA($B$13:B73),"")</f>
        <v>55</v>
      </c>
      <c r="B73" s="130" t="str">
        <f>+'G3 BOST'!B69</f>
        <v>Energy Efficiency Reconciliation Factor</v>
      </c>
      <c r="C73" s="253" t="str">
        <f>+'G3 BOST'!C69</f>
        <v>EERF</v>
      </c>
      <c r="D73" s="253"/>
      <c r="E73" s="154">
        <f>SUMIF($C$13:$C$47,$C73,$I$13:$I$47)</f>
        <v>32532281.587672766</v>
      </c>
      <c r="G73" s="254">
        <f t="shared" si="9"/>
        <v>0.84600000000000009</v>
      </c>
      <c r="I73" s="154">
        <f>SUMIF($C$13:$C$47,$C73,$N$13:$N$47)</f>
        <v>32532281.587672766</v>
      </c>
      <c r="J73" s="254">
        <f t="shared" si="10"/>
        <v>0.84600000000000009</v>
      </c>
      <c r="L73" s="154">
        <f t="shared" si="8"/>
        <v>0</v>
      </c>
      <c r="N73" s="254">
        <f t="shared" si="11"/>
        <v>0</v>
      </c>
    </row>
    <row r="74" spans="1:14" ht="14" x14ac:dyDescent="0.3">
      <c r="A74" s="151">
        <f>IF(B74&lt;&gt;"",COUNTA($B$13:B74),"")</f>
        <v>56</v>
      </c>
      <c r="B74" s="130" t="str">
        <f>+'G3 BOST'!B70</f>
        <v>System Benefits Charge</v>
      </c>
      <c r="C74" s="253" t="str">
        <f>+'G3 BOST'!C70</f>
        <v>SBC</v>
      </c>
      <c r="D74" s="253"/>
      <c r="E74" s="154">
        <f>SUMIF($C$13:$C$47,$C74,$I$13:$I$47)</f>
        <v>9613558.3887921888</v>
      </c>
      <c r="G74" s="254">
        <f t="shared" si="9"/>
        <v>0.25</v>
      </c>
      <c r="I74" s="154">
        <f>SUMIF($C$13:$C$47,$C74,$N$13:$N$47)</f>
        <v>9613558.3887921888</v>
      </c>
      <c r="J74" s="254">
        <f t="shared" si="10"/>
        <v>0.25</v>
      </c>
      <c r="L74" s="154">
        <f t="shared" si="8"/>
        <v>0</v>
      </c>
      <c r="N74" s="254">
        <f t="shared" si="11"/>
        <v>0</v>
      </c>
    </row>
    <row r="75" spans="1:14" ht="14" x14ac:dyDescent="0.3">
      <c r="A75" s="151">
        <f>IF(B75&lt;&gt;"",COUNTA($B$13:B75),"")</f>
        <v>57</v>
      </c>
      <c r="B75" s="130" t="str">
        <f>+'G3 BOST'!B71</f>
        <v>Renewable Energy Charge</v>
      </c>
      <c r="C75" s="253" t="str">
        <f>+'G3 BOST'!C71</f>
        <v>RNEW</v>
      </c>
      <c r="D75" s="253"/>
      <c r="E75" s="154">
        <f>SUMIF($C$13:$C$47,$C75,$I$13:$I$47)</f>
        <v>1922711.6777584376</v>
      </c>
      <c r="G75" s="254">
        <f t="shared" si="9"/>
        <v>0.05</v>
      </c>
      <c r="I75" s="154">
        <f>SUMIF($C$13:$C$47,$C75,$N$13:$N$47)</f>
        <v>1922711.6777584376</v>
      </c>
      <c r="J75" s="254">
        <f t="shared" si="10"/>
        <v>0.05</v>
      </c>
      <c r="L75" s="154">
        <f>I75-E75</f>
        <v>0</v>
      </c>
      <c r="N75" s="254">
        <f t="shared" si="11"/>
        <v>0</v>
      </c>
    </row>
    <row r="76" spans="1:14" ht="14" x14ac:dyDescent="0.3">
      <c r="A76" s="151">
        <f>IF(B76&lt;&gt;"",COUNTA($B$13:B76),"")</f>
        <v>58</v>
      </c>
      <c r="B76" s="130" t="str">
        <f>+'G3 BOST'!B72</f>
        <v>Basic Service Charge</v>
      </c>
      <c r="C76" s="253" t="str">
        <f>+'G3 BOST'!C72</f>
        <v>BS</v>
      </c>
      <c r="D76" s="253"/>
      <c r="E76" s="255">
        <f>SUMIF($C$13:$C$47,$C76,$I$13:$I$47)</f>
        <v>509903136.94153762</v>
      </c>
      <c r="F76" s="256"/>
      <c r="G76" s="257">
        <f t="shared" si="9"/>
        <v>13.26</v>
      </c>
      <c r="H76" s="258"/>
      <c r="I76" s="255">
        <f>SUMIF($C$13:$C$47,$C76,$N$13:$N$47)</f>
        <v>663912342.3299886</v>
      </c>
      <c r="J76" s="257">
        <f t="shared" si="10"/>
        <v>17.265000000000004</v>
      </c>
      <c r="K76" s="255"/>
      <c r="L76" s="255">
        <f t="shared" si="8"/>
        <v>154009205.38845098</v>
      </c>
      <c r="M76" s="259"/>
      <c r="N76" s="257">
        <f t="shared" si="11"/>
        <v>4.0050000000000026</v>
      </c>
    </row>
    <row r="77" spans="1:14" ht="14" x14ac:dyDescent="0.3">
      <c r="A77" s="151">
        <f>IF(B77&lt;&gt;"",COUNTA($B$13:B77),"")</f>
        <v>59</v>
      </c>
      <c r="B77" s="130" t="str">
        <f>+'G3 BOST'!B73</f>
        <v>Total</v>
      </c>
      <c r="C77" s="130"/>
      <c r="D77" s="130"/>
      <c r="E77" s="154">
        <f>SUM(E56:E76)</f>
        <v>839144218.60450721</v>
      </c>
      <c r="G77" s="254">
        <f t="shared" si="9"/>
        <v>21.821894262971604</v>
      </c>
      <c r="I77" s="154">
        <f>SUM(I56:I76)</f>
        <v>987878261.7757051</v>
      </c>
      <c r="J77" s="254">
        <f t="shared" si="10"/>
        <v>25.689713991007924</v>
      </c>
      <c r="L77" s="154">
        <f>SUM(L56:L76)</f>
        <v>148734043.17119795</v>
      </c>
      <c r="N77" s="254">
        <f t="shared" si="11"/>
        <v>3.86781972803632</v>
      </c>
    </row>
    <row r="78" spans="1:14" ht="14" x14ac:dyDescent="0.3">
      <c r="A78" s="151" t="str">
        <f>IF(B78&lt;&gt;"",COUNTA($B$10:B78),"")</f>
        <v/>
      </c>
    </row>
    <row r="79" spans="1:14" ht="14" x14ac:dyDescent="0.3">
      <c r="A79" s="151"/>
      <c r="B79" s="256" t="s">
        <v>164</v>
      </c>
      <c r="E79" s="188"/>
      <c r="G79" s="188"/>
      <c r="H79" s="188"/>
      <c r="I79" s="188"/>
      <c r="J79" s="188"/>
      <c r="K79" s="188"/>
      <c r="L79" s="188"/>
      <c r="M79" s="188"/>
      <c r="N79" s="188"/>
    </row>
    <row r="80" spans="1:14" ht="14" x14ac:dyDescent="0.3">
      <c r="A80" s="151"/>
      <c r="B80" s="130" t="str">
        <f>+'G3 BOST'!B76</f>
        <v>Col. (a): Company's forecast</v>
      </c>
    </row>
    <row r="81" spans="1:2" ht="14" x14ac:dyDescent="0.3">
      <c r="A81" s="151"/>
      <c r="B81" s="130" t="str">
        <f>+'G3 BOST'!B77</f>
        <v>Col. (b): Current rates</v>
      </c>
    </row>
    <row r="82" spans="1:2" ht="14" x14ac:dyDescent="0.3">
      <c r="A82" s="151"/>
      <c r="B82" s="130" t="str">
        <f>+'G3 BOST'!B78</f>
        <v>Col. (c): Col. (a) x Col. (b)</v>
      </c>
    </row>
    <row r="83" spans="1:2" ht="14" x14ac:dyDescent="0.3">
      <c r="A83" s="151"/>
      <c r="B83" s="130" t="str">
        <f>+'G3 BOST'!B79</f>
        <v>Col. (e): Proposed rates</v>
      </c>
    </row>
    <row r="84" spans="1:2" ht="14" x14ac:dyDescent="0.3">
      <c r="A84" s="151"/>
      <c r="B84" s="188" t="s">
        <v>420</v>
      </c>
    </row>
  </sheetData>
  <mergeCells count="6">
    <mergeCell ref="A4:N4"/>
    <mergeCell ref="A5:N5"/>
    <mergeCell ref="A7:N7"/>
    <mergeCell ref="A8:N8"/>
    <mergeCell ref="G10:I10"/>
    <mergeCell ref="L10:N10"/>
  </mergeCells>
  <pageMargins left="0.7" right="0.7" top="0.75" bottom="0.75" header="0.3" footer="0.3"/>
  <pageSetup scale="58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CE5F2-7ACC-4B7D-AF2E-550B12261DA5}">
  <sheetPr>
    <tabColor theme="8" tint="0.59999389629810485"/>
  </sheetPr>
  <dimension ref="A4:AV71"/>
  <sheetViews>
    <sheetView zoomScaleNormal="100" workbookViewId="0">
      <pane xSplit="7" ySplit="11" topLeftCell="H12" activePane="bottomRight" state="frozen"/>
      <selection activeCell="J15" sqref="J15"/>
      <selection pane="topRight" activeCell="J15" sqref="J15"/>
      <selection pane="bottomLeft" activeCell="J15" sqref="J15"/>
      <selection pane="bottomRight"/>
    </sheetView>
  </sheetViews>
  <sheetFormatPr defaultRowHeight="12.5" x14ac:dyDescent="0.25"/>
  <cols>
    <col min="1" max="1" width="3.81640625" customWidth="1"/>
    <col min="2" max="2" width="13.81640625" customWidth="1"/>
    <col min="3" max="3" width="12.26953125" bestFit="1" customWidth="1"/>
    <col min="4" max="4" width="11.453125" bestFit="1" customWidth="1"/>
    <col min="5" max="5" width="9.453125" bestFit="1" customWidth="1"/>
    <col min="6" max="6" width="14.81640625" bestFit="1" customWidth="1"/>
    <col min="7" max="7" width="1.7265625" style="109" customWidth="1"/>
    <col min="8" max="8" width="13.453125" customWidth="1"/>
    <col min="9" max="9" width="10.7265625" customWidth="1"/>
    <col min="10" max="10" width="1.7265625" customWidth="1"/>
    <col min="11" max="11" width="12.81640625" customWidth="1"/>
    <col min="12" max="12" width="10.7265625" customWidth="1"/>
    <col min="13" max="13" width="1.7265625" customWidth="1"/>
    <col min="14" max="14" width="12.7265625" customWidth="1"/>
    <col min="15" max="15" width="10.7265625" customWidth="1"/>
    <col min="16" max="16" width="1.7265625" customWidth="1"/>
    <col min="17" max="18" width="10.7265625" customWidth="1"/>
    <col min="19" max="19" width="1.7265625" customWidth="1"/>
    <col min="20" max="20" width="12.81640625" customWidth="1"/>
    <col min="21" max="21" width="10.7265625" customWidth="1"/>
    <col min="22" max="22" width="1.7265625" customWidth="1"/>
    <col min="23" max="23" width="12.26953125" customWidth="1"/>
    <col min="24" max="24" width="11.54296875" customWidth="1"/>
    <col min="25" max="25" width="1.7265625" customWidth="1"/>
    <col min="26" max="26" width="11.54296875" style="59" customWidth="1"/>
    <col min="27" max="27" width="10.54296875" customWidth="1"/>
    <col min="28" max="28" width="1.7265625" customWidth="1"/>
    <col min="29" max="29" width="12.1796875" customWidth="1"/>
    <col min="30" max="30" width="9.54296875" customWidth="1"/>
    <col min="31" max="31" width="1.7265625" customWidth="1"/>
    <col min="32" max="32" width="10.54296875" bestFit="1" customWidth="1"/>
    <col min="33" max="33" width="10.453125" customWidth="1"/>
    <col min="34" max="34" width="1.7265625" customWidth="1"/>
    <col min="35" max="35" width="11" customWidth="1"/>
    <col min="36" max="36" width="10.453125" customWidth="1"/>
    <col min="37" max="37" width="1.7265625" customWidth="1"/>
    <col min="38" max="38" width="12.453125" customWidth="1"/>
    <col min="39" max="39" width="10.1796875" customWidth="1"/>
    <col min="40" max="40" width="1.7265625" customWidth="1"/>
    <col min="41" max="41" width="11.81640625" customWidth="1"/>
    <col min="42" max="42" width="13.7265625" customWidth="1"/>
    <col min="43" max="43" width="1.7265625" customWidth="1"/>
    <col min="44" max="44" width="12" customWidth="1"/>
    <col min="45" max="45" width="10.1796875" customWidth="1"/>
    <col min="46" max="46" width="1.7265625" customWidth="1"/>
    <col min="47" max="47" width="13" customWidth="1"/>
    <col min="48" max="48" width="10.1796875" customWidth="1"/>
    <col min="49" max="49" width="8.7265625" customWidth="1"/>
  </cols>
  <sheetData>
    <row r="4" spans="1:48" ht="13" x14ac:dyDescent="0.3">
      <c r="A4" s="1" t="str">
        <f>'Exh 7_Recon Rates p1-2'!A4:AL4</f>
        <v>Eastern and Western Massachusetts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58"/>
    </row>
    <row r="5" spans="1:48" ht="13" x14ac:dyDescent="0.3">
      <c r="A5" s="1" t="s">
        <v>137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58"/>
    </row>
    <row r="6" spans="1:48" s="60" customFormat="1" x14ac:dyDescent="0.25">
      <c r="C6" s="61"/>
      <c r="D6" s="61"/>
      <c r="E6" s="61"/>
      <c r="F6" s="61"/>
      <c r="G6" s="61"/>
      <c r="H6" s="62"/>
      <c r="I6" s="61"/>
      <c r="J6" s="61"/>
      <c r="K6" s="62"/>
      <c r="L6" s="61"/>
      <c r="M6" s="61"/>
      <c r="N6" s="62"/>
      <c r="O6" s="61"/>
      <c r="P6" s="61"/>
      <c r="Q6" s="62"/>
      <c r="R6" s="61"/>
      <c r="S6" s="61"/>
      <c r="T6" s="62"/>
      <c r="U6" s="61"/>
      <c r="V6" s="61"/>
    </row>
    <row r="7" spans="1:48" x14ac:dyDescent="0.25">
      <c r="D7" s="63"/>
      <c r="E7" s="63"/>
      <c r="F7" s="63"/>
      <c r="G7" s="64"/>
      <c r="H7" s="736" t="s">
        <v>31</v>
      </c>
      <c r="I7" s="736"/>
      <c r="J7" s="7"/>
      <c r="K7" s="735" t="s">
        <v>138</v>
      </c>
      <c r="L7" s="735"/>
      <c r="M7" s="15"/>
      <c r="N7" s="735" t="s">
        <v>33</v>
      </c>
      <c r="O7" s="735"/>
      <c r="P7" s="65"/>
      <c r="Q7" s="735" t="s">
        <v>34</v>
      </c>
      <c r="R7" s="735"/>
      <c r="S7" s="15"/>
      <c r="T7" s="735" t="s">
        <v>35</v>
      </c>
      <c r="U7" s="735"/>
      <c r="V7" s="65"/>
      <c r="W7" s="15"/>
      <c r="X7" s="15"/>
      <c r="Z7" s="736" t="s">
        <v>36</v>
      </c>
      <c r="AA7" s="736"/>
      <c r="AC7" s="736" t="s">
        <v>37</v>
      </c>
      <c r="AD7" s="736"/>
      <c r="AF7" s="736" t="s">
        <v>139</v>
      </c>
      <c r="AG7" s="736"/>
      <c r="AI7" s="736" t="s">
        <v>40</v>
      </c>
      <c r="AJ7" s="736"/>
      <c r="AL7" s="736" t="s">
        <v>41</v>
      </c>
      <c r="AM7" s="736"/>
      <c r="AO7" s="736" t="s">
        <v>42</v>
      </c>
      <c r="AP7" s="736"/>
      <c r="AR7" s="737" t="s">
        <v>43</v>
      </c>
      <c r="AS7" s="737"/>
      <c r="AU7" s="737"/>
      <c r="AV7" s="737"/>
    </row>
    <row r="8" spans="1:48" ht="13" x14ac:dyDescent="0.3">
      <c r="C8" s="2" t="s">
        <v>46</v>
      </c>
      <c r="D8" s="63"/>
      <c r="E8" s="63"/>
      <c r="F8" s="63"/>
      <c r="G8" s="66"/>
      <c r="H8" s="738" t="s">
        <v>48</v>
      </c>
      <c r="I8" s="738"/>
      <c r="J8" s="67"/>
      <c r="K8" s="739" t="s">
        <v>140</v>
      </c>
      <c r="L8" s="739"/>
      <c r="M8" s="68"/>
      <c r="N8" s="739" t="s">
        <v>50</v>
      </c>
      <c r="O8" s="739"/>
      <c r="P8" s="65"/>
      <c r="Q8" s="739" t="s">
        <v>51</v>
      </c>
      <c r="R8" s="739"/>
      <c r="S8" s="68"/>
      <c r="T8" s="739" t="s">
        <v>52</v>
      </c>
      <c r="U8" s="739"/>
      <c r="V8" s="68"/>
      <c r="W8" s="739" t="s">
        <v>53</v>
      </c>
      <c r="X8" s="739"/>
      <c r="Z8" s="738" t="s">
        <v>48</v>
      </c>
      <c r="AA8" s="738"/>
      <c r="AC8" s="738" t="s">
        <v>54</v>
      </c>
      <c r="AD8" s="738"/>
      <c r="AF8" s="738" t="s">
        <v>141</v>
      </c>
      <c r="AG8" s="738"/>
      <c r="AI8" s="738" t="s">
        <v>55</v>
      </c>
      <c r="AJ8" s="738"/>
      <c r="AL8" s="738" t="s">
        <v>56</v>
      </c>
      <c r="AM8" s="738"/>
      <c r="AO8" s="738" t="s">
        <v>57</v>
      </c>
      <c r="AP8" s="738"/>
      <c r="AR8" s="740" t="s">
        <v>58</v>
      </c>
      <c r="AS8" s="740"/>
      <c r="AU8" s="740" t="s">
        <v>59</v>
      </c>
      <c r="AV8" s="740"/>
    </row>
    <row r="9" spans="1:48" x14ac:dyDescent="0.25">
      <c r="A9" s="7" t="s">
        <v>44</v>
      </c>
      <c r="B9" s="19" t="s">
        <v>45</v>
      </c>
      <c r="C9" s="69"/>
      <c r="D9" s="70" t="s">
        <v>142</v>
      </c>
      <c r="E9" s="70" t="s">
        <v>143</v>
      </c>
      <c r="F9" s="71" t="s">
        <v>144</v>
      </c>
      <c r="G9" s="72"/>
      <c r="H9" s="70" t="s">
        <v>145</v>
      </c>
      <c r="I9" s="70" t="s">
        <v>64</v>
      </c>
      <c r="J9" s="70"/>
      <c r="K9" s="70" t="s">
        <v>145</v>
      </c>
      <c r="L9" s="70" t="s">
        <v>64</v>
      </c>
      <c r="M9" s="70"/>
      <c r="N9" s="70" t="s">
        <v>145</v>
      </c>
      <c r="O9" s="70" t="s">
        <v>64</v>
      </c>
      <c r="P9" s="73"/>
      <c r="Q9" s="70" t="s">
        <v>145</v>
      </c>
      <c r="R9" s="70" t="s">
        <v>64</v>
      </c>
      <c r="S9" s="70"/>
      <c r="T9" s="70" t="s">
        <v>145</v>
      </c>
      <c r="U9" s="70" t="s">
        <v>64</v>
      </c>
      <c r="V9" s="70"/>
      <c r="W9" s="70" t="s">
        <v>145</v>
      </c>
      <c r="X9" s="70" t="s">
        <v>64</v>
      </c>
      <c r="Z9" s="70" t="s">
        <v>145</v>
      </c>
      <c r="AA9" s="70" t="s">
        <v>64</v>
      </c>
      <c r="AC9" s="70" t="s">
        <v>145</v>
      </c>
      <c r="AD9" s="70" t="s">
        <v>64</v>
      </c>
      <c r="AE9" s="70"/>
      <c r="AF9" s="70" t="s">
        <v>145</v>
      </c>
      <c r="AG9" s="70" t="s">
        <v>64</v>
      </c>
      <c r="AI9" s="70" t="s">
        <v>145</v>
      </c>
      <c r="AJ9" s="70" t="s">
        <v>64</v>
      </c>
      <c r="AL9" s="70" t="s">
        <v>145</v>
      </c>
      <c r="AM9" s="70" t="s">
        <v>64</v>
      </c>
      <c r="AO9" s="70" t="s">
        <v>145</v>
      </c>
      <c r="AP9" s="70" t="s">
        <v>64</v>
      </c>
      <c r="AR9" s="70" t="s">
        <v>145</v>
      </c>
      <c r="AS9" s="70" t="s">
        <v>64</v>
      </c>
      <c r="AU9" s="70" t="s">
        <v>145</v>
      </c>
      <c r="AV9" s="70" t="s">
        <v>64</v>
      </c>
    </row>
    <row r="10" spans="1:48" x14ac:dyDescent="0.25">
      <c r="A10" s="11" t="s">
        <v>60</v>
      </c>
      <c r="B10" s="74" t="s">
        <v>61</v>
      </c>
      <c r="C10" s="13" t="s">
        <v>62</v>
      </c>
      <c r="D10" s="75" t="s">
        <v>146</v>
      </c>
      <c r="E10" s="75" t="s">
        <v>146</v>
      </c>
      <c r="F10" s="76" t="s">
        <v>147</v>
      </c>
      <c r="G10" s="77">
        <v>1</v>
      </c>
      <c r="H10" s="75" t="s">
        <v>148</v>
      </c>
      <c r="I10" s="75" t="s">
        <v>149</v>
      </c>
      <c r="J10" s="75"/>
      <c r="K10" s="75" t="s">
        <v>148</v>
      </c>
      <c r="L10" s="75" t="s">
        <v>150</v>
      </c>
      <c r="M10" s="75"/>
      <c r="N10" s="75" t="s">
        <v>148</v>
      </c>
      <c r="O10" s="75" t="s">
        <v>151</v>
      </c>
      <c r="P10" s="73"/>
      <c r="Q10" s="75" t="s">
        <v>148</v>
      </c>
      <c r="R10" s="75" t="s">
        <v>152</v>
      </c>
      <c r="S10" s="75"/>
      <c r="T10" s="75" t="s">
        <v>148</v>
      </c>
      <c r="U10" s="75" t="s">
        <v>153</v>
      </c>
      <c r="V10" s="75"/>
      <c r="W10" s="75" t="s">
        <v>148</v>
      </c>
      <c r="X10" s="75" t="s">
        <v>154</v>
      </c>
      <c r="Z10" s="75" t="s">
        <v>148</v>
      </c>
      <c r="AA10" s="75" t="s">
        <v>155</v>
      </c>
      <c r="AC10" s="75" t="s">
        <v>148</v>
      </c>
      <c r="AD10" s="75" t="s">
        <v>156</v>
      </c>
      <c r="AE10" s="75"/>
      <c r="AF10" s="75" t="s">
        <v>148</v>
      </c>
      <c r="AG10" s="75" t="s">
        <v>157</v>
      </c>
      <c r="AI10" s="75" t="s">
        <v>148</v>
      </c>
      <c r="AJ10" s="75" t="s">
        <v>158</v>
      </c>
      <c r="AL10" s="75" t="s">
        <v>148</v>
      </c>
      <c r="AM10" s="75" t="s">
        <v>159</v>
      </c>
      <c r="AO10" s="75" t="s">
        <v>148</v>
      </c>
      <c r="AP10" s="75" t="s">
        <v>160</v>
      </c>
      <c r="AR10" s="75" t="s">
        <v>148</v>
      </c>
      <c r="AS10" s="75" t="s">
        <v>161</v>
      </c>
      <c r="AU10" s="75" t="s">
        <v>148</v>
      </c>
      <c r="AV10" s="75" t="s">
        <v>162</v>
      </c>
    </row>
    <row r="11" spans="1:48" x14ac:dyDescent="0.25">
      <c r="A11" s="7"/>
      <c r="D11" s="7" t="s">
        <v>66</v>
      </c>
      <c r="E11" s="7" t="s">
        <v>67</v>
      </c>
      <c r="F11" s="7" t="s">
        <v>68</v>
      </c>
      <c r="G11" s="78">
        <f>+G10+1</f>
        <v>2</v>
      </c>
      <c r="H11" s="17" t="s">
        <v>69</v>
      </c>
      <c r="I11" s="17" t="s">
        <v>70</v>
      </c>
      <c r="J11" s="7"/>
      <c r="K11" s="17" t="s">
        <v>71</v>
      </c>
      <c r="L11" s="17" t="s">
        <v>72</v>
      </c>
      <c r="M11" s="7"/>
      <c r="N11" s="17" t="s">
        <v>73</v>
      </c>
      <c r="O11" s="17" t="s">
        <v>74</v>
      </c>
      <c r="P11" s="7"/>
      <c r="Q11" s="17" t="s">
        <v>75</v>
      </c>
      <c r="R11" s="17" t="s">
        <v>76</v>
      </c>
      <c r="S11" s="7"/>
      <c r="T11" s="17" t="s">
        <v>77</v>
      </c>
      <c r="U11" s="17" t="s">
        <v>78</v>
      </c>
      <c r="V11" s="63"/>
      <c r="W11" s="17" t="s">
        <v>79</v>
      </c>
      <c r="X11" s="17" t="s">
        <v>80</v>
      </c>
      <c r="Z11" s="17" t="s">
        <v>81</v>
      </c>
      <c r="AA11" s="17" t="s">
        <v>82</v>
      </c>
      <c r="AC11" s="17" t="s">
        <v>83</v>
      </c>
      <c r="AD11" s="17" t="s">
        <v>84</v>
      </c>
      <c r="AE11" s="17"/>
      <c r="AF11" s="17" t="s">
        <v>85</v>
      </c>
      <c r="AG11" s="17" t="s">
        <v>86</v>
      </c>
      <c r="AI11" s="17" t="s">
        <v>87</v>
      </c>
      <c r="AJ11" s="17" t="s">
        <v>88</v>
      </c>
      <c r="AL11" s="17" t="s">
        <v>89</v>
      </c>
      <c r="AM11" s="17" t="s">
        <v>90</v>
      </c>
      <c r="AO11" s="15" t="s">
        <v>91</v>
      </c>
      <c r="AP11" s="79" t="s">
        <v>92</v>
      </c>
      <c r="AR11" s="15" t="s">
        <v>93</v>
      </c>
      <c r="AS11" s="79" t="s">
        <v>94</v>
      </c>
      <c r="AU11" s="15" t="s">
        <v>95</v>
      </c>
      <c r="AV11" s="79" t="s">
        <v>96</v>
      </c>
    </row>
    <row r="12" spans="1:48" x14ac:dyDescent="0.25">
      <c r="A12" s="7">
        <f>IF(C12&lt;&gt;"",COUNTA($C$12:C12),"")</f>
        <v>1</v>
      </c>
      <c r="B12" s="19" t="s">
        <v>163</v>
      </c>
      <c r="C12" s="20" t="s">
        <v>112</v>
      </c>
      <c r="D12" s="80">
        <v>0.41144999999999998</v>
      </c>
      <c r="E12" s="81">
        <v>0.44191999999999998</v>
      </c>
      <c r="F12" s="82">
        <v>6772248175.3172169</v>
      </c>
      <c r="G12" s="78">
        <f t="shared" ref="G12:G34" si="0">+G11+1</f>
        <v>3</v>
      </c>
      <c r="H12" s="34">
        <f>$D12*H$34</f>
        <v>32655854.060709499</v>
      </c>
      <c r="I12" s="21">
        <f>H12/$F12</f>
        <v>4.8220108323451796E-3</v>
      </c>
      <c r="J12" s="25"/>
      <c r="K12" s="83">
        <f t="shared" ref="K12:K33" si="1">$K$34*D12</f>
        <v>42580614.241238609</v>
      </c>
      <c r="L12" s="25">
        <f t="shared" ref="L12:L34" si="2">K12/F12</f>
        <v>6.2875153330074329E-3</v>
      </c>
      <c r="M12" s="25"/>
      <c r="N12" s="83">
        <f t="shared" ref="N12:N33" si="3">O12*F12</f>
        <v>11754678.372308237</v>
      </c>
      <c r="O12" s="21">
        <f>O34</f>
        <v>1.7357128782064517E-3</v>
      </c>
      <c r="P12" s="33"/>
      <c r="Q12" s="34">
        <f>Q$34*$D12</f>
        <v>68565.111870351582</v>
      </c>
      <c r="R12" s="21">
        <f t="shared" ref="R12:R34" si="4">Q12/F12</f>
        <v>1.0124423986742032E-5</v>
      </c>
      <c r="S12" s="21"/>
      <c r="T12" s="34">
        <f t="shared" ref="T12:T33" si="5">T$34*$D12</f>
        <v>-1620463.500225585</v>
      </c>
      <c r="U12" s="21">
        <f t="shared" ref="U12:U34" si="6">T12/F12</f>
        <v>-2.3927999362629402E-4</v>
      </c>
      <c r="V12" s="21"/>
      <c r="W12" s="34">
        <f t="shared" ref="W12:W33" si="7">X12*F12</f>
        <v>-3528972.5679233661</v>
      </c>
      <c r="X12" s="21">
        <f>$X$34</f>
        <v>-5.210932140356871E-4</v>
      </c>
      <c r="Z12" s="34">
        <f t="shared" ref="Z12:Z33" si="8">$Z$34*$D12</f>
        <v>-3865389.9728537872</v>
      </c>
      <c r="AA12" s="21">
        <f t="shared" ref="AA12:AA34" si="9">Z12/$F12</f>
        <v>-5.7076909658183481E-4</v>
      </c>
      <c r="AC12" s="84">
        <f t="shared" ref="AC12:AC33" si="10">$E12*AC$34</f>
        <v>6301923.3356410982</v>
      </c>
      <c r="AD12" s="85">
        <f t="shared" ref="AD12:AD34" si="11">AC12/F12</f>
        <v>9.3055115118339735E-4</v>
      </c>
      <c r="AE12" s="25"/>
      <c r="AF12" s="34">
        <f>AF$34*$D12</f>
        <v>0</v>
      </c>
      <c r="AG12" s="21">
        <f>AF12/$F12</f>
        <v>0</v>
      </c>
      <c r="AI12" s="84">
        <f t="shared" ref="AI12:AI33" si="12">AI$34*$D12</f>
        <v>288385.00512974209</v>
      </c>
      <c r="AJ12" s="22">
        <f t="shared" ref="AJ12:AJ34" si="13">AI12/F12</f>
        <v>4.2583348640532346E-5</v>
      </c>
      <c r="AL12" s="34">
        <f t="shared" ref="AL12:AL33" si="14">AL$34*$D12</f>
        <v>5086451.7446471816</v>
      </c>
      <c r="AM12" s="21">
        <f t="shared" ref="AM12:AM34" si="15">AL12/$F12</f>
        <v>7.5107285098997844E-4</v>
      </c>
      <c r="AO12" s="34">
        <f>AO$34*$E12</f>
        <v>11282572.721557207</v>
      </c>
      <c r="AP12" s="21">
        <f t="shared" ref="AP12:AP34" si="16">AO12/$F12</f>
        <v>1.6660010722404932E-3</v>
      </c>
      <c r="AR12" s="34">
        <f>AR$34*$D12</f>
        <v>5959491.9928047583</v>
      </c>
      <c r="AS12" s="21">
        <f>AR12/$F12</f>
        <v>8.7998724183282182E-4</v>
      </c>
      <c r="AU12" s="84">
        <f>AU$34*$D12</f>
        <v>-9021675.2944499999</v>
      </c>
      <c r="AV12" s="22">
        <f>AU12/$F12</f>
        <v>-1.3321536749540959E-3</v>
      </c>
    </row>
    <row r="13" spans="1:48" x14ac:dyDescent="0.25">
      <c r="A13" s="7">
        <f>IF(C13&lt;&gt;"",COUNTA($C$12:C13),"")</f>
        <v>2</v>
      </c>
      <c r="B13" s="19" t="s">
        <v>163</v>
      </c>
      <c r="C13" s="20" t="s">
        <v>113</v>
      </c>
      <c r="D13" s="86">
        <v>4.5749999999999999E-2</v>
      </c>
      <c r="E13" s="87">
        <v>5.9679999999999997E-2</v>
      </c>
      <c r="F13" s="82">
        <v>927000229.29357576</v>
      </c>
      <c r="G13" s="78">
        <f t="shared" si="0"/>
        <v>4</v>
      </c>
      <c r="H13" s="34">
        <f t="shared" ref="H13:H33" si="17">$D13*H$34</f>
        <v>3631073.8200934734</v>
      </c>
      <c r="I13" s="21">
        <f t="shared" ref="I13:I34" si="18">H13/$F13</f>
        <v>3.9170150182816542E-3</v>
      </c>
      <c r="J13" s="25"/>
      <c r="K13" s="83">
        <f t="shared" si="1"/>
        <v>4734628.9987523789</v>
      </c>
      <c r="L13" s="25">
        <f t="shared" si="2"/>
        <v>5.1074733847265843E-3</v>
      </c>
      <c r="M13" s="25"/>
      <c r="N13" s="83">
        <f t="shared" si="3"/>
        <v>1609006.236085193</v>
      </c>
      <c r="O13" s="21">
        <f>O12</f>
        <v>1.7357128782064517E-3</v>
      </c>
      <c r="P13" s="33"/>
      <c r="Q13" s="34">
        <f t="shared" ref="Q13:Q33" si="19">Q$34*$D13</f>
        <v>7623.900517848062</v>
      </c>
      <c r="R13" s="21">
        <f t="shared" si="4"/>
        <v>8.2242703690137013E-6</v>
      </c>
      <c r="S13" s="21"/>
      <c r="T13" s="34">
        <f t="shared" si="5"/>
        <v>-180182.78073962938</v>
      </c>
      <c r="U13" s="21">
        <f t="shared" si="6"/>
        <v>-1.9437188368004869E-4</v>
      </c>
      <c r="V13" s="21"/>
      <c r="W13" s="34">
        <f t="shared" si="7"/>
        <v>-483053.52889440831</v>
      </c>
      <c r="X13" s="21">
        <f t="shared" ref="X13:X33" si="20">$X$34</f>
        <v>-5.210932140356871E-4</v>
      </c>
      <c r="Z13" s="34">
        <f t="shared" si="8"/>
        <v>-429800.92662063619</v>
      </c>
      <c r="AA13" s="21">
        <f t="shared" si="9"/>
        <v>-4.636470553498867E-4</v>
      </c>
      <c r="AC13" s="84">
        <f t="shared" si="10"/>
        <v>851056.26509562985</v>
      </c>
      <c r="AD13" s="85">
        <f t="shared" si="11"/>
        <v>9.1807557129104558E-4</v>
      </c>
      <c r="AE13" s="25"/>
      <c r="AF13" s="34">
        <f t="shared" ref="AF13:AF33" si="21">AF$34*$D13</f>
        <v>0</v>
      </c>
      <c r="AG13" s="21">
        <f t="shared" ref="AG13:AG34" si="22">AF13/$F13</f>
        <v>0</v>
      </c>
      <c r="AI13" s="84">
        <f t="shared" si="12"/>
        <v>32066.141656788681</v>
      </c>
      <c r="AJ13" s="22">
        <f t="shared" si="13"/>
        <v>3.4591298516964567E-5</v>
      </c>
      <c r="AL13" s="34">
        <f t="shared" si="14"/>
        <v>565573.3802834088</v>
      </c>
      <c r="AM13" s="21">
        <f t="shared" si="15"/>
        <v>6.1011137043019529E-4</v>
      </c>
      <c r="AO13" s="34">
        <f t="shared" ref="AO13:AO33" si="23">AO$34*$E13</f>
        <v>1523678.3581248508</v>
      </c>
      <c r="AP13" s="21">
        <f t="shared" si="16"/>
        <v>1.6436655676838139E-3</v>
      </c>
      <c r="AR13" s="34">
        <f t="shared" ref="AR13:AR33" si="24">AR$34*$D13</f>
        <v>662648.58104464144</v>
      </c>
      <c r="AS13" s="21">
        <f t="shared" ref="AS13:AS33" si="25">AR13/$F13</f>
        <v>7.1483108644926168E-4</v>
      </c>
      <c r="AU13" s="84">
        <f t="shared" ref="AU13:AU33" si="26">AU$34*$D13</f>
        <v>-1003139.25075</v>
      </c>
      <c r="AV13" s="22">
        <f t="shared" ref="AV13:AV33" si="27">AU13/$F13</f>
        <v>-1.0821348464114689E-3</v>
      </c>
    </row>
    <row r="14" spans="1:48" x14ac:dyDescent="0.25">
      <c r="A14" s="7">
        <f>IF(C14&lt;&gt;"",COUNTA($C$12:C14),"")</f>
        <v>3</v>
      </c>
      <c r="B14" s="19" t="s">
        <v>115</v>
      </c>
      <c r="C14" s="20" t="s">
        <v>116</v>
      </c>
      <c r="D14" s="86">
        <v>3.4459999999999998E-2</v>
      </c>
      <c r="E14" s="87">
        <v>3.338E-2</v>
      </c>
      <c r="F14" s="82">
        <v>492195162.23694551</v>
      </c>
      <c r="G14" s="78">
        <f t="shared" si="0"/>
        <v>5</v>
      </c>
      <c r="H14" s="34">
        <f t="shared" si="17"/>
        <v>2735012.1058015539</v>
      </c>
      <c r="I14" s="21">
        <f t="shared" si="18"/>
        <v>5.5567634866043316E-3</v>
      </c>
      <c r="J14" s="25"/>
      <c r="K14" s="83">
        <f t="shared" si="1"/>
        <v>3566236.3999345787</v>
      </c>
      <c r="L14" s="25">
        <f t="shared" si="2"/>
        <v>7.2455738567738549E-3</v>
      </c>
      <c r="M14" s="25"/>
      <c r="N14" s="83">
        <f t="shared" si="3"/>
        <v>854309.4816855801</v>
      </c>
      <c r="O14" s="21">
        <f t="shared" ref="O14:O33" si="28">O13</f>
        <v>1.7357128782064517E-3</v>
      </c>
      <c r="P14" s="33"/>
      <c r="Q14" s="34">
        <f t="shared" si="19"/>
        <v>5742.5051769408574</v>
      </c>
      <c r="R14" s="21">
        <f t="shared" si="4"/>
        <v>1.166713047491593E-5</v>
      </c>
      <c r="S14" s="21"/>
      <c r="T14" s="34">
        <f t="shared" si="5"/>
        <v>-135718.00271666946</v>
      </c>
      <c r="U14" s="21">
        <f t="shared" si="6"/>
        <v>-2.7574022080967562E-4</v>
      </c>
      <c r="V14" s="21"/>
      <c r="W14" s="34">
        <f t="shared" si="7"/>
        <v>-256479.55902286639</v>
      </c>
      <c r="X14" s="21">
        <f t="shared" si="20"/>
        <v>-5.210932140356871E-4</v>
      </c>
      <c r="Z14" s="34">
        <f t="shared" si="8"/>
        <v>-323736.39194201364</v>
      </c>
      <c r="AA14" s="21">
        <f t="shared" si="9"/>
        <v>-6.5773989014984496E-4</v>
      </c>
      <c r="AC14" s="84">
        <f t="shared" si="10"/>
        <v>476009.68714631582</v>
      </c>
      <c r="AD14" s="85">
        <f t="shared" si="11"/>
        <v>9.6711573714566921E-4</v>
      </c>
      <c r="AE14" s="25"/>
      <c r="AF14" s="34">
        <f t="shared" si="21"/>
        <v>0</v>
      </c>
      <c r="AG14" s="21">
        <f t="shared" si="22"/>
        <v>0</v>
      </c>
      <c r="AI14" s="84">
        <f t="shared" si="12"/>
        <v>24152.988885091538</v>
      </c>
      <c r="AJ14" s="22">
        <f t="shared" si="13"/>
        <v>4.9071975383342255E-5</v>
      </c>
      <c r="AL14" s="34">
        <f t="shared" si="14"/>
        <v>426003.46851510968</v>
      </c>
      <c r="AM14" s="21">
        <f t="shared" si="15"/>
        <v>8.6551738253377874E-4</v>
      </c>
      <c r="AO14" s="34">
        <f t="shared" si="23"/>
        <v>852218.22376353096</v>
      </c>
      <c r="AP14" s="21">
        <f t="shared" si="16"/>
        <v>1.7314640393667022E-3</v>
      </c>
      <c r="AR14" s="34">
        <f t="shared" si="24"/>
        <v>499122.84377701289</v>
      </c>
      <c r="AS14" s="21">
        <f t="shared" si="25"/>
        <v>1.0140750703614848E-3</v>
      </c>
      <c r="AU14" s="84">
        <f t="shared" si="26"/>
        <v>-755588.60285999998</v>
      </c>
      <c r="AV14" s="22">
        <f t="shared" si="27"/>
        <v>-1.5351402468605643E-3</v>
      </c>
    </row>
    <row r="15" spans="1:48" x14ac:dyDescent="0.25">
      <c r="A15" s="7">
        <f>IF(C15&lt;&gt;"",COUNTA($C$12:C15),"")</f>
        <v>4</v>
      </c>
      <c r="B15" s="19" t="s">
        <v>115</v>
      </c>
      <c r="C15" s="20" t="s">
        <v>117</v>
      </c>
      <c r="D15" s="86">
        <v>0.27906999999999998</v>
      </c>
      <c r="E15" s="87">
        <v>0.20927000000000001</v>
      </c>
      <c r="F15" s="82">
        <v>6409920903.8018589</v>
      </c>
      <c r="G15" s="78">
        <f t="shared" si="0"/>
        <v>6</v>
      </c>
      <c r="H15" s="34">
        <f t="shared" si="17"/>
        <v>22149153.463901322</v>
      </c>
      <c r="I15" s="21">
        <f t="shared" si="18"/>
        <v>3.4554487951269715E-3</v>
      </c>
      <c r="J15" s="25"/>
      <c r="K15" s="83">
        <f t="shared" si="1"/>
        <v>28880719.446597297</v>
      </c>
      <c r="L15" s="25">
        <f t="shared" si="2"/>
        <v>4.505628053767018E-3</v>
      </c>
      <c r="M15" s="25"/>
      <c r="N15" s="83">
        <f t="shared" si="3"/>
        <v>11125782.261013625</v>
      </c>
      <c r="O15" s="21">
        <f t="shared" si="28"/>
        <v>1.7357128782064517E-3</v>
      </c>
      <c r="P15" s="33"/>
      <c r="Q15" s="34">
        <f t="shared" si="19"/>
        <v>46504.959945701827</v>
      </c>
      <c r="R15" s="21">
        <f t="shared" si="4"/>
        <v>7.2551534790575584E-6</v>
      </c>
      <c r="S15" s="21"/>
      <c r="T15" s="34">
        <f t="shared" si="5"/>
        <v>-1099095.2704045544</v>
      </c>
      <c r="U15" s="21">
        <f t="shared" si="6"/>
        <v>-1.7146783663939721E-4</v>
      </c>
      <c r="V15" s="21"/>
      <c r="W15" s="34">
        <f t="shared" si="7"/>
        <v>-3340166.2854766469</v>
      </c>
      <c r="X15" s="21">
        <f t="shared" si="20"/>
        <v>-5.210932140356871E-4</v>
      </c>
      <c r="Z15" s="34">
        <f t="shared" si="8"/>
        <v>-2621738.6796070151</v>
      </c>
      <c r="AA15" s="21">
        <f t="shared" si="9"/>
        <v>-4.0901264133415543E-4</v>
      </c>
      <c r="AC15" s="84">
        <f t="shared" si="10"/>
        <v>2984258.4550362346</v>
      </c>
      <c r="AD15" s="85">
        <f t="shared" si="11"/>
        <v>4.6556868638834658E-4</v>
      </c>
      <c r="AE15" s="25"/>
      <c r="AF15" s="34">
        <f t="shared" si="21"/>
        <v>0</v>
      </c>
      <c r="AG15" s="21">
        <f t="shared" si="22"/>
        <v>0</v>
      </c>
      <c r="AI15" s="84">
        <f t="shared" si="12"/>
        <v>195599.959610055</v>
      </c>
      <c r="AJ15" s="22">
        <f t="shared" si="13"/>
        <v>3.0515190833952497E-5</v>
      </c>
      <c r="AL15" s="34">
        <f t="shared" si="14"/>
        <v>3449935.8084304021</v>
      </c>
      <c r="AM15" s="21">
        <f t="shared" si="15"/>
        <v>5.382181559189245E-4</v>
      </c>
      <c r="AO15" s="34">
        <f t="shared" si="23"/>
        <v>5342831.266836253</v>
      </c>
      <c r="AP15" s="21">
        <f t="shared" si="16"/>
        <v>8.3352530351307567E-4</v>
      </c>
      <c r="AR15" s="34">
        <f t="shared" si="24"/>
        <v>4042083.923762362</v>
      </c>
      <c r="AS15" s="21">
        <f t="shared" si="25"/>
        <v>6.3059809698508404E-4</v>
      </c>
      <c r="AU15" s="84">
        <f t="shared" si="26"/>
        <v>-6119039.7968699997</v>
      </c>
      <c r="AV15" s="22">
        <f t="shared" si="27"/>
        <v>-9.5462017218350833E-4</v>
      </c>
    </row>
    <row r="16" spans="1:48" x14ac:dyDescent="0.25">
      <c r="A16" s="7">
        <f>IF(C16&lt;&gt;"",COUNTA($C$12:C16),"")</f>
        <v>5</v>
      </c>
      <c r="B16" s="19" t="s">
        <v>115</v>
      </c>
      <c r="C16" s="20" t="s">
        <v>118</v>
      </c>
      <c r="D16" s="86">
        <v>7.9979999999999996E-2</v>
      </c>
      <c r="E16" s="87">
        <v>6.5070000000000003E-2</v>
      </c>
      <c r="F16" s="82">
        <v>3130593767.4220433</v>
      </c>
      <c r="G16" s="78">
        <f t="shared" si="0"/>
        <v>7</v>
      </c>
      <c r="H16" s="34">
        <f t="shared" si="17"/>
        <v>6347831.3471273435</v>
      </c>
      <c r="I16" s="21">
        <f t="shared" si="18"/>
        <v>2.0276764788791507E-3</v>
      </c>
      <c r="J16" s="25"/>
      <c r="K16" s="83">
        <f t="shared" si="1"/>
        <v>8277062.8922451418</v>
      </c>
      <c r="L16" s="25">
        <f t="shared" si="2"/>
        <v>2.6439274805881543E-3</v>
      </c>
      <c r="M16" s="25"/>
      <c r="N16" s="83">
        <f t="shared" si="3"/>
        <v>5433811.9185472941</v>
      </c>
      <c r="O16" s="21">
        <f t="shared" si="28"/>
        <v>1.7357128782064517E-3</v>
      </c>
      <c r="P16" s="33"/>
      <c r="Q16" s="34">
        <f t="shared" si="19"/>
        <v>13328.077888906842</v>
      </c>
      <c r="R16" s="21">
        <f t="shared" si="4"/>
        <v>4.2573642187635677E-6</v>
      </c>
      <c r="S16" s="21"/>
      <c r="T16" s="34">
        <f t="shared" si="5"/>
        <v>-314994.94652580452</v>
      </c>
      <c r="U16" s="21">
        <f t="shared" si="6"/>
        <v>-1.0061827561395616E-4</v>
      </c>
      <c r="V16" s="21"/>
      <c r="W16" s="34">
        <f t="shared" si="7"/>
        <v>-1631331.1681060428</v>
      </c>
      <c r="X16" s="21">
        <f t="shared" si="20"/>
        <v>-5.210932140356871E-4</v>
      </c>
      <c r="Z16" s="34">
        <f t="shared" si="8"/>
        <v>-751376.57073483022</v>
      </c>
      <c r="AA16" s="21">
        <f t="shared" si="9"/>
        <v>-2.4001088181861674E-4</v>
      </c>
      <c r="AC16" s="84">
        <f t="shared" si="10"/>
        <v>927919.4230860027</v>
      </c>
      <c r="AD16" s="85">
        <f t="shared" si="11"/>
        <v>2.9640365119940759E-4</v>
      </c>
      <c r="AE16" s="25"/>
      <c r="AF16" s="34">
        <f t="shared" si="21"/>
        <v>0</v>
      </c>
      <c r="AG16" s="21">
        <f t="shared" si="22"/>
        <v>0</v>
      </c>
      <c r="AI16" s="84">
        <f t="shared" si="12"/>
        <v>56057.923709507289</v>
      </c>
      <c r="AJ16" s="22">
        <f t="shared" si="13"/>
        <v>1.7906482882852422E-5</v>
      </c>
      <c r="AL16" s="34">
        <f t="shared" si="14"/>
        <v>988733.52907250356</v>
      </c>
      <c r="AM16" s="21">
        <f t="shared" si="15"/>
        <v>3.1582939292909221E-4</v>
      </c>
      <c r="AO16" s="34">
        <f t="shared" si="23"/>
        <v>1661289.3894635397</v>
      </c>
      <c r="AP16" s="21">
        <f t="shared" si="16"/>
        <v>5.3066271540927685E-4</v>
      </c>
      <c r="AR16" s="34">
        <f t="shared" si="24"/>
        <v>1158440.0767639435</v>
      </c>
      <c r="AS16" s="21">
        <f t="shared" si="25"/>
        <v>3.7003845366940938E-4</v>
      </c>
      <c r="AU16" s="84">
        <f t="shared" si="26"/>
        <v>-1753684.7491799998</v>
      </c>
      <c r="AV16" s="22">
        <f t="shared" si="27"/>
        <v>-5.6017640085705221E-4</v>
      </c>
    </row>
    <row r="17" spans="1:48" x14ac:dyDescent="0.25">
      <c r="A17" s="7">
        <f>IF(C17&lt;&gt;"",COUNTA($C$12:C17),"")</f>
        <v>6</v>
      </c>
      <c r="B17" s="19" t="s">
        <v>119</v>
      </c>
      <c r="C17" s="20" t="s">
        <v>120</v>
      </c>
      <c r="D17" s="88">
        <v>8.2900000000000005E-3</v>
      </c>
      <c r="E17" s="89">
        <v>9.1800000000000007E-3</v>
      </c>
      <c r="F17" s="82">
        <v>240756648.97319856</v>
      </c>
      <c r="G17" s="78">
        <f t="shared" si="0"/>
        <v>8</v>
      </c>
      <c r="H17" s="34">
        <f t="shared" si="17"/>
        <v>657958.51297431462</v>
      </c>
      <c r="I17" s="21">
        <f t="shared" si="18"/>
        <v>2.7328778489833509E-3</v>
      </c>
      <c r="J17" s="25"/>
      <c r="K17" s="83">
        <f t="shared" si="1"/>
        <v>857925.12348977535</v>
      </c>
      <c r="L17" s="25">
        <f t="shared" si="2"/>
        <v>3.5634535002407389E-3</v>
      </c>
      <c r="M17" s="25"/>
      <c r="N17" s="83">
        <f t="shared" si="3"/>
        <v>417884.41613661085</v>
      </c>
      <c r="O17" s="21">
        <f t="shared" si="28"/>
        <v>1.7357128782064517E-3</v>
      </c>
      <c r="P17" s="33"/>
      <c r="Q17" s="34">
        <f t="shared" si="19"/>
        <v>1381.4674380974959</v>
      </c>
      <c r="R17" s="21">
        <f t="shared" si="4"/>
        <v>5.7380240337673214E-6</v>
      </c>
      <c r="S17" s="21"/>
      <c r="T17" s="34">
        <f t="shared" si="5"/>
        <v>-32649.513712164538</v>
      </c>
      <c r="U17" s="21">
        <f t="shared" si="6"/>
        <v>-1.3561209566344785E-4</v>
      </c>
      <c r="V17" s="21"/>
      <c r="W17" s="34">
        <f t="shared" si="7"/>
        <v>-125456.65601390574</v>
      </c>
      <c r="X17" s="21">
        <f t="shared" si="20"/>
        <v>-5.210932140356871E-4</v>
      </c>
      <c r="Z17" s="34">
        <f t="shared" si="8"/>
        <v>-77880.867359236596</v>
      </c>
      <c r="AA17" s="21">
        <f t="shared" si="9"/>
        <v>-3.2348376541786153E-4</v>
      </c>
      <c r="AC17" s="84">
        <f t="shared" si="10"/>
        <v>130909.79412831574</v>
      </c>
      <c r="AD17" s="85">
        <f t="shared" si="11"/>
        <v>5.4374321409868449E-4</v>
      </c>
      <c r="AE17" s="25"/>
      <c r="AF17" s="34">
        <f t="shared" si="21"/>
        <v>0</v>
      </c>
      <c r="AG17" s="21">
        <f t="shared" si="22"/>
        <v>0</v>
      </c>
      <c r="AI17" s="84">
        <f t="shared" si="12"/>
        <v>5810.4549581372275</v>
      </c>
      <c r="AJ17" s="22">
        <f t="shared" si="13"/>
        <v>2.4134141187452967E-5</v>
      </c>
      <c r="AL17" s="34">
        <f t="shared" si="14"/>
        <v>102483.13273332152</v>
      </c>
      <c r="AM17" s="21">
        <f t="shared" si="15"/>
        <v>4.2567103824713107E-4</v>
      </c>
      <c r="AO17" s="34">
        <f t="shared" si="23"/>
        <v>234372.77693676495</v>
      </c>
      <c r="AP17" s="21">
        <f t="shared" si="16"/>
        <v>9.7348412987279833E-4</v>
      </c>
      <c r="AR17" s="34">
        <f t="shared" si="24"/>
        <v>120073.37129748803</v>
      </c>
      <c r="AS17" s="21">
        <f t="shared" si="25"/>
        <v>4.9873335506864778E-4</v>
      </c>
      <c r="AU17" s="84">
        <f t="shared" si="26"/>
        <v>-181771.02489</v>
      </c>
      <c r="AV17" s="22">
        <f t="shared" si="27"/>
        <v>-7.5499898202286016E-4</v>
      </c>
    </row>
    <row r="18" spans="1:48" x14ac:dyDescent="0.25">
      <c r="A18" s="7">
        <f>IF(C18&lt;&gt;"",COUNTA($C$12:C18),"")</f>
        <v>7</v>
      </c>
      <c r="B18" s="19" t="s">
        <v>119</v>
      </c>
      <c r="C18" s="20" t="s">
        <v>121</v>
      </c>
      <c r="D18" s="90">
        <v>1.329E-2</v>
      </c>
      <c r="E18" s="91">
        <v>1.6219999999999998E-2</v>
      </c>
      <c r="F18" s="82">
        <v>561519934.63065052</v>
      </c>
      <c r="G18" s="78">
        <f t="shared" si="0"/>
        <v>9</v>
      </c>
      <c r="H18" s="34">
        <f t="shared" si="17"/>
        <v>1054797.1818369892</v>
      </c>
      <c r="I18" s="21">
        <f t="shared" si="18"/>
        <v>1.8784679167816196E-3</v>
      </c>
      <c r="J18" s="25"/>
      <c r="K18" s="83">
        <f t="shared" si="1"/>
        <v>1375370.91570315</v>
      </c>
      <c r="L18" s="25">
        <f t="shared" si="2"/>
        <v>2.4493714842160038E-3</v>
      </c>
      <c r="M18" s="25"/>
      <c r="N18" s="83">
        <f t="shared" si="3"/>
        <v>974637.38190806506</v>
      </c>
      <c r="O18" s="21">
        <f t="shared" si="28"/>
        <v>1.7357128782064517E-3</v>
      </c>
      <c r="P18" s="33"/>
      <c r="Q18" s="34">
        <f t="shared" si="19"/>
        <v>2214.6806094470107</v>
      </c>
      <c r="R18" s="21">
        <f t="shared" si="4"/>
        <v>3.9440818978292469E-6</v>
      </c>
      <c r="S18" s="21"/>
      <c r="T18" s="34">
        <f t="shared" si="5"/>
        <v>-52341.620896823486</v>
      </c>
      <c r="U18" s="21">
        <f t="shared" si="6"/>
        <v>-9.3214181133661962E-5</v>
      </c>
      <c r="V18" s="21"/>
      <c r="W18" s="34">
        <f t="shared" si="7"/>
        <v>-292604.2274817946</v>
      </c>
      <c r="X18" s="21">
        <f t="shared" si="20"/>
        <v>-5.210932140356871E-4</v>
      </c>
      <c r="Z18" s="34">
        <f t="shared" si="8"/>
        <v>-124853.64622487989</v>
      </c>
      <c r="AA18" s="21">
        <f t="shared" si="9"/>
        <v>-2.2234944571826207E-4</v>
      </c>
      <c r="AC18" s="84">
        <f t="shared" si="10"/>
        <v>231302.49027900663</v>
      </c>
      <c r="AD18" s="85">
        <f t="shared" si="11"/>
        <v>4.1192213493034734E-4</v>
      </c>
      <c r="AE18" s="25"/>
      <c r="AF18" s="34">
        <f t="shared" si="21"/>
        <v>0</v>
      </c>
      <c r="AG18" s="21">
        <f t="shared" si="22"/>
        <v>0</v>
      </c>
      <c r="AI18" s="84">
        <f t="shared" si="12"/>
        <v>9314.9513140704166</v>
      </c>
      <c r="AJ18" s="22">
        <f t="shared" si="13"/>
        <v>1.6588816780293805E-5</v>
      </c>
      <c r="AL18" s="34">
        <f t="shared" si="14"/>
        <v>164294.4311249509</v>
      </c>
      <c r="AM18" s="21">
        <f t="shared" si="15"/>
        <v>2.9258877733881065E-4</v>
      </c>
      <c r="AO18" s="34">
        <f t="shared" si="23"/>
        <v>414109.63419546047</v>
      </c>
      <c r="AP18" s="21">
        <f t="shared" si="16"/>
        <v>7.3747984471441471E-4</v>
      </c>
      <c r="AR18" s="34">
        <f t="shared" si="24"/>
        <v>192493.98124772205</v>
      </c>
      <c r="AS18" s="21">
        <f t="shared" si="25"/>
        <v>3.4280881118555178E-4</v>
      </c>
      <c r="AU18" s="84">
        <f t="shared" si="26"/>
        <v>-291403.72989000002</v>
      </c>
      <c r="AV18" s="22">
        <f t="shared" si="27"/>
        <v>-5.1895527107452717E-4</v>
      </c>
    </row>
    <row r="19" spans="1:48" x14ac:dyDescent="0.25">
      <c r="A19" s="7">
        <f>IF(C19&lt;&gt;"",COUNTA($C$12:C19),"")</f>
        <v>8</v>
      </c>
      <c r="B19" s="19" t="s">
        <v>119</v>
      </c>
      <c r="C19" s="20" t="s">
        <v>122</v>
      </c>
      <c r="D19" s="90">
        <v>8.5599999999999999E-3</v>
      </c>
      <c r="E19" s="91">
        <v>1.4279999999999999E-2</v>
      </c>
      <c r="F19" s="82">
        <v>666581298.56224227</v>
      </c>
      <c r="G19" s="78">
        <f t="shared" si="0"/>
        <v>10</v>
      </c>
      <c r="H19" s="34">
        <f t="shared" si="17"/>
        <v>679387.80109289906</v>
      </c>
      <c r="I19" s="21">
        <f t="shared" si="18"/>
        <v>1.0192122139614168E-3</v>
      </c>
      <c r="J19" s="25"/>
      <c r="K19" s="83">
        <f t="shared" si="1"/>
        <v>885867.19626929751</v>
      </c>
      <c r="L19" s="25">
        <f t="shared" si="2"/>
        <v>1.3289709720030187E-3</v>
      </c>
      <c r="M19" s="25"/>
      <c r="N19" s="83">
        <f t="shared" si="3"/>
        <v>1156993.7442860636</v>
      </c>
      <c r="O19" s="21">
        <f t="shared" si="28"/>
        <v>1.7357128782064517E-3</v>
      </c>
      <c r="P19" s="33"/>
      <c r="Q19" s="34">
        <f t="shared" si="19"/>
        <v>1426.4609493503697</v>
      </c>
      <c r="R19" s="21">
        <f t="shared" si="4"/>
        <v>2.1399654512167108E-6</v>
      </c>
      <c r="S19" s="21"/>
      <c r="T19" s="34">
        <f t="shared" si="5"/>
        <v>-33712.887500136123</v>
      </c>
      <c r="U19" s="21">
        <f t="shared" si="6"/>
        <v>-5.0575807591439905E-5</v>
      </c>
      <c r="V19" s="21"/>
      <c r="W19" s="34">
        <f t="shared" si="7"/>
        <v>-347350.99128388078</v>
      </c>
      <c r="X19" s="21">
        <f t="shared" si="20"/>
        <v>-5.210932140356871E-4</v>
      </c>
      <c r="Z19" s="34">
        <f t="shared" si="8"/>
        <v>-80417.397417981338</v>
      </c>
      <c r="AA19" s="21">
        <f t="shared" si="9"/>
        <v>-1.2064154453692992E-4</v>
      </c>
      <c r="AC19" s="84">
        <f t="shared" si="10"/>
        <v>203637.45753293557</v>
      </c>
      <c r="AD19" s="85">
        <f t="shared" si="11"/>
        <v>3.0549530563213188E-4</v>
      </c>
      <c r="AE19" s="25"/>
      <c r="AF19" s="34">
        <f t="shared" si="21"/>
        <v>0</v>
      </c>
      <c r="AG19" s="21">
        <f t="shared" si="22"/>
        <v>0</v>
      </c>
      <c r="AI19" s="84">
        <f t="shared" si="12"/>
        <v>5999.6977613576191</v>
      </c>
      <c r="AJ19" s="22">
        <f t="shared" si="13"/>
        <v>9.0006992009803514E-6</v>
      </c>
      <c r="AL19" s="34">
        <f t="shared" si="14"/>
        <v>105820.94284646951</v>
      </c>
      <c r="AM19" s="21">
        <f t="shared" si="15"/>
        <v>1.5875174277273614E-4</v>
      </c>
      <c r="AO19" s="34">
        <f t="shared" si="23"/>
        <v>364579.87523496768</v>
      </c>
      <c r="AP19" s="21">
        <f t="shared" si="16"/>
        <v>5.4693984967975351E-4</v>
      </c>
      <c r="AR19" s="34">
        <f t="shared" si="24"/>
        <v>123984.08423480067</v>
      </c>
      <c r="AS19" s="21">
        <f t="shared" si="25"/>
        <v>1.859999440461704E-4</v>
      </c>
      <c r="AU19" s="84">
        <f t="shared" si="26"/>
        <v>-187691.19096000001</v>
      </c>
      <c r="AV19" s="22">
        <f t="shared" si="27"/>
        <v>-2.8157284244972598E-4</v>
      </c>
    </row>
    <row r="20" spans="1:48" x14ac:dyDescent="0.25">
      <c r="A20" s="7">
        <f>IF(C20&lt;&gt;"",COUNTA($C$12:C20),"")</f>
        <v>9</v>
      </c>
      <c r="B20" s="19" t="s">
        <v>119</v>
      </c>
      <c r="C20" s="20" t="s">
        <v>123</v>
      </c>
      <c r="D20" s="90">
        <v>1.2E-4</v>
      </c>
      <c r="E20" s="91">
        <v>2.7999999999999998E-4</v>
      </c>
      <c r="F20" s="82">
        <v>5468456.2095517535</v>
      </c>
      <c r="G20" s="78">
        <f t="shared" si="0"/>
        <v>11</v>
      </c>
      <c r="H20" s="34">
        <f t="shared" si="17"/>
        <v>9524.1280527041927</v>
      </c>
      <c r="I20" s="21">
        <f t="shared" si="18"/>
        <v>1.7416484082049329E-3</v>
      </c>
      <c r="J20" s="25"/>
      <c r="K20" s="83">
        <f t="shared" si="1"/>
        <v>12418.699013120995</v>
      </c>
      <c r="L20" s="25">
        <f t="shared" si="2"/>
        <v>2.2709698198605396E-3</v>
      </c>
      <c r="M20" s="25"/>
      <c r="N20" s="83">
        <f t="shared" si="3"/>
        <v>9491.6698668270164</v>
      </c>
      <c r="O20" s="21">
        <f t="shared" si="28"/>
        <v>1.7357128782064517E-3</v>
      </c>
      <c r="P20" s="33"/>
      <c r="Q20" s="34">
        <f t="shared" si="19"/>
        <v>19.997116112388362</v>
      </c>
      <c r="R20" s="21">
        <f t="shared" si="4"/>
        <v>3.6568119677834112E-6</v>
      </c>
      <c r="S20" s="21"/>
      <c r="T20" s="34">
        <f t="shared" si="5"/>
        <v>-472.61057243181477</v>
      </c>
      <c r="U20" s="21">
        <f t="shared" si="6"/>
        <v>-8.6424861847902491E-5</v>
      </c>
      <c r="V20" s="21"/>
      <c r="W20" s="34">
        <f t="shared" si="7"/>
        <v>-2849.5754220487343</v>
      </c>
      <c r="X20" s="21">
        <f t="shared" si="20"/>
        <v>-5.210932140356871E-4</v>
      </c>
      <c r="Z20" s="34">
        <f t="shared" si="8"/>
        <v>-1127.3466927754394</v>
      </c>
      <c r="AA20" s="21">
        <f t="shared" si="9"/>
        <v>-2.0615447021525064E-4</v>
      </c>
      <c r="AC20" s="84">
        <f t="shared" si="10"/>
        <v>3992.891324175207</v>
      </c>
      <c r="AD20" s="85">
        <f t="shared" si="11"/>
        <v>7.3016792512680686E-4</v>
      </c>
      <c r="AE20" s="25"/>
      <c r="AF20" s="34">
        <f t="shared" si="21"/>
        <v>0</v>
      </c>
      <c r="AG20" s="21">
        <f t="shared" si="22"/>
        <v>0</v>
      </c>
      <c r="AI20" s="84">
        <f t="shared" si="12"/>
        <v>84.107912542396534</v>
      </c>
      <c r="AJ20" s="22">
        <f t="shared" si="13"/>
        <v>1.5380558848671995E-5</v>
      </c>
      <c r="AL20" s="34">
        <f t="shared" si="14"/>
        <v>1483.4711613991053</v>
      </c>
      <c r="AM20" s="21">
        <f t="shared" si="15"/>
        <v>2.7127787158794944E-4</v>
      </c>
      <c r="AO20" s="34">
        <f t="shared" si="23"/>
        <v>7148.6250046072091</v>
      </c>
      <c r="AP20" s="21">
        <f t="shared" si="16"/>
        <v>1.3072473712271307E-3</v>
      </c>
      <c r="AR20" s="34">
        <f t="shared" si="24"/>
        <v>1738.0946388056168</v>
      </c>
      <c r="AS20" s="21">
        <f t="shared" si="25"/>
        <v>3.178400945717891E-4</v>
      </c>
      <c r="AU20" s="84">
        <f t="shared" si="26"/>
        <v>-2631.1849200000001</v>
      </c>
      <c r="AV20" s="22">
        <f t="shared" si="27"/>
        <v>-4.8115680535287255E-4</v>
      </c>
    </row>
    <row r="21" spans="1:48" x14ac:dyDescent="0.25">
      <c r="A21" s="7">
        <f>IF(C21&lt;&gt;"",COUNTA($C$12:C21),"")</f>
        <v>10</v>
      </c>
      <c r="B21" s="19" t="s">
        <v>119</v>
      </c>
      <c r="C21" s="20" t="s">
        <v>124</v>
      </c>
      <c r="D21" s="90">
        <v>1.8000000000000001E-4</v>
      </c>
      <c r="E21" s="91">
        <v>4.4000000000000002E-4</v>
      </c>
      <c r="F21" s="82">
        <v>7102901.0792861171</v>
      </c>
      <c r="G21" s="78">
        <f t="shared" si="0"/>
        <v>12</v>
      </c>
      <c r="H21" s="34">
        <f t="shared" si="17"/>
        <v>14286.192079056289</v>
      </c>
      <c r="I21" s="21">
        <f t="shared" si="18"/>
        <v>2.0113178994873647E-3</v>
      </c>
      <c r="J21" s="25"/>
      <c r="K21" s="83">
        <f t="shared" si="1"/>
        <v>18628.048519681492</v>
      </c>
      <c r="L21" s="25">
        <f t="shared" si="2"/>
        <v>2.6225972052469747E-3</v>
      </c>
      <c r="M21" s="25"/>
      <c r="N21" s="83">
        <f t="shared" si="3"/>
        <v>12328.596875943418</v>
      </c>
      <c r="O21" s="21">
        <f t="shared" si="28"/>
        <v>1.7357128782064517E-3</v>
      </c>
      <c r="P21" s="33"/>
      <c r="Q21" s="34">
        <f t="shared" si="19"/>
        <v>29.995674168582543</v>
      </c>
      <c r="R21" s="21">
        <f t="shared" si="4"/>
        <v>4.2230173043036776E-6</v>
      </c>
      <c r="S21" s="21"/>
      <c r="T21" s="34">
        <f t="shared" si="5"/>
        <v>-708.91585864772219</v>
      </c>
      <c r="U21" s="21">
        <f t="shared" si="6"/>
        <v>-9.9806522818556893E-5</v>
      </c>
      <c r="V21" s="21"/>
      <c r="W21" s="34">
        <f t="shared" si="7"/>
        <v>-3701.2735523827537</v>
      </c>
      <c r="X21" s="21">
        <f t="shared" si="20"/>
        <v>-5.210932140356871E-4</v>
      </c>
      <c r="Z21" s="34">
        <f t="shared" si="8"/>
        <v>-1691.020039163159</v>
      </c>
      <c r="AA21" s="21">
        <f t="shared" si="9"/>
        <v>-2.3807455859051839E-4</v>
      </c>
      <c r="AC21" s="84">
        <f t="shared" si="10"/>
        <v>6274.543509418183</v>
      </c>
      <c r="AD21" s="85">
        <f t="shared" si="11"/>
        <v>8.8337757197778845E-4</v>
      </c>
      <c r="AE21" s="25"/>
      <c r="AF21" s="34">
        <f t="shared" si="21"/>
        <v>0</v>
      </c>
      <c r="AG21" s="21">
        <f t="shared" si="22"/>
        <v>0</v>
      </c>
      <c r="AI21" s="84">
        <f t="shared" si="12"/>
        <v>126.16186881359481</v>
      </c>
      <c r="AJ21" s="22">
        <f t="shared" si="13"/>
        <v>1.7762019688196871E-5</v>
      </c>
      <c r="AL21" s="34">
        <f t="shared" si="14"/>
        <v>2225.2067420986577</v>
      </c>
      <c r="AM21" s="21">
        <f t="shared" si="15"/>
        <v>3.132813926675583E-4</v>
      </c>
      <c r="AO21" s="34">
        <f t="shared" si="23"/>
        <v>11233.553578668472</v>
      </c>
      <c r="AP21" s="21">
        <f t="shared" si="16"/>
        <v>1.5815444215362083E-3</v>
      </c>
      <c r="AR21" s="34">
        <f t="shared" si="24"/>
        <v>2607.1419582084254</v>
      </c>
      <c r="AS21" s="21">
        <f t="shared" si="25"/>
        <v>3.670531138060645E-4</v>
      </c>
      <c r="AU21" s="84">
        <f t="shared" si="26"/>
        <v>-3946.7773800000004</v>
      </c>
      <c r="AV21" s="22">
        <f t="shared" si="27"/>
        <v>-5.556570950297783E-4</v>
      </c>
    </row>
    <row r="22" spans="1:48" x14ac:dyDescent="0.25">
      <c r="A22" s="7">
        <f>IF(C22&lt;&gt;"",COUNTA($C$12:C22),"")</f>
        <v>11</v>
      </c>
      <c r="B22" s="19" t="s">
        <v>125</v>
      </c>
      <c r="C22" s="20" t="s">
        <v>126</v>
      </c>
      <c r="D22" s="90">
        <v>3.9300000000000002E-2</v>
      </c>
      <c r="E22" s="91">
        <v>5.0900000000000001E-2</v>
      </c>
      <c r="F22" s="82">
        <v>1035858819.670481</v>
      </c>
      <c r="G22" s="78">
        <f t="shared" si="0"/>
        <v>13</v>
      </c>
      <c r="H22" s="34">
        <f t="shared" si="17"/>
        <v>3119151.9372606231</v>
      </c>
      <c r="I22" s="21">
        <f t="shared" si="18"/>
        <v>3.0111747643881263E-3</v>
      </c>
      <c r="J22" s="25"/>
      <c r="K22" s="83">
        <f t="shared" si="1"/>
        <v>4067123.9267971255</v>
      </c>
      <c r="L22" s="25">
        <f t="shared" si="2"/>
        <v>3.926330354643238E-3</v>
      </c>
      <c r="M22" s="25"/>
      <c r="N22" s="83">
        <f t="shared" si="3"/>
        <v>1797953.4933057884</v>
      </c>
      <c r="O22" s="21">
        <f t="shared" si="28"/>
        <v>1.7357128782064517E-3</v>
      </c>
      <c r="P22" s="33"/>
      <c r="Q22" s="34">
        <f t="shared" si="19"/>
        <v>6549.0555268071885</v>
      </c>
      <c r="R22" s="21">
        <f t="shared" si="4"/>
        <v>6.3223437426448912E-6</v>
      </c>
      <c r="S22" s="21"/>
      <c r="T22" s="34">
        <f t="shared" si="5"/>
        <v>-154779.96247141933</v>
      </c>
      <c r="U22" s="21">
        <f t="shared" si="6"/>
        <v>-1.4942187056017604E-4</v>
      </c>
      <c r="V22" s="21"/>
      <c r="W22" s="34">
        <f t="shared" si="7"/>
        <v>-539779.00162930414</v>
      </c>
      <c r="X22" s="21">
        <f t="shared" si="20"/>
        <v>-5.210932140356871E-4</v>
      </c>
      <c r="Z22" s="34">
        <f t="shared" si="8"/>
        <v>-369206.04188395635</v>
      </c>
      <c r="AA22" s="21">
        <f t="shared" si="9"/>
        <v>-3.564250599337516E-4</v>
      </c>
      <c r="AC22" s="84">
        <f t="shared" si="10"/>
        <v>725850.6014304217</v>
      </c>
      <c r="AD22" s="85">
        <f t="shared" si="11"/>
        <v>7.0072348436568167E-4</v>
      </c>
      <c r="AE22" s="25"/>
      <c r="AF22" s="34">
        <f t="shared" si="21"/>
        <v>0</v>
      </c>
      <c r="AG22" s="21">
        <f t="shared" si="22"/>
        <v>0</v>
      </c>
      <c r="AI22" s="84">
        <f t="shared" si="12"/>
        <v>27545.341357634868</v>
      </c>
      <c r="AJ22" s="22">
        <f t="shared" si="13"/>
        <v>2.6591791115315666E-5</v>
      </c>
      <c r="AL22" s="34">
        <f t="shared" si="14"/>
        <v>485836.80535820697</v>
      </c>
      <c r="AM22" s="21">
        <f t="shared" si="15"/>
        <v>4.690183605452695E-4</v>
      </c>
      <c r="AO22" s="34">
        <f t="shared" si="23"/>
        <v>1299517.9026232392</v>
      </c>
      <c r="AP22" s="21">
        <f t="shared" si="16"/>
        <v>1.2545318705078278E-3</v>
      </c>
      <c r="AR22" s="34">
        <f t="shared" si="24"/>
        <v>569225.99420883949</v>
      </c>
      <c r="AS22" s="21">
        <f t="shared" si="25"/>
        <v>5.4952082600398869E-4</v>
      </c>
      <c r="AU22" s="84">
        <f t="shared" si="26"/>
        <v>-861713.06130000006</v>
      </c>
      <c r="AV22" s="22">
        <f t="shared" si="27"/>
        <v>-8.3188272854994004E-4</v>
      </c>
    </row>
    <row r="23" spans="1:48" x14ac:dyDescent="0.25">
      <c r="A23" s="7">
        <f>IF(C23&lt;&gt;"",COUNTA($C$12:C23),"")</f>
        <v>12</v>
      </c>
      <c r="B23" s="19" t="s">
        <v>125</v>
      </c>
      <c r="C23" s="20" t="s">
        <v>121</v>
      </c>
      <c r="D23" s="90">
        <v>1.0880000000000001E-2</v>
      </c>
      <c r="E23" s="89">
        <v>1.4460000000000001E-2</v>
      </c>
      <c r="F23" s="92">
        <v>470638348.86321914</v>
      </c>
      <c r="G23" s="78">
        <f t="shared" si="0"/>
        <v>14</v>
      </c>
      <c r="H23" s="34">
        <f t="shared" si="17"/>
        <v>863520.94344518019</v>
      </c>
      <c r="I23" s="21">
        <f t="shared" si="18"/>
        <v>1.8347866159460454E-3</v>
      </c>
      <c r="J23" s="25"/>
      <c r="K23" s="83">
        <f t="shared" si="1"/>
        <v>1125962.0438563034</v>
      </c>
      <c r="L23" s="25">
        <f t="shared" si="2"/>
        <v>2.3924145717746006E-3</v>
      </c>
      <c r="M23" s="25"/>
      <c r="N23" s="83">
        <f t="shared" si="3"/>
        <v>816893.04309971025</v>
      </c>
      <c r="O23" s="21">
        <f t="shared" si="28"/>
        <v>1.7357128782064517E-3</v>
      </c>
      <c r="P23" s="33"/>
      <c r="Q23" s="34">
        <f t="shared" si="19"/>
        <v>1813.0718608565448</v>
      </c>
      <c r="R23" s="21">
        <f t="shared" si="4"/>
        <v>3.8523674605689112E-6</v>
      </c>
      <c r="S23" s="21"/>
      <c r="T23" s="34">
        <f t="shared" si="5"/>
        <v>-42850.025233817876</v>
      </c>
      <c r="U23" s="21">
        <f t="shared" si="6"/>
        <v>-9.1046607947095507E-5</v>
      </c>
      <c r="V23" s="21"/>
      <c r="W23" s="34">
        <f t="shared" si="7"/>
        <v>-245246.44985758382</v>
      </c>
      <c r="X23" s="21">
        <f t="shared" si="20"/>
        <v>-5.210932140356871E-4</v>
      </c>
      <c r="Z23" s="34">
        <f t="shared" si="8"/>
        <v>-102212.76681163983</v>
      </c>
      <c r="AA23" s="21">
        <f t="shared" si="9"/>
        <v>-2.1717900179304292E-4</v>
      </c>
      <c r="AC23" s="84">
        <f t="shared" si="10"/>
        <v>206204.31624133393</v>
      </c>
      <c r="AD23" s="85">
        <f t="shared" si="11"/>
        <v>4.3813751416432652E-4</v>
      </c>
      <c r="AE23" s="25"/>
      <c r="AF23" s="34">
        <f t="shared" si="21"/>
        <v>0</v>
      </c>
      <c r="AG23" s="21">
        <f t="shared" si="22"/>
        <v>0</v>
      </c>
      <c r="AI23" s="84">
        <f t="shared" si="12"/>
        <v>7625.78407051062</v>
      </c>
      <c r="AJ23" s="22">
        <f t="shared" si="13"/>
        <v>1.6203065663752126E-5</v>
      </c>
      <c r="AL23" s="34">
        <f t="shared" si="14"/>
        <v>134501.38530018556</v>
      </c>
      <c r="AM23" s="21">
        <f t="shared" si="15"/>
        <v>2.8578501013583037E-4</v>
      </c>
      <c r="AO23" s="34">
        <f t="shared" si="23"/>
        <v>369175.41988078662</v>
      </c>
      <c r="AP23" s="21">
        <f t="shared" si="16"/>
        <v>7.8441423392822476E-4</v>
      </c>
      <c r="AR23" s="34">
        <f t="shared" si="24"/>
        <v>157587.24725170925</v>
      </c>
      <c r="AS23" s="21">
        <f t="shared" si="25"/>
        <v>3.348372431450727E-4</v>
      </c>
      <c r="AU23" s="84">
        <f t="shared" si="26"/>
        <v>-238560.76608000003</v>
      </c>
      <c r="AV23" s="22">
        <f t="shared" si="27"/>
        <v>-5.0688764877792085E-4</v>
      </c>
    </row>
    <row r="24" spans="1:48" x14ac:dyDescent="0.25">
      <c r="A24" s="7">
        <f>IF(C24&lt;&gt;"",COUNTA($C$12:C24),"")</f>
        <v>13</v>
      </c>
      <c r="B24" s="19" t="s">
        <v>125</v>
      </c>
      <c r="C24" s="20" t="s">
        <v>127</v>
      </c>
      <c r="D24" s="90">
        <v>6.1000000000000004E-3</v>
      </c>
      <c r="E24" s="91">
        <v>9.0500000000000008E-3</v>
      </c>
      <c r="F24" s="92">
        <v>391859635.2980696</v>
      </c>
      <c r="G24" s="78">
        <f t="shared" si="0"/>
        <v>15</v>
      </c>
      <c r="H24" s="34">
        <f t="shared" si="17"/>
        <v>484143.17601246317</v>
      </c>
      <c r="I24" s="21">
        <f t="shared" si="18"/>
        <v>1.2355015224882698E-3</v>
      </c>
      <c r="J24" s="25"/>
      <c r="K24" s="83">
        <f t="shared" si="1"/>
        <v>631283.86650031724</v>
      </c>
      <c r="L24" s="25">
        <f t="shared" si="2"/>
        <v>1.610994880909662E-3</v>
      </c>
      <c r="M24" s="25"/>
      <c r="N24" s="83">
        <f t="shared" si="3"/>
        <v>680155.81543614285</v>
      </c>
      <c r="O24" s="21">
        <f t="shared" si="28"/>
        <v>1.7357128782064517E-3</v>
      </c>
      <c r="P24" s="33"/>
      <c r="Q24" s="34">
        <f t="shared" si="19"/>
        <v>1016.5200690464084</v>
      </c>
      <c r="R24" s="21">
        <f t="shared" si="4"/>
        <v>2.5940923164315925E-6</v>
      </c>
      <c r="S24" s="21"/>
      <c r="T24" s="34">
        <f t="shared" si="5"/>
        <v>-24024.370765283918</v>
      </c>
      <c r="U24" s="21">
        <f t="shared" si="6"/>
        <v>-6.1308613087973919E-5</v>
      </c>
      <c r="V24" s="21"/>
      <c r="W24" s="34">
        <f t="shared" si="7"/>
        <v>-204195.39680832328</v>
      </c>
      <c r="X24" s="21">
        <f t="shared" si="20"/>
        <v>-5.210932140356871E-4</v>
      </c>
      <c r="Z24" s="34">
        <f t="shared" si="8"/>
        <v>-57306.790216084832</v>
      </c>
      <c r="AA24" s="21">
        <f t="shared" si="9"/>
        <v>-1.4624315712562279E-4</v>
      </c>
      <c r="AC24" s="84">
        <f t="shared" si="10"/>
        <v>129055.95172780582</v>
      </c>
      <c r="AD24" s="85">
        <f t="shared" si="11"/>
        <v>3.2934229530846908E-4</v>
      </c>
      <c r="AE24" s="25"/>
      <c r="AF24" s="34">
        <f t="shared" si="21"/>
        <v>0</v>
      </c>
      <c r="AG24" s="21">
        <f t="shared" si="22"/>
        <v>0</v>
      </c>
      <c r="AI24" s="84">
        <f t="shared" si="12"/>
        <v>4275.4855542384912</v>
      </c>
      <c r="AJ24" s="22">
        <f t="shared" si="13"/>
        <v>1.0910757753822555E-5</v>
      </c>
      <c r="AL24" s="34">
        <f t="shared" si="14"/>
        <v>75409.784037787846</v>
      </c>
      <c r="AM24" s="21">
        <f t="shared" si="15"/>
        <v>1.9244080595447676E-4</v>
      </c>
      <c r="AO24" s="34">
        <f t="shared" si="23"/>
        <v>231053.77247034019</v>
      </c>
      <c r="AP24" s="21">
        <f t="shared" si="16"/>
        <v>5.896340211070431E-4</v>
      </c>
      <c r="AR24" s="34">
        <f t="shared" si="24"/>
        <v>88353.144139285519</v>
      </c>
      <c r="AS24" s="21">
        <f t="shared" si="25"/>
        <v>2.2547140909800353E-4</v>
      </c>
      <c r="AU24" s="84">
        <f t="shared" si="26"/>
        <v>-133751.9001</v>
      </c>
      <c r="AV24" s="22">
        <f t="shared" si="27"/>
        <v>-3.4132604650198556E-4</v>
      </c>
    </row>
    <row r="25" spans="1:48" x14ac:dyDescent="0.25">
      <c r="A25" s="7">
        <f>IF(C25&lt;&gt;"",COUNTA($C$12:C25),"")</f>
        <v>14</v>
      </c>
      <c r="B25" s="19" t="s">
        <v>125</v>
      </c>
      <c r="C25" s="20" t="s">
        <v>123</v>
      </c>
      <c r="D25" s="90">
        <v>8.0000000000000007E-5</v>
      </c>
      <c r="E25" s="91">
        <v>1.2E-4</v>
      </c>
      <c r="F25" s="92">
        <v>2200252.1870891177</v>
      </c>
      <c r="G25" s="78">
        <f t="shared" si="0"/>
        <v>16</v>
      </c>
      <c r="H25" s="34">
        <f t="shared" si="17"/>
        <v>6349.4187018027951</v>
      </c>
      <c r="I25" s="21">
        <f t="shared" si="18"/>
        <v>2.8857686128256634E-3</v>
      </c>
      <c r="J25" s="25"/>
      <c r="K25" s="83">
        <f t="shared" si="1"/>
        <v>8279.1326754139973</v>
      </c>
      <c r="L25" s="25">
        <f t="shared" si="2"/>
        <v>3.7628107923242636E-3</v>
      </c>
      <c r="M25" s="25"/>
      <c r="N25" s="83">
        <f t="shared" si="3"/>
        <v>3819.0060564324926</v>
      </c>
      <c r="O25" s="21">
        <f t="shared" si="28"/>
        <v>1.7357128782064517E-3</v>
      </c>
      <c r="P25" s="33"/>
      <c r="Q25" s="34">
        <f t="shared" si="19"/>
        <v>13.331410741592242</v>
      </c>
      <c r="R25" s="21">
        <f t="shared" si="4"/>
        <v>6.0590376047890158E-6</v>
      </c>
      <c r="S25" s="21"/>
      <c r="T25" s="34">
        <f t="shared" si="5"/>
        <v>-315.07371495454322</v>
      </c>
      <c r="U25" s="21">
        <f t="shared" si="6"/>
        <v>-1.4319891001739142E-4</v>
      </c>
      <c r="V25" s="21"/>
      <c r="W25" s="34">
        <f t="shared" si="7"/>
        <v>-1146.5364838593182</v>
      </c>
      <c r="X25" s="21">
        <f t="shared" si="20"/>
        <v>-5.210932140356871E-4</v>
      </c>
      <c r="Z25" s="34">
        <f t="shared" si="8"/>
        <v>-751.5644618502929</v>
      </c>
      <c r="AA25" s="21">
        <f t="shared" si="9"/>
        <v>-3.4158105432659296E-4</v>
      </c>
      <c r="AC25" s="84">
        <f t="shared" si="10"/>
        <v>1711.2391389322318</v>
      </c>
      <c r="AD25" s="85">
        <f t="shared" si="11"/>
        <v>7.7774681873906521E-4</v>
      </c>
      <c r="AE25" s="25"/>
      <c r="AF25" s="34">
        <f t="shared" si="21"/>
        <v>0</v>
      </c>
      <c r="AG25" s="21">
        <f t="shared" si="22"/>
        <v>0</v>
      </c>
      <c r="AI25" s="84">
        <f t="shared" si="12"/>
        <v>56.071941694931027</v>
      </c>
      <c r="AJ25" s="22">
        <f t="shared" si="13"/>
        <v>2.5484324944184192E-5</v>
      </c>
      <c r="AL25" s="34">
        <f t="shared" si="14"/>
        <v>988.98077426607017</v>
      </c>
      <c r="AM25" s="21">
        <f t="shared" si="15"/>
        <v>4.4948519086553828E-4</v>
      </c>
      <c r="AO25" s="34">
        <f t="shared" si="23"/>
        <v>3063.6964305459469</v>
      </c>
      <c r="AP25" s="21">
        <f t="shared" si="16"/>
        <v>1.3924296717091988E-3</v>
      </c>
      <c r="AR25" s="34">
        <f t="shared" si="24"/>
        <v>1158.7297592037446</v>
      </c>
      <c r="AS25" s="21">
        <f t="shared" si="25"/>
        <v>5.2663497666452367E-4</v>
      </c>
      <c r="AU25" s="84">
        <f t="shared" si="26"/>
        <v>-1754.1232800000002</v>
      </c>
      <c r="AV25" s="22">
        <f t="shared" si="27"/>
        <v>-7.9723737592128673E-4</v>
      </c>
    </row>
    <row r="26" spans="1:48" x14ac:dyDescent="0.25">
      <c r="A26" s="7">
        <f>IF(C26&lt;&gt;"",COUNTA($C$12:C26),"")</f>
        <v>15</v>
      </c>
      <c r="B26" s="19" t="s">
        <v>125</v>
      </c>
      <c r="C26" s="20" t="s">
        <v>124</v>
      </c>
      <c r="D26" s="90">
        <v>5.2999999999999998E-4</v>
      </c>
      <c r="E26" s="91">
        <v>1.1299999999999999E-3</v>
      </c>
      <c r="F26" s="92">
        <v>12489479.78206725</v>
      </c>
      <c r="G26" s="78">
        <f t="shared" si="0"/>
        <v>17</v>
      </c>
      <c r="H26" s="34">
        <f t="shared" si="17"/>
        <v>42064.898899443513</v>
      </c>
      <c r="I26" s="21">
        <f t="shared" si="18"/>
        <v>3.3680265017796409E-3</v>
      </c>
      <c r="J26" s="25"/>
      <c r="K26" s="83">
        <f t="shared" si="1"/>
        <v>54849.253974617721</v>
      </c>
      <c r="L26" s="25">
        <f t="shared" si="2"/>
        <v>4.391636395726573E-3</v>
      </c>
      <c r="M26" s="25"/>
      <c r="N26" s="83">
        <f t="shared" si="3"/>
        <v>21678.150899833236</v>
      </c>
      <c r="O26" s="21">
        <f t="shared" si="28"/>
        <v>1.7357128782064517E-3</v>
      </c>
      <c r="P26" s="33"/>
      <c r="Q26" s="34">
        <f t="shared" si="19"/>
        <v>88.320596163048592</v>
      </c>
      <c r="R26" s="21">
        <f t="shared" si="4"/>
        <v>7.0715992742837703E-6</v>
      </c>
      <c r="S26" s="21"/>
      <c r="T26" s="34">
        <f t="shared" si="5"/>
        <v>-2087.3633615738486</v>
      </c>
      <c r="U26" s="21">
        <f t="shared" si="6"/>
        <v>-1.6712972821902031E-4</v>
      </c>
      <c r="V26" s="21"/>
      <c r="W26" s="34">
        <f t="shared" si="7"/>
        <v>-6508.1831612711567</v>
      </c>
      <c r="X26" s="21">
        <f t="shared" si="20"/>
        <v>-5.210932140356871E-4</v>
      </c>
      <c r="Z26" s="34">
        <f t="shared" si="8"/>
        <v>-4979.1145597581899</v>
      </c>
      <c r="AA26" s="21">
        <f t="shared" si="9"/>
        <v>-3.9866468793258656E-4</v>
      </c>
      <c r="AC26" s="84">
        <f t="shared" si="10"/>
        <v>16114.168558278514</v>
      </c>
      <c r="AD26" s="85">
        <f t="shared" si="11"/>
        <v>1.2902193557665783E-3</v>
      </c>
      <c r="AE26" s="25"/>
      <c r="AF26" s="34">
        <f t="shared" si="21"/>
        <v>0</v>
      </c>
      <c r="AG26" s="21">
        <f t="shared" si="22"/>
        <v>0</v>
      </c>
      <c r="AI26" s="84">
        <f t="shared" si="12"/>
        <v>371.47661372891804</v>
      </c>
      <c r="AJ26" s="22">
        <f t="shared" si="13"/>
        <v>2.974316146156021E-5</v>
      </c>
      <c r="AL26" s="34">
        <f t="shared" si="14"/>
        <v>6551.9976295127144</v>
      </c>
      <c r="AM26" s="21">
        <f t="shared" si="15"/>
        <v>5.2460132398150468E-4</v>
      </c>
      <c r="AO26" s="34">
        <f t="shared" si="23"/>
        <v>28849.808054307665</v>
      </c>
      <c r="AP26" s="21">
        <f t="shared" si="16"/>
        <v>2.3099287206286238E-3</v>
      </c>
      <c r="AR26" s="34">
        <f t="shared" si="24"/>
        <v>7676.5846547248075</v>
      </c>
      <c r="AS26" s="21">
        <f t="shared" si="25"/>
        <v>6.1464406754131306E-4</v>
      </c>
      <c r="AU26" s="84">
        <f t="shared" si="26"/>
        <v>-11621.06673</v>
      </c>
      <c r="AV26" s="22">
        <f t="shared" si="27"/>
        <v>-9.3046843685882401E-4</v>
      </c>
    </row>
    <row r="27" spans="1:48" x14ac:dyDescent="0.25">
      <c r="A27" s="7">
        <f>IF(C27&lt;&gt;"",COUNTA($C$12:C27),"")</f>
        <v>16</v>
      </c>
      <c r="B27" s="19" t="s">
        <v>125</v>
      </c>
      <c r="C27" s="20" t="s">
        <v>128</v>
      </c>
      <c r="D27" s="90">
        <v>8.0000000000000007E-5</v>
      </c>
      <c r="E27" s="91">
        <v>1.9000000000000001E-4</v>
      </c>
      <c r="F27" s="92">
        <v>4068827.6287779063</v>
      </c>
      <c r="G27" s="78">
        <f t="shared" si="0"/>
        <v>18</v>
      </c>
      <c r="H27" s="34">
        <f t="shared" si="17"/>
        <v>6349.4187018027951</v>
      </c>
      <c r="I27" s="21">
        <f t="shared" si="18"/>
        <v>1.560503241006028E-3</v>
      </c>
      <c r="J27" s="25"/>
      <c r="K27" s="83">
        <f t="shared" si="1"/>
        <v>8279.1326754139973</v>
      </c>
      <c r="L27" s="25">
        <f t="shared" si="2"/>
        <v>2.0347710521963491E-3</v>
      </c>
      <c r="M27" s="25"/>
      <c r="N27" s="83">
        <f t="shared" si="3"/>
        <v>7062.3165144720315</v>
      </c>
      <c r="O27" s="21">
        <f t="shared" si="28"/>
        <v>1.7357128782064517E-3</v>
      </c>
      <c r="P27" s="33"/>
      <c r="Q27" s="34">
        <f t="shared" si="19"/>
        <v>13.331410741592242</v>
      </c>
      <c r="R27" s="21">
        <f t="shared" si="4"/>
        <v>3.2764746894909385E-6</v>
      </c>
      <c r="S27" s="21"/>
      <c r="T27" s="34">
        <f t="shared" si="5"/>
        <v>-315.07371495454322</v>
      </c>
      <c r="U27" s="21">
        <f t="shared" si="6"/>
        <v>-7.743599476323288E-5</v>
      </c>
      <c r="V27" s="21"/>
      <c r="W27" s="34">
        <f t="shared" si="7"/>
        <v>-2120.2384664370829</v>
      </c>
      <c r="X27" s="21">
        <f t="shared" si="20"/>
        <v>-5.210932140356871E-4</v>
      </c>
      <c r="Z27" s="34">
        <f t="shared" si="8"/>
        <v>-751.5644618502929</v>
      </c>
      <c r="AA27" s="21">
        <f t="shared" si="9"/>
        <v>-1.8471277980287143E-4</v>
      </c>
      <c r="AC27" s="84">
        <f t="shared" si="10"/>
        <v>2709.4619699760337</v>
      </c>
      <c r="AD27" s="85">
        <f t="shared" si="11"/>
        <v>6.6590728759621473E-4</v>
      </c>
      <c r="AE27" s="25"/>
      <c r="AF27" s="34">
        <f t="shared" si="21"/>
        <v>0</v>
      </c>
      <c r="AG27" s="21">
        <f t="shared" si="22"/>
        <v>0</v>
      </c>
      <c r="AI27" s="84">
        <f t="shared" si="12"/>
        <v>56.071941694931027</v>
      </c>
      <c r="AJ27" s="22">
        <f t="shared" si="13"/>
        <v>1.3780859454046848E-5</v>
      </c>
      <c r="AL27" s="34">
        <f t="shared" si="14"/>
        <v>988.98077426607017</v>
      </c>
      <c r="AM27" s="21">
        <f t="shared" si="15"/>
        <v>2.4306283394047727E-4</v>
      </c>
      <c r="AO27" s="34">
        <f t="shared" si="23"/>
        <v>4850.8526816977492</v>
      </c>
      <c r="AP27" s="21">
        <f t="shared" si="16"/>
        <v>1.1921991109647297E-3</v>
      </c>
      <c r="AR27" s="34">
        <f t="shared" si="24"/>
        <v>1158.7297592037446</v>
      </c>
      <c r="AS27" s="21">
        <f t="shared" si="25"/>
        <v>2.8478221859493596E-4</v>
      </c>
      <c r="AU27" s="84">
        <f t="shared" si="26"/>
        <v>-1754.1232800000002</v>
      </c>
      <c r="AV27" s="22">
        <f t="shared" si="27"/>
        <v>-4.3111270371678546E-4</v>
      </c>
    </row>
    <row r="28" spans="1:48" x14ac:dyDescent="0.25">
      <c r="A28" s="7">
        <f>IF(C28&lt;&gt;"",COUNTA($C$12:C28),"")</f>
        <v>17</v>
      </c>
      <c r="B28" s="19" t="s">
        <v>114</v>
      </c>
      <c r="C28" s="20" t="s">
        <v>129</v>
      </c>
      <c r="D28" s="90">
        <v>2.6259999999999999E-2</v>
      </c>
      <c r="E28" s="91">
        <v>2.5409999999999999E-2</v>
      </c>
      <c r="F28" s="92">
        <v>570236482.83797014</v>
      </c>
      <c r="G28" s="78">
        <f t="shared" si="0"/>
        <v>19</v>
      </c>
      <c r="H28" s="34">
        <f t="shared" si="17"/>
        <v>2084196.6888667673</v>
      </c>
      <c r="I28" s="21">
        <f t="shared" si="18"/>
        <v>3.6549690375720515E-3</v>
      </c>
      <c r="J28" s="25"/>
      <c r="K28" s="83">
        <f t="shared" si="1"/>
        <v>2717625.3007046441</v>
      </c>
      <c r="L28" s="25">
        <f t="shared" si="2"/>
        <v>4.765786445615483E-3</v>
      </c>
      <c r="M28" s="25"/>
      <c r="N28" s="83">
        <f t="shared" si="3"/>
        <v>989766.80688501708</v>
      </c>
      <c r="O28" s="21">
        <f t="shared" si="28"/>
        <v>1.7357128782064517E-3</v>
      </c>
      <c r="P28" s="33"/>
      <c r="Q28" s="34">
        <f t="shared" si="19"/>
        <v>4376.0355759276526</v>
      </c>
      <c r="R28" s="21">
        <f t="shared" si="4"/>
        <v>7.6740715608879795E-6</v>
      </c>
      <c r="S28" s="21"/>
      <c r="T28" s="34">
        <f t="shared" si="5"/>
        <v>-103422.94693382879</v>
      </c>
      <c r="U28" s="21">
        <f t="shared" si="6"/>
        <v>-1.8136851998509521E-4</v>
      </c>
      <c r="V28" s="21"/>
      <c r="W28" s="34">
        <f t="shared" si="7"/>
        <v>-297146.36160244379</v>
      </c>
      <c r="X28" s="21">
        <f t="shared" si="20"/>
        <v>-5.210932140356871E-4</v>
      </c>
      <c r="Z28" s="34">
        <f t="shared" si="8"/>
        <v>-246701.03460235862</v>
      </c>
      <c r="AA28" s="21">
        <f t="shared" si="9"/>
        <v>-4.3262934243450975E-4</v>
      </c>
      <c r="AC28" s="84">
        <f t="shared" si="10"/>
        <v>362354.88766890008</v>
      </c>
      <c r="AD28" s="85">
        <f t="shared" si="11"/>
        <v>6.3544669373927351E-4</v>
      </c>
      <c r="AE28" s="25"/>
      <c r="AF28" s="34">
        <f t="shared" si="21"/>
        <v>0</v>
      </c>
      <c r="AG28" s="21">
        <f t="shared" si="22"/>
        <v>0</v>
      </c>
      <c r="AI28" s="84">
        <f t="shared" si="12"/>
        <v>18405.614861361108</v>
      </c>
      <c r="AJ28" s="22">
        <f t="shared" si="13"/>
        <v>3.2277161169624727E-5</v>
      </c>
      <c r="AL28" s="34">
        <f t="shared" si="14"/>
        <v>324632.9391528375</v>
      </c>
      <c r="AM28" s="21">
        <f t="shared" si="15"/>
        <v>5.6929528173503476E-4</v>
      </c>
      <c r="AO28" s="34">
        <f t="shared" si="23"/>
        <v>648737.71916810423</v>
      </c>
      <c r="AP28" s="21">
        <f t="shared" si="16"/>
        <v>1.1376643527601861E-3</v>
      </c>
      <c r="AR28" s="34">
        <f t="shared" si="24"/>
        <v>380353.04345862911</v>
      </c>
      <c r="AS28" s="21">
        <f t="shared" si="25"/>
        <v>6.6700931088392763E-4</v>
      </c>
      <c r="AU28" s="84">
        <f t="shared" si="26"/>
        <v>-575790.96665999992</v>
      </c>
      <c r="AV28" s="22">
        <f t="shared" si="27"/>
        <v>-1.0097406672305252E-3</v>
      </c>
    </row>
    <row r="29" spans="1:48" x14ac:dyDescent="0.25">
      <c r="A29" s="7">
        <f>IF(C29&lt;&gt;"",COUNTA($C$12:C29),"")</f>
        <v>18</v>
      </c>
      <c r="B29" s="19" t="s">
        <v>114</v>
      </c>
      <c r="C29" s="20" t="s">
        <v>130</v>
      </c>
      <c r="D29" s="90">
        <v>1.159E-2</v>
      </c>
      <c r="E29" s="91">
        <v>1.0189999999999999E-2</v>
      </c>
      <c r="F29" s="92">
        <v>392742179.60318446</v>
      </c>
      <c r="G29" s="78">
        <f t="shared" si="0"/>
        <v>20</v>
      </c>
      <c r="H29" s="34">
        <f t="shared" si="17"/>
        <v>919872.03442367993</v>
      </c>
      <c r="I29" s="21">
        <f t="shared" si="18"/>
        <v>2.3421778515185011E-3</v>
      </c>
      <c r="J29" s="25"/>
      <c r="K29" s="83">
        <f t="shared" si="1"/>
        <v>1199439.3463506026</v>
      </c>
      <c r="L29" s="25">
        <f t="shared" si="2"/>
        <v>3.0540120431232572E-3</v>
      </c>
      <c r="M29" s="25"/>
      <c r="N29" s="83">
        <f t="shared" si="3"/>
        <v>681687.65895211848</v>
      </c>
      <c r="O29" s="21">
        <f t="shared" si="28"/>
        <v>1.7357128782064517E-3</v>
      </c>
      <c r="P29" s="33"/>
      <c r="Q29" s="34">
        <f t="shared" si="19"/>
        <v>1931.3881311881757</v>
      </c>
      <c r="R29" s="21">
        <f t="shared" si="4"/>
        <v>4.9176997824363946E-6</v>
      </c>
      <c r="S29" s="21"/>
      <c r="T29" s="34">
        <f t="shared" si="5"/>
        <v>-45646.30445403944</v>
      </c>
      <c r="U29" s="21">
        <f t="shared" si="6"/>
        <v>-1.1622460439609306E-4</v>
      </c>
      <c r="V29" s="21"/>
      <c r="W29" s="34">
        <f t="shared" si="7"/>
        <v>-204655.28465680446</v>
      </c>
      <c r="X29" s="21">
        <f t="shared" si="20"/>
        <v>-5.210932140356871E-4</v>
      </c>
      <c r="Z29" s="34">
        <f t="shared" si="8"/>
        <v>-108882.90141056117</v>
      </c>
      <c r="AA29" s="21">
        <f t="shared" si="9"/>
        <v>-2.7723760539439223E-4</v>
      </c>
      <c r="AC29" s="84">
        <f t="shared" si="10"/>
        <v>145312.723547662</v>
      </c>
      <c r="AD29" s="85">
        <f t="shared" si="11"/>
        <v>3.6999520574663471E-4</v>
      </c>
      <c r="AE29" s="25"/>
      <c r="AF29" s="34">
        <f t="shared" si="21"/>
        <v>0</v>
      </c>
      <c r="AG29" s="21">
        <f t="shared" si="22"/>
        <v>0</v>
      </c>
      <c r="AI29" s="84">
        <f t="shared" si="12"/>
        <v>8123.4225530531321</v>
      </c>
      <c r="AJ29" s="22">
        <f t="shared" si="13"/>
        <v>2.0683855656300545E-5</v>
      </c>
      <c r="AL29" s="34">
        <f t="shared" si="14"/>
        <v>143278.58967179692</v>
      </c>
      <c r="AM29" s="21">
        <f t="shared" si="15"/>
        <v>3.6481589478512734E-4</v>
      </c>
      <c r="AO29" s="34">
        <f t="shared" si="23"/>
        <v>260158.88856052666</v>
      </c>
      <c r="AP29" s="21">
        <f t="shared" si="16"/>
        <v>6.6241647083433667E-4</v>
      </c>
      <c r="AR29" s="34">
        <f t="shared" si="24"/>
        <v>167870.9738646425</v>
      </c>
      <c r="AS29" s="21">
        <f t="shared" si="25"/>
        <v>4.2743301479422087E-4</v>
      </c>
      <c r="AU29" s="84">
        <f t="shared" si="26"/>
        <v>-254128.61018999998</v>
      </c>
      <c r="AV29" s="22">
        <f t="shared" si="27"/>
        <v>-6.4706217816167411E-4</v>
      </c>
    </row>
    <row r="30" spans="1:48" x14ac:dyDescent="0.25">
      <c r="A30" s="7">
        <f>IF(C30&lt;&gt;"",COUNTA($C$12:C30),"")</f>
        <v>19</v>
      </c>
      <c r="B30" s="19" t="s">
        <v>114</v>
      </c>
      <c r="C30" s="20" t="s">
        <v>131</v>
      </c>
      <c r="D30" s="90">
        <v>1.495E-2</v>
      </c>
      <c r="E30" s="91">
        <v>1.461E-2</v>
      </c>
      <c r="F30" s="92">
        <v>686733494.98012543</v>
      </c>
      <c r="G30" s="78">
        <f t="shared" si="0"/>
        <v>21</v>
      </c>
      <c r="H30" s="34">
        <f t="shared" si="17"/>
        <v>1186547.6198993973</v>
      </c>
      <c r="I30" s="21">
        <f t="shared" si="18"/>
        <v>1.7278138150720853E-3</v>
      </c>
      <c r="J30" s="25"/>
      <c r="K30" s="83">
        <f t="shared" si="1"/>
        <v>1547162.9187179904</v>
      </c>
      <c r="L30" s="25">
        <f t="shared" si="2"/>
        <v>2.2529306201421943E-3</v>
      </c>
      <c r="M30" s="25"/>
      <c r="N30" s="83">
        <f t="shared" si="3"/>
        <v>1191972.1711327294</v>
      </c>
      <c r="O30" s="21">
        <f t="shared" si="28"/>
        <v>1.7357128782064517E-3</v>
      </c>
      <c r="P30" s="33"/>
      <c r="Q30" s="34">
        <f t="shared" si="19"/>
        <v>2491.3073823350501</v>
      </c>
      <c r="R30" s="21">
        <f t="shared" si="4"/>
        <v>3.6277644829413051E-6</v>
      </c>
      <c r="S30" s="21"/>
      <c r="T30" s="34">
        <f t="shared" si="5"/>
        <v>-58879.400482130259</v>
      </c>
      <c r="U30" s="21">
        <f t="shared" si="6"/>
        <v>-8.5738355435588986E-5</v>
      </c>
      <c r="V30" s="21"/>
      <c r="W30" s="34">
        <f t="shared" si="7"/>
        <v>-357852.16408515396</v>
      </c>
      <c r="X30" s="21">
        <f t="shared" si="20"/>
        <v>-5.210932140356871E-4</v>
      </c>
      <c r="Z30" s="34">
        <f t="shared" si="8"/>
        <v>-140448.60880827348</v>
      </c>
      <c r="AA30" s="21">
        <f t="shared" si="9"/>
        <v>-2.0451690478900868E-4</v>
      </c>
      <c r="AC30" s="84">
        <f t="shared" si="10"/>
        <v>208343.36516499921</v>
      </c>
      <c r="AD30" s="85">
        <f t="shared" si="11"/>
        <v>3.0338314162327095E-4</v>
      </c>
      <c r="AE30" s="25"/>
      <c r="AF30" s="34">
        <f t="shared" si="21"/>
        <v>0</v>
      </c>
      <c r="AG30" s="21">
        <f t="shared" si="22"/>
        <v>0</v>
      </c>
      <c r="AI30" s="84">
        <f t="shared" si="12"/>
        <v>10478.444104240236</v>
      </c>
      <c r="AJ30" s="22">
        <f t="shared" si="13"/>
        <v>1.5258385066165281E-5</v>
      </c>
      <c r="AL30" s="34">
        <f t="shared" si="14"/>
        <v>184815.78219097186</v>
      </c>
      <c r="AM30" s="21">
        <f t="shared" si="15"/>
        <v>2.6912300556465585E-4</v>
      </c>
      <c r="AO30" s="34">
        <f t="shared" si="23"/>
        <v>373005.04041896906</v>
      </c>
      <c r="AP30" s="21">
        <f t="shared" si="16"/>
        <v>5.4315836222574828E-4</v>
      </c>
      <c r="AR30" s="34">
        <f t="shared" si="24"/>
        <v>216537.62375119975</v>
      </c>
      <c r="AS30" s="21">
        <f t="shared" si="25"/>
        <v>3.1531536663646575E-4</v>
      </c>
      <c r="AU30" s="84">
        <f t="shared" si="26"/>
        <v>-327801.78794999997</v>
      </c>
      <c r="AV30" s="22">
        <f t="shared" si="27"/>
        <v>-4.7733478903557309E-4</v>
      </c>
    </row>
    <row r="31" spans="1:48" x14ac:dyDescent="0.25">
      <c r="A31" s="7">
        <f>IF(C31&lt;&gt;"",COUNTA($C$12:C31),"")</f>
        <v>20</v>
      </c>
      <c r="B31" s="19" t="s">
        <v>114</v>
      </c>
      <c r="C31" s="20" t="s">
        <v>132</v>
      </c>
      <c r="D31" s="90">
        <v>4.9800000000000001E-3</v>
      </c>
      <c r="E31" s="91">
        <v>5.5300000000000002E-3</v>
      </c>
      <c r="F31" s="92">
        <v>413636239.33642119</v>
      </c>
      <c r="G31" s="78">
        <f t="shared" si="0"/>
        <v>22</v>
      </c>
      <c r="H31" s="34">
        <f t="shared" si="17"/>
        <v>395251.31418722396</v>
      </c>
      <c r="I31" s="21">
        <f t="shared" si="18"/>
        <v>9.5555291485414483E-4</v>
      </c>
      <c r="J31" s="25"/>
      <c r="K31" s="83">
        <f t="shared" si="1"/>
        <v>515376.00904452126</v>
      </c>
      <c r="L31" s="25">
        <f t="shared" si="2"/>
        <v>1.245964352328792E-3</v>
      </c>
      <c r="M31" s="25"/>
      <c r="N31" s="83">
        <f t="shared" si="3"/>
        <v>717953.74750911235</v>
      </c>
      <c r="O31" s="21">
        <f t="shared" si="28"/>
        <v>1.7357128782064517E-3</v>
      </c>
      <c r="P31" s="33"/>
      <c r="Q31" s="34">
        <f t="shared" si="19"/>
        <v>829.880318664117</v>
      </c>
      <c r="R31" s="21">
        <f t="shared" si="4"/>
        <v>2.0063046700053608E-6</v>
      </c>
      <c r="S31" s="21"/>
      <c r="T31" s="34">
        <f t="shared" si="5"/>
        <v>-19613.338755920315</v>
      </c>
      <c r="U31" s="21">
        <f t="shared" si="6"/>
        <v>-4.7416877175426284E-5</v>
      </c>
      <c r="V31" s="21"/>
      <c r="W31" s="34">
        <f t="shared" si="7"/>
        <v>-215543.03739745042</v>
      </c>
      <c r="X31" s="21">
        <f t="shared" si="20"/>
        <v>-5.210932140356871E-4</v>
      </c>
      <c r="Z31" s="34">
        <f t="shared" si="8"/>
        <v>-46784.887750180729</v>
      </c>
      <c r="AA31" s="21">
        <f t="shared" si="9"/>
        <v>-1.1310635602246967E-4</v>
      </c>
      <c r="AC31" s="84">
        <f t="shared" si="10"/>
        <v>78859.603652460355</v>
      </c>
      <c r="AD31" s="85">
        <f t="shared" si="11"/>
        <v>1.9064964853894673E-4</v>
      </c>
      <c r="AE31" s="25"/>
      <c r="AF31" s="34">
        <f t="shared" si="21"/>
        <v>0</v>
      </c>
      <c r="AG31" s="21">
        <f t="shared" si="22"/>
        <v>0</v>
      </c>
      <c r="AI31" s="84">
        <f t="shared" si="12"/>
        <v>3490.4783705094565</v>
      </c>
      <c r="AJ31" s="22">
        <f t="shared" si="13"/>
        <v>8.4385216733163439E-6</v>
      </c>
      <c r="AL31" s="34">
        <f t="shared" si="14"/>
        <v>61564.053198062866</v>
      </c>
      <c r="AM31" s="21">
        <f t="shared" si="15"/>
        <v>1.4883621729282575E-4</v>
      </c>
      <c r="AO31" s="34">
        <f t="shared" si="23"/>
        <v>141185.3438409924</v>
      </c>
      <c r="AP31" s="21">
        <f t="shared" si="16"/>
        <v>3.4132730746099513E-4</v>
      </c>
      <c r="AR31" s="34">
        <f t="shared" si="24"/>
        <v>72130.927510433103</v>
      </c>
      <c r="AS31" s="21">
        <f t="shared" si="25"/>
        <v>1.7438251451601445E-4</v>
      </c>
      <c r="AU31" s="84">
        <f t="shared" si="26"/>
        <v>-109194.17418</v>
      </c>
      <c r="AV31" s="22">
        <f t="shared" si="27"/>
        <v>-2.6398599492920521E-4</v>
      </c>
    </row>
    <row r="32" spans="1:48" x14ac:dyDescent="0.25">
      <c r="A32" s="7">
        <f>IF(C32&lt;&gt;"",COUNTA($C$12:C32),"")</f>
        <v>21</v>
      </c>
      <c r="B32" s="19" t="s">
        <v>111</v>
      </c>
      <c r="C32" s="20" t="s">
        <v>133</v>
      </c>
      <c r="D32" s="90">
        <v>3.15E-3</v>
      </c>
      <c r="E32" s="91">
        <v>1.372E-2</v>
      </c>
      <c r="F32" s="93">
        <v>92440677.869065344</v>
      </c>
      <c r="G32" s="78">
        <f t="shared" si="0"/>
        <v>23</v>
      </c>
      <c r="H32" s="34">
        <f t="shared" si="17"/>
        <v>250008.36138348505</v>
      </c>
      <c r="I32" s="21">
        <f t="shared" si="18"/>
        <v>2.7045275645598515E-3</v>
      </c>
      <c r="J32" s="25"/>
      <c r="K32" s="83">
        <f t="shared" si="1"/>
        <v>325990.84909442608</v>
      </c>
      <c r="L32" s="25">
        <f t="shared" si="2"/>
        <v>3.5264870034398218E-3</v>
      </c>
      <c r="M32" s="25"/>
      <c r="N32" s="83">
        <f>O32*F32</f>
        <v>160450.47504747086</v>
      </c>
      <c r="O32" s="21">
        <f t="shared" si="28"/>
        <v>1.7357128782064517E-3</v>
      </c>
      <c r="P32" s="33"/>
      <c r="Q32" s="34">
        <f t="shared" si="19"/>
        <v>524.9242979501945</v>
      </c>
      <c r="R32" s="21">
        <f t="shared" si="4"/>
        <v>5.6784990120226812E-6</v>
      </c>
      <c r="S32" s="21"/>
      <c r="T32" s="34">
        <f t="shared" si="5"/>
        <v>-12406.027526335138</v>
      </c>
      <c r="U32" s="21">
        <f t="shared" si="6"/>
        <v>-1.3420528507922952E-4</v>
      </c>
      <c r="V32" s="21"/>
      <c r="W32" s="34">
        <f t="shared" si="7"/>
        <v>-48170.209938428874</v>
      </c>
      <c r="X32" s="21">
        <f t="shared" si="20"/>
        <v>-5.210932140356871E-4</v>
      </c>
      <c r="Z32" s="34">
        <f t="shared" si="8"/>
        <v>-29592.850685355279</v>
      </c>
      <c r="AA32" s="21">
        <f t="shared" si="9"/>
        <v>-3.201280147174075E-4</v>
      </c>
      <c r="AC32" s="84">
        <f t="shared" si="10"/>
        <v>195651.67488458517</v>
      </c>
      <c r="AD32" s="85">
        <f t="shared" si="11"/>
        <v>2.1165106032834352E-3</v>
      </c>
      <c r="AE32" s="25"/>
      <c r="AF32" s="34">
        <f t="shared" si="21"/>
        <v>0</v>
      </c>
      <c r="AG32" s="21">
        <f t="shared" si="22"/>
        <v>0</v>
      </c>
      <c r="AI32" s="84">
        <f t="shared" si="12"/>
        <v>2207.8327042379092</v>
      </c>
      <c r="AJ32" s="22">
        <f t="shared" si="13"/>
        <v>2.3883778820457414E-5</v>
      </c>
      <c r="AL32" s="34">
        <f t="shared" si="14"/>
        <v>38941.117986726509</v>
      </c>
      <c r="AM32" s="21">
        <f t="shared" si="15"/>
        <v>4.2125521885379743E-4</v>
      </c>
      <c r="AO32" s="34">
        <f t="shared" si="23"/>
        <v>350282.62522575323</v>
      </c>
      <c r="AP32" s="21">
        <f t="shared" si="16"/>
        <v>3.7892693271018621E-3</v>
      </c>
      <c r="AR32" s="34">
        <f t="shared" si="24"/>
        <v>45624.984268647444</v>
      </c>
      <c r="AS32" s="21">
        <f t="shared" si="25"/>
        <v>4.9355960298421331E-4</v>
      </c>
      <c r="AU32" s="84">
        <f t="shared" si="26"/>
        <v>-69068.604149999999</v>
      </c>
      <c r="AV32" s="22">
        <f t="shared" si="27"/>
        <v>-7.4716678568530215E-4</v>
      </c>
    </row>
    <row r="33" spans="1:48" x14ac:dyDescent="0.25">
      <c r="A33" s="7">
        <f>IF(C33&lt;&gt;"",COUNTA($C$12:C33),"")</f>
        <v>22</v>
      </c>
      <c r="B33" s="19" t="s">
        <v>114</v>
      </c>
      <c r="C33" s="20" t="s">
        <v>133</v>
      </c>
      <c r="D33" s="94">
        <v>9.5E-4</v>
      </c>
      <c r="E33" s="95">
        <v>4.9699999999999996E-3</v>
      </c>
      <c r="F33" s="96">
        <v>31271839.367078818</v>
      </c>
      <c r="G33" s="78">
        <f t="shared" si="0"/>
        <v>24</v>
      </c>
      <c r="H33" s="55">
        <f t="shared" si="17"/>
        <v>75399.347083908186</v>
      </c>
      <c r="I33" s="26">
        <f t="shared" si="18"/>
        <v>2.411094090080427E-3</v>
      </c>
      <c r="J33" s="30"/>
      <c r="K33" s="97">
        <f t="shared" si="1"/>
        <v>98314.700520541199</v>
      </c>
      <c r="L33" s="30">
        <f t="shared" si="2"/>
        <v>3.1438732901666547E-3</v>
      </c>
      <c r="M33" s="30"/>
      <c r="N33" s="97">
        <f t="shared" si="3"/>
        <v>54278.934314642196</v>
      </c>
      <c r="O33" s="26">
        <f t="shared" si="28"/>
        <v>1.7357128782064517E-3</v>
      </c>
      <c r="P33" s="98"/>
      <c r="Q33" s="55">
        <f t="shared" si="19"/>
        <v>158.31050255640787</v>
      </c>
      <c r="R33" s="26">
        <f t="shared" si="4"/>
        <v>5.0623981754993283E-6</v>
      </c>
      <c r="S33" s="26"/>
      <c r="T33" s="55">
        <f t="shared" si="5"/>
        <v>-3741.5003650852004</v>
      </c>
      <c r="U33" s="26">
        <f t="shared" si="6"/>
        <v>-1.1964439702974541E-4</v>
      </c>
      <c r="V33" s="26"/>
      <c r="W33" s="55">
        <f t="shared" si="7"/>
        <v>-16295.543284598829</v>
      </c>
      <c r="X33" s="26">
        <f t="shared" si="20"/>
        <v>-5.210932140356871E-4</v>
      </c>
      <c r="Z33" s="55">
        <f t="shared" si="8"/>
        <v>-8924.8279844722274</v>
      </c>
      <c r="AA33" s="26">
        <f t="shared" si="9"/>
        <v>-2.8539504439472691E-4</v>
      </c>
      <c r="AC33" s="99">
        <f t="shared" si="10"/>
        <v>70873.821004109923</v>
      </c>
      <c r="AD33" s="100">
        <f t="shared" si="11"/>
        <v>2.266378391503308E-3</v>
      </c>
      <c r="AE33" s="30"/>
      <c r="AF33" s="55">
        <f t="shared" si="21"/>
        <v>0</v>
      </c>
      <c r="AG33" s="26">
        <f t="shared" si="22"/>
        <v>0</v>
      </c>
      <c r="AI33" s="99">
        <f t="shared" si="12"/>
        <v>665.85430762730596</v>
      </c>
      <c r="AJ33" s="27">
        <f t="shared" si="13"/>
        <v>2.1292457402690511E-5</v>
      </c>
      <c r="AL33" s="55">
        <f t="shared" si="14"/>
        <v>11744.146694409583</v>
      </c>
      <c r="AM33" s="26">
        <f t="shared" si="15"/>
        <v>3.7555023727747658E-4</v>
      </c>
      <c r="AO33" s="34">
        <f t="shared" si="23"/>
        <v>126888.09383177797</v>
      </c>
      <c r="AP33" s="26">
        <f t="shared" si="16"/>
        <v>4.0575833209657124E-3</v>
      </c>
      <c r="AR33" s="55">
        <f t="shared" si="24"/>
        <v>13759.915890544466</v>
      </c>
      <c r="AS33" s="26">
        <f t="shared" si="25"/>
        <v>4.4000980335778101E-4</v>
      </c>
      <c r="AU33" s="99">
        <f t="shared" si="26"/>
        <v>-20830.213950000001</v>
      </c>
      <c r="AV33" s="27">
        <f t="shared" si="27"/>
        <v>-6.6610133498987091E-4</v>
      </c>
    </row>
    <row r="34" spans="1:48" x14ac:dyDescent="0.25">
      <c r="A34" s="7">
        <f>IF(C34&lt;&gt;"",COUNTA($C$12:C34),"")</f>
        <v>23</v>
      </c>
      <c r="B34" s="19" t="s">
        <v>46</v>
      </c>
      <c r="C34" s="20" t="s">
        <v>47</v>
      </c>
      <c r="D34" s="90">
        <f>SUM(D12:D33)</f>
        <v>0.99999999999999978</v>
      </c>
      <c r="E34" s="90">
        <f>SUM(E12:E33)</f>
        <v>0.99999999999999989</v>
      </c>
      <c r="F34" s="92">
        <f>SUM(F12:F33)</f>
        <v>23317563754.950115</v>
      </c>
      <c r="G34" s="78">
        <f t="shared" si="0"/>
        <v>25</v>
      </c>
      <c r="H34" s="34">
        <v>79367733.772534937</v>
      </c>
      <c r="I34" s="21">
        <f t="shared" si="18"/>
        <v>3.4037747084828215E-3</v>
      </c>
      <c r="J34" s="25"/>
      <c r="K34" s="34">
        <v>103489158.44267495</v>
      </c>
      <c r="L34" s="25">
        <f t="shared" si="2"/>
        <v>4.4382491897638791E-3</v>
      </c>
      <c r="M34" s="25"/>
      <c r="N34" s="34">
        <v>40472595.697866902</v>
      </c>
      <c r="O34" s="21">
        <f>N34/F34</f>
        <v>1.7357128782064517E-3</v>
      </c>
      <c r="P34" s="33"/>
      <c r="Q34" s="34">
        <v>166642.63426990301</v>
      </c>
      <c r="R34" s="21">
        <f t="shared" si="4"/>
        <v>7.1466571731588484E-6</v>
      </c>
      <c r="S34" s="21"/>
      <c r="T34" s="34">
        <v>-3938421.4369317899</v>
      </c>
      <c r="U34" s="21">
        <f t="shared" si="6"/>
        <v>-1.6890364183503936E-4</v>
      </c>
      <c r="V34" s="21"/>
      <c r="W34" s="34">
        <v>-12150624.240549</v>
      </c>
      <c r="X34" s="21">
        <f>W34/F34</f>
        <v>-5.210932140356871E-4</v>
      </c>
      <c r="Z34" s="34">
        <v>-9394555.7731286604</v>
      </c>
      <c r="AA34" s="21">
        <f t="shared" si="9"/>
        <v>-4.0289611178330231E-4</v>
      </c>
      <c r="AC34" s="84">
        <v>14260326.157768598</v>
      </c>
      <c r="AD34" s="85">
        <f t="shared" si="11"/>
        <v>6.1157015834217474E-4</v>
      </c>
      <c r="AE34" s="25"/>
      <c r="AF34" s="34">
        <v>0</v>
      </c>
      <c r="AG34" s="21">
        <f t="shared" si="22"/>
        <v>0</v>
      </c>
      <c r="AI34" s="84">
        <v>700899.27118663781</v>
      </c>
      <c r="AJ34" s="22">
        <f t="shared" si="13"/>
        <v>3.0058855142525041E-5</v>
      </c>
      <c r="AL34" s="34">
        <v>12362259.678325877</v>
      </c>
      <c r="AM34" s="21">
        <f t="shared" si="15"/>
        <v>5.3016943829311831E-4</v>
      </c>
      <c r="AO34" s="34">
        <v>25530803.587882891</v>
      </c>
      <c r="AP34" s="21">
        <f t="shared" si="16"/>
        <v>1.0949172845067454E-3</v>
      </c>
      <c r="AR34" s="34">
        <v>14484121.990046807</v>
      </c>
      <c r="AS34" s="21">
        <f>AR34/$F34</f>
        <v>6.211678948222862E-4</v>
      </c>
      <c r="AU34" s="84">
        <v>-21926541</v>
      </c>
      <c r="AV34" s="22">
        <f>AU34/$F34</f>
        <v>-9.4034442150266173E-4</v>
      </c>
    </row>
    <row r="35" spans="1:48" x14ac:dyDescent="0.25">
      <c r="D35" s="101"/>
      <c r="E35" s="102"/>
      <c r="F35" s="92"/>
      <c r="G35" s="103"/>
      <c r="H35" s="33"/>
      <c r="I35" s="33"/>
      <c r="J35" s="33"/>
      <c r="K35" s="33"/>
      <c r="L35" s="33"/>
      <c r="M35" s="33"/>
      <c r="N35" s="33"/>
      <c r="O35" s="33"/>
      <c r="P35" s="33"/>
      <c r="Q35" s="34"/>
      <c r="R35" s="21"/>
      <c r="S35" s="21"/>
      <c r="T35" s="41"/>
      <c r="U35" s="21"/>
      <c r="V35" s="21"/>
      <c r="AC35" s="33"/>
      <c r="AD35" s="33"/>
      <c r="AE35" s="33"/>
      <c r="AF35" s="33"/>
      <c r="AG35" s="33"/>
      <c r="AI35" s="33"/>
      <c r="AJ35" s="33"/>
      <c r="AL35" s="33"/>
      <c r="AM35" s="33"/>
      <c r="AO35" s="21"/>
      <c r="AP35" s="21"/>
    </row>
    <row r="36" spans="1:48" x14ac:dyDescent="0.25">
      <c r="B36" s="19" t="s">
        <v>164</v>
      </c>
      <c r="D36" s="101"/>
      <c r="E36" s="102"/>
      <c r="F36" s="92"/>
      <c r="G36" s="103"/>
      <c r="H36" s="33"/>
      <c r="I36" s="33"/>
      <c r="J36" s="33"/>
      <c r="K36" s="34"/>
      <c r="L36" s="33"/>
      <c r="M36" s="33"/>
      <c r="N36" s="21"/>
      <c r="O36" s="33"/>
      <c r="P36" s="33"/>
      <c r="Q36" s="34"/>
      <c r="R36" s="21"/>
      <c r="S36" s="21"/>
      <c r="T36" s="21"/>
      <c r="U36" s="21"/>
      <c r="AC36" s="34"/>
      <c r="AD36" s="33"/>
      <c r="AE36" s="33"/>
      <c r="AF36" s="33"/>
      <c r="AG36" s="33"/>
      <c r="AI36" s="33"/>
      <c r="AJ36" s="33"/>
      <c r="AL36" s="33"/>
      <c r="AM36" s="33"/>
      <c r="AO36" s="21"/>
      <c r="AP36" s="21"/>
    </row>
    <row r="37" spans="1:48" x14ac:dyDescent="0.25">
      <c r="A37" s="7"/>
      <c r="B37" s="19" t="s">
        <v>165</v>
      </c>
      <c r="D37" s="101"/>
      <c r="E37" s="102"/>
      <c r="F37" s="92"/>
      <c r="G37" s="103"/>
      <c r="H37" s="19" t="s">
        <v>166</v>
      </c>
      <c r="I37" s="33"/>
      <c r="K37" s="34"/>
      <c r="L37" s="104"/>
      <c r="N37" s="19" t="s">
        <v>167</v>
      </c>
      <c r="O37" s="33"/>
      <c r="Q37" s="34"/>
      <c r="T37" s="19" t="s">
        <v>168</v>
      </c>
      <c r="W37" s="21"/>
      <c r="X37" s="21"/>
      <c r="AF37" s="105" t="s">
        <v>169</v>
      </c>
      <c r="AL37" s="19" t="s">
        <v>170</v>
      </c>
      <c r="AO37" s="21"/>
      <c r="AP37" s="21"/>
    </row>
    <row r="38" spans="1:48" x14ac:dyDescent="0.25">
      <c r="A38" s="7"/>
      <c r="B38" s="19" t="s">
        <v>171</v>
      </c>
      <c r="D38" s="101"/>
      <c r="E38" s="102"/>
      <c r="F38" s="92"/>
      <c r="G38" s="103"/>
      <c r="H38" s="19" t="s">
        <v>172</v>
      </c>
      <c r="I38" s="33"/>
      <c r="K38" s="34"/>
      <c r="L38" s="104"/>
      <c r="N38" s="19" t="s">
        <v>173</v>
      </c>
      <c r="O38" s="33"/>
      <c r="Q38" s="34"/>
      <c r="T38" s="19" t="s">
        <v>174</v>
      </c>
      <c r="W38" s="21"/>
      <c r="X38" s="21"/>
      <c r="AF38" s="105" t="s">
        <v>175</v>
      </c>
      <c r="AL38" s="19" t="s">
        <v>176</v>
      </c>
      <c r="AO38" s="21"/>
      <c r="AP38" s="21"/>
    </row>
    <row r="39" spans="1:48" x14ac:dyDescent="0.25">
      <c r="A39" s="7"/>
      <c r="D39" s="101"/>
      <c r="E39" s="102"/>
      <c r="F39" s="92"/>
      <c r="G39" s="103"/>
      <c r="H39" s="19" t="s">
        <v>177</v>
      </c>
      <c r="I39" s="33"/>
      <c r="K39" s="34"/>
      <c r="L39" s="104"/>
      <c r="N39" s="19" t="s">
        <v>178</v>
      </c>
      <c r="O39" s="33"/>
      <c r="Q39" s="34"/>
      <c r="T39" s="19" t="s">
        <v>179</v>
      </c>
      <c r="W39" s="21"/>
      <c r="X39" s="21"/>
      <c r="AF39" s="19" t="s">
        <v>180</v>
      </c>
      <c r="AL39" s="19" t="s">
        <v>181</v>
      </c>
      <c r="AO39" s="21"/>
      <c r="AP39" s="21"/>
    </row>
    <row r="40" spans="1:48" x14ac:dyDescent="0.25">
      <c r="A40" s="7"/>
      <c r="D40" s="101"/>
      <c r="E40" s="102"/>
      <c r="F40" s="92"/>
      <c r="G40" s="103"/>
      <c r="H40" s="19" t="s">
        <v>182</v>
      </c>
      <c r="I40" s="33"/>
      <c r="K40" s="34"/>
      <c r="L40" s="104"/>
      <c r="N40" s="19" t="s">
        <v>183</v>
      </c>
      <c r="O40" s="21"/>
      <c r="P40" s="21"/>
      <c r="T40" s="19" t="s">
        <v>184</v>
      </c>
      <c r="AF40" s="19" t="s">
        <v>185</v>
      </c>
      <c r="AL40" s="19" t="s">
        <v>186</v>
      </c>
      <c r="AO40" s="21"/>
      <c r="AP40" s="21"/>
    </row>
    <row r="41" spans="1:48" x14ac:dyDescent="0.25">
      <c r="A41" s="7"/>
      <c r="D41" s="101"/>
      <c r="E41" s="102"/>
      <c r="F41" s="92"/>
      <c r="G41" s="103"/>
      <c r="H41" s="19" t="s">
        <v>187</v>
      </c>
      <c r="I41" s="33"/>
      <c r="K41" s="34"/>
      <c r="L41" s="104"/>
      <c r="N41" s="19" t="s">
        <v>188</v>
      </c>
      <c r="O41" s="21"/>
      <c r="P41" s="21"/>
      <c r="T41" s="19" t="s">
        <v>640</v>
      </c>
      <c r="AF41" s="19" t="s">
        <v>639</v>
      </c>
      <c r="AL41" s="19" t="s">
        <v>189</v>
      </c>
      <c r="AO41" s="21"/>
      <c r="AP41" s="21"/>
    </row>
    <row r="42" spans="1:48" x14ac:dyDescent="0.25">
      <c r="A42" s="7"/>
      <c r="D42" s="101"/>
      <c r="E42" s="102"/>
      <c r="F42" s="92"/>
      <c r="G42" s="103"/>
      <c r="H42" s="19" t="s">
        <v>190</v>
      </c>
      <c r="I42" s="33"/>
      <c r="K42" s="34"/>
      <c r="L42" s="104"/>
      <c r="N42" s="19" t="s">
        <v>191</v>
      </c>
      <c r="O42" s="21"/>
      <c r="P42" s="21"/>
      <c r="T42" s="19" t="s">
        <v>192</v>
      </c>
      <c r="AF42" s="19" t="s">
        <v>193</v>
      </c>
      <c r="AL42" s="19" t="s">
        <v>194</v>
      </c>
      <c r="AO42" s="21"/>
      <c r="AP42" s="21"/>
    </row>
    <row r="43" spans="1:48" x14ac:dyDescent="0.25">
      <c r="A43" s="7"/>
      <c r="D43" s="101"/>
      <c r="E43" s="102"/>
      <c r="F43" s="92"/>
      <c r="G43" s="103"/>
      <c r="H43" s="19" t="s">
        <v>195</v>
      </c>
      <c r="I43" s="33"/>
      <c r="K43" s="34"/>
      <c r="L43" s="104"/>
      <c r="N43" s="19" t="s">
        <v>196</v>
      </c>
      <c r="O43" s="21"/>
      <c r="P43" s="21"/>
      <c r="Z43"/>
      <c r="AF43" s="19" t="s">
        <v>197</v>
      </c>
      <c r="AL43" s="19" t="s">
        <v>198</v>
      </c>
      <c r="AO43" s="21"/>
      <c r="AP43" s="21"/>
    </row>
    <row r="44" spans="1:48" x14ac:dyDescent="0.25">
      <c r="A44" s="7"/>
      <c r="D44" s="101"/>
      <c r="E44" s="102"/>
      <c r="F44" s="92"/>
      <c r="G44" s="103"/>
      <c r="H44" s="19" t="s">
        <v>199</v>
      </c>
      <c r="I44" s="33"/>
      <c r="K44" s="34"/>
      <c r="L44" s="104"/>
      <c r="N44" s="19" t="s">
        <v>200</v>
      </c>
      <c r="O44" s="42"/>
      <c r="P44" s="42"/>
      <c r="Z44"/>
      <c r="AF44" s="19" t="s">
        <v>201</v>
      </c>
      <c r="AL44" s="19" t="s">
        <v>638</v>
      </c>
      <c r="AO44" s="21"/>
      <c r="AP44" s="21"/>
    </row>
    <row r="45" spans="1:48" x14ac:dyDescent="0.25">
      <c r="A45" s="7"/>
      <c r="D45" s="101"/>
      <c r="E45" s="102"/>
      <c r="F45" s="92"/>
      <c r="G45" s="103"/>
      <c r="H45" s="19" t="s">
        <v>202</v>
      </c>
      <c r="I45" s="33"/>
      <c r="K45" s="34"/>
      <c r="L45" s="104"/>
      <c r="N45" s="19" t="s">
        <v>203</v>
      </c>
      <c r="O45" s="21"/>
      <c r="P45" s="21"/>
      <c r="Z45"/>
      <c r="AF45" s="19" t="s">
        <v>204</v>
      </c>
      <c r="AL45" s="19" t="s">
        <v>205</v>
      </c>
      <c r="AO45" s="21"/>
      <c r="AP45" s="21"/>
    </row>
    <row r="46" spans="1:48" x14ac:dyDescent="0.25">
      <c r="A46" s="7"/>
      <c r="D46" s="101"/>
      <c r="E46" s="102"/>
      <c r="F46" s="92"/>
      <c r="G46" s="103"/>
      <c r="L46" s="104"/>
      <c r="O46" s="21"/>
      <c r="P46" s="21"/>
      <c r="Z46"/>
      <c r="AO46" s="21"/>
      <c r="AP46" s="21"/>
    </row>
    <row r="47" spans="1:48" x14ac:dyDescent="0.25">
      <c r="A47" s="7"/>
      <c r="D47" s="101"/>
      <c r="E47" s="102"/>
      <c r="F47" s="92"/>
      <c r="G47" s="103"/>
      <c r="L47" s="104"/>
      <c r="O47" s="21"/>
      <c r="P47" s="21"/>
      <c r="Z47"/>
      <c r="AO47" s="21"/>
      <c r="AP47" s="21"/>
    </row>
    <row r="48" spans="1:48" x14ac:dyDescent="0.25">
      <c r="A48" s="7"/>
      <c r="B48" s="20"/>
      <c r="D48" s="101"/>
      <c r="E48" s="102"/>
      <c r="F48" s="92"/>
      <c r="G48" s="103"/>
      <c r="L48" s="104"/>
      <c r="O48" s="21"/>
      <c r="P48" s="21"/>
      <c r="T48" s="59"/>
      <c r="Z48"/>
      <c r="AO48" s="21"/>
      <c r="AP48" s="21"/>
    </row>
    <row r="49" spans="1:48" x14ac:dyDescent="0.25">
      <c r="B49" s="44"/>
      <c r="C49" s="47"/>
      <c r="E49" s="83"/>
      <c r="F49" s="45"/>
      <c r="G49" s="107"/>
      <c r="H49" s="45"/>
      <c r="I49" s="45"/>
      <c r="J49" s="45"/>
      <c r="K49" s="45"/>
      <c r="L49" s="108"/>
      <c r="M49" s="45"/>
      <c r="N49" s="45"/>
      <c r="O49" s="45"/>
      <c r="P49" s="45"/>
      <c r="Q49" s="46"/>
      <c r="R49" s="46"/>
      <c r="S49" s="46"/>
    </row>
    <row r="50" spans="1:48" x14ac:dyDescent="0.25">
      <c r="B50" s="44"/>
      <c r="L50" s="110"/>
    </row>
    <row r="51" spans="1:48" x14ac:dyDescent="0.25">
      <c r="B51" s="44"/>
      <c r="L51" s="110"/>
    </row>
    <row r="52" spans="1:48" x14ac:dyDescent="0.25">
      <c r="B52" s="44"/>
      <c r="C52" s="47"/>
      <c r="L52" s="110"/>
      <c r="T52" s="47"/>
    </row>
    <row r="53" spans="1:48" x14ac:dyDescent="0.25">
      <c r="B53" s="44"/>
    </row>
    <row r="54" spans="1:48" x14ac:dyDescent="0.25">
      <c r="B54" s="44"/>
    </row>
    <row r="55" spans="1:48" x14ac:dyDescent="0.25">
      <c r="C55" s="50"/>
      <c r="D55" s="37"/>
      <c r="E55" s="37"/>
      <c r="F55" s="37"/>
      <c r="G55" s="111"/>
      <c r="H55" s="37"/>
      <c r="I55" s="37"/>
      <c r="J55" s="37"/>
      <c r="K55" s="37"/>
      <c r="L55" s="37"/>
      <c r="M55" s="37"/>
      <c r="N55" s="37"/>
      <c r="O55" s="37"/>
      <c r="P55" s="37"/>
      <c r="Q55" s="37"/>
    </row>
    <row r="56" spans="1:48" x14ac:dyDescent="0.25">
      <c r="B56" s="44"/>
    </row>
    <row r="57" spans="1:48" x14ac:dyDescent="0.25">
      <c r="B57" s="44"/>
    </row>
    <row r="58" spans="1:48" x14ac:dyDescent="0.25">
      <c r="C58" s="50"/>
      <c r="E58" s="37"/>
      <c r="F58" s="37"/>
    </row>
    <row r="59" spans="1:48" s="109" customFormat="1" x14ac:dyDescent="0.25">
      <c r="A59"/>
      <c r="B59" s="44"/>
      <c r="C59"/>
      <c r="D59"/>
      <c r="E59"/>
      <c r="F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 s="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</row>
    <row r="60" spans="1:48" s="109" customFormat="1" x14ac:dyDescent="0.25">
      <c r="A60"/>
      <c r="B60" s="44"/>
      <c r="C60"/>
      <c r="D60"/>
      <c r="E60"/>
      <c r="F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 s="59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</row>
    <row r="61" spans="1:48" s="109" customFormat="1" x14ac:dyDescent="0.25">
      <c r="A61"/>
      <c r="B61"/>
      <c r="C61" s="50"/>
      <c r="D61"/>
      <c r="E61" s="37"/>
      <c r="F61" s="37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 s="59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</row>
    <row r="62" spans="1:48" s="109" customFormat="1" x14ac:dyDescent="0.25">
      <c r="A62"/>
      <c r="B62" s="44"/>
      <c r="C62"/>
      <c r="D62"/>
      <c r="E62"/>
      <c r="F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 s="59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</row>
    <row r="63" spans="1:48" s="109" customFormat="1" x14ac:dyDescent="0.25">
      <c r="A63"/>
      <c r="B63" s="44"/>
      <c r="C63"/>
      <c r="D63"/>
      <c r="E63"/>
      <c r="F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 s="59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</row>
    <row r="64" spans="1:48" s="109" customFormat="1" x14ac:dyDescent="0.25">
      <c r="A64"/>
      <c r="B64"/>
      <c r="C64" s="50"/>
      <c r="D64"/>
      <c r="E64" s="37"/>
      <c r="F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 s="59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</row>
    <row r="65" spans="1:48" s="109" customFormat="1" x14ac:dyDescent="0.25">
      <c r="A65"/>
      <c r="B65" s="44"/>
      <c r="C65"/>
      <c r="D65"/>
      <c r="E65"/>
      <c r="F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 s="59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</row>
    <row r="67" spans="1:48" s="109" customFormat="1" x14ac:dyDescent="0.25">
      <c r="A67"/>
      <c r="B67"/>
      <c r="C67" s="34"/>
      <c r="D67"/>
      <c r="E67"/>
      <c r="F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 s="59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</row>
    <row r="68" spans="1:48" s="109" customFormat="1" x14ac:dyDescent="0.25">
      <c r="A68"/>
      <c r="B68"/>
      <c r="C68" s="34"/>
      <c r="D68"/>
      <c r="E68"/>
      <c r="F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 s="59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</row>
    <row r="69" spans="1:48" s="109" customFormat="1" x14ac:dyDescent="0.25">
      <c r="A69"/>
      <c r="B69"/>
      <c r="C69" s="55"/>
      <c r="D69"/>
      <c r="E69"/>
      <c r="F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 s="5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</row>
    <row r="70" spans="1:48" s="109" customFormat="1" x14ac:dyDescent="0.25">
      <c r="A70"/>
      <c r="B70"/>
      <c r="C70" s="34"/>
      <c r="D70"/>
      <c r="E70"/>
      <c r="F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 s="59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</row>
    <row r="71" spans="1:48" s="109" customFormat="1" x14ac:dyDescent="0.25">
      <c r="A71"/>
      <c r="B71" s="44"/>
      <c r="C71"/>
      <c r="D71"/>
      <c r="E71"/>
      <c r="F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 s="59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</row>
  </sheetData>
  <mergeCells count="27">
    <mergeCell ref="AI8:AJ8"/>
    <mergeCell ref="AL8:AM8"/>
    <mergeCell ref="AO8:AP8"/>
    <mergeCell ref="AR8:AS8"/>
    <mergeCell ref="AU8:AV8"/>
    <mergeCell ref="AU7:AV7"/>
    <mergeCell ref="H8:I8"/>
    <mergeCell ref="K8:L8"/>
    <mergeCell ref="N8:O8"/>
    <mergeCell ref="Q8:R8"/>
    <mergeCell ref="T8:U8"/>
    <mergeCell ref="W8:X8"/>
    <mergeCell ref="Z8:AA8"/>
    <mergeCell ref="AC8:AD8"/>
    <mergeCell ref="AF8:AG8"/>
    <mergeCell ref="AC7:AD7"/>
    <mergeCell ref="AF7:AG7"/>
    <mergeCell ref="AI7:AJ7"/>
    <mergeCell ref="AL7:AM7"/>
    <mergeCell ref="AO7:AP7"/>
    <mergeCell ref="AR7:AS7"/>
    <mergeCell ref="Z7:AA7"/>
    <mergeCell ref="H7:I7"/>
    <mergeCell ref="K7:L7"/>
    <mergeCell ref="N7:O7"/>
    <mergeCell ref="Q7:R7"/>
    <mergeCell ref="T7:U7"/>
  </mergeCells>
  <pageMargins left="0.7" right="0.7" top="0.75" bottom="0.75" header="0.3" footer="0.3"/>
  <pageSetup scale="45" fitToWidth="2" orientation="landscape" r:id="rId1"/>
  <headerFooter>
    <oddHeader>&amp;RNSTAR Electric Company
d/b/a Eversource Energy
D.P.U. 18-120 (Dec. 26, 2018)
Exhibit ES-MQ-7 (Revised)
Page &amp;P of &amp;N</oddHeader>
  </headerFooter>
  <colBreaks count="1" manualBreakCount="1">
    <brk id="31" max="47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5CA0A-1473-418A-84F7-59B1751A0203}">
  <sheetPr>
    <tabColor theme="9" tint="0.59999389629810485"/>
    <pageSetUpPr fitToPage="1"/>
  </sheetPr>
  <dimension ref="A4:N78"/>
  <sheetViews>
    <sheetView workbookViewId="0"/>
  </sheetViews>
  <sheetFormatPr defaultRowHeight="12.5" x14ac:dyDescent="0.25"/>
  <cols>
    <col min="1" max="1" width="3.26953125" bestFit="1" customWidth="1"/>
    <col min="2" max="2" width="41.1796875" customWidth="1"/>
    <col min="3" max="3" width="8.26953125" bestFit="1" customWidth="1"/>
    <col min="4" max="4" width="1.26953125" customWidth="1"/>
    <col min="5" max="5" width="13.7265625" bestFit="1" customWidth="1"/>
    <col min="6" max="6" width="1.26953125" customWidth="1"/>
    <col min="7" max="7" width="12.7265625" customWidth="1"/>
    <col min="8" max="8" width="1.26953125" customWidth="1"/>
    <col min="9" max="9" width="13.26953125" bestFit="1" customWidth="1"/>
    <col min="11" max="11" width="1.26953125" customWidth="1"/>
    <col min="12" max="12" width="12.7265625" customWidth="1"/>
    <col min="13" max="13" width="1.26953125" customWidth="1"/>
    <col min="14" max="14" width="13.26953125" bestFit="1" customWidth="1"/>
  </cols>
  <sheetData>
    <row r="4" spans="1:14" ht="14" x14ac:dyDescent="0.3">
      <c r="A4" s="748" t="str">
        <f>'R1 EMA'!A4:N4</f>
        <v>Eastern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4" ht="14" x14ac:dyDescent="0.3">
      <c r="A5" s="748" t="str">
        <f>'R1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4" ht="14" x14ac:dyDescent="0.3">
      <c r="A6" s="205"/>
      <c r="C6" s="205"/>
      <c r="D6" s="205"/>
      <c r="E6" s="206"/>
      <c r="F6" s="207"/>
      <c r="G6" s="208"/>
      <c r="H6" s="209"/>
      <c r="I6" s="210"/>
      <c r="J6" s="210"/>
      <c r="K6" s="210"/>
      <c r="L6" s="211"/>
      <c r="M6" s="211"/>
      <c r="N6" s="212"/>
    </row>
    <row r="7" spans="1:14" ht="14" x14ac:dyDescent="0.3">
      <c r="A7" s="748" t="s">
        <v>346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4" ht="14" x14ac:dyDescent="0.3">
      <c r="A8" s="748" t="s">
        <v>421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4" ht="14" x14ac:dyDescent="0.3">
      <c r="B9" s="207"/>
      <c r="C9" s="207"/>
      <c r="D9" s="207"/>
      <c r="E9" s="213"/>
      <c r="F9" s="207"/>
      <c r="I9" s="210"/>
      <c r="J9" s="210"/>
      <c r="K9" s="210"/>
      <c r="L9" s="214"/>
      <c r="M9" s="214"/>
      <c r="N9" s="215"/>
    </row>
    <row r="10" spans="1:14" ht="14.5" thickBot="1" x14ac:dyDescent="0.35">
      <c r="A10" s="151"/>
      <c r="B10" s="216" t="s">
        <v>46</v>
      </c>
      <c r="C10" s="216"/>
      <c r="D10" s="216"/>
      <c r="E10" s="217" t="s">
        <v>144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4" ht="14" x14ac:dyDescent="0.3">
      <c r="A11" s="151"/>
      <c r="B11" s="219" t="s">
        <v>293</v>
      </c>
      <c r="C11" s="220" t="s">
        <v>294</v>
      </c>
      <c r="D11" s="220"/>
      <c r="E11" s="221" t="s">
        <v>295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4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4" ht="14" x14ac:dyDescent="0.3">
      <c r="A13" s="151">
        <f>IF(B13&lt;&gt;"",COUNTA($B$13:B13),"")</f>
        <v>1</v>
      </c>
      <c r="B13" s="232" t="s">
        <v>296</v>
      </c>
      <c r="C13" s="233" t="s">
        <v>297</v>
      </c>
      <c r="D13" s="233"/>
      <c r="E13" s="234">
        <v>11.76327855652921</v>
      </c>
      <c r="F13" s="207"/>
      <c r="G13" s="209">
        <v>150.47999999999999</v>
      </c>
      <c r="H13" s="209"/>
      <c r="I13" s="210">
        <f>G13*E13</f>
        <v>1770.1381571865154</v>
      </c>
      <c r="J13" s="235"/>
      <c r="K13" s="210"/>
      <c r="L13" s="209">
        <v>150.47999999999999</v>
      </c>
      <c r="M13" s="211"/>
      <c r="N13" s="210">
        <f>L13*E13</f>
        <v>1770.1381571865154</v>
      </c>
    </row>
    <row r="14" spans="1:14" ht="14" x14ac:dyDescent="0.3">
      <c r="A14" s="151">
        <f>IF(B14&lt;&gt;"",COUNTA($B$13:B14),"")</f>
        <v>2</v>
      </c>
      <c r="B14" s="207" t="s">
        <v>422</v>
      </c>
      <c r="C14" s="233" t="s">
        <v>364</v>
      </c>
      <c r="D14" s="233"/>
      <c r="E14" s="234">
        <v>0</v>
      </c>
      <c r="F14" s="207"/>
      <c r="G14" s="236"/>
      <c r="H14" s="209"/>
      <c r="I14" s="210"/>
      <c r="J14" s="235"/>
      <c r="K14" s="210"/>
      <c r="L14" s="236"/>
      <c r="M14" s="211"/>
      <c r="N14" s="210"/>
    </row>
    <row r="15" spans="1:14" ht="14" x14ac:dyDescent="0.3">
      <c r="A15" s="151">
        <f>IF(B15&lt;&gt;"",COUNTA($B$13:B15),"")</f>
        <v>3</v>
      </c>
      <c r="B15" s="207" t="s">
        <v>298</v>
      </c>
      <c r="C15" s="233" t="s">
        <v>299</v>
      </c>
      <c r="D15" s="233"/>
      <c r="E15" s="234">
        <v>0</v>
      </c>
      <c r="F15" s="207"/>
      <c r="G15" s="290">
        <v>0</v>
      </c>
      <c r="H15" s="209"/>
      <c r="I15" s="237">
        <f>G15*E15</f>
        <v>0</v>
      </c>
      <c r="J15" s="235"/>
      <c r="K15" s="210"/>
      <c r="L15" s="290">
        <v>0</v>
      </c>
      <c r="M15" s="211"/>
      <c r="N15" s="237">
        <f t="shared" ref="N15" si="0">L15*E15</f>
        <v>0</v>
      </c>
    </row>
    <row r="16" spans="1:14" ht="14" x14ac:dyDescent="0.3">
      <c r="A16" s="151">
        <f>IF(B16&lt;&gt;"",COUNTA($B$13:B16),"")</f>
        <v>4</v>
      </c>
      <c r="B16" s="207" t="s">
        <v>300</v>
      </c>
      <c r="C16" s="233" t="s">
        <v>301</v>
      </c>
      <c r="D16" s="233"/>
      <c r="E16" s="234"/>
      <c r="F16" s="207"/>
      <c r="G16" s="209"/>
      <c r="H16" s="209"/>
      <c r="I16" s="210">
        <f>SUM(I13:I15)</f>
        <v>1770.1381571865154</v>
      </c>
      <c r="J16" s="235"/>
      <c r="K16" s="210"/>
      <c r="L16" s="238"/>
      <c r="M16" s="211"/>
      <c r="N16" s="210">
        <f>SUM(N13:N15)</f>
        <v>1770.1381571865154</v>
      </c>
    </row>
    <row r="17" spans="1:14" ht="14" x14ac:dyDescent="0.3">
      <c r="A17" s="151" t="str">
        <f>IF(B17&lt;&gt;"",COUNTA($B$13:B17),"")</f>
        <v/>
      </c>
      <c r="B17" s="207"/>
      <c r="C17" s="233"/>
      <c r="D17" s="233"/>
      <c r="E17" s="234"/>
      <c r="F17" s="207"/>
      <c r="G17" s="209"/>
      <c r="H17" s="209"/>
      <c r="I17" s="210"/>
      <c r="J17" s="235"/>
      <c r="K17" s="210"/>
      <c r="L17" s="238"/>
      <c r="M17" s="211"/>
      <c r="N17" s="210"/>
    </row>
    <row r="18" spans="1:14" ht="14" x14ac:dyDescent="0.3">
      <c r="A18" s="151">
        <f>IF(B18&lt;&gt;"",COUNTA($B$13:B18),"")</f>
        <v>5</v>
      </c>
      <c r="B18" s="207" t="s">
        <v>377</v>
      </c>
      <c r="C18" s="233" t="s">
        <v>378</v>
      </c>
      <c r="D18" s="233"/>
      <c r="E18" s="234">
        <v>181426.24</v>
      </c>
      <c r="F18" s="207"/>
      <c r="G18" s="209"/>
      <c r="H18" s="209"/>
      <c r="I18" s="210"/>
      <c r="J18" s="235"/>
      <c r="K18" s="210"/>
      <c r="L18" s="238"/>
      <c r="M18" s="211"/>
      <c r="N18" s="210"/>
    </row>
    <row r="19" spans="1:14" ht="14" x14ac:dyDescent="0.3">
      <c r="A19" s="151">
        <f>IF(B19&lt;&gt;"",COUNTA($B$13:B19),"")</f>
        <v>6</v>
      </c>
      <c r="B19" s="207" t="s">
        <v>379</v>
      </c>
      <c r="C19" s="233" t="s">
        <v>380</v>
      </c>
      <c r="D19" s="233"/>
      <c r="E19" s="234">
        <v>98756484.628564417</v>
      </c>
      <c r="F19" s="207"/>
      <c r="G19" s="209"/>
      <c r="H19" s="209"/>
      <c r="I19" s="210"/>
      <c r="J19" s="235"/>
      <c r="K19" s="210"/>
      <c r="L19" s="238"/>
      <c r="M19" s="211"/>
      <c r="N19" s="210"/>
    </row>
    <row r="20" spans="1:14" ht="14" x14ac:dyDescent="0.3">
      <c r="A20" s="151" t="str">
        <f>IF(B20&lt;&gt;"",COUNTA($B$13:B20),"")</f>
        <v/>
      </c>
      <c r="B20" s="207"/>
      <c r="C20" s="233"/>
      <c r="D20" s="233"/>
      <c r="E20" s="288"/>
      <c r="F20" s="207"/>
      <c r="G20" s="209"/>
      <c r="H20" s="209"/>
      <c r="I20" s="210"/>
      <c r="J20" s="235"/>
      <c r="K20" s="210"/>
      <c r="L20" s="238"/>
      <c r="M20" s="211"/>
      <c r="N20" s="210"/>
    </row>
    <row r="21" spans="1:14" ht="14" x14ac:dyDescent="0.3">
      <c r="A21" s="151">
        <f>IF(B21&lt;&gt;"",COUNTA($B$13:B21),"")</f>
        <v>7</v>
      </c>
      <c r="B21" s="228" t="s">
        <v>302</v>
      </c>
      <c r="F21" s="239"/>
      <c r="G21" s="240"/>
      <c r="H21" s="211"/>
      <c r="I21" s="210"/>
      <c r="K21" s="210"/>
      <c r="L21" s="241"/>
      <c r="M21" s="211"/>
      <c r="N21" s="210"/>
    </row>
    <row r="22" spans="1:14" ht="14" x14ac:dyDescent="0.3">
      <c r="A22" s="151">
        <f>IF(B22&lt;&gt;"",COUNTA($B$13:B22),"")</f>
        <v>8</v>
      </c>
      <c r="B22" s="207" t="str">
        <f>'G3 BOST'!B24</f>
        <v>Revenue Decoupling</v>
      </c>
      <c r="C22" s="233" t="str">
        <f>'G3 BOST'!C24</f>
        <v>RDAF</v>
      </c>
      <c r="D22" s="233"/>
      <c r="E22" s="242"/>
      <c r="F22" s="239"/>
      <c r="G22" s="236">
        <v>0</v>
      </c>
      <c r="H22" s="211"/>
      <c r="I22" s="210">
        <f t="shared" ref="I22:I36" si="1">G22*$E$19</f>
        <v>0</v>
      </c>
      <c r="K22" s="210"/>
      <c r="L22" s="236">
        <v>-2.4001088181861674E-4</v>
      </c>
      <c r="M22" s="211"/>
      <c r="N22" s="210">
        <f>L22*$E$19</f>
        <v>-23702.630961008417</v>
      </c>
    </row>
    <row r="23" spans="1:14" ht="14" x14ac:dyDescent="0.3">
      <c r="A23" s="151">
        <f>IF(B23&lt;&gt;"",COUNTA($B$13:B23),"")</f>
        <v>9</v>
      </c>
      <c r="B23" s="207" t="str">
        <f>'G3 BOST'!B25</f>
        <v>Residential Assistance Adjustment Factor</v>
      </c>
      <c r="C23" s="233" t="str">
        <f>'G3 BOST'!C25</f>
        <v>RAAF</v>
      </c>
      <c r="D23" s="243"/>
      <c r="E23" s="206"/>
      <c r="F23" s="239"/>
      <c r="G23" s="236">
        <v>1.47E-3</v>
      </c>
      <c r="H23" s="211"/>
      <c r="I23" s="210">
        <f t="shared" si="1"/>
        <v>145172.0324039897</v>
      </c>
      <c r="K23" s="210"/>
      <c r="L23" s="236">
        <v>2.0276764788791507E-3</v>
      </c>
      <c r="M23" s="211"/>
      <c r="N23" s="210">
        <f t="shared" ref="N23:N36" si="2">L23*$E$19</f>
        <v>200246.20101813046</v>
      </c>
    </row>
    <row r="24" spans="1:14" ht="14" x14ac:dyDescent="0.3">
      <c r="A24" s="151">
        <f>IF(B24&lt;&gt;"",COUNTA($B$13:B24),"")</f>
        <v>10</v>
      </c>
      <c r="B24" s="207" t="str">
        <f>'G3 BOST'!B26</f>
        <v>Pension Adjustment Factor</v>
      </c>
      <c r="C24" s="233" t="str">
        <f>'G3 BOST'!C26</f>
        <v>PAF</v>
      </c>
      <c r="D24" s="243"/>
      <c r="E24" s="206"/>
      <c r="F24" s="239"/>
      <c r="G24" s="236">
        <v>-3.0000000000000001E-5</v>
      </c>
      <c r="H24" s="211"/>
      <c r="I24" s="210">
        <f t="shared" si="1"/>
        <v>-2962.6945388569325</v>
      </c>
      <c r="K24" s="210"/>
      <c r="L24" s="236">
        <v>2.9640365119940759E-4</v>
      </c>
      <c r="M24" s="211"/>
      <c r="N24" s="210">
        <f t="shared" si="2"/>
        <v>29271.782623524665</v>
      </c>
    </row>
    <row r="25" spans="1:14" ht="14" x14ac:dyDescent="0.3">
      <c r="A25" s="151">
        <f>IF(B25&lt;&gt;"",COUNTA($B$13:B25),"")</f>
        <v>11</v>
      </c>
      <c r="B25" s="207" t="str">
        <f>'G3 BOST'!B27</f>
        <v>Net Metering Recovery Surcharge</v>
      </c>
      <c r="C25" s="233" t="str">
        <f>'G3 BOST'!C27</f>
        <v>NMRS</v>
      </c>
      <c r="D25" s="243"/>
      <c r="E25" s="206"/>
      <c r="F25" s="239"/>
      <c r="G25" s="236">
        <v>2.8999999999999998E-3</v>
      </c>
      <c r="H25" s="211"/>
      <c r="I25" s="210">
        <f t="shared" si="1"/>
        <v>286393.8054228368</v>
      </c>
      <c r="K25" s="210"/>
      <c r="L25" s="236">
        <v>2.6439274805881543E-3</v>
      </c>
      <c r="M25" s="211"/>
      <c r="N25" s="210">
        <f t="shared" si="2"/>
        <v>261104.98359574311</v>
      </c>
    </row>
    <row r="26" spans="1:14" ht="14" x14ac:dyDescent="0.3">
      <c r="A26" s="151">
        <f>IF(B26&lt;&gt;"",COUNTA($B$13:B26),"")</f>
        <v>12</v>
      </c>
      <c r="B26" s="207" t="str">
        <f>'G3 BOST'!B28</f>
        <v>Long Term Renewable Contract Adjustment</v>
      </c>
      <c r="C26" s="233" t="str">
        <f>'G3 BOST'!C28</f>
        <v>LTRCA</v>
      </c>
      <c r="D26" s="243"/>
      <c r="E26" s="206"/>
      <c r="F26" s="239"/>
      <c r="G26" s="236">
        <v>2.3600000000000001E-3</v>
      </c>
      <c r="H26" s="211"/>
      <c r="I26" s="210">
        <f t="shared" si="1"/>
        <v>233065.30372341204</v>
      </c>
      <c r="K26" s="210"/>
      <c r="L26" s="236">
        <v>1.7357128782064517E-3</v>
      </c>
      <c r="M26" s="211"/>
      <c r="N26" s="210">
        <f t="shared" si="2"/>
        <v>171412.90217619675</v>
      </c>
    </row>
    <row r="27" spans="1:14" ht="14" x14ac:dyDescent="0.3">
      <c r="A27" s="151">
        <f>IF(B27&lt;&gt;"",COUNTA($B$13:B27),"")</f>
        <v>13</v>
      </c>
      <c r="B27" s="207" t="str">
        <f>'G3 BOST'!B29</f>
        <v>AG Consulting Expense</v>
      </c>
      <c r="C27" s="233" t="str">
        <f>'G3 BOST'!C29</f>
        <v>AGCE</v>
      </c>
      <c r="D27" s="243"/>
      <c r="E27" s="206"/>
      <c r="F27" s="239"/>
      <c r="G27" s="236">
        <v>2.0000000000000002E-5</v>
      </c>
      <c r="H27" s="211"/>
      <c r="I27" s="210">
        <f t="shared" si="1"/>
        <v>1975.1296925712886</v>
      </c>
      <c r="K27" s="210"/>
      <c r="L27" s="236">
        <v>4.2573642187635677E-6</v>
      </c>
      <c r="M27" s="211"/>
      <c r="N27" s="210">
        <f t="shared" si="2"/>
        <v>420.44232402852441</v>
      </c>
    </row>
    <row r="28" spans="1:14" ht="14" x14ac:dyDescent="0.3">
      <c r="A28" s="151">
        <f>IF(B28&lt;&gt;"",COUNTA($B$13:B28),"")</f>
        <v>14</v>
      </c>
      <c r="B28" s="207" t="str">
        <f>'G3 BOST'!B30</f>
        <v>Storm Cost Recovery Adjustment Factor</v>
      </c>
      <c r="C28" s="233" t="str">
        <f>'G3 BOST'!C30</f>
        <v>SCRA</v>
      </c>
      <c r="D28" s="243"/>
      <c r="E28" s="206"/>
      <c r="F28" s="239"/>
      <c r="G28" s="236">
        <v>9.1E-4</v>
      </c>
      <c r="H28" s="211"/>
      <c r="I28" s="210">
        <f t="shared" si="1"/>
        <v>89868.401011993614</v>
      </c>
      <c r="K28" s="210"/>
      <c r="L28" s="236">
        <v>1.5367445995105196E-3</v>
      </c>
      <c r="M28" s="211"/>
      <c r="N28" s="210">
        <f t="shared" si="2"/>
        <v>151763.49441959002</v>
      </c>
    </row>
    <row r="29" spans="1:14" ht="14" x14ac:dyDescent="0.3">
      <c r="A29" s="151">
        <f>IF(B29&lt;&gt;"",COUNTA($B$13:B29),"")</f>
        <v>15</v>
      </c>
      <c r="B29" s="207" t="str">
        <f>'G3 BOST'!B31</f>
        <v>Storm Reserve Adjustment</v>
      </c>
      <c r="C29" s="233" t="str">
        <f>'G3 BOST'!C31</f>
        <v>SRA</v>
      </c>
      <c r="D29" s="243"/>
      <c r="E29" s="206"/>
      <c r="F29" s="239"/>
      <c r="G29" s="236">
        <v>0</v>
      </c>
      <c r="H29" s="211"/>
      <c r="I29" s="210">
        <f t="shared" si="1"/>
        <v>0</v>
      </c>
      <c r="K29" s="210"/>
      <c r="L29" s="236">
        <v>0</v>
      </c>
      <c r="M29" s="211"/>
      <c r="N29" s="210">
        <f t="shared" si="2"/>
        <v>0</v>
      </c>
    </row>
    <row r="30" spans="1:14" ht="14" x14ac:dyDescent="0.3">
      <c r="A30" s="151">
        <f>IF(B30&lt;&gt;"",COUNTA($B$13:B30),"")</f>
        <v>16</v>
      </c>
      <c r="B30" s="207" t="str">
        <f>'G3 BOST'!B32</f>
        <v>Basic Service Cost True Up Factor</v>
      </c>
      <c r="C30" s="233" t="str">
        <f>'G3 BOST'!C32</f>
        <v>BSTF</v>
      </c>
      <c r="D30" s="243"/>
      <c r="E30" s="206"/>
      <c r="F30" s="239"/>
      <c r="G30" s="236">
        <v>7.7999999999999999E-4</v>
      </c>
      <c r="H30" s="211"/>
      <c r="I30" s="210">
        <f t="shared" si="1"/>
        <v>77030.058010280249</v>
      </c>
      <c r="K30" s="210"/>
      <c r="L30" s="236">
        <v>-1.0061827561395616E-4</v>
      </c>
      <c r="M30" s="211"/>
      <c r="N30" s="210">
        <f t="shared" si="2"/>
        <v>-9936.7071890223197</v>
      </c>
    </row>
    <row r="31" spans="1:14" ht="14" x14ac:dyDescent="0.3">
      <c r="A31" s="151">
        <f>IF(B31&lt;&gt;"",COUNTA($B$13:B31),"")</f>
        <v>17</v>
      </c>
      <c r="B31" s="207" t="str">
        <f>'G3 BOST'!B33</f>
        <v>Solar Program Cost Adjustment Factor</v>
      </c>
      <c r="C31" s="233" t="str">
        <f>'G3 BOST'!C33</f>
        <v>SPCA</v>
      </c>
      <c r="D31" s="233"/>
      <c r="E31" s="206"/>
      <c r="F31" s="239"/>
      <c r="G31" s="236">
        <v>0</v>
      </c>
      <c r="H31" s="211"/>
      <c r="I31" s="210">
        <f t="shared" si="1"/>
        <v>0</v>
      </c>
      <c r="K31" s="210"/>
      <c r="L31" s="236">
        <v>1.7906482882852422E-5</v>
      </c>
      <c r="M31" s="211"/>
      <c r="N31" s="210">
        <f t="shared" si="2"/>
        <v>1768.3813015720671</v>
      </c>
    </row>
    <row r="32" spans="1:14" ht="14" x14ac:dyDescent="0.3">
      <c r="A32" s="151">
        <f>IF(B32&lt;&gt;"",COUNTA($B$13:B32),"")</f>
        <v>18</v>
      </c>
      <c r="B32" s="207" t="str">
        <f>'G3 BOST'!B34</f>
        <v>Solar Expansion Cost Recovery Factor</v>
      </c>
      <c r="C32" s="233" t="str">
        <f>'G3 BOST'!C34</f>
        <v>SECRF</v>
      </c>
      <c r="D32" s="233"/>
      <c r="E32" s="206"/>
      <c r="F32" s="239"/>
      <c r="G32" s="236">
        <v>0</v>
      </c>
      <c r="H32" s="211"/>
      <c r="I32" s="210">
        <f t="shared" si="1"/>
        <v>0</v>
      </c>
      <c r="K32" s="210"/>
      <c r="L32" s="236">
        <v>3.1582939292909221E-4</v>
      </c>
      <c r="M32" s="211"/>
      <c r="N32" s="210">
        <f t="shared" si="2"/>
        <v>31190.200588050724</v>
      </c>
    </row>
    <row r="33" spans="1:14" ht="14" x14ac:dyDescent="0.3">
      <c r="A33" s="151">
        <f>IF(B33&lt;&gt;"",COUNTA($B$13:B33),"")</f>
        <v>19</v>
      </c>
      <c r="B33" s="207" t="str">
        <f>'G3 BOST'!B35</f>
        <v>Vegetation Management</v>
      </c>
      <c r="C33" s="233" t="str">
        <f>'G3 BOST'!C35</f>
        <v>RTWF</v>
      </c>
      <c r="D33" s="233"/>
      <c r="E33" s="206"/>
      <c r="F33" s="239"/>
      <c r="G33" s="236">
        <v>0</v>
      </c>
      <c r="H33" s="211"/>
      <c r="I33" s="210">
        <f t="shared" si="1"/>
        <v>0</v>
      </c>
      <c r="K33" s="210"/>
      <c r="L33" s="236">
        <v>5.3066271540927685E-4</v>
      </c>
      <c r="M33" s="211"/>
      <c r="N33" s="210">
        <f t="shared" si="2"/>
        <v>52406.384297268502</v>
      </c>
    </row>
    <row r="34" spans="1:14" ht="14" x14ac:dyDescent="0.3">
      <c r="A34" s="151">
        <f>IF(B34&lt;&gt;"",COUNTA($B$13:B34),"")</f>
        <v>20</v>
      </c>
      <c r="B34" s="207" t="str">
        <f>'G3 BOST'!B36</f>
        <v>Solar Massachusetts Renewable Target</v>
      </c>
      <c r="C34" s="233" t="str">
        <f>'G3 BOST'!C36</f>
        <v>SMART</v>
      </c>
      <c r="D34" s="233"/>
      <c r="E34" s="206"/>
      <c r="F34" s="239"/>
      <c r="G34" s="236">
        <v>0</v>
      </c>
      <c r="H34" s="211"/>
      <c r="I34" s="210">
        <f t="shared" si="1"/>
        <v>0</v>
      </c>
      <c r="K34" s="210"/>
      <c r="L34" s="236">
        <v>3.7003845366940938E-4</v>
      </c>
      <c r="M34" s="211"/>
      <c r="N34" s="210">
        <f t="shared" si="2"/>
        <v>36543.696861780772</v>
      </c>
    </row>
    <row r="35" spans="1:14" ht="14" x14ac:dyDescent="0.3">
      <c r="A35" s="151">
        <f>IF(B35&lt;&gt;"",COUNTA($B$13:B35),"")</f>
        <v>21</v>
      </c>
      <c r="B35" s="207" t="str">
        <f>'G3 BOST'!B37</f>
        <v>Tax Act Credit Factor</v>
      </c>
      <c r="C35" s="233" t="str">
        <f>'G3 BOST'!C37</f>
        <v>TACF</v>
      </c>
      <c r="D35" s="233"/>
      <c r="E35" s="206"/>
      <c r="F35" s="239"/>
      <c r="G35" s="236">
        <v>0</v>
      </c>
      <c r="H35" s="211"/>
      <c r="I35" s="210">
        <f t="shared" si="1"/>
        <v>0</v>
      </c>
      <c r="K35" s="210"/>
      <c r="L35" s="236">
        <v>-5.6017640085705221E-4</v>
      </c>
      <c r="M35" s="211"/>
      <c r="N35" s="210">
        <f t="shared" si="2"/>
        <v>-55321.052120524015</v>
      </c>
    </row>
    <row r="36" spans="1:14" ht="14" x14ac:dyDescent="0.3">
      <c r="A36" s="151">
        <f>IF(B36&lt;&gt;"",COUNTA($B$13:B36),"")</f>
        <v>22</v>
      </c>
      <c r="B36" s="207" t="str">
        <f>'G3 BOST'!B38</f>
        <v>Transition</v>
      </c>
      <c r="C36" s="233" t="str">
        <f>'G3 BOST'!C38</f>
        <v>TRNSN</v>
      </c>
      <c r="D36" s="233"/>
      <c r="E36" s="206"/>
      <c r="F36" s="239"/>
      <c r="G36" s="236">
        <v>-6.0999999999999997E-4</v>
      </c>
      <c r="H36" s="211"/>
      <c r="I36" s="210">
        <f t="shared" si="1"/>
        <v>-60241.455623424292</v>
      </c>
      <c r="K36" s="210"/>
      <c r="L36" s="236">
        <v>-5.210932140356871E-4</v>
      </c>
      <c r="M36" s="211"/>
      <c r="N36" s="210">
        <f t="shared" si="2"/>
        <v>-51461.333981964563</v>
      </c>
    </row>
    <row r="37" spans="1:14" ht="14" x14ac:dyDescent="0.3">
      <c r="A37" s="151">
        <f>IF(B37&lt;&gt;"",COUNTA($B$13:B37),"")</f>
        <v>23</v>
      </c>
      <c r="B37" s="207" t="str">
        <f>'G3 BOST'!B39</f>
        <v>Transmission Demand</v>
      </c>
      <c r="C37" s="233" t="str">
        <f>'G3 BOST'!C39</f>
        <v>TMKW</v>
      </c>
      <c r="D37" s="233"/>
      <c r="E37" s="206"/>
      <c r="F37" s="239"/>
      <c r="G37" s="283">
        <v>6.93</v>
      </c>
      <c r="H37" s="211"/>
      <c r="I37" s="210">
        <f>G37*E18</f>
        <v>1257283.8431999998</v>
      </c>
      <c r="K37" s="210"/>
      <c r="L37" s="238">
        <v>7.0214968350365412</v>
      </c>
      <c r="M37" s="211"/>
      <c r="N37" s="210">
        <f>L37*E18</f>
        <v>1273883.7699525799</v>
      </c>
    </row>
    <row r="38" spans="1:14" ht="14" x14ac:dyDescent="0.3">
      <c r="A38" s="151">
        <f>IF(B38&lt;&gt;"",COUNTA($B$13:B38),"")</f>
        <v>24</v>
      </c>
      <c r="B38" s="207" t="str">
        <f>'G3 BOST'!B40</f>
        <v>Energy Efficiency Reconciliation Factor</v>
      </c>
      <c r="C38" s="233" t="str">
        <f>'G3 BOST'!C40</f>
        <v>EERF</v>
      </c>
      <c r="D38" s="233"/>
      <c r="E38" s="206"/>
      <c r="F38" s="239"/>
      <c r="G38" s="241">
        <v>8.4600000000000005E-3</v>
      </c>
      <c r="H38" s="211"/>
      <c r="I38" s="210">
        <f>G38*$E$19</f>
        <v>835479.85995765508</v>
      </c>
      <c r="K38" s="210"/>
      <c r="L38" s="281">
        <v>8.4600000000000005E-3</v>
      </c>
      <c r="M38" s="211"/>
      <c r="N38" s="210">
        <f>L38*$E$19</f>
        <v>835479.85995765508</v>
      </c>
    </row>
    <row r="39" spans="1:14" ht="14" x14ac:dyDescent="0.3">
      <c r="A39" s="151">
        <f>IF(B39&lt;&gt;"",COUNTA($B$13:B39),"")</f>
        <v>25</v>
      </c>
      <c r="B39" s="207" t="str">
        <f>'G3 BOST'!B41</f>
        <v>System Benefits Charge</v>
      </c>
      <c r="C39" s="233" t="str">
        <f>'G3 BOST'!C41</f>
        <v>SBC</v>
      </c>
      <c r="D39" s="233"/>
      <c r="E39" s="206"/>
      <c r="F39" s="239"/>
      <c r="G39" s="241">
        <v>2.5000000000000001E-3</v>
      </c>
      <c r="H39" s="211"/>
      <c r="I39" s="210">
        <f>G39*$E$19</f>
        <v>246891.21157141106</v>
      </c>
      <c r="K39" s="210"/>
      <c r="L39" s="281">
        <f>+G39</f>
        <v>2.5000000000000001E-3</v>
      </c>
      <c r="M39" s="211"/>
      <c r="N39" s="210">
        <f>L39*$E$19</f>
        <v>246891.21157141106</v>
      </c>
    </row>
    <row r="40" spans="1:14" ht="14" x14ac:dyDescent="0.3">
      <c r="A40" s="151">
        <f>IF(B40&lt;&gt;"",COUNTA($B$13:B40),"")</f>
        <v>26</v>
      </c>
      <c r="B40" s="207" t="str">
        <f>'G3 BOST'!B42</f>
        <v>Renewable Energy Charge</v>
      </c>
      <c r="C40" s="233" t="str">
        <f>'G3 BOST'!C42</f>
        <v>RNEW</v>
      </c>
      <c r="D40" s="233"/>
      <c r="E40" s="206"/>
      <c r="F40" s="239"/>
      <c r="G40" s="241">
        <v>5.0000000000000001E-4</v>
      </c>
      <c r="H40" s="211"/>
      <c r="I40" s="210">
        <f>G40*$E$19</f>
        <v>49378.242314282208</v>
      </c>
      <c r="K40" s="210"/>
      <c r="L40" s="281">
        <f>+G40</f>
        <v>5.0000000000000001E-4</v>
      </c>
      <c r="M40" s="211"/>
      <c r="N40" s="210">
        <f>L40*$E$19</f>
        <v>49378.242314282208</v>
      </c>
    </row>
    <row r="41" spans="1:14" ht="14" x14ac:dyDescent="0.3">
      <c r="A41" s="151">
        <f>IF(B41&lt;&gt;"",COUNTA($B$13:B41),"")</f>
        <v>27</v>
      </c>
      <c r="B41" s="207" t="str">
        <f>'G3 BOST'!B43</f>
        <v>Basic Service Charge</v>
      </c>
      <c r="C41" s="233" t="str">
        <f>'G3 BOST'!C43</f>
        <v>BS</v>
      </c>
      <c r="D41" s="233"/>
      <c r="E41" s="206"/>
      <c r="F41" s="239"/>
      <c r="G41" s="241">
        <v>0.1326</v>
      </c>
      <c r="H41" s="211"/>
      <c r="I41" s="237">
        <f>G41*$E$19</f>
        <v>13095109.861747641</v>
      </c>
      <c r="K41" s="210"/>
      <c r="L41" s="241">
        <v>0.17265000000000003</v>
      </c>
      <c r="M41" s="211"/>
      <c r="N41" s="237">
        <f>L41*$E$19</f>
        <v>17050307.071121648</v>
      </c>
    </row>
    <row r="42" spans="1:14" ht="14" x14ac:dyDescent="0.3">
      <c r="A42" s="151" t="str">
        <f>IF(B42&lt;&gt;"",COUNTA($B$13:B42),"")</f>
        <v/>
      </c>
      <c r="B42" s="207"/>
      <c r="E42" s="206"/>
      <c r="F42" s="239"/>
      <c r="G42" s="241"/>
      <c r="H42" s="211"/>
      <c r="I42" s="244"/>
      <c r="K42" s="210"/>
      <c r="L42" s="241"/>
      <c r="M42" s="211"/>
      <c r="N42" s="244"/>
    </row>
    <row r="43" spans="1:14" ht="14" x14ac:dyDescent="0.3">
      <c r="A43" s="151">
        <f>IF(B43&lt;&gt;"",COUNTA($B$13:B43),"")</f>
        <v>28</v>
      </c>
      <c r="B43" s="188" t="s">
        <v>46</v>
      </c>
      <c r="E43" s="188"/>
      <c r="G43" s="245" t="s">
        <v>324</v>
      </c>
      <c r="H43" s="246"/>
      <c r="I43" s="154">
        <f>SUM(I16:I42)</f>
        <v>16256213.737050978</v>
      </c>
      <c r="K43" s="247"/>
      <c r="L43" s="245"/>
      <c r="N43" s="154">
        <f>SUM(N16:N42)</f>
        <v>20253417.038028128</v>
      </c>
    </row>
    <row r="44" spans="1:14" ht="14" x14ac:dyDescent="0.3">
      <c r="A44" s="151" t="str">
        <f>IF(B44&lt;&gt;"",COUNTA($B$13:B44),"")</f>
        <v/>
      </c>
      <c r="E44" s="188"/>
      <c r="H44" s="188"/>
      <c r="I44" s="154"/>
      <c r="K44" s="265"/>
      <c r="L44" s="278"/>
      <c r="N44" s="265"/>
    </row>
    <row r="45" spans="1:14" ht="14" x14ac:dyDescent="0.3">
      <c r="A45" s="151">
        <f>IF(B45&lt;&gt;"",COUNTA($B$13:B45),"")</f>
        <v>29</v>
      </c>
      <c r="B45" s="188" t="s">
        <v>46</v>
      </c>
      <c r="E45" s="188"/>
      <c r="G45" s="188"/>
      <c r="H45" s="188"/>
      <c r="I45" s="188"/>
      <c r="J45" s="188"/>
      <c r="L45" s="248" t="s">
        <v>325</v>
      </c>
      <c r="N45" s="160">
        <f>+N43/I43-1</f>
        <v>0.24588771811401378</v>
      </c>
    </row>
    <row r="46" spans="1:14" ht="14" x14ac:dyDescent="0.3">
      <c r="A46" s="151" t="str">
        <f>IF(B46&lt;&gt;"",COUNTA($B$13:B46),"")</f>
        <v/>
      </c>
      <c r="E46" s="188"/>
      <c r="G46" s="188"/>
      <c r="H46" s="188"/>
      <c r="I46" s="188"/>
      <c r="J46" s="188"/>
      <c r="L46" s="248"/>
      <c r="N46" s="160"/>
    </row>
    <row r="47" spans="1:14" ht="14" x14ac:dyDescent="0.3">
      <c r="A47" s="151" t="str">
        <f>IF(B47&lt;&gt;"",COUNTA($B$13:B47),"")</f>
        <v/>
      </c>
      <c r="E47" s="188"/>
      <c r="G47" s="186"/>
      <c r="H47" s="188"/>
      <c r="I47" s="188"/>
      <c r="L47" s="248"/>
      <c r="N47" s="160"/>
    </row>
    <row r="48" spans="1:14" ht="14.5" thickBot="1" x14ac:dyDescent="0.35">
      <c r="A48" s="151">
        <f>IF(B48&lt;&gt;"",COUNTA($B$13:B48),"")</f>
        <v>30</v>
      </c>
      <c r="B48" s="188" t="s">
        <v>46</v>
      </c>
      <c r="E48" s="279" t="s">
        <v>326</v>
      </c>
      <c r="F48" s="135"/>
      <c r="G48" s="280"/>
      <c r="I48" s="279" t="s">
        <v>327</v>
      </c>
      <c r="J48" s="135"/>
      <c r="L48" s="279" t="s">
        <v>328</v>
      </c>
      <c r="M48" s="135"/>
      <c r="N48" s="137"/>
    </row>
    <row r="49" spans="1:14" ht="14" x14ac:dyDescent="0.3">
      <c r="A49" s="151">
        <f>IF(B49&lt;&gt;"",COUNTA($B$13:B49),"")</f>
        <v>31</v>
      </c>
      <c r="B49" s="144" t="s">
        <v>329</v>
      </c>
      <c r="C49" s="144"/>
      <c r="D49" s="144"/>
      <c r="E49" s="249" t="s">
        <v>148</v>
      </c>
      <c r="F49" s="250"/>
      <c r="G49" s="251" t="s">
        <v>330</v>
      </c>
      <c r="I49" s="249" t="s">
        <v>148</v>
      </c>
      <c r="J49" s="251" t="s">
        <v>330</v>
      </c>
      <c r="K49" s="212"/>
      <c r="L49" s="249" t="s">
        <v>148</v>
      </c>
      <c r="M49" s="252"/>
      <c r="N49" s="251" t="s">
        <v>330</v>
      </c>
    </row>
    <row r="50" spans="1:14" ht="14" x14ac:dyDescent="0.3">
      <c r="A50" s="151">
        <f>IF(B50&lt;&gt;"",COUNTA($B$13:B50),"")</f>
        <v>32</v>
      </c>
      <c r="B50" s="130" t="str">
        <f>'G3 BOST'!B52</f>
        <v>Distribution</v>
      </c>
      <c r="C50" s="253" t="str">
        <f>'G3 BOST'!C52</f>
        <v>DIST</v>
      </c>
      <c r="D50" s="253"/>
      <c r="E50" s="154">
        <f t="shared" ref="E50:E65" si="3">SUMIF($C$13:$C$41,$C50,$I$13:$I$41)</f>
        <v>1770.1381571865154</v>
      </c>
      <c r="G50" s="254">
        <f>+E50/($E$19+E15)*100</f>
        <v>1.792427265758019E-3</v>
      </c>
      <c r="I50" s="154">
        <f t="shared" ref="I50:I65" si="4">SUMIF($C$13:$C$41,$C50,$N$13:$N$41)</f>
        <v>1770.1381571865154</v>
      </c>
      <c r="J50" s="254">
        <f>+IF(E15=0,I50/E19,I50/$E$15*100)</f>
        <v>1.7924272657580189E-5</v>
      </c>
      <c r="L50" s="154">
        <f t="shared" ref="L50:L70" si="5">I50-E50</f>
        <v>0</v>
      </c>
      <c r="N50" s="254">
        <f>+J50-G50</f>
        <v>-1.7745029931004388E-3</v>
      </c>
    </row>
    <row r="51" spans="1:14" ht="14" x14ac:dyDescent="0.3">
      <c r="A51" s="151">
        <f>IF(B51&lt;&gt;"",COUNTA($B$13:B51),"")</f>
        <v>33</v>
      </c>
      <c r="B51" s="130" t="str">
        <f>'G3 BOST'!B53</f>
        <v>Revenue Decoupling</v>
      </c>
      <c r="C51" s="253" t="str">
        <f>'G3 BOST'!C53</f>
        <v>RDAF</v>
      </c>
      <c r="D51" s="253"/>
      <c r="E51" s="154">
        <f t="shared" si="3"/>
        <v>0</v>
      </c>
      <c r="G51" s="254">
        <f t="shared" ref="G51:G71" si="6">+E51/$E$19*100</f>
        <v>0</v>
      </c>
      <c r="I51" s="154">
        <f t="shared" si="4"/>
        <v>-23702.630961008417</v>
      </c>
      <c r="J51" s="254">
        <f t="shared" ref="J51:J71" si="7">+I51/$E$19*100</f>
        <v>-2.4001088181861679E-2</v>
      </c>
      <c r="L51" s="154">
        <f>I51-E51</f>
        <v>-23702.630961008417</v>
      </c>
      <c r="N51" s="254">
        <f t="shared" ref="N51:N70" si="8">+L51/($E$19)*100</f>
        <v>-2.4001088181861679E-2</v>
      </c>
    </row>
    <row r="52" spans="1:14" ht="14" x14ac:dyDescent="0.3">
      <c r="A52" s="151">
        <f>IF(B52&lt;&gt;"",COUNTA($B$13:B52),"")</f>
        <v>34</v>
      </c>
      <c r="B52" s="130" t="str">
        <f>'G3 BOST'!B54</f>
        <v>Residential Assistance Adjustment Factor</v>
      </c>
      <c r="C52" s="253" t="str">
        <f>'G3 BOST'!C54</f>
        <v>RAAF</v>
      </c>
      <c r="D52" s="253"/>
      <c r="E52" s="154">
        <f t="shared" si="3"/>
        <v>145172.0324039897</v>
      </c>
      <c r="G52" s="254">
        <f t="shared" si="6"/>
        <v>0.14699999999999999</v>
      </c>
      <c r="I52" s="154">
        <f t="shared" si="4"/>
        <v>200246.20101813046</v>
      </c>
      <c r="J52" s="254">
        <f t="shared" si="7"/>
        <v>0.20276764788791507</v>
      </c>
      <c r="L52" s="154">
        <f t="shared" si="5"/>
        <v>55074.16861414077</v>
      </c>
      <c r="N52" s="254">
        <f t="shared" si="8"/>
        <v>5.5767647887915064E-2</v>
      </c>
    </row>
    <row r="53" spans="1:14" ht="14" x14ac:dyDescent="0.3">
      <c r="A53" s="151">
        <f>IF(B53&lt;&gt;"",COUNTA($B$13:B53),"")</f>
        <v>35</v>
      </c>
      <c r="B53" s="130" t="str">
        <f>'G3 BOST'!B55</f>
        <v>Pension Adjustment Factor</v>
      </c>
      <c r="C53" s="253" t="str">
        <f>'G3 BOST'!C55</f>
        <v>PAF</v>
      </c>
      <c r="D53" s="253"/>
      <c r="E53" s="154">
        <f t="shared" si="3"/>
        <v>-2962.6945388569325</v>
      </c>
      <c r="G53" s="254">
        <f t="shared" si="6"/>
        <v>-3.0000000000000001E-3</v>
      </c>
      <c r="I53" s="154">
        <f t="shared" si="4"/>
        <v>29271.782623524665</v>
      </c>
      <c r="J53" s="254">
        <f t="shared" si="7"/>
        <v>2.9640365119940761E-2</v>
      </c>
      <c r="L53" s="154">
        <f t="shared" si="5"/>
        <v>32234.477162381598</v>
      </c>
      <c r="N53" s="254">
        <f t="shared" si="8"/>
        <v>3.2640365119940763E-2</v>
      </c>
    </row>
    <row r="54" spans="1:14" ht="14" x14ac:dyDescent="0.3">
      <c r="A54" s="151">
        <f>IF(B54&lt;&gt;"",COUNTA($B$13:B54),"")</f>
        <v>36</v>
      </c>
      <c r="B54" s="130" t="str">
        <f>'G3 BOST'!B56</f>
        <v>Net Metering Recovery Surcharge</v>
      </c>
      <c r="C54" s="253" t="str">
        <f>'G3 BOST'!C56</f>
        <v>NMRS</v>
      </c>
      <c r="D54" s="253"/>
      <c r="E54" s="154">
        <f t="shared" si="3"/>
        <v>286393.8054228368</v>
      </c>
      <c r="G54" s="254">
        <f t="shared" si="6"/>
        <v>0.28999999999999998</v>
      </c>
      <c r="I54" s="154">
        <f t="shared" si="4"/>
        <v>261104.98359574311</v>
      </c>
      <c r="J54" s="254">
        <f t="shared" si="7"/>
        <v>0.26439274805881541</v>
      </c>
      <c r="L54" s="154">
        <f t="shared" si="5"/>
        <v>-25288.821827093692</v>
      </c>
      <c r="N54" s="254">
        <f t="shared" si="8"/>
        <v>-2.5607251941184562E-2</v>
      </c>
    </row>
    <row r="55" spans="1:14" ht="14" x14ac:dyDescent="0.3">
      <c r="A55" s="151">
        <f>IF(B55&lt;&gt;"",COUNTA($B$13:B55),"")</f>
        <v>37</v>
      </c>
      <c r="B55" s="130" t="str">
        <f>'G3 BOST'!B57</f>
        <v>Long Term Renewable Contract Adjustment</v>
      </c>
      <c r="C55" s="253" t="str">
        <f>'G3 BOST'!C57</f>
        <v>LTRCA</v>
      </c>
      <c r="D55" s="253"/>
      <c r="E55" s="154">
        <f t="shared" si="3"/>
        <v>233065.30372341204</v>
      </c>
      <c r="G55" s="254">
        <f t="shared" si="6"/>
        <v>0.23600000000000002</v>
      </c>
      <c r="I55" s="154">
        <f t="shared" si="4"/>
        <v>171412.90217619675</v>
      </c>
      <c r="J55" s="254">
        <f t="shared" si="7"/>
        <v>0.17357128782064518</v>
      </c>
      <c r="L55" s="154">
        <f t="shared" si="5"/>
        <v>-61652.401547215297</v>
      </c>
      <c r="N55" s="254">
        <f t="shared" si="8"/>
        <v>-6.2428712179354848E-2</v>
      </c>
    </row>
    <row r="56" spans="1:14" ht="14" x14ac:dyDescent="0.3">
      <c r="A56" s="151">
        <f>IF(B56&lt;&gt;"",COUNTA($B$13:B56),"")</f>
        <v>38</v>
      </c>
      <c r="B56" s="130" t="str">
        <f>'G3 BOST'!B58</f>
        <v>AG Consulting Expense</v>
      </c>
      <c r="C56" s="253" t="str">
        <f>'G3 BOST'!C58</f>
        <v>AGCE</v>
      </c>
      <c r="D56" s="253"/>
      <c r="E56" s="154">
        <f t="shared" si="3"/>
        <v>1975.1296925712886</v>
      </c>
      <c r="G56" s="254">
        <f t="shared" si="6"/>
        <v>2E-3</v>
      </c>
      <c r="I56" s="154">
        <f t="shared" si="4"/>
        <v>420.44232402852441</v>
      </c>
      <c r="J56" s="254">
        <f t="shared" si="7"/>
        <v>4.2573642187635678E-4</v>
      </c>
      <c r="L56" s="154">
        <f t="shared" si="5"/>
        <v>-1554.6873685427643</v>
      </c>
      <c r="N56" s="254">
        <f t="shared" si="8"/>
        <v>-1.5742635781236438E-3</v>
      </c>
    </row>
    <row r="57" spans="1:14" ht="14" x14ac:dyDescent="0.3">
      <c r="A57" s="151">
        <f>IF(B57&lt;&gt;"",COUNTA($B$13:B57),"")</f>
        <v>39</v>
      </c>
      <c r="B57" s="130" t="str">
        <f>'G3 BOST'!B59</f>
        <v>Storm Cost Recovery Adjustment Factor</v>
      </c>
      <c r="C57" s="253" t="str">
        <f>'G3 BOST'!C59</f>
        <v>SCRA</v>
      </c>
      <c r="D57" s="253"/>
      <c r="E57" s="154">
        <f t="shared" si="3"/>
        <v>89868.401011993614</v>
      </c>
      <c r="G57" s="254">
        <f t="shared" si="6"/>
        <v>9.0999999999999984E-2</v>
      </c>
      <c r="I57" s="154">
        <f t="shared" si="4"/>
        <v>151763.49441959002</v>
      </c>
      <c r="J57" s="254">
        <f t="shared" si="7"/>
        <v>0.15367445995105197</v>
      </c>
      <c r="L57" s="154">
        <f>I57-E57</f>
        <v>61895.093407596403</v>
      </c>
      <c r="N57" s="254">
        <f t="shared" si="8"/>
        <v>6.2674459951051975E-2</v>
      </c>
    </row>
    <row r="58" spans="1:14" ht="14" x14ac:dyDescent="0.3">
      <c r="A58" s="151">
        <f>IF(B58&lt;&gt;"",COUNTA($B$13:B58),"")</f>
        <v>40</v>
      </c>
      <c r="B58" s="130" t="str">
        <f>'G3 BOST'!B60</f>
        <v>Storm Reserve Adjustment</v>
      </c>
      <c r="C58" s="253" t="str">
        <f>'G3 BOST'!C60</f>
        <v>SRA</v>
      </c>
      <c r="D58" s="253"/>
      <c r="E58" s="154">
        <f t="shared" si="3"/>
        <v>0</v>
      </c>
      <c r="G58" s="254">
        <f t="shared" si="6"/>
        <v>0</v>
      </c>
      <c r="I58" s="154">
        <f t="shared" si="4"/>
        <v>0</v>
      </c>
      <c r="J58" s="254">
        <f t="shared" si="7"/>
        <v>0</v>
      </c>
      <c r="L58" s="154">
        <f>I58-E58</f>
        <v>0</v>
      </c>
      <c r="N58" s="254">
        <f t="shared" si="8"/>
        <v>0</v>
      </c>
    </row>
    <row r="59" spans="1:14" ht="14" x14ac:dyDescent="0.3">
      <c r="A59" s="151">
        <f>IF(B59&lt;&gt;"",COUNTA($B$13:B59),"")</f>
        <v>41</v>
      </c>
      <c r="B59" s="130" t="str">
        <f>'G3 BOST'!B61</f>
        <v>Basic Service Cost True Up Factor</v>
      </c>
      <c r="C59" s="253" t="str">
        <f>'G3 BOST'!C61</f>
        <v>BSTF</v>
      </c>
      <c r="D59" s="253"/>
      <c r="E59" s="154">
        <f t="shared" si="3"/>
        <v>77030.058010280249</v>
      </c>
      <c r="G59" s="254">
        <f t="shared" si="6"/>
        <v>7.8E-2</v>
      </c>
      <c r="I59" s="154">
        <f t="shared" si="4"/>
        <v>-9936.7071890223197</v>
      </c>
      <c r="J59" s="254">
        <f t="shared" si="7"/>
        <v>-1.0061827561395616E-2</v>
      </c>
      <c r="L59" s="154">
        <f t="shared" ref="L59:L65" si="9">I59-E59</f>
        <v>-86966.765199302565</v>
      </c>
      <c r="N59" s="254">
        <f t="shared" si="8"/>
        <v>-8.806182756139562E-2</v>
      </c>
    </row>
    <row r="60" spans="1:14" ht="14" x14ac:dyDescent="0.3">
      <c r="A60" s="151">
        <f>IF(B60&lt;&gt;"",COUNTA($B$13:B60),"")</f>
        <v>42</v>
      </c>
      <c r="B60" s="130" t="str">
        <f>'G3 BOST'!B62</f>
        <v>Solar Program Cost Adjustment Factor</v>
      </c>
      <c r="C60" s="253" t="str">
        <f>'G3 BOST'!C62</f>
        <v>SPCA</v>
      </c>
      <c r="D60" s="253"/>
      <c r="E60" s="154">
        <f t="shared" si="3"/>
        <v>0</v>
      </c>
      <c r="G60" s="254">
        <f t="shared" si="6"/>
        <v>0</v>
      </c>
      <c r="I60" s="154">
        <f t="shared" si="4"/>
        <v>1768.3813015720671</v>
      </c>
      <c r="J60" s="254">
        <f t="shared" si="7"/>
        <v>1.7906482882852422E-3</v>
      </c>
      <c r="L60" s="154">
        <f t="shared" si="9"/>
        <v>1768.3813015720671</v>
      </c>
      <c r="N60" s="254">
        <f t="shared" si="8"/>
        <v>1.7906482882852422E-3</v>
      </c>
    </row>
    <row r="61" spans="1:14" ht="14" x14ac:dyDescent="0.3">
      <c r="A61" s="151">
        <f>IF(B61&lt;&gt;"",COUNTA($B$13:B61),"")</f>
        <v>43</v>
      </c>
      <c r="B61" s="130" t="str">
        <f>'G3 BOST'!B63</f>
        <v>Solar Expansion Cost Recovery Factor</v>
      </c>
      <c r="C61" s="253" t="str">
        <f>'G3 BOST'!C63</f>
        <v>SECRF</v>
      </c>
      <c r="D61" s="253"/>
      <c r="E61" s="154">
        <f t="shared" si="3"/>
        <v>0</v>
      </c>
      <c r="G61" s="254">
        <f t="shared" si="6"/>
        <v>0</v>
      </c>
      <c r="I61" s="154">
        <f t="shared" si="4"/>
        <v>31190.200588050724</v>
      </c>
      <c r="J61" s="254">
        <f t="shared" si="7"/>
        <v>3.1582939292909222E-2</v>
      </c>
      <c r="L61" s="154">
        <f t="shared" si="9"/>
        <v>31190.200588050724</v>
      </c>
      <c r="N61" s="254">
        <f t="shared" si="8"/>
        <v>3.1582939292909222E-2</v>
      </c>
    </row>
    <row r="62" spans="1:14" ht="14" x14ac:dyDescent="0.3">
      <c r="A62" s="151">
        <f>IF(B62&lt;&gt;"",COUNTA($B$13:B62),"")</f>
        <v>44</v>
      </c>
      <c r="B62" s="130" t="str">
        <f>'G3 BOST'!B64</f>
        <v>Vegetation Management</v>
      </c>
      <c r="C62" s="253" t="str">
        <f>'G3 BOST'!C64</f>
        <v>RTWF</v>
      </c>
      <c r="D62" s="253"/>
      <c r="E62" s="154">
        <f t="shared" si="3"/>
        <v>0</v>
      </c>
      <c r="G62" s="254">
        <f t="shared" si="6"/>
        <v>0</v>
      </c>
      <c r="I62" s="154">
        <f t="shared" si="4"/>
        <v>52406.384297268502</v>
      </c>
      <c r="J62" s="254">
        <f t="shared" si="7"/>
        <v>5.3066271540927683E-2</v>
      </c>
      <c r="L62" s="154">
        <f t="shared" si="9"/>
        <v>52406.384297268502</v>
      </c>
      <c r="N62" s="254">
        <f t="shared" si="8"/>
        <v>5.3066271540927683E-2</v>
      </c>
    </row>
    <row r="63" spans="1:14" ht="14" x14ac:dyDescent="0.3">
      <c r="A63" s="151">
        <f>IF(B63&lt;&gt;"",COUNTA($B$13:B63),"")</f>
        <v>45</v>
      </c>
      <c r="B63" s="130" t="str">
        <f>'G3 BOST'!B65</f>
        <v>Solar Massachusetts Renewable Target</v>
      </c>
      <c r="C63" s="253" t="str">
        <f>'G3 BOST'!C65</f>
        <v>SMART</v>
      </c>
      <c r="D63" s="253"/>
      <c r="E63" s="154">
        <f t="shared" si="3"/>
        <v>0</v>
      </c>
      <c r="G63" s="254">
        <f t="shared" si="6"/>
        <v>0</v>
      </c>
      <c r="I63" s="154">
        <f t="shared" si="4"/>
        <v>36543.696861780772</v>
      </c>
      <c r="J63" s="254">
        <f t="shared" si="7"/>
        <v>3.7003845366940936E-2</v>
      </c>
      <c r="L63" s="154">
        <f t="shared" si="9"/>
        <v>36543.696861780772</v>
      </c>
      <c r="N63" s="254">
        <f t="shared" si="8"/>
        <v>3.7003845366940936E-2</v>
      </c>
    </row>
    <row r="64" spans="1:14" ht="14" x14ac:dyDescent="0.3">
      <c r="A64" s="151">
        <f>IF(B64&lt;&gt;"",COUNTA($B$13:B64),"")</f>
        <v>46</v>
      </c>
      <c r="B64" s="130" t="str">
        <f>'G3 BOST'!B66</f>
        <v>Tax Act Credit Factor</v>
      </c>
      <c r="C64" s="253" t="str">
        <f>'G3 BOST'!C66</f>
        <v>TACF</v>
      </c>
      <c r="D64" s="253"/>
      <c r="E64" s="154">
        <f t="shared" si="3"/>
        <v>0</v>
      </c>
      <c r="G64" s="254">
        <f t="shared" si="6"/>
        <v>0</v>
      </c>
      <c r="I64" s="154">
        <f t="shared" si="4"/>
        <v>-55321.052120524015</v>
      </c>
      <c r="J64" s="254">
        <f t="shared" si="7"/>
        <v>-5.6017640085705221E-2</v>
      </c>
      <c r="L64" s="154">
        <f t="shared" si="9"/>
        <v>-55321.052120524015</v>
      </c>
      <c r="N64" s="254">
        <f t="shared" si="8"/>
        <v>-5.6017640085705221E-2</v>
      </c>
    </row>
    <row r="65" spans="1:14" ht="14" x14ac:dyDescent="0.3">
      <c r="A65" s="151">
        <f>IF(B65&lt;&gt;"",COUNTA($B$13:B65),"")</f>
        <v>47</v>
      </c>
      <c r="B65" s="130" t="str">
        <f>'G3 BOST'!B67</f>
        <v>Transition</v>
      </c>
      <c r="C65" s="253" t="str">
        <f>'G3 BOST'!C67</f>
        <v>TRNSN</v>
      </c>
      <c r="D65" s="253"/>
      <c r="E65" s="154">
        <f t="shared" si="3"/>
        <v>-60241.455623424292</v>
      </c>
      <c r="G65" s="254">
        <f t="shared" si="6"/>
        <v>-6.0999999999999999E-2</v>
      </c>
      <c r="I65" s="154">
        <f t="shared" si="4"/>
        <v>-51461.333981964563</v>
      </c>
      <c r="J65" s="254">
        <f t="shared" si="7"/>
        <v>-5.2109321403568713E-2</v>
      </c>
      <c r="L65" s="154">
        <f t="shared" si="9"/>
        <v>8780.1216414597293</v>
      </c>
      <c r="N65" s="254">
        <f t="shared" si="8"/>
        <v>8.8906785964312854E-3</v>
      </c>
    </row>
    <row r="66" spans="1:14" ht="14" x14ac:dyDescent="0.3">
      <c r="A66" s="151">
        <f>IF(B66&lt;&gt;"",COUNTA($B$13:B66),"")</f>
        <v>48</v>
      </c>
      <c r="B66" s="130" t="str">
        <f>'G3 BOST'!B68</f>
        <v>Transmission</v>
      </c>
      <c r="C66" s="253" t="str">
        <f>'G3 BOST'!C68</f>
        <v>TRNSM</v>
      </c>
      <c r="D66" s="253"/>
      <c r="E66" s="154">
        <f>SUM(SUMIF($C$13:$C$41,{"TMKW","TMKWH"},$I$13:$I$41))</f>
        <v>1257283.8431999998</v>
      </c>
      <c r="G66" s="254">
        <f t="shared" si="6"/>
        <v>1.2731152267406061</v>
      </c>
      <c r="I66" s="154">
        <f>SUM(SUMIF($C$13:$C$41,{"TMKW","TMKWH"},$N$13:$N$41))</f>
        <v>1273883.7699525799</v>
      </c>
      <c r="J66" s="254">
        <f t="shared" si="7"/>
        <v>1.2899241753529576</v>
      </c>
      <c r="L66" s="154">
        <f t="shared" si="5"/>
        <v>16599.926752580097</v>
      </c>
      <c r="N66" s="254">
        <f t="shared" si="8"/>
        <v>1.6808948612351396E-2</v>
      </c>
    </row>
    <row r="67" spans="1:14" ht="14" x14ac:dyDescent="0.3">
      <c r="A67" s="151">
        <f>IF(B67&lt;&gt;"",COUNTA($B$13:B67),"")</f>
        <v>49</v>
      </c>
      <c r="B67" s="130" t="str">
        <f>'G3 BOST'!B69</f>
        <v>Energy Efficiency Reconciliation Factor</v>
      </c>
      <c r="C67" s="253" t="str">
        <f>'G3 BOST'!C69</f>
        <v>EERF</v>
      </c>
      <c r="D67" s="253"/>
      <c r="E67" s="154">
        <f>SUMIF($C$13:$C$41,$C67,$I$13:$I$41)</f>
        <v>835479.85995765508</v>
      </c>
      <c r="G67" s="254">
        <f t="shared" si="6"/>
        <v>0.84600000000000009</v>
      </c>
      <c r="I67" s="154">
        <f>SUMIF($C$13:$C$41,$C67,$N$13:$N$41)</f>
        <v>835479.85995765508</v>
      </c>
      <c r="J67" s="254">
        <f t="shared" si="7"/>
        <v>0.84600000000000009</v>
      </c>
      <c r="L67" s="154">
        <f t="shared" si="5"/>
        <v>0</v>
      </c>
      <c r="N67" s="254">
        <f t="shared" si="8"/>
        <v>0</v>
      </c>
    </row>
    <row r="68" spans="1:14" ht="14" x14ac:dyDescent="0.3">
      <c r="A68" s="151">
        <f>IF(B68&lt;&gt;"",COUNTA($B$13:B68),"")</f>
        <v>50</v>
      </c>
      <c r="B68" s="130" t="str">
        <f>'G3 BOST'!B70</f>
        <v>System Benefits Charge</v>
      </c>
      <c r="C68" s="253" t="str">
        <f>'G3 BOST'!C70</f>
        <v>SBC</v>
      </c>
      <c r="D68" s="253"/>
      <c r="E68" s="154">
        <f>SUMIF($C$13:$C$41,$C68,$I$13:$I$41)</f>
        <v>246891.21157141106</v>
      </c>
      <c r="G68" s="254">
        <f t="shared" si="6"/>
        <v>0.25</v>
      </c>
      <c r="I68" s="154">
        <f>SUMIF($C$13:$C$41,$C68,$N$13:$N$41)</f>
        <v>246891.21157141106</v>
      </c>
      <c r="J68" s="254">
        <f t="shared" si="7"/>
        <v>0.25</v>
      </c>
      <c r="L68" s="154">
        <f t="shared" si="5"/>
        <v>0</v>
      </c>
      <c r="N68" s="254">
        <f t="shared" si="8"/>
        <v>0</v>
      </c>
    </row>
    <row r="69" spans="1:14" ht="14" x14ac:dyDescent="0.3">
      <c r="A69" s="151">
        <f>IF(B69&lt;&gt;"",COUNTA($B$13:B69),"")</f>
        <v>51</v>
      </c>
      <c r="B69" s="130" t="str">
        <f>'G3 BOST'!B71</f>
        <v>Renewable Energy Charge</v>
      </c>
      <c r="C69" s="253" t="str">
        <f>'G3 BOST'!C71</f>
        <v>RNEW</v>
      </c>
      <c r="D69" s="253"/>
      <c r="E69" s="154">
        <f>SUMIF($C$13:$C$41,$C69,$I$13:$I$41)</f>
        <v>49378.242314282208</v>
      </c>
      <c r="G69" s="254">
        <f t="shared" si="6"/>
        <v>0.05</v>
      </c>
      <c r="I69" s="154">
        <f>SUMIF($C$13:$C$41,$C69,$N$13:$N$41)</f>
        <v>49378.242314282208</v>
      </c>
      <c r="J69" s="254">
        <f t="shared" si="7"/>
        <v>0.05</v>
      </c>
      <c r="L69" s="154">
        <f>I69-E69</f>
        <v>0</v>
      </c>
      <c r="N69" s="254">
        <f t="shared" si="8"/>
        <v>0</v>
      </c>
    </row>
    <row r="70" spans="1:14" ht="14" x14ac:dyDescent="0.3">
      <c r="A70" s="151">
        <f>IF(B70&lt;&gt;"",COUNTA($B$13:B70),"")</f>
        <v>52</v>
      </c>
      <c r="B70" s="130" t="str">
        <f>'G3 BOST'!B72</f>
        <v>Basic Service Charge</v>
      </c>
      <c r="C70" s="253" t="str">
        <f>'G3 BOST'!C72</f>
        <v>BS</v>
      </c>
      <c r="D70" s="253"/>
      <c r="E70" s="255">
        <f>SUMIF($C$13:$C$41,$C70,$I$13:$I$41)</f>
        <v>13095109.861747641</v>
      </c>
      <c r="F70" s="256"/>
      <c r="G70" s="257">
        <f t="shared" si="6"/>
        <v>13.26</v>
      </c>
      <c r="H70" s="258"/>
      <c r="I70" s="255">
        <f>SUMIF($C$13:$C$41,$C70,$N$13:$N$41)</f>
        <v>17050307.071121648</v>
      </c>
      <c r="J70" s="257">
        <f t="shared" si="7"/>
        <v>17.265000000000004</v>
      </c>
      <c r="K70" s="255"/>
      <c r="L70" s="255">
        <f t="shared" si="5"/>
        <v>3955197.2093740068</v>
      </c>
      <c r="M70" s="259"/>
      <c r="N70" s="257">
        <f t="shared" si="8"/>
        <v>4.0050000000000017</v>
      </c>
    </row>
    <row r="71" spans="1:14" ht="14" x14ac:dyDescent="0.3">
      <c r="A71" s="151">
        <f>IF(B71&lt;&gt;"",COUNTA($B$13:B71),"")</f>
        <v>53</v>
      </c>
      <c r="B71" s="130" t="str">
        <f>'G3 BOST'!B73</f>
        <v>Total</v>
      </c>
      <c r="C71" s="130"/>
      <c r="D71" s="130"/>
      <c r="E71" s="154">
        <f>SUM(E50:E70)</f>
        <v>16256213.737050978</v>
      </c>
      <c r="G71" s="254">
        <f t="shared" si="6"/>
        <v>16.460907654006363</v>
      </c>
      <c r="I71" s="154">
        <f>SUM(I50:I70)</f>
        <v>20253417.038028128</v>
      </c>
      <c r="J71" s="254">
        <f t="shared" si="7"/>
        <v>20.508442675135495</v>
      </c>
      <c r="L71" s="154">
        <f>SUM(L50:L70)</f>
        <v>3997203.3009771509</v>
      </c>
      <c r="N71" s="254">
        <f>+L71/($E$19)*100</f>
        <v>4.0475350211291303</v>
      </c>
    </row>
    <row r="72" spans="1:14" ht="14" x14ac:dyDescent="0.3">
      <c r="A72" s="151" t="str">
        <f>IF(B72&lt;&gt;"",COUNTA($B$10:B72),"")</f>
        <v/>
      </c>
    </row>
    <row r="73" spans="1:14" ht="14" x14ac:dyDescent="0.3">
      <c r="A73" s="151"/>
      <c r="B73" s="256" t="s">
        <v>164</v>
      </c>
      <c r="E73" s="188"/>
      <c r="G73" s="188"/>
      <c r="H73" s="188"/>
      <c r="I73" s="188"/>
      <c r="J73" s="188"/>
      <c r="K73" s="188"/>
      <c r="L73" s="188"/>
      <c r="M73" s="188"/>
      <c r="N73" s="188"/>
    </row>
    <row r="74" spans="1:14" ht="14" x14ac:dyDescent="0.3">
      <c r="A74" s="151"/>
      <c r="B74" s="130" t="str">
        <f>'G3 BOST'!B76</f>
        <v>Col. (a): Company's forecast</v>
      </c>
    </row>
    <row r="75" spans="1:14" ht="14" x14ac:dyDescent="0.3">
      <c r="A75" s="151"/>
      <c r="B75" s="130" t="str">
        <f>'G3 BOST'!B77</f>
        <v>Col. (b): Current rates</v>
      </c>
    </row>
    <row r="76" spans="1:14" ht="14" x14ac:dyDescent="0.3">
      <c r="A76" s="151"/>
      <c r="B76" s="130" t="str">
        <f>'G3 BOST'!B78</f>
        <v>Col. (c): Col. (a) x Col. (b)</v>
      </c>
    </row>
    <row r="77" spans="1:14" ht="14" x14ac:dyDescent="0.3">
      <c r="A77" s="151"/>
      <c r="B77" s="130" t="str">
        <f>'G3 BOST'!B79</f>
        <v>Col. (e): Proposed rates</v>
      </c>
    </row>
    <row r="78" spans="1:14" ht="14" x14ac:dyDescent="0.3">
      <c r="A78" s="151"/>
      <c r="B78" s="188" t="s">
        <v>423</v>
      </c>
    </row>
  </sheetData>
  <mergeCells count="6">
    <mergeCell ref="A4:N4"/>
    <mergeCell ref="A5:N5"/>
    <mergeCell ref="A7:N7"/>
    <mergeCell ref="A8:N8"/>
    <mergeCell ref="G10:I10"/>
    <mergeCell ref="L10:N10"/>
  </mergeCells>
  <pageMargins left="0.7" right="0.7" top="0.75" bottom="0.75" header="0.3" footer="0.3"/>
  <pageSetup scale="63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7D33A-1A32-44EB-8BCD-1F14103ED425}">
  <sheetPr>
    <tabColor theme="9" tint="0.59999389629810485"/>
    <pageSetUpPr fitToPage="1"/>
  </sheetPr>
  <dimension ref="A3:N74"/>
  <sheetViews>
    <sheetView workbookViewId="0"/>
  </sheetViews>
  <sheetFormatPr defaultRowHeight="12.5" x14ac:dyDescent="0.25"/>
  <cols>
    <col min="1" max="1" width="3.26953125" bestFit="1" customWidth="1"/>
    <col min="2" max="2" width="41.1796875" customWidth="1"/>
    <col min="3" max="3" width="8.81640625" bestFit="1" customWidth="1"/>
    <col min="4" max="4" width="1.26953125" customWidth="1"/>
    <col min="5" max="5" width="13.7265625" bestFit="1" customWidth="1"/>
    <col min="6" max="6" width="1.26953125" customWidth="1"/>
    <col min="7" max="7" width="12.7265625" customWidth="1"/>
    <col min="8" max="8" width="1.26953125" customWidth="1"/>
    <col min="9" max="9" width="12" bestFit="1" customWidth="1"/>
    <col min="11" max="11" width="1.26953125" customWidth="1"/>
    <col min="12" max="12" width="12.7265625" customWidth="1"/>
    <col min="13" max="13" width="1.26953125" customWidth="1"/>
    <col min="14" max="14" width="12" bestFit="1" customWidth="1"/>
  </cols>
  <sheetData>
    <row r="3" spans="1:14" ht="14" x14ac:dyDescent="0.3">
      <c r="A3" s="268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</row>
    <row r="4" spans="1:14" ht="14" x14ac:dyDescent="0.3">
      <c r="A4" s="748" t="str">
        <f>'R1 EMA'!A4:N4</f>
        <v>Eastern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4" ht="14" x14ac:dyDescent="0.3">
      <c r="A5" s="748" t="str">
        <f>'R1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4" ht="14" x14ac:dyDescent="0.3">
      <c r="A6" s="205"/>
      <c r="C6" s="205"/>
      <c r="D6" s="205"/>
      <c r="E6" s="206"/>
      <c r="F6" s="207"/>
      <c r="G6" s="208"/>
      <c r="H6" s="209"/>
      <c r="I6" s="210"/>
      <c r="J6" s="210"/>
      <c r="K6" s="210"/>
      <c r="L6" s="211"/>
      <c r="M6" s="211"/>
      <c r="N6" s="212"/>
    </row>
    <row r="7" spans="1:14" ht="14" x14ac:dyDescent="0.3">
      <c r="A7" s="748" t="s">
        <v>424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4" ht="14" x14ac:dyDescent="0.3">
      <c r="A8" s="748" t="s">
        <v>425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4" ht="14" x14ac:dyDescent="0.3">
      <c r="B9" s="207"/>
      <c r="C9" s="207"/>
      <c r="D9" s="207"/>
      <c r="E9" s="213"/>
      <c r="F9" s="207"/>
      <c r="I9" s="210"/>
      <c r="J9" s="210"/>
      <c r="K9" s="210"/>
      <c r="L9" s="214"/>
      <c r="M9" s="214"/>
      <c r="N9" s="215"/>
    </row>
    <row r="10" spans="1:14" ht="14.5" thickBot="1" x14ac:dyDescent="0.35">
      <c r="A10" s="151"/>
      <c r="B10" s="216" t="s">
        <v>46</v>
      </c>
      <c r="C10" s="216"/>
      <c r="D10" s="216"/>
      <c r="E10" s="217" t="s">
        <v>144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4" ht="14" x14ac:dyDescent="0.3">
      <c r="A11" s="151"/>
      <c r="B11" s="219" t="s">
        <v>293</v>
      </c>
      <c r="C11" s="220" t="s">
        <v>294</v>
      </c>
      <c r="D11" s="220"/>
      <c r="E11" s="221" t="s">
        <v>295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4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4" ht="14" x14ac:dyDescent="0.3">
      <c r="A13" s="151">
        <f>IF(B13&lt;&gt;"",COUNTA($B$13:B13),"")</f>
        <v>1</v>
      </c>
      <c r="B13" s="232" t="s">
        <v>296</v>
      </c>
      <c r="C13" s="233" t="s">
        <v>297</v>
      </c>
      <c r="D13" s="233"/>
      <c r="E13" s="234">
        <v>65874.242262828629</v>
      </c>
      <c r="F13" s="207"/>
      <c r="G13" s="209">
        <v>5</v>
      </c>
      <c r="H13" s="209"/>
      <c r="I13" s="210">
        <f>G13*E13</f>
        <v>329371.21131414315</v>
      </c>
      <c r="J13" s="235"/>
      <c r="K13" s="210"/>
      <c r="L13" s="209">
        <v>5</v>
      </c>
      <c r="M13" s="211"/>
      <c r="N13" s="210">
        <f>L13*E13</f>
        <v>329371.21131414315</v>
      </c>
    </row>
    <row r="14" spans="1:14" ht="14" x14ac:dyDescent="0.3">
      <c r="A14" s="151">
        <f>IF(B14&lt;&gt;"",COUNTA($B$13:B14),"")</f>
        <v>2</v>
      </c>
      <c r="B14" s="207" t="s">
        <v>298</v>
      </c>
      <c r="C14" s="233" t="s">
        <v>299</v>
      </c>
      <c r="D14" s="233"/>
      <c r="E14" s="234">
        <v>38388378.771134883</v>
      </c>
      <c r="F14" s="207"/>
      <c r="G14" s="236">
        <v>3.3000000000000002E-2</v>
      </c>
      <c r="H14" s="209"/>
      <c r="I14" s="237">
        <f t="shared" ref="I14" si="0">G14*E14</f>
        <v>1266816.4994474512</v>
      </c>
      <c r="J14" s="235"/>
      <c r="K14" s="210"/>
      <c r="L14" s="236">
        <v>3.4380000000000001E-2</v>
      </c>
      <c r="M14" s="211"/>
      <c r="N14" s="237">
        <f t="shared" ref="N14" si="1">L14*E14</f>
        <v>1319792.4621516173</v>
      </c>
    </row>
    <row r="15" spans="1:14" ht="14" x14ac:dyDescent="0.3">
      <c r="A15" s="151">
        <f>IF(B15&lt;&gt;"",COUNTA($B$13:B15),"")</f>
        <v>3</v>
      </c>
      <c r="B15" s="207" t="s">
        <v>300</v>
      </c>
      <c r="C15" s="233" t="s">
        <v>301</v>
      </c>
      <c r="D15" s="233"/>
      <c r="E15" s="234"/>
      <c r="F15" s="207"/>
      <c r="G15" s="209"/>
      <c r="H15" s="209"/>
      <c r="I15" s="210">
        <f>SUM(I13:I14)</f>
        <v>1596187.7107615944</v>
      </c>
      <c r="J15" s="235"/>
      <c r="K15" s="210"/>
      <c r="L15" s="238"/>
      <c r="M15" s="211"/>
      <c r="N15" s="210">
        <f>SUM(N13:N14)</f>
        <v>1649163.6734657604</v>
      </c>
    </row>
    <row r="16" spans="1:14" ht="14" x14ac:dyDescent="0.3">
      <c r="A16" s="151" t="str">
        <f>IF(B16&lt;&gt;"",COUNTA($B$13:B16),"")</f>
        <v/>
      </c>
      <c r="B16" s="207"/>
      <c r="C16" s="233"/>
      <c r="D16" s="233"/>
      <c r="E16" s="234"/>
      <c r="F16" s="207"/>
      <c r="G16" s="209"/>
      <c r="H16" s="209"/>
      <c r="I16" s="210"/>
      <c r="J16" s="235"/>
      <c r="K16" s="210"/>
      <c r="L16" s="238"/>
      <c r="M16" s="211"/>
      <c r="N16" s="210"/>
    </row>
    <row r="17" spans="1:14" ht="14" x14ac:dyDescent="0.3">
      <c r="A17" s="151">
        <f>IF(B17&lt;&gt;"",COUNTA($B$13:B17),"")</f>
        <v>4</v>
      </c>
      <c r="B17" s="228" t="s">
        <v>302</v>
      </c>
      <c r="F17" s="239"/>
      <c r="G17" s="240"/>
      <c r="H17" s="211"/>
      <c r="I17" s="210"/>
      <c r="K17" s="210"/>
      <c r="L17" s="241"/>
      <c r="M17" s="211"/>
      <c r="N17" s="210"/>
    </row>
    <row r="18" spans="1:14" ht="14" x14ac:dyDescent="0.3">
      <c r="A18" s="151">
        <f>IF(B18&lt;&gt;"",COUNTA($B$13:B18),"")</f>
        <v>5</v>
      </c>
      <c r="B18" s="207" t="str">
        <f>+'G1NDMD BOST'!B20</f>
        <v>Revenue Decoupling</v>
      </c>
      <c r="C18" s="233" t="str">
        <f>+'G1NDMD BOST'!C20</f>
        <v>RDAF</v>
      </c>
      <c r="D18" s="233"/>
      <c r="E18" s="242"/>
      <c r="F18" s="239"/>
      <c r="G18" s="236">
        <v>0</v>
      </c>
      <c r="H18" s="211"/>
      <c r="I18" s="210">
        <f>G18*$E$14</f>
        <v>0</v>
      </c>
      <c r="K18" s="210"/>
      <c r="L18" s="236">
        <v>-3.2348376541786153E-4</v>
      </c>
      <c r="M18" s="211"/>
      <c r="N18" s="210">
        <f>$E$14*L18</f>
        <v>-12418.017313173812</v>
      </c>
    </row>
    <row r="19" spans="1:14" ht="14" x14ac:dyDescent="0.3">
      <c r="A19" s="151">
        <f>IF(B19&lt;&gt;"",COUNTA($B$13:B19),"")</f>
        <v>6</v>
      </c>
      <c r="B19" s="207" t="str">
        <f>+'G1NDMD BOST'!B21</f>
        <v>Residential Assistance Adjustment Factor</v>
      </c>
      <c r="C19" s="233" t="str">
        <f>+'G1NDMD BOST'!C21</f>
        <v>RAAF</v>
      </c>
      <c r="D19" s="243"/>
      <c r="E19" s="206"/>
      <c r="F19" s="239"/>
      <c r="G19" s="236">
        <v>2.0899999999999998E-3</v>
      </c>
      <c r="H19" s="211"/>
      <c r="I19" s="210">
        <f t="shared" ref="I19:I37" si="2">G19*$E$14</f>
        <v>80231.711631671904</v>
      </c>
      <c r="K19" s="210"/>
      <c r="L19" s="236">
        <v>2.7328778489833509E-3</v>
      </c>
      <c r="M19" s="211"/>
      <c r="N19" s="210">
        <f t="shared" ref="N19:N37" si="3">$E$14*L19</f>
        <v>104910.75000201723</v>
      </c>
    </row>
    <row r="20" spans="1:14" ht="14" x14ac:dyDescent="0.3">
      <c r="A20" s="151">
        <f>IF(B20&lt;&gt;"",COUNTA($B$13:B20),"")</f>
        <v>7</v>
      </c>
      <c r="B20" s="207" t="str">
        <f>+'G1NDMD BOST'!B22</f>
        <v>Pension Adjustment Factor</v>
      </c>
      <c r="C20" s="233" t="str">
        <f>+'G1NDMD BOST'!C22</f>
        <v>PAF</v>
      </c>
      <c r="D20" s="243"/>
      <c r="E20" s="206"/>
      <c r="F20" s="239"/>
      <c r="G20" s="236">
        <v>-6.0000000000000002E-5</v>
      </c>
      <c r="H20" s="211"/>
      <c r="I20" s="210">
        <f t="shared" si="2"/>
        <v>-2303.302726268093</v>
      </c>
      <c r="K20" s="210"/>
      <c r="L20" s="236">
        <v>5.4374321409868449E-4</v>
      </c>
      <c r="M20" s="211"/>
      <c r="N20" s="210">
        <f t="shared" si="3"/>
        <v>20873.420457054588</v>
      </c>
    </row>
    <row r="21" spans="1:14" ht="14" x14ac:dyDescent="0.3">
      <c r="A21" s="151">
        <f>IF(B21&lt;&gt;"",COUNTA($B$13:B21),"")</f>
        <v>8</v>
      </c>
      <c r="B21" s="207" t="str">
        <f>+'G1NDMD BOST'!B23</f>
        <v>Net Metering Recovery Surcharge</v>
      </c>
      <c r="C21" s="233" t="str">
        <f>+'G1NDMD BOST'!C23</f>
        <v>NMRS</v>
      </c>
      <c r="D21" s="243"/>
      <c r="E21" s="206"/>
      <c r="F21" s="239"/>
      <c r="G21" s="236">
        <v>4.1099999999999999E-3</v>
      </c>
      <c r="H21" s="211"/>
      <c r="I21" s="210">
        <f t="shared" si="2"/>
        <v>157776.23674936435</v>
      </c>
      <c r="K21" s="210"/>
      <c r="L21" s="236">
        <v>3.5634535002407389E-3</v>
      </c>
      <c r="M21" s="211"/>
      <c r="N21" s="210">
        <f t="shared" si="3"/>
        <v>136795.20270056787</v>
      </c>
    </row>
    <row r="22" spans="1:14" ht="14" x14ac:dyDescent="0.3">
      <c r="A22" s="151">
        <f>IF(B22&lt;&gt;"",COUNTA($B$13:B22),"")</f>
        <v>9</v>
      </c>
      <c r="B22" s="207" t="str">
        <f>+'G1NDMD BOST'!B24</f>
        <v>Long Term Renewable Contract Adjustment</v>
      </c>
      <c r="C22" s="233" t="str">
        <f>+'G1NDMD BOST'!C24</f>
        <v>LTRCA</v>
      </c>
      <c r="D22" s="243"/>
      <c r="E22" s="206"/>
      <c r="F22" s="239"/>
      <c r="G22" s="236">
        <v>2.3600000000000001E-3</v>
      </c>
      <c r="H22" s="211"/>
      <c r="I22" s="210">
        <f t="shared" si="2"/>
        <v>90596.573899878334</v>
      </c>
      <c r="K22" s="210"/>
      <c r="L22" s="236">
        <v>1.7357128782064517E-3</v>
      </c>
      <c r="M22" s="211"/>
      <c r="N22" s="210">
        <f t="shared" si="3"/>
        <v>66631.20340652598</v>
      </c>
    </row>
    <row r="23" spans="1:14" ht="14" x14ac:dyDescent="0.3">
      <c r="A23" s="151">
        <f>IF(B23&lt;&gt;"",COUNTA($B$13:B23),"")</f>
        <v>10</v>
      </c>
      <c r="B23" s="207" t="str">
        <f>+'G1NDMD BOST'!B25</f>
        <v>AG Consulting Expense</v>
      </c>
      <c r="C23" s="233" t="str">
        <f>+'G1NDMD BOST'!C25</f>
        <v>AGCE</v>
      </c>
      <c r="D23" s="243"/>
      <c r="E23" s="206"/>
      <c r="F23" s="239"/>
      <c r="G23" s="236">
        <v>2.0000000000000002E-5</v>
      </c>
      <c r="H23" s="211"/>
      <c r="I23" s="210">
        <f t="shared" si="2"/>
        <v>767.76757542269775</v>
      </c>
      <c r="K23" s="210"/>
      <c r="L23" s="236">
        <v>5.7380240337673214E-6</v>
      </c>
      <c r="M23" s="211"/>
      <c r="N23" s="210">
        <f t="shared" si="3"/>
        <v>220.27344000613519</v>
      </c>
    </row>
    <row r="24" spans="1:14" ht="14" x14ac:dyDescent="0.3">
      <c r="A24" s="151">
        <f>IF(B24&lt;&gt;"",COUNTA($B$13:B24),"")</f>
        <v>11</v>
      </c>
      <c r="B24" s="207" t="str">
        <f>+'G1NDMD BOST'!B26</f>
        <v>Storm Cost Recovery Adjustment Factor</v>
      </c>
      <c r="C24" s="233" t="str">
        <f>+'G1NDMD BOST'!C26</f>
        <v>SCRA</v>
      </c>
      <c r="D24" s="243"/>
      <c r="E24" s="206"/>
      <c r="F24" s="239"/>
      <c r="G24" s="236">
        <v>1.2899999999999999E-3</v>
      </c>
      <c r="H24" s="211"/>
      <c r="I24" s="210">
        <f t="shared" si="2"/>
        <v>49521.008614763996</v>
      </c>
      <c r="K24" s="210"/>
      <c r="L24" s="236">
        <v>2.0707669364920995E-3</v>
      </c>
      <c r="M24" s="211"/>
      <c r="N24" s="210">
        <f t="shared" si="3"/>
        <v>79493.385504801336</v>
      </c>
    </row>
    <row r="25" spans="1:14" ht="14" x14ac:dyDescent="0.3">
      <c r="A25" s="151">
        <f>IF(B25&lt;&gt;"",COUNTA($B$13:B25),"")</f>
        <v>12</v>
      </c>
      <c r="B25" s="207" t="str">
        <f>+'G1NDMD BOST'!B27</f>
        <v>Storm Reserve Adjustment</v>
      </c>
      <c r="C25" s="233" t="str">
        <f>+'G1NDMD BOST'!C27</f>
        <v>SRA</v>
      </c>
      <c r="D25" s="243"/>
      <c r="E25" s="206"/>
      <c r="F25" s="239"/>
      <c r="G25" s="236">
        <v>0</v>
      </c>
      <c r="H25" s="211"/>
      <c r="I25" s="210">
        <f t="shared" si="2"/>
        <v>0</v>
      </c>
      <c r="K25" s="210"/>
      <c r="L25" s="236">
        <v>0</v>
      </c>
      <c r="M25" s="211"/>
      <c r="N25" s="210">
        <f t="shared" si="3"/>
        <v>0</v>
      </c>
    </row>
    <row r="26" spans="1:14" ht="14" x14ac:dyDescent="0.3">
      <c r="A26" s="151">
        <f>IF(B26&lt;&gt;"",COUNTA($B$13:B26),"")</f>
        <v>13</v>
      </c>
      <c r="B26" s="207" t="str">
        <f>+'G1NDMD BOST'!B28</f>
        <v>Basic Service Cost True Up Factor</v>
      </c>
      <c r="C26" s="233" t="str">
        <f>+'G1NDMD BOST'!C28</f>
        <v>BSTF</v>
      </c>
      <c r="D26" s="243"/>
      <c r="E26" s="206"/>
      <c r="F26" s="239"/>
      <c r="G26" s="236">
        <v>1.1100000000000001E-3</v>
      </c>
      <c r="H26" s="211"/>
      <c r="I26" s="210">
        <f t="shared" si="2"/>
        <v>42611.100435959721</v>
      </c>
      <c r="K26" s="210"/>
      <c r="L26" s="236">
        <v>-1.3561209566344785E-4</v>
      </c>
      <c r="M26" s="211"/>
      <c r="N26" s="210">
        <f t="shared" si="3"/>
        <v>-5205.928494275815</v>
      </c>
    </row>
    <row r="27" spans="1:14" ht="14" x14ac:dyDescent="0.3">
      <c r="A27" s="151">
        <f>IF(B27&lt;&gt;"",COUNTA($B$13:B27),"")</f>
        <v>14</v>
      </c>
      <c r="B27" s="207" t="str">
        <f>+'G1NDMD BOST'!B29</f>
        <v>Solar Program Cost Adjustment Factor</v>
      </c>
      <c r="C27" s="233" t="str">
        <f>+'G1NDMD BOST'!C29</f>
        <v>SPCA</v>
      </c>
      <c r="D27" s="233"/>
      <c r="E27" s="206"/>
      <c r="F27" s="239"/>
      <c r="G27" s="236">
        <v>0</v>
      </c>
      <c r="H27" s="211"/>
      <c r="I27" s="210">
        <f t="shared" si="2"/>
        <v>0</v>
      </c>
      <c r="K27" s="210"/>
      <c r="L27" s="236">
        <v>2.4134141187452967E-5</v>
      </c>
      <c r="M27" s="211"/>
      <c r="N27" s="210">
        <f t="shared" si="3"/>
        <v>926.47055321999153</v>
      </c>
    </row>
    <row r="28" spans="1:14" ht="14" x14ac:dyDescent="0.3">
      <c r="A28" s="151">
        <f>IF(B28&lt;&gt;"",COUNTA($B$13:B28),"")</f>
        <v>15</v>
      </c>
      <c r="B28" s="207" t="str">
        <f>+'G1NDMD BOST'!B30</f>
        <v>Solar Expansion Cost Recovery Factor</v>
      </c>
      <c r="C28" s="233" t="str">
        <f>+'G1NDMD BOST'!C30</f>
        <v>SECRF</v>
      </c>
      <c r="D28" s="233"/>
      <c r="E28" s="206"/>
      <c r="F28" s="239"/>
      <c r="G28" s="236">
        <v>0</v>
      </c>
      <c r="H28" s="211"/>
      <c r="I28" s="210">
        <f t="shared" si="2"/>
        <v>0</v>
      </c>
      <c r="K28" s="210"/>
      <c r="L28" s="236">
        <v>4.2567103824713107E-4</v>
      </c>
      <c r="M28" s="211"/>
      <c r="N28" s="210">
        <f t="shared" si="3"/>
        <v>16340.821048133112</v>
      </c>
    </row>
    <row r="29" spans="1:14" ht="14" x14ac:dyDescent="0.3">
      <c r="A29" s="151">
        <f>IF(B29&lt;&gt;"",COUNTA($B$13:B29),"")</f>
        <v>16</v>
      </c>
      <c r="B29" s="207" t="str">
        <f>+'G1NDMD BOST'!B31</f>
        <v>Vegetation Management</v>
      </c>
      <c r="C29" s="233" t="str">
        <f>+'G1NDMD BOST'!C31</f>
        <v>RTWF</v>
      </c>
      <c r="D29" s="233"/>
      <c r="E29" s="206"/>
      <c r="F29" s="239"/>
      <c r="G29" s="236">
        <v>0</v>
      </c>
      <c r="H29" s="211"/>
      <c r="I29" s="210">
        <f t="shared" si="2"/>
        <v>0</v>
      </c>
      <c r="K29" s="210"/>
      <c r="L29" s="236">
        <v>9.7348412987279833E-4</v>
      </c>
      <c r="M29" s="211"/>
      <c r="N29" s="210">
        <f t="shared" si="3"/>
        <v>37370.477505245646</v>
      </c>
    </row>
    <row r="30" spans="1:14" ht="14" x14ac:dyDescent="0.3">
      <c r="A30" s="151">
        <f>IF(B30&lt;&gt;"",COUNTA($B$13:B30),"")</f>
        <v>17</v>
      </c>
      <c r="B30" s="207" t="str">
        <f>+'G1NDMD BOST'!B32</f>
        <v>Solar Massachusetts Renewable Target</v>
      </c>
      <c r="C30" s="233" t="str">
        <f>+'G1NDMD BOST'!C32</f>
        <v>SMART</v>
      </c>
      <c r="D30" s="233"/>
      <c r="E30" s="206"/>
      <c r="F30" s="239"/>
      <c r="G30" s="236">
        <v>0</v>
      </c>
      <c r="H30" s="211"/>
      <c r="I30" s="210">
        <f t="shared" si="2"/>
        <v>0</v>
      </c>
      <c r="K30" s="210"/>
      <c r="L30" s="236">
        <v>4.9873335506864778E-4</v>
      </c>
      <c r="M30" s="211"/>
      <c r="N30" s="210">
        <f t="shared" si="3"/>
        <v>19145.564940174154</v>
      </c>
    </row>
    <row r="31" spans="1:14" ht="14" x14ac:dyDescent="0.3">
      <c r="A31" s="151">
        <f>IF(B31&lt;&gt;"",COUNTA($B$13:B31),"")</f>
        <v>18</v>
      </c>
      <c r="B31" s="207" t="str">
        <f>+'G1NDMD BOST'!B33</f>
        <v>Tax Act Credit Factor</v>
      </c>
      <c r="C31" s="233" t="str">
        <f>+'G1NDMD BOST'!C33</f>
        <v>TACF</v>
      </c>
      <c r="D31" s="233"/>
      <c r="E31" s="206"/>
      <c r="F31" s="239"/>
      <c r="G31" s="236">
        <v>0</v>
      </c>
      <c r="H31" s="211"/>
      <c r="I31" s="210">
        <f t="shared" si="2"/>
        <v>0</v>
      </c>
      <c r="K31" s="210"/>
      <c r="L31" s="236">
        <v>-7.5499898202286016E-4</v>
      </c>
      <c r="M31" s="211"/>
      <c r="N31" s="210">
        <f t="shared" si="3"/>
        <v>-28983.186893714814</v>
      </c>
    </row>
    <row r="32" spans="1:14" ht="14" x14ac:dyDescent="0.3">
      <c r="A32" s="151">
        <f>IF(B32&lt;&gt;"",COUNTA($B$13:B32),"")</f>
        <v>19</v>
      </c>
      <c r="B32" s="207" t="str">
        <f>+'G1NDMD BOST'!B34</f>
        <v>Transition</v>
      </c>
      <c r="C32" s="233" t="str">
        <f>+'G1NDMD BOST'!C34</f>
        <v>TRNSN</v>
      </c>
      <c r="D32" s="233"/>
      <c r="E32" s="206"/>
      <c r="F32" s="239"/>
      <c r="G32" s="236">
        <v>-6.0999999999999997E-4</v>
      </c>
      <c r="H32" s="211"/>
      <c r="I32" s="210">
        <f t="shared" si="2"/>
        <v>-23416.911050392278</v>
      </c>
      <c r="K32" s="210"/>
      <c r="L32" s="236">
        <v>-5.210932140356871E-4</v>
      </c>
      <c r="M32" s="211"/>
      <c r="N32" s="210">
        <f t="shared" si="3"/>
        <v>-20003.923675470018</v>
      </c>
    </row>
    <row r="33" spans="1:14" ht="14" x14ac:dyDescent="0.3">
      <c r="A33" s="151">
        <f>IF(B33&lt;&gt;"",COUNTA($B$13:B33),"")</f>
        <v>20</v>
      </c>
      <c r="B33" s="207" t="str">
        <f>+'G1NDMD BOST'!B35</f>
        <v>Transmission Energy</v>
      </c>
      <c r="C33" s="233" t="str">
        <f>+'G1NDMD BOST'!C35</f>
        <v>TMKWH</v>
      </c>
      <c r="D33" s="233"/>
      <c r="E33" s="206"/>
      <c r="F33" s="239"/>
      <c r="G33" s="236">
        <v>2.7109999999999999E-2</v>
      </c>
      <c r="H33" s="211"/>
      <c r="I33" s="210">
        <f t="shared" si="2"/>
        <v>1040708.9484854667</v>
      </c>
      <c r="K33" s="210"/>
      <c r="L33" s="241">
        <v>2.3278331427341821E-2</v>
      </c>
      <c r="M33" s="211"/>
      <c r="N33" s="210">
        <f t="shared" si="3"/>
        <v>893617.40399281075</v>
      </c>
    </row>
    <row r="34" spans="1:14" ht="14" x14ac:dyDescent="0.3">
      <c r="A34" s="151">
        <f>IF(B34&lt;&gt;"",COUNTA($B$13:B34),"")</f>
        <v>21</v>
      </c>
      <c r="B34" s="207" t="str">
        <f>+'G1NDMD BOST'!B36</f>
        <v>Energy Efficiency Reconciliation Factor</v>
      </c>
      <c r="C34" s="233" t="str">
        <f>+'G1NDMD BOST'!C36</f>
        <v>EERF</v>
      </c>
      <c r="D34" s="233"/>
      <c r="E34" s="206"/>
      <c r="F34" s="239"/>
      <c r="G34" s="236">
        <v>8.4600000000000005E-3</v>
      </c>
      <c r="H34" s="211"/>
      <c r="I34" s="210">
        <f t="shared" si="2"/>
        <v>324765.6844038011</v>
      </c>
      <c r="K34" s="210"/>
      <c r="L34" s="281">
        <v>8.4600000000000005E-3</v>
      </c>
      <c r="M34" s="211"/>
      <c r="N34" s="210">
        <f t="shared" si="3"/>
        <v>324765.6844038011</v>
      </c>
    </row>
    <row r="35" spans="1:14" ht="14" x14ac:dyDescent="0.3">
      <c r="A35" s="151">
        <f>IF(B35&lt;&gt;"",COUNTA($B$13:B35),"")</f>
        <v>22</v>
      </c>
      <c r="B35" s="207" t="str">
        <f>+'G1NDMD BOST'!B37</f>
        <v>System Benefits Charge</v>
      </c>
      <c r="C35" s="233" t="str">
        <f>+'G1NDMD BOST'!C37</f>
        <v>SBC</v>
      </c>
      <c r="D35" s="233"/>
      <c r="E35" s="206"/>
      <c r="F35" s="239"/>
      <c r="G35" s="236">
        <v>2.5000000000000001E-3</v>
      </c>
      <c r="H35" s="211"/>
      <c r="I35" s="210">
        <f t="shared" si="2"/>
        <v>95970.946927837213</v>
      </c>
      <c r="K35" s="210"/>
      <c r="L35" s="281">
        <f>+G35</f>
        <v>2.5000000000000001E-3</v>
      </c>
      <c r="M35" s="211"/>
      <c r="N35" s="210">
        <f t="shared" si="3"/>
        <v>95970.946927837213</v>
      </c>
    </row>
    <row r="36" spans="1:14" ht="14" x14ac:dyDescent="0.3">
      <c r="A36" s="151">
        <f>IF(B36&lt;&gt;"",COUNTA($B$13:B36),"")</f>
        <v>23</v>
      </c>
      <c r="B36" s="207" t="str">
        <f>+'G1NDMD BOST'!B38</f>
        <v>Renewable Energy Charge</v>
      </c>
      <c r="C36" s="233" t="str">
        <f>+'G1NDMD BOST'!C38</f>
        <v>RNEW</v>
      </c>
      <c r="D36" s="233"/>
      <c r="E36" s="206"/>
      <c r="F36" s="239"/>
      <c r="G36" s="236">
        <v>5.0000000000000001E-4</v>
      </c>
      <c r="H36" s="211"/>
      <c r="I36" s="210">
        <f t="shared" si="2"/>
        <v>19194.189385567443</v>
      </c>
      <c r="K36" s="210"/>
      <c r="L36" s="281">
        <f>+G36</f>
        <v>5.0000000000000001E-4</v>
      </c>
      <c r="M36" s="211"/>
      <c r="N36" s="210">
        <f t="shared" si="3"/>
        <v>19194.189385567443</v>
      </c>
    </row>
    <row r="37" spans="1:14" ht="14" x14ac:dyDescent="0.3">
      <c r="A37" s="151">
        <f>IF(B37&lt;&gt;"",COUNTA($B$13:B37),"")</f>
        <v>24</v>
      </c>
      <c r="B37" s="207" t="str">
        <f>+'G1NDMD BOST'!B39</f>
        <v>Basic Service Charge</v>
      </c>
      <c r="C37" s="233" t="str">
        <f>+'G1NDMD BOST'!C39</f>
        <v>BS</v>
      </c>
      <c r="D37" s="233"/>
      <c r="E37" s="206"/>
      <c r="F37" s="239"/>
      <c r="G37" s="236">
        <v>0.11403000000000001</v>
      </c>
      <c r="H37" s="211"/>
      <c r="I37" s="237">
        <f t="shared" si="2"/>
        <v>4377426.8312725108</v>
      </c>
      <c r="K37" s="210"/>
      <c r="L37" s="281">
        <v>0.13185000000000002</v>
      </c>
      <c r="M37" s="211"/>
      <c r="N37" s="237">
        <f t="shared" si="3"/>
        <v>5061507.7409741348</v>
      </c>
    </row>
    <row r="38" spans="1:14" ht="14" x14ac:dyDescent="0.3">
      <c r="A38" s="151" t="str">
        <f>IF(B38&lt;&gt;"",COUNTA($B$13:B38),"")</f>
        <v/>
      </c>
      <c r="B38" s="207"/>
      <c r="E38" s="206"/>
      <c r="F38" s="239"/>
      <c r="G38" s="241"/>
      <c r="H38" s="211"/>
      <c r="I38" s="244"/>
      <c r="K38" s="210"/>
      <c r="L38" s="241"/>
      <c r="M38" s="211"/>
      <c r="N38" s="244"/>
    </row>
    <row r="39" spans="1:14" ht="14" x14ac:dyDescent="0.3">
      <c r="A39" s="151">
        <f>IF(B39&lt;&gt;"",COUNTA($B$13:B39),"")</f>
        <v>25</v>
      </c>
      <c r="B39" s="188" t="s">
        <v>46</v>
      </c>
      <c r="E39" s="188"/>
      <c r="G39" s="245" t="s">
        <v>324</v>
      </c>
      <c r="H39" s="246"/>
      <c r="I39" s="154">
        <f>SUM(I15:I38)</f>
        <v>7850038.4963671789</v>
      </c>
      <c r="K39" s="247"/>
      <c r="L39" s="245"/>
      <c r="N39" s="154">
        <f>SUM(N15:N38)</f>
        <v>8460316.1523310244</v>
      </c>
    </row>
    <row r="40" spans="1:14" ht="14" x14ac:dyDescent="0.3">
      <c r="A40" s="151" t="str">
        <f>IF(B40&lt;&gt;"",COUNTA($B$13:B40),"")</f>
        <v/>
      </c>
      <c r="E40" s="188"/>
      <c r="H40" s="188"/>
      <c r="I40" s="154"/>
      <c r="K40" s="265"/>
      <c r="L40" s="278"/>
      <c r="N40" s="265"/>
    </row>
    <row r="41" spans="1:14" ht="14" x14ac:dyDescent="0.3">
      <c r="A41" s="151">
        <f>IF(B41&lt;&gt;"",COUNTA($B$13:B41),"")</f>
        <v>26</v>
      </c>
      <c r="B41" s="188" t="s">
        <v>46</v>
      </c>
      <c r="E41" s="188"/>
      <c r="G41" s="188"/>
      <c r="H41" s="188"/>
      <c r="I41" s="188"/>
      <c r="J41" s="188"/>
      <c r="L41" s="248" t="s">
        <v>325</v>
      </c>
      <c r="N41" s="160">
        <f>+N39/I39-1</f>
        <v>7.7741995309484002E-2</v>
      </c>
    </row>
    <row r="42" spans="1:14" ht="14" x14ac:dyDescent="0.3">
      <c r="A42" s="151" t="str">
        <f>IF(B42&lt;&gt;"",COUNTA($B$13:B42),"")</f>
        <v/>
      </c>
      <c r="E42" s="188"/>
      <c r="G42" s="188"/>
      <c r="H42" s="188"/>
      <c r="I42" s="188"/>
      <c r="J42" s="188"/>
      <c r="L42" s="248"/>
      <c r="N42" s="160"/>
    </row>
    <row r="43" spans="1:14" ht="14" x14ac:dyDescent="0.3">
      <c r="A43" s="151" t="str">
        <f>IF(B43&lt;&gt;"",COUNTA($B$13:B43),"")</f>
        <v/>
      </c>
      <c r="E43" s="188"/>
      <c r="G43" s="186"/>
      <c r="H43" s="188"/>
      <c r="I43" s="188"/>
      <c r="L43" s="248"/>
      <c r="N43" s="160"/>
    </row>
    <row r="44" spans="1:14" ht="14.5" thickBot="1" x14ac:dyDescent="0.35">
      <c r="A44" s="151">
        <f>IF(B44&lt;&gt;"",COUNTA($B$13:B44),"")</f>
        <v>27</v>
      </c>
      <c r="B44" s="188" t="s">
        <v>46</v>
      </c>
      <c r="E44" s="279" t="s">
        <v>326</v>
      </c>
      <c r="F44" s="135"/>
      <c r="G44" s="280"/>
      <c r="I44" s="279" t="s">
        <v>327</v>
      </c>
      <c r="J44" s="135"/>
      <c r="L44" s="279" t="s">
        <v>328</v>
      </c>
      <c r="M44" s="135"/>
      <c r="N44" s="137"/>
    </row>
    <row r="45" spans="1:14" ht="14" x14ac:dyDescent="0.3">
      <c r="A45" s="151">
        <f>IF(B45&lt;&gt;"",COUNTA($B$13:B45),"")</f>
        <v>28</v>
      </c>
      <c r="B45" s="144" t="s">
        <v>329</v>
      </c>
      <c r="C45" s="144"/>
      <c r="D45" s="144"/>
      <c r="E45" s="249" t="s">
        <v>148</v>
      </c>
      <c r="F45" s="250"/>
      <c r="G45" s="251" t="s">
        <v>330</v>
      </c>
      <c r="I45" s="249" t="s">
        <v>148</v>
      </c>
      <c r="J45" s="251" t="s">
        <v>330</v>
      </c>
      <c r="K45" s="212"/>
      <c r="L45" s="249" t="s">
        <v>148</v>
      </c>
      <c r="M45" s="252"/>
      <c r="N45" s="251" t="s">
        <v>330</v>
      </c>
    </row>
    <row r="46" spans="1:14" ht="14" x14ac:dyDescent="0.3">
      <c r="A46" s="151">
        <f>IF(B46&lt;&gt;"",COUNTA($B$13:B46),"")</f>
        <v>29</v>
      </c>
      <c r="B46" s="207" t="str">
        <f>+'G1NDMD BOST'!B48</f>
        <v>Distribution</v>
      </c>
      <c r="C46" s="233" t="str">
        <f>+'G1NDMD BOST'!C48</f>
        <v>DIST</v>
      </c>
      <c r="D46" s="253"/>
      <c r="E46" s="154">
        <f t="shared" ref="E46:E61" si="4">SUMIF($C$13:$C$37,$C46,$I$13:$I$37)</f>
        <v>1596187.7107615944</v>
      </c>
      <c r="G46" s="254">
        <f>+E46/$E$14*100</f>
        <v>4.1579971904460971</v>
      </c>
      <c r="I46" s="154">
        <f t="shared" ref="I46:I61" si="5">SUMIF($C$13:$C$37,$C46,$N$13:$N$37)</f>
        <v>1649163.6734657604</v>
      </c>
      <c r="J46" s="254">
        <f>+I46/$E$14*100</f>
        <v>4.295997190446097</v>
      </c>
      <c r="L46" s="154">
        <f t="shared" ref="L46:L66" si="6">I46-E46</f>
        <v>52975.962704166071</v>
      </c>
      <c r="N46" s="254">
        <f>+L46/$E$14*100</f>
        <v>0.13799999999999982</v>
      </c>
    </row>
    <row r="47" spans="1:14" ht="14" x14ac:dyDescent="0.3">
      <c r="A47" s="151">
        <f>IF(B47&lt;&gt;"",COUNTA($B$13:B47),"")</f>
        <v>30</v>
      </c>
      <c r="B47" s="207" t="str">
        <f>+'G1NDMD BOST'!B49</f>
        <v>Revenue Decoupling</v>
      </c>
      <c r="C47" s="233" t="str">
        <f>+'G1NDMD BOST'!C49</f>
        <v>RDAF</v>
      </c>
      <c r="D47" s="253"/>
      <c r="E47" s="154">
        <f t="shared" si="4"/>
        <v>0</v>
      </c>
      <c r="G47" s="254">
        <f t="shared" ref="G47:G67" si="7">+E47/$E$14*100</f>
        <v>0</v>
      </c>
      <c r="I47" s="154">
        <f t="shared" si="5"/>
        <v>-12418.017313173812</v>
      </c>
      <c r="J47" s="254">
        <f t="shared" ref="J47:J67" si="8">+I47/$E$14*100</f>
        <v>-3.2348376541786156E-2</v>
      </c>
      <c r="L47" s="154">
        <f>I47-E47</f>
        <v>-12418.017313173812</v>
      </c>
      <c r="N47" s="254">
        <f t="shared" ref="N47:N67" si="9">+L47/$E$14*100</f>
        <v>-3.2348376541786156E-2</v>
      </c>
    </row>
    <row r="48" spans="1:14" ht="14" x14ac:dyDescent="0.3">
      <c r="A48" s="151">
        <f>IF(B48&lt;&gt;"",COUNTA($B$13:B48),"")</f>
        <v>31</v>
      </c>
      <c r="B48" s="207" t="str">
        <f>+'G1NDMD BOST'!B50</f>
        <v>Residential Assistance Adjustment Factor</v>
      </c>
      <c r="C48" s="233" t="str">
        <f>+'G1NDMD BOST'!C50</f>
        <v>RAAF</v>
      </c>
      <c r="D48" s="253"/>
      <c r="E48" s="154">
        <f t="shared" si="4"/>
        <v>80231.711631671904</v>
      </c>
      <c r="G48" s="254">
        <f t="shared" si="7"/>
        <v>0.20899999999999999</v>
      </c>
      <c r="I48" s="154">
        <f t="shared" si="5"/>
        <v>104910.75000201723</v>
      </c>
      <c r="J48" s="254">
        <f t="shared" si="8"/>
        <v>0.27328778489833511</v>
      </c>
      <c r="L48" s="154">
        <f t="shared" si="6"/>
        <v>24679.038370345326</v>
      </c>
      <c r="N48" s="254">
        <f t="shared" si="9"/>
        <v>6.4287784898335087E-2</v>
      </c>
    </row>
    <row r="49" spans="1:14" ht="14" x14ac:dyDescent="0.3">
      <c r="A49" s="151">
        <f>IF(B49&lt;&gt;"",COUNTA($B$13:B49),"")</f>
        <v>32</v>
      </c>
      <c r="B49" s="207" t="str">
        <f>+'G1NDMD BOST'!B51</f>
        <v>Pension Adjustment Factor</v>
      </c>
      <c r="C49" s="233" t="str">
        <f>+'G1NDMD BOST'!C51</f>
        <v>PAF</v>
      </c>
      <c r="D49" s="253"/>
      <c r="E49" s="154">
        <f t="shared" si="4"/>
        <v>-2303.302726268093</v>
      </c>
      <c r="G49" s="254">
        <f t="shared" si="7"/>
        <v>-6.0000000000000001E-3</v>
      </c>
      <c r="I49" s="154">
        <f t="shared" si="5"/>
        <v>20873.420457054588</v>
      </c>
      <c r="J49" s="254">
        <f t="shared" si="8"/>
        <v>5.4374321409868448E-2</v>
      </c>
      <c r="L49" s="154">
        <f t="shared" si="6"/>
        <v>23176.72318332268</v>
      </c>
      <c r="N49" s="254">
        <f t="shared" si="9"/>
        <v>6.0374321409868439E-2</v>
      </c>
    </row>
    <row r="50" spans="1:14" ht="14" x14ac:dyDescent="0.3">
      <c r="A50" s="151">
        <f>IF(B50&lt;&gt;"",COUNTA($B$13:B50),"")</f>
        <v>33</v>
      </c>
      <c r="B50" s="207" t="str">
        <f>+'G1NDMD BOST'!B52</f>
        <v>Net Metering Recovery Surcharge</v>
      </c>
      <c r="C50" s="233" t="str">
        <f>+'G1NDMD BOST'!C52</f>
        <v>NMRS</v>
      </c>
      <c r="D50" s="253"/>
      <c r="E50" s="154">
        <f t="shared" si="4"/>
        <v>157776.23674936435</v>
      </c>
      <c r="G50" s="254">
        <f t="shared" si="7"/>
        <v>0.41099999999999998</v>
      </c>
      <c r="I50" s="154">
        <f t="shared" si="5"/>
        <v>136795.20270056787</v>
      </c>
      <c r="J50" s="254">
        <f t="shared" si="8"/>
        <v>0.35634535002407386</v>
      </c>
      <c r="L50" s="154">
        <f t="shared" si="6"/>
        <v>-20981.034048796486</v>
      </c>
      <c r="N50" s="254">
        <f t="shared" si="9"/>
        <v>-5.4654649975926083E-2</v>
      </c>
    </row>
    <row r="51" spans="1:14" ht="14" x14ac:dyDescent="0.3">
      <c r="A51" s="151">
        <f>IF(B51&lt;&gt;"",COUNTA($B$13:B51),"")</f>
        <v>34</v>
      </c>
      <c r="B51" s="207" t="str">
        <f>+'G1NDMD BOST'!B53</f>
        <v>Long Term Renewable Contract Adjustment</v>
      </c>
      <c r="C51" s="233" t="str">
        <f>+'G1NDMD BOST'!C53</f>
        <v>LTRCA</v>
      </c>
      <c r="D51" s="253"/>
      <c r="E51" s="154">
        <f t="shared" si="4"/>
        <v>90596.573899878334</v>
      </c>
      <c r="G51" s="254">
        <f t="shared" si="7"/>
        <v>0.23600000000000002</v>
      </c>
      <c r="I51" s="154">
        <f t="shared" si="5"/>
        <v>66631.20340652598</v>
      </c>
      <c r="J51" s="254">
        <f t="shared" si="8"/>
        <v>0.17357128782064518</v>
      </c>
      <c r="L51" s="154">
        <f t="shared" si="6"/>
        <v>-23965.370493352355</v>
      </c>
      <c r="N51" s="254">
        <f t="shared" si="9"/>
        <v>-6.2428712179354848E-2</v>
      </c>
    </row>
    <row r="52" spans="1:14" ht="14" x14ac:dyDescent="0.3">
      <c r="A52" s="151">
        <f>IF(B52&lt;&gt;"",COUNTA($B$13:B52),"")</f>
        <v>35</v>
      </c>
      <c r="B52" s="207" t="str">
        <f>+'G1NDMD BOST'!B54</f>
        <v>AG Consulting Expense</v>
      </c>
      <c r="C52" s="233" t="str">
        <f>+'G1NDMD BOST'!C54</f>
        <v>AGCE</v>
      </c>
      <c r="D52" s="253"/>
      <c r="E52" s="154">
        <f t="shared" si="4"/>
        <v>767.76757542269775</v>
      </c>
      <c r="G52" s="254">
        <f t="shared" si="7"/>
        <v>2E-3</v>
      </c>
      <c r="I52" s="154">
        <f t="shared" si="5"/>
        <v>220.27344000613519</v>
      </c>
      <c r="J52" s="254">
        <f t="shared" si="8"/>
        <v>5.7380240337673218E-4</v>
      </c>
      <c r="L52" s="154">
        <f t="shared" si="6"/>
        <v>-547.49413541656259</v>
      </c>
      <c r="N52" s="254">
        <f t="shared" si="9"/>
        <v>-1.4261975966232683E-3</v>
      </c>
    </row>
    <row r="53" spans="1:14" ht="14" x14ac:dyDescent="0.3">
      <c r="A53" s="151">
        <f>IF(B53&lt;&gt;"",COUNTA($B$13:B53),"")</f>
        <v>36</v>
      </c>
      <c r="B53" s="207" t="str">
        <f>+'G1NDMD BOST'!B55</f>
        <v>Storm Cost Recovery Adjustment Factor</v>
      </c>
      <c r="C53" s="233" t="str">
        <f>+'G1NDMD BOST'!C55</f>
        <v>SCRA</v>
      </c>
      <c r="D53" s="253"/>
      <c r="E53" s="154">
        <f t="shared" si="4"/>
        <v>49521.008614763996</v>
      </c>
      <c r="G53" s="254">
        <f t="shared" si="7"/>
        <v>0.129</v>
      </c>
      <c r="I53" s="154">
        <f t="shared" si="5"/>
        <v>79493.385504801336</v>
      </c>
      <c r="J53" s="254">
        <f t="shared" si="8"/>
        <v>0.20707669364920994</v>
      </c>
      <c r="L53" s="154">
        <f>I53-E53</f>
        <v>29972.37689003734</v>
      </c>
      <c r="N53" s="254">
        <f t="shared" si="9"/>
        <v>7.807669364920998E-2</v>
      </c>
    </row>
    <row r="54" spans="1:14" ht="14" x14ac:dyDescent="0.3">
      <c r="A54" s="151">
        <f>IF(B54&lt;&gt;"",COUNTA($B$13:B54),"")</f>
        <v>37</v>
      </c>
      <c r="B54" s="207" t="str">
        <f>+'G1NDMD BOST'!B56</f>
        <v>Storm Reserve Adjustment</v>
      </c>
      <c r="C54" s="233" t="str">
        <f>+'G1NDMD BOST'!C56</f>
        <v>SRA</v>
      </c>
      <c r="D54" s="253"/>
      <c r="E54" s="154">
        <f t="shared" si="4"/>
        <v>0</v>
      </c>
      <c r="G54" s="254">
        <f t="shared" si="7"/>
        <v>0</v>
      </c>
      <c r="I54" s="154">
        <f t="shared" si="5"/>
        <v>0</v>
      </c>
      <c r="J54" s="254">
        <f t="shared" si="8"/>
        <v>0</v>
      </c>
      <c r="L54" s="154">
        <f>I54-E54</f>
        <v>0</v>
      </c>
      <c r="N54" s="254">
        <f t="shared" si="9"/>
        <v>0</v>
      </c>
    </row>
    <row r="55" spans="1:14" ht="14" x14ac:dyDescent="0.3">
      <c r="A55" s="151">
        <f>IF(B55&lt;&gt;"",COUNTA($B$13:B55),"")</f>
        <v>38</v>
      </c>
      <c r="B55" s="207" t="str">
        <f>+'G1NDMD BOST'!B57</f>
        <v>Basic Service Cost True Up Factor</v>
      </c>
      <c r="C55" s="233" t="str">
        <f>+'G1NDMD BOST'!C57</f>
        <v>BSTF</v>
      </c>
      <c r="D55" s="253"/>
      <c r="E55" s="154">
        <f t="shared" si="4"/>
        <v>42611.100435959721</v>
      </c>
      <c r="G55" s="254">
        <f t="shared" si="7"/>
        <v>0.11100000000000002</v>
      </c>
      <c r="I55" s="154">
        <f t="shared" si="5"/>
        <v>-5205.928494275815</v>
      </c>
      <c r="J55" s="254">
        <f t="shared" si="8"/>
        <v>-1.3561209566344785E-2</v>
      </c>
      <c r="L55" s="154">
        <f t="shared" ref="L55:L61" si="10">I55-E55</f>
        <v>-47817.028930235538</v>
      </c>
      <c r="N55" s="254">
        <f t="shared" si="9"/>
        <v>-0.1245612095663448</v>
      </c>
    </row>
    <row r="56" spans="1:14" ht="14" x14ac:dyDescent="0.3">
      <c r="A56" s="151">
        <f>IF(B56&lt;&gt;"",COUNTA($B$13:B56),"")</f>
        <v>39</v>
      </c>
      <c r="B56" s="207" t="str">
        <f>+'G1NDMD BOST'!B58</f>
        <v>Solar Program Cost Adjustment Factor</v>
      </c>
      <c r="C56" s="233" t="str">
        <f>+'G1NDMD BOST'!C58</f>
        <v>SPCA</v>
      </c>
      <c r="D56" s="253"/>
      <c r="E56" s="154">
        <f t="shared" si="4"/>
        <v>0</v>
      </c>
      <c r="G56" s="254">
        <f t="shared" si="7"/>
        <v>0</v>
      </c>
      <c r="I56" s="154">
        <f t="shared" si="5"/>
        <v>926.47055321999153</v>
      </c>
      <c r="J56" s="254">
        <f t="shared" si="8"/>
        <v>2.4134141187452966E-3</v>
      </c>
      <c r="L56" s="154">
        <f t="shared" si="10"/>
        <v>926.47055321999153</v>
      </c>
      <c r="N56" s="254">
        <f t="shared" si="9"/>
        <v>2.4134141187452966E-3</v>
      </c>
    </row>
    <row r="57" spans="1:14" ht="14" x14ac:dyDescent="0.3">
      <c r="A57" s="151">
        <f>IF(B57&lt;&gt;"",COUNTA($B$13:B57),"")</f>
        <v>40</v>
      </c>
      <c r="B57" s="207" t="str">
        <f>+'G1NDMD BOST'!B59</f>
        <v>Solar Expansion Cost Recovery Factor</v>
      </c>
      <c r="C57" s="233" t="str">
        <f>+'G1NDMD BOST'!C59</f>
        <v>SECRF</v>
      </c>
      <c r="D57" s="253"/>
      <c r="E57" s="154">
        <f t="shared" si="4"/>
        <v>0</v>
      </c>
      <c r="G57" s="254">
        <f t="shared" si="7"/>
        <v>0</v>
      </c>
      <c r="I57" s="154">
        <f t="shared" si="5"/>
        <v>16340.821048133112</v>
      </c>
      <c r="J57" s="254">
        <f t="shared" si="8"/>
        <v>4.2567103824713105E-2</v>
      </c>
      <c r="L57" s="154">
        <f t="shared" si="10"/>
        <v>16340.821048133112</v>
      </c>
      <c r="N57" s="254">
        <f t="shared" si="9"/>
        <v>4.2567103824713105E-2</v>
      </c>
    </row>
    <row r="58" spans="1:14" ht="14" x14ac:dyDescent="0.3">
      <c r="A58" s="151">
        <f>IF(B58&lt;&gt;"",COUNTA($B$13:B58),"")</f>
        <v>41</v>
      </c>
      <c r="B58" s="207" t="str">
        <f>+'G1NDMD BOST'!B60</f>
        <v>Vegetation Management</v>
      </c>
      <c r="C58" s="233" t="str">
        <f>+'G1NDMD BOST'!C60</f>
        <v>RTWF</v>
      </c>
      <c r="D58" s="253"/>
      <c r="E58" s="154">
        <f t="shared" si="4"/>
        <v>0</v>
      </c>
      <c r="G58" s="254">
        <f t="shared" si="7"/>
        <v>0</v>
      </c>
      <c r="I58" s="154">
        <f t="shared" si="5"/>
        <v>37370.477505245646</v>
      </c>
      <c r="J58" s="254">
        <f t="shared" si="8"/>
        <v>9.7348412987279836E-2</v>
      </c>
      <c r="L58" s="154">
        <f t="shared" si="10"/>
        <v>37370.477505245646</v>
      </c>
      <c r="N58" s="254">
        <f t="shared" si="9"/>
        <v>9.7348412987279836E-2</v>
      </c>
    </row>
    <row r="59" spans="1:14" ht="14" x14ac:dyDescent="0.3">
      <c r="A59" s="151">
        <f>IF(B59&lt;&gt;"",COUNTA($B$13:B59),"")</f>
        <v>42</v>
      </c>
      <c r="B59" s="207" t="str">
        <f>+'G1NDMD BOST'!B61</f>
        <v>Solar Massachusetts Renewable Target</v>
      </c>
      <c r="C59" s="233" t="str">
        <f>+'G1NDMD BOST'!C61</f>
        <v>SMART</v>
      </c>
      <c r="D59" s="253"/>
      <c r="E59" s="154">
        <f t="shared" si="4"/>
        <v>0</v>
      </c>
      <c r="G59" s="254">
        <f t="shared" si="7"/>
        <v>0</v>
      </c>
      <c r="I59" s="154">
        <f t="shared" si="5"/>
        <v>19145.564940174154</v>
      </c>
      <c r="J59" s="254">
        <f t="shared" si="8"/>
        <v>4.9873335506864777E-2</v>
      </c>
      <c r="L59" s="154">
        <f t="shared" si="10"/>
        <v>19145.564940174154</v>
      </c>
      <c r="N59" s="254">
        <f t="shared" si="9"/>
        <v>4.9873335506864777E-2</v>
      </c>
    </row>
    <row r="60" spans="1:14" ht="14" x14ac:dyDescent="0.3">
      <c r="A60" s="151">
        <f>IF(B60&lt;&gt;"",COUNTA($B$13:B60),"")</f>
        <v>43</v>
      </c>
      <c r="B60" s="207" t="str">
        <f>+'G1NDMD BOST'!B62</f>
        <v>Tax Act Credit Factor</v>
      </c>
      <c r="C60" s="233" t="str">
        <f>+'G1NDMD BOST'!C62</f>
        <v>TACF</v>
      </c>
      <c r="D60" s="253"/>
      <c r="E60" s="154">
        <f t="shared" si="4"/>
        <v>0</v>
      </c>
      <c r="G60" s="254">
        <f t="shared" si="7"/>
        <v>0</v>
      </c>
      <c r="I60" s="154">
        <f t="shared" si="5"/>
        <v>-28983.186893714814</v>
      </c>
      <c r="J60" s="254">
        <f t="shared" si="8"/>
        <v>-7.5499898202286017E-2</v>
      </c>
      <c r="L60" s="154">
        <f t="shared" si="10"/>
        <v>-28983.186893714814</v>
      </c>
      <c r="N60" s="254">
        <f t="shared" si="9"/>
        <v>-7.5499898202286017E-2</v>
      </c>
    </row>
    <row r="61" spans="1:14" ht="14" x14ac:dyDescent="0.3">
      <c r="A61" s="151">
        <f>IF(B61&lt;&gt;"",COUNTA($B$13:B61),"")</f>
        <v>44</v>
      </c>
      <c r="B61" s="207" t="str">
        <f>+'G1NDMD BOST'!B63</f>
        <v>Transition</v>
      </c>
      <c r="C61" s="233" t="str">
        <f>+'G1NDMD BOST'!C63</f>
        <v>TRNSN</v>
      </c>
      <c r="D61" s="253"/>
      <c r="E61" s="154">
        <f t="shared" si="4"/>
        <v>-23416.911050392278</v>
      </c>
      <c r="G61" s="254">
        <f t="shared" si="7"/>
        <v>-6.0999999999999999E-2</v>
      </c>
      <c r="I61" s="154">
        <f t="shared" si="5"/>
        <v>-20003.923675470018</v>
      </c>
      <c r="J61" s="254">
        <f t="shared" si="8"/>
        <v>-5.2109321403568713E-2</v>
      </c>
      <c r="L61" s="154">
        <f t="shared" si="10"/>
        <v>3412.9873749222606</v>
      </c>
      <c r="N61" s="254">
        <f t="shared" si="9"/>
        <v>8.8906785964312854E-3</v>
      </c>
    </row>
    <row r="62" spans="1:14" ht="14" x14ac:dyDescent="0.3">
      <c r="A62" s="151">
        <f>IF(B62&lt;&gt;"",COUNTA($B$13:B62),"")</f>
        <v>45</v>
      </c>
      <c r="B62" s="207" t="str">
        <f>+'G1NDMD BOST'!B64</f>
        <v>Transmission</v>
      </c>
      <c r="C62" s="233" t="str">
        <f>+'G1NDMD BOST'!C64</f>
        <v>TRNSM</v>
      </c>
      <c r="D62" s="253"/>
      <c r="E62" s="154">
        <f>SUM(SUMIF($C$13:$C$37,{"TMKW","TMKWH"},$I$13:$I$37))</f>
        <v>1040708.9484854667</v>
      </c>
      <c r="G62" s="254">
        <f t="shared" si="7"/>
        <v>2.7109999999999999</v>
      </c>
      <c r="I62" s="154">
        <f>SUM(SUMIF($C$13:$C$37,{"TMKW","TMKWH"},$N$13:$N$37))</f>
        <v>893617.40399281075</v>
      </c>
      <c r="J62" s="254">
        <f t="shared" si="8"/>
        <v>2.3278331427341823</v>
      </c>
      <c r="L62" s="154">
        <f t="shared" si="6"/>
        <v>-147091.5444926559</v>
      </c>
      <c r="N62" s="254">
        <f t="shared" si="9"/>
        <v>-0.38316685726581784</v>
      </c>
    </row>
    <row r="63" spans="1:14" ht="14" x14ac:dyDescent="0.3">
      <c r="A63" s="151">
        <f>IF(B63&lt;&gt;"",COUNTA($B$13:B63),"")</f>
        <v>46</v>
      </c>
      <c r="B63" s="207" t="str">
        <f>+'G1NDMD BOST'!B65</f>
        <v>Energy Efficiency Reconciliation Factor</v>
      </c>
      <c r="C63" s="233" t="str">
        <f>+'G1NDMD BOST'!C65</f>
        <v>EERF</v>
      </c>
      <c r="D63" s="253"/>
      <c r="E63" s="154">
        <f>SUMIF($C$13:$C$37,$C63,$I$13:$I$37)</f>
        <v>324765.6844038011</v>
      </c>
      <c r="G63" s="254">
        <f t="shared" si="7"/>
        <v>0.84600000000000009</v>
      </c>
      <c r="I63" s="154">
        <f>SUMIF($C$13:$C$37,$C63,$N$13:$N$37)</f>
        <v>324765.6844038011</v>
      </c>
      <c r="J63" s="254">
        <f t="shared" si="8"/>
        <v>0.84600000000000009</v>
      </c>
      <c r="L63" s="154">
        <f t="shared" si="6"/>
        <v>0</v>
      </c>
      <c r="N63" s="254">
        <f t="shared" si="9"/>
        <v>0</v>
      </c>
    </row>
    <row r="64" spans="1:14" ht="14" x14ac:dyDescent="0.3">
      <c r="A64" s="151">
        <f>IF(B64&lt;&gt;"",COUNTA($B$13:B64),"")</f>
        <v>47</v>
      </c>
      <c r="B64" s="207" t="str">
        <f>+'G1NDMD BOST'!B66</f>
        <v>System Benefits Charge</v>
      </c>
      <c r="C64" s="233" t="str">
        <f>+'G1NDMD BOST'!C66</f>
        <v>SBC</v>
      </c>
      <c r="D64" s="253"/>
      <c r="E64" s="154">
        <f>SUMIF($C$13:$C$37,$C64,$I$13:$I$37)</f>
        <v>95970.946927837213</v>
      </c>
      <c r="G64" s="254">
        <f t="shared" si="7"/>
        <v>0.25</v>
      </c>
      <c r="I64" s="154">
        <f>SUMIF($C$13:$C$37,$C64,$N$13:$N$37)</f>
        <v>95970.946927837213</v>
      </c>
      <c r="J64" s="254">
        <f t="shared" si="8"/>
        <v>0.25</v>
      </c>
      <c r="L64" s="154">
        <f t="shared" si="6"/>
        <v>0</v>
      </c>
      <c r="N64" s="254">
        <f t="shared" si="9"/>
        <v>0</v>
      </c>
    </row>
    <row r="65" spans="1:14" ht="14" x14ac:dyDescent="0.3">
      <c r="A65" s="151">
        <f>IF(B65&lt;&gt;"",COUNTA($B$13:B65),"")</f>
        <v>48</v>
      </c>
      <c r="B65" s="207" t="str">
        <f>+'G1NDMD BOST'!B67</f>
        <v>Renewable Energy Charge</v>
      </c>
      <c r="C65" s="233" t="str">
        <f>+'G1NDMD BOST'!C67</f>
        <v>RNEW</v>
      </c>
      <c r="D65" s="253"/>
      <c r="E65" s="154">
        <f>SUMIF($C$13:$C$37,$C65,$I$13:$I$37)</f>
        <v>19194.189385567443</v>
      </c>
      <c r="G65" s="254">
        <f t="shared" si="7"/>
        <v>0.05</v>
      </c>
      <c r="I65" s="154">
        <f>SUMIF($C$13:$C$37,$C65,$N$13:$N$37)</f>
        <v>19194.189385567443</v>
      </c>
      <c r="J65" s="254">
        <f t="shared" si="8"/>
        <v>0.05</v>
      </c>
      <c r="L65" s="154">
        <f>I65-E65</f>
        <v>0</v>
      </c>
      <c r="N65" s="254">
        <f t="shared" si="9"/>
        <v>0</v>
      </c>
    </row>
    <row r="66" spans="1:14" ht="14" x14ac:dyDescent="0.3">
      <c r="A66" s="151">
        <f>IF(B66&lt;&gt;"",COUNTA($B$13:B66),"")</f>
        <v>49</v>
      </c>
      <c r="B66" s="207" t="str">
        <f>+'G1NDMD BOST'!B68</f>
        <v>Basic Service Charge</v>
      </c>
      <c r="C66" s="233" t="str">
        <f>+'G1NDMD BOST'!C68</f>
        <v>BS</v>
      </c>
      <c r="D66" s="253"/>
      <c r="E66" s="255">
        <f>SUMIF($C$13:$C$37,$C66,$I$13:$I$37)</f>
        <v>4377426.8312725108</v>
      </c>
      <c r="F66" s="256"/>
      <c r="G66" s="257">
        <f t="shared" si="7"/>
        <v>11.403</v>
      </c>
      <c r="H66" s="258"/>
      <c r="I66" s="255">
        <f>SUMIF($C$13:$C$37,$C66,$N$13:$N$37)</f>
        <v>5061507.7409741348</v>
      </c>
      <c r="J66" s="257">
        <f t="shared" si="8"/>
        <v>13.185000000000002</v>
      </c>
      <c r="K66" s="255"/>
      <c r="L66" s="255">
        <f t="shared" si="6"/>
        <v>684080.90970162395</v>
      </c>
      <c r="M66" s="259"/>
      <c r="N66" s="257">
        <f t="shared" si="9"/>
        <v>1.7820000000000009</v>
      </c>
    </row>
    <row r="67" spans="1:14" ht="14" x14ac:dyDescent="0.3">
      <c r="A67" s="151">
        <f>IF(B67&lt;&gt;"",COUNTA($B$13:B67),"")</f>
        <v>50</v>
      </c>
      <c r="B67" s="207" t="str">
        <f>+'G1NDMD BOST'!B69</f>
        <v>Total</v>
      </c>
      <c r="C67" s="130"/>
      <c r="D67" s="130"/>
      <c r="E67" s="154">
        <f>SUM(E46:E66)</f>
        <v>7850038.4963671789</v>
      </c>
      <c r="G67" s="254">
        <f t="shared" si="7"/>
        <v>20.4489971904461</v>
      </c>
      <c r="I67" s="154">
        <f>SUM(I46:I66)</f>
        <v>8460316.1523310244</v>
      </c>
      <c r="J67" s="254">
        <f t="shared" si="8"/>
        <v>22.038743034109409</v>
      </c>
      <c r="L67" s="154">
        <f>SUM(L46:L66)</f>
        <v>610277.65596384509</v>
      </c>
      <c r="N67" s="254">
        <f t="shared" si="9"/>
        <v>1.5897458436633098</v>
      </c>
    </row>
    <row r="68" spans="1:14" ht="14" x14ac:dyDescent="0.3">
      <c r="A68" s="151" t="str">
        <f>IF(B68&lt;&gt;"",COUNTA($B$10:B68),"")</f>
        <v/>
      </c>
    </row>
    <row r="69" spans="1:14" ht="14" x14ac:dyDescent="0.3">
      <c r="A69" s="151"/>
      <c r="B69" s="256" t="s">
        <v>164</v>
      </c>
      <c r="E69" s="188"/>
      <c r="G69" s="188"/>
      <c r="H69" s="188"/>
      <c r="I69" s="188"/>
      <c r="J69" s="188"/>
      <c r="K69" s="188"/>
      <c r="L69" s="188"/>
      <c r="M69" s="188"/>
      <c r="N69" s="188"/>
    </row>
    <row r="70" spans="1:14" ht="14" x14ac:dyDescent="0.3">
      <c r="A70" s="151"/>
      <c r="B70" s="207" t="str">
        <f>+'G1NDMD BOST'!B72</f>
        <v>Col. (a): Company's forecast</v>
      </c>
    </row>
    <row r="71" spans="1:14" ht="14" x14ac:dyDescent="0.3">
      <c r="A71" s="151"/>
      <c r="B71" s="207" t="str">
        <f>+'G1NDMD BOST'!B73</f>
        <v>Col. (b): Current rates</v>
      </c>
    </row>
    <row r="72" spans="1:14" ht="14" x14ac:dyDescent="0.3">
      <c r="A72" s="151"/>
      <c r="B72" s="207" t="str">
        <f>+'G1NDMD BOST'!B74</f>
        <v>Col. (c): Col. (a) x Col. (b)</v>
      </c>
    </row>
    <row r="73" spans="1:14" ht="14" x14ac:dyDescent="0.3">
      <c r="A73" s="151"/>
      <c r="B73" s="207" t="str">
        <f>+'G1NDMD BOST'!B75</f>
        <v>Col. (e): Proposed rates</v>
      </c>
    </row>
    <row r="74" spans="1:14" ht="14" x14ac:dyDescent="0.3">
      <c r="A74" s="151"/>
      <c r="B74" s="207" t="s">
        <v>426</v>
      </c>
    </row>
  </sheetData>
  <mergeCells count="6">
    <mergeCell ref="A4:N4"/>
    <mergeCell ref="A5:N5"/>
    <mergeCell ref="A7:N7"/>
    <mergeCell ref="A8:N8"/>
    <mergeCell ref="G10:I10"/>
    <mergeCell ref="L10:N10"/>
  </mergeCells>
  <pageMargins left="0.7" right="0.7" top="0.75" bottom="0.75" header="0.3" footer="0.3"/>
  <pageSetup scale="67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188A5-55A3-4B7D-9DBA-A97CCA9F4F4A}">
  <sheetPr>
    <tabColor theme="9" tint="0.59999389629810485"/>
    <pageSetUpPr fitToPage="1"/>
  </sheetPr>
  <dimension ref="A3:N77"/>
  <sheetViews>
    <sheetView workbookViewId="0"/>
  </sheetViews>
  <sheetFormatPr defaultRowHeight="12.5" x14ac:dyDescent="0.25"/>
  <cols>
    <col min="1" max="1" width="3.26953125" bestFit="1" customWidth="1"/>
    <col min="2" max="2" width="41.1796875" customWidth="1"/>
    <col min="3" max="3" width="8.26953125" bestFit="1" customWidth="1"/>
    <col min="4" max="4" width="1.26953125" customWidth="1"/>
    <col min="5" max="5" width="13.26953125" bestFit="1" customWidth="1"/>
    <col min="6" max="6" width="1.26953125" customWidth="1"/>
    <col min="7" max="7" width="12.7265625" customWidth="1"/>
    <col min="8" max="8" width="1.26953125" customWidth="1"/>
    <col min="9" max="9" width="13.26953125" bestFit="1" customWidth="1"/>
    <col min="11" max="11" width="1.26953125" customWidth="1"/>
    <col min="12" max="12" width="12.7265625" customWidth="1"/>
    <col min="13" max="13" width="1.26953125" customWidth="1"/>
    <col min="14" max="14" width="13.26953125" bestFit="1" customWidth="1"/>
  </cols>
  <sheetData>
    <row r="3" spans="1:14" ht="14" x14ac:dyDescent="0.3">
      <c r="A3" s="268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</row>
    <row r="4" spans="1:14" ht="14" x14ac:dyDescent="0.3">
      <c r="A4" s="748" t="str">
        <f>'R1 EMA'!A4:N4</f>
        <v>Eastern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4" ht="14" x14ac:dyDescent="0.3">
      <c r="A5" s="748" t="str">
        <f>'R1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4" ht="14" x14ac:dyDescent="0.3">
      <c r="A6" s="205"/>
      <c r="C6" s="205"/>
      <c r="D6" s="205"/>
      <c r="E6" s="206"/>
      <c r="F6" s="207"/>
      <c r="G6" s="208"/>
      <c r="H6" s="209"/>
      <c r="I6" s="210"/>
      <c r="J6" s="210"/>
      <c r="K6" s="210"/>
      <c r="L6" s="211"/>
      <c r="M6" s="211"/>
      <c r="N6" s="212"/>
    </row>
    <row r="7" spans="1:14" ht="14" x14ac:dyDescent="0.3">
      <c r="A7" s="748" t="s">
        <v>424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4" ht="14" x14ac:dyDescent="0.3">
      <c r="A8" s="748" t="s">
        <v>354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4" ht="14" x14ac:dyDescent="0.3">
      <c r="B9" s="207"/>
      <c r="C9" s="207"/>
      <c r="D9" s="207"/>
      <c r="E9" s="213"/>
      <c r="F9" s="207"/>
      <c r="I9" s="210"/>
      <c r="J9" s="210"/>
      <c r="K9" s="210"/>
      <c r="L9" s="214"/>
      <c r="M9" s="214"/>
      <c r="N9" s="215"/>
    </row>
    <row r="10" spans="1:14" ht="14.5" thickBot="1" x14ac:dyDescent="0.35">
      <c r="A10" s="151"/>
      <c r="B10" s="216" t="s">
        <v>46</v>
      </c>
      <c r="C10" s="216"/>
      <c r="D10" s="216"/>
      <c r="E10" s="217" t="s">
        <v>273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4" ht="14" x14ac:dyDescent="0.3">
      <c r="A11" s="151"/>
      <c r="B11" s="219" t="s">
        <v>293</v>
      </c>
      <c r="C11" s="220" t="s">
        <v>294</v>
      </c>
      <c r="D11" s="220"/>
      <c r="E11" s="221" t="s">
        <v>427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4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4" ht="14" x14ac:dyDescent="0.3">
      <c r="A13" s="151">
        <f>IF(B13&lt;&gt;"",COUNTA($B$13:B13),"")</f>
        <v>1</v>
      </c>
      <c r="B13" s="232" t="s">
        <v>296</v>
      </c>
      <c r="C13" s="233" t="s">
        <v>297</v>
      </c>
      <c r="D13" s="233"/>
      <c r="E13" s="234">
        <v>25480.091646196306</v>
      </c>
      <c r="F13" s="207"/>
      <c r="G13" s="209">
        <v>8</v>
      </c>
      <c r="H13" s="209"/>
      <c r="I13" s="210">
        <f>G13*E13</f>
        <v>203840.73316957045</v>
      </c>
      <c r="J13" s="235"/>
      <c r="K13" s="210"/>
      <c r="L13" s="209">
        <v>8</v>
      </c>
      <c r="M13" s="211"/>
      <c r="N13" s="210">
        <f>L13*E13</f>
        <v>203840.73316957045</v>
      </c>
    </row>
    <row r="14" spans="1:14" ht="14" x14ac:dyDescent="0.3">
      <c r="A14" s="151">
        <f>IF(B14&lt;&gt;"",COUNTA($B$13:B14),"")</f>
        <v>2</v>
      </c>
      <c r="B14" s="232" t="s">
        <v>428</v>
      </c>
      <c r="C14" s="233" t="s">
        <v>429</v>
      </c>
      <c r="D14" s="233"/>
      <c r="E14" s="234">
        <v>232200.3825813095</v>
      </c>
      <c r="F14" s="207"/>
      <c r="G14" s="209">
        <v>3.74</v>
      </c>
      <c r="H14" s="209"/>
      <c r="I14" s="210">
        <f t="shared" ref="I14:I15" si="0">G14*E14</f>
        <v>868429.43085409759</v>
      </c>
      <c r="J14" s="235"/>
      <c r="K14" s="210"/>
      <c r="L14" s="209">
        <v>3.87</v>
      </c>
      <c r="M14" s="211"/>
      <c r="N14" s="210">
        <f t="shared" ref="N14:N15" si="1">L14*E14</f>
        <v>898615.4805896678</v>
      </c>
    </row>
    <row r="15" spans="1:14" ht="14" x14ac:dyDescent="0.3">
      <c r="A15" s="151">
        <f>IF(B15&lt;&gt;"",COUNTA($B$13:B15),"")</f>
        <v>3</v>
      </c>
      <c r="B15" s="232" t="s">
        <v>430</v>
      </c>
      <c r="C15" s="233" t="s">
        <v>431</v>
      </c>
      <c r="D15" s="233"/>
      <c r="E15" s="234">
        <v>425096.46798662888</v>
      </c>
      <c r="F15" s="207"/>
      <c r="G15" s="209">
        <v>6.99</v>
      </c>
      <c r="H15" s="209"/>
      <c r="I15" s="210">
        <f t="shared" si="0"/>
        <v>2971424.3112265361</v>
      </c>
      <c r="J15" s="235"/>
      <c r="K15" s="210"/>
      <c r="L15" s="209">
        <v>7.23</v>
      </c>
      <c r="M15" s="211"/>
      <c r="N15" s="210">
        <f t="shared" si="1"/>
        <v>3073447.4635433271</v>
      </c>
    </row>
    <row r="16" spans="1:14" ht="14" x14ac:dyDescent="0.3">
      <c r="A16" s="151">
        <f>IF(B16&lt;&gt;"",COUNTA($B$13:B16),"")</f>
        <v>4</v>
      </c>
      <c r="B16" s="232" t="s">
        <v>363</v>
      </c>
      <c r="C16" s="233" t="s">
        <v>364</v>
      </c>
      <c r="D16" s="233"/>
      <c r="E16" s="234">
        <v>657296.85056793841</v>
      </c>
      <c r="F16" s="207"/>
      <c r="G16" s="209"/>
      <c r="H16" s="209"/>
      <c r="I16" s="210"/>
      <c r="J16" s="235"/>
      <c r="K16" s="210"/>
      <c r="L16" s="209"/>
      <c r="M16" s="211"/>
      <c r="N16" s="210"/>
    </row>
    <row r="17" spans="1:14" ht="14" x14ac:dyDescent="0.3">
      <c r="A17" s="151">
        <f>IF(B17&lt;&gt;"",COUNTA($B$13:B17),"")</f>
        <v>5</v>
      </c>
      <c r="B17" s="207" t="s">
        <v>298</v>
      </c>
      <c r="C17" s="233" t="s">
        <v>299</v>
      </c>
      <c r="D17" s="233"/>
      <c r="E17" s="234">
        <v>202368259.97120696</v>
      </c>
      <c r="F17" s="207"/>
      <c r="G17" s="236">
        <v>1.1270000000000001E-2</v>
      </c>
      <c r="H17" s="209"/>
      <c r="I17" s="237">
        <f>G17*E17</f>
        <v>2280690.2898755027</v>
      </c>
      <c r="J17" s="235"/>
      <c r="K17" s="210"/>
      <c r="L17" s="236">
        <v>1.166E-2</v>
      </c>
      <c r="M17" s="211"/>
      <c r="N17" s="237">
        <f t="shared" ref="N17" si="2">L17*E17</f>
        <v>2359613.9112642733</v>
      </c>
    </row>
    <row r="18" spans="1:14" ht="14" x14ac:dyDescent="0.3">
      <c r="A18" s="151">
        <f>IF(B18&lt;&gt;"",COUNTA($B$13:B18),"")</f>
        <v>6</v>
      </c>
      <c r="B18" s="207" t="s">
        <v>300</v>
      </c>
      <c r="C18" s="233" t="s">
        <v>301</v>
      </c>
      <c r="D18" s="233"/>
      <c r="E18" s="234"/>
      <c r="F18" s="207"/>
      <c r="G18" s="209"/>
      <c r="H18" s="209"/>
      <c r="I18" s="210">
        <f>SUM(I13:I17)</f>
        <v>6324384.7651257068</v>
      </c>
      <c r="J18" s="235"/>
      <c r="K18" s="210"/>
      <c r="L18" s="238"/>
      <c r="M18" s="211"/>
      <c r="N18" s="210">
        <f>SUM(N13:N17)</f>
        <v>6535517.5885668388</v>
      </c>
    </row>
    <row r="19" spans="1:14" ht="14" x14ac:dyDescent="0.3">
      <c r="A19" s="151" t="str">
        <f>IF(B19&lt;&gt;"",COUNTA($B$13:B19),"")</f>
        <v/>
      </c>
      <c r="B19" s="207"/>
      <c r="C19" s="233"/>
      <c r="D19" s="233"/>
      <c r="E19" s="234"/>
      <c r="F19" s="207"/>
      <c r="G19" s="209"/>
      <c r="H19" s="209"/>
      <c r="I19" s="210"/>
      <c r="J19" s="235"/>
      <c r="K19" s="210"/>
      <c r="L19" s="238"/>
      <c r="M19" s="211"/>
      <c r="N19" s="210"/>
    </row>
    <row r="20" spans="1:14" ht="14" x14ac:dyDescent="0.3">
      <c r="A20" s="151">
        <f>IF(B20&lt;&gt;"",COUNTA($B$13:B20),"")</f>
        <v>7</v>
      </c>
      <c r="B20" s="228" t="s">
        <v>302</v>
      </c>
      <c r="F20" s="239"/>
      <c r="G20" s="240"/>
      <c r="H20" s="211"/>
      <c r="I20" s="210"/>
      <c r="K20" s="210"/>
      <c r="L20" s="241"/>
      <c r="M20" s="211"/>
      <c r="N20" s="210"/>
    </row>
    <row r="21" spans="1:14" ht="14" x14ac:dyDescent="0.3">
      <c r="A21" s="151">
        <f>IF(B21&lt;&gt;"",COUNTA($B$13:B21),"")</f>
        <v>8</v>
      </c>
      <c r="B21" s="207" t="str">
        <f>+'G3 BOST'!B24</f>
        <v>Revenue Decoupling</v>
      </c>
      <c r="C21" s="233" t="str">
        <f>+'G3 BOST'!C24</f>
        <v>RDAF</v>
      </c>
      <c r="D21" s="233"/>
      <c r="E21" s="242"/>
      <c r="F21" s="239"/>
      <c r="G21" s="236">
        <v>0</v>
      </c>
      <c r="H21" s="211"/>
      <c r="I21" s="210">
        <f>G21*$E$17</f>
        <v>0</v>
      </c>
      <c r="K21" s="210"/>
      <c r="L21" s="236">
        <v>-3.2348376541786153E-4</v>
      </c>
      <c r="M21" s="211"/>
      <c r="N21" s="210">
        <f>$E$17*L21</f>
        <v>-65462.84673654673</v>
      </c>
    </row>
    <row r="22" spans="1:14" ht="14" x14ac:dyDescent="0.3">
      <c r="A22" s="151">
        <f>IF(B22&lt;&gt;"",COUNTA($B$13:B22),"")</f>
        <v>9</v>
      </c>
      <c r="B22" s="207" t="str">
        <f>+'G3 BOST'!B25</f>
        <v>Residential Assistance Adjustment Factor</v>
      </c>
      <c r="C22" s="233" t="str">
        <f>+'G3 BOST'!C25</f>
        <v>RAAF</v>
      </c>
      <c r="D22" s="243"/>
      <c r="E22" s="206"/>
      <c r="F22" s="239"/>
      <c r="G22" s="236">
        <v>2.0899999999999998E-3</v>
      </c>
      <c r="H22" s="211"/>
      <c r="I22" s="210">
        <f t="shared" ref="I22:I35" si="3">G22*$E$17</f>
        <v>422949.66333982249</v>
      </c>
      <c r="K22" s="210"/>
      <c r="L22" s="236">
        <v>2.7328778489833509E-3</v>
      </c>
      <c r="M22" s="211"/>
      <c r="N22" s="210">
        <f t="shared" ref="N22:N35" si="4">$E$17*L22</f>
        <v>553047.73501261568</v>
      </c>
    </row>
    <row r="23" spans="1:14" ht="14" x14ac:dyDescent="0.3">
      <c r="A23" s="151">
        <f>IF(B23&lt;&gt;"",COUNTA($B$13:B23),"")</f>
        <v>10</v>
      </c>
      <c r="B23" s="207" t="str">
        <f>+'G3 BOST'!B26</f>
        <v>Pension Adjustment Factor</v>
      </c>
      <c r="C23" s="233" t="str">
        <f>+'G3 BOST'!C26</f>
        <v>PAF</v>
      </c>
      <c r="D23" s="243"/>
      <c r="E23" s="206"/>
      <c r="F23" s="239"/>
      <c r="G23" s="236">
        <v>-6.0000000000000002E-5</v>
      </c>
      <c r="H23" s="211"/>
      <c r="I23" s="210">
        <f t="shared" si="3"/>
        <v>-12142.095598272417</v>
      </c>
      <c r="K23" s="210"/>
      <c r="L23" s="236">
        <v>5.4374321409868449E-4</v>
      </c>
      <c r="M23" s="211"/>
      <c r="N23" s="210">
        <f t="shared" si="4"/>
        <v>110036.36810830222</v>
      </c>
    </row>
    <row r="24" spans="1:14" ht="14" x14ac:dyDescent="0.3">
      <c r="A24" s="151">
        <f>IF(B24&lt;&gt;"",COUNTA($B$13:B24),"")</f>
        <v>11</v>
      </c>
      <c r="B24" s="207" t="str">
        <f>+'G3 BOST'!B27</f>
        <v>Net Metering Recovery Surcharge</v>
      </c>
      <c r="C24" s="233" t="str">
        <f>+'G3 BOST'!C27</f>
        <v>NMRS</v>
      </c>
      <c r="D24" s="243"/>
      <c r="E24" s="206"/>
      <c r="F24" s="239"/>
      <c r="G24" s="236">
        <v>4.1099999999999999E-3</v>
      </c>
      <c r="H24" s="211"/>
      <c r="I24" s="210">
        <f t="shared" si="3"/>
        <v>831733.54848166066</v>
      </c>
      <c r="K24" s="210"/>
      <c r="L24" s="236">
        <v>3.5634535002407389E-3</v>
      </c>
      <c r="M24" s="211"/>
      <c r="N24" s="210">
        <f t="shared" si="4"/>
        <v>721129.88433202531</v>
      </c>
    </row>
    <row r="25" spans="1:14" ht="14" x14ac:dyDescent="0.3">
      <c r="A25" s="151">
        <f>IF(B25&lt;&gt;"",COUNTA($B$13:B25),"")</f>
        <v>12</v>
      </c>
      <c r="B25" s="207" t="str">
        <f>+'G3 BOST'!B28</f>
        <v>Long Term Renewable Contract Adjustment</v>
      </c>
      <c r="C25" s="233" t="str">
        <f>+'G3 BOST'!C28</f>
        <v>LTRCA</v>
      </c>
      <c r="D25" s="243"/>
      <c r="E25" s="206"/>
      <c r="F25" s="239"/>
      <c r="G25" s="236">
        <v>2.3600000000000001E-3</v>
      </c>
      <c r="H25" s="211"/>
      <c r="I25" s="210">
        <f t="shared" si="3"/>
        <v>477589.09353204846</v>
      </c>
      <c r="K25" s="210"/>
      <c r="L25" s="236">
        <v>1.7357128782064517E-3</v>
      </c>
      <c r="M25" s="211"/>
      <c r="N25" s="210">
        <f t="shared" si="4"/>
        <v>351253.19497225509</v>
      </c>
    </row>
    <row r="26" spans="1:14" ht="14" x14ac:dyDescent="0.3">
      <c r="A26" s="151">
        <f>IF(B26&lt;&gt;"",COUNTA($B$13:B26),"")</f>
        <v>13</v>
      </c>
      <c r="B26" s="207" t="str">
        <f>+'G3 BOST'!B29</f>
        <v>AG Consulting Expense</v>
      </c>
      <c r="C26" s="233" t="str">
        <f>+'G3 BOST'!C29</f>
        <v>AGCE</v>
      </c>
      <c r="D26" s="243"/>
      <c r="E26" s="206"/>
      <c r="F26" s="239"/>
      <c r="G26" s="236">
        <v>2.0000000000000002E-5</v>
      </c>
      <c r="H26" s="211"/>
      <c r="I26" s="210">
        <f t="shared" si="3"/>
        <v>4047.3651994241395</v>
      </c>
      <c r="K26" s="210"/>
      <c r="L26" s="236">
        <v>5.7380240337673214E-6</v>
      </c>
      <c r="M26" s="211"/>
      <c r="N26" s="210">
        <f t="shared" si="4"/>
        <v>1161.1939393864589</v>
      </c>
    </row>
    <row r="27" spans="1:14" ht="14" x14ac:dyDescent="0.3">
      <c r="A27" s="151">
        <f>IF(B27&lt;&gt;"",COUNTA($B$13:B27),"")</f>
        <v>14</v>
      </c>
      <c r="B27" s="207" t="str">
        <f>+'G3 BOST'!B30</f>
        <v>Storm Cost Recovery Adjustment Factor</v>
      </c>
      <c r="C27" s="233" t="str">
        <f>+'G3 BOST'!C30</f>
        <v>SCRA</v>
      </c>
      <c r="D27" s="243"/>
      <c r="E27" s="206"/>
      <c r="F27" s="239"/>
      <c r="G27" s="236">
        <v>1.2899999999999999E-3</v>
      </c>
      <c r="H27" s="211"/>
      <c r="I27" s="210">
        <f t="shared" si="3"/>
        <v>261055.05536285698</v>
      </c>
      <c r="K27" s="210"/>
      <c r="L27" s="236">
        <v>2.0707669364920995E-3</v>
      </c>
      <c r="M27" s="211"/>
      <c r="N27" s="210">
        <f t="shared" si="4"/>
        <v>419057.50174381299</v>
      </c>
    </row>
    <row r="28" spans="1:14" ht="14" x14ac:dyDescent="0.3">
      <c r="A28" s="151">
        <f>IF(B28&lt;&gt;"",COUNTA($B$13:B28),"")</f>
        <v>15</v>
      </c>
      <c r="B28" s="207" t="str">
        <f>+'G3 BOST'!B31</f>
        <v>Storm Reserve Adjustment</v>
      </c>
      <c r="C28" s="233" t="str">
        <f>+'G3 BOST'!C31</f>
        <v>SRA</v>
      </c>
      <c r="D28" s="243"/>
      <c r="E28" s="206"/>
      <c r="F28" s="239"/>
      <c r="G28" s="236">
        <v>0</v>
      </c>
      <c r="H28" s="211"/>
      <c r="I28" s="210">
        <f t="shared" si="3"/>
        <v>0</v>
      </c>
      <c r="K28" s="210"/>
      <c r="L28" s="236">
        <v>0</v>
      </c>
      <c r="M28" s="211"/>
      <c r="N28" s="210">
        <f t="shared" si="4"/>
        <v>0</v>
      </c>
    </row>
    <row r="29" spans="1:14" ht="14" x14ac:dyDescent="0.3">
      <c r="A29" s="151">
        <f>IF(B29&lt;&gt;"",COUNTA($B$13:B29),"")</f>
        <v>16</v>
      </c>
      <c r="B29" s="207" t="str">
        <f>+'G3 BOST'!B32</f>
        <v>Basic Service Cost True Up Factor</v>
      </c>
      <c r="C29" s="233" t="str">
        <f>+'G3 BOST'!C32</f>
        <v>BSTF</v>
      </c>
      <c r="D29" s="243"/>
      <c r="E29" s="206"/>
      <c r="F29" s="239"/>
      <c r="G29" s="236">
        <v>1.1100000000000001E-3</v>
      </c>
      <c r="H29" s="211"/>
      <c r="I29" s="210">
        <f t="shared" si="3"/>
        <v>224628.76856803976</v>
      </c>
      <c r="K29" s="210"/>
      <c r="L29" s="236">
        <v>-1.3561209566344785E-4</v>
      </c>
      <c r="M29" s="211"/>
      <c r="N29" s="210">
        <f t="shared" si="4"/>
        <v>-27443.583830460804</v>
      </c>
    </row>
    <row r="30" spans="1:14" ht="14" x14ac:dyDescent="0.3">
      <c r="A30" s="151">
        <f>IF(B30&lt;&gt;"",COUNTA($B$13:B30),"")</f>
        <v>17</v>
      </c>
      <c r="B30" s="207" t="str">
        <f>+'G3 BOST'!B33</f>
        <v>Solar Program Cost Adjustment Factor</v>
      </c>
      <c r="C30" s="233" t="str">
        <f>+'G3 BOST'!C33</f>
        <v>SPCA</v>
      </c>
      <c r="D30" s="233"/>
      <c r="E30" s="206"/>
      <c r="F30" s="239"/>
      <c r="G30" s="236">
        <v>0</v>
      </c>
      <c r="H30" s="211"/>
      <c r="I30" s="210">
        <f t="shared" si="3"/>
        <v>0</v>
      </c>
      <c r="K30" s="210"/>
      <c r="L30" s="236">
        <v>2.4134141187452967E-5</v>
      </c>
      <c r="M30" s="211"/>
      <c r="N30" s="210">
        <f t="shared" si="4"/>
        <v>4883.9841580042958</v>
      </c>
    </row>
    <row r="31" spans="1:14" ht="14" x14ac:dyDescent="0.3">
      <c r="A31" s="151">
        <f>IF(B31&lt;&gt;"",COUNTA($B$13:B31),"")</f>
        <v>18</v>
      </c>
      <c r="B31" s="207" t="str">
        <f>+'G3 BOST'!B34</f>
        <v>Solar Expansion Cost Recovery Factor</v>
      </c>
      <c r="C31" s="233" t="str">
        <f>+'G3 BOST'!C34</f>
        <v>SECRF</v>
      </c>
      <c r="D31" s="233"/>
      <c r="E31" s="206"/>
      <c r="F31" s="239"/>
      <c r="G31" s="236">
        <v>0</v>
      </c>
      <c r="H31" s="211"/>
      <c r="I31" s="210">
        <f t="shared" si="3"/>
        <v>0</v>
      </c>
      <c r="K31" s="210"/>
      <c r="L31" s="236">
        <v>4.2567103824713107E-4</v>
      </c>
      <c r="M31" s="211"/>
      <c r="N31" s="210">
        <f t="shared" si="4"/>
        <v>86142.307330209005</v>
      </c>
    </row>
    <row r="32" spans="1:14" ht="14" x14ac:dyDescent="0.3">
      <c r="A32" s="151">
        <f>IF(B32&lt;&gt;"",COUNTA($B$13:B32),"")</f>
        <v>19</v>
      </c>
      <c r="B32" s="207" t="str">
        <f>+'G3 BOST'!B35</f>
        <v>Vegetation Management</v>
      </c>
      <c r="C32" s="233" t="str">
        <f>+'G3 BOST'!C35</f>
        <v>RTWF</v>
      </c>
      <c r="D32" s="233"/>
      <c r="E32" s="206"/>
      <c r="F32" s="239"/>
      <c r="G32" s="236">
        <v>0</v>
      </c>
      <c r="H32" s="211"/>
      <c r="I32" s="210">
        <f t="shared" si="3"/>
        <v>0</v>
      </c>
      <c r="K32" s="210"/>
      <c r="L32" s="236">
        <v>9.7348412987279833E-4</v>
      </c>
      <c r="M32" s="211"/>
      <c r="N32" s="210">
        <f t="shared" si="4"/>
        <v>197002.28947194264</v>
      </c>
    </row>
    <row r="33" spans="1:14" ht="14" x14ac:dyDescent="0.3">
      <c r="A33" s="151">
        <f>IF(B33&lt;&gt;"",COUNTA($B$13:B33),"")</f>
        <v>20</v>
      </c>
      <c r="B33" s="207" t="str">
        <f>+'G3 BOST'!B36</f>
        <v>Solar Massachusetts Renewable Target</v>
      </c>
      <c r="C33" s="233" t="str">
        <f>+'G3 BOST'!C36</f>
        <v>SMART</v>
      </c>
      <c r="D33" s="233"/>
      <c r="E33" s="206"/>
      <c r="F33" s="239"/>
      <c r="G33" s="236">
        <v>0</v>
      </c>
      <c r="H33" s="211"/>
      <c r="I33" s="210">
        <f t="shared" si="3"/>
        <v>0</v>
      </c>
      <c r="K33" s="210"/>
      <c r="L33" s="236">
        <v>4.9873335506864778E-4</v>
      </c>
      <c r="M33" s="211"/>
      <c r="N33" s="210">
        <f t="shared" si="4"/>
        <v>100927.80125484438</v>
      </c>
    </row>
    <row r="34" spans="1:14" ht="14" x14ac:dyDescent="0.3">
      <c r="A34" s="151">
        <f>IF(B34&lt;&gt;"",COUNTA($B$13:B34),"")</f>
        <v>21</v>
      </c>
      <c r="B34" s="207" t="str">
        <f>+'G3 BOST'!B37</f>
        <v>Tax Act Credit Factor</v>
      </c>
      <c r="C34" s="233" t="str">
        <f>+'G3 BOST'!C37</f>
        <v>TACF</v>
      </c>
      <c r="D34" s="233"/>
      <c r="E34" s="206"/>
      <c r="F34" s="239"/>
      <c r="G34" s="236">
        <v>0</v>
      </c>
      <c r="H34" s="211"/>
      <c r="I34" s="210">
        <f t="shared" si="3"/>
        <v>0</v>
      </c>
      <c r="K34" s="210"/>
      <c r="L34" s="236">
        <v>-7.5499898202286016E-4</v>
      </c>
      <c r="M34" s="211"/>
      <c r="N34" s="210">
        <f t="shared" si="4"/>
        <v>-152787.83027199877</v>
      </c>
    </row>
    <row r="35" spans="1:14" ht="14" x14ac:dyDescent="0.3">
      <c r="A35" s="151">
        <f>IF(B35&lt;&gt;"",COUNTA($B$13:B35),"")</f>
        <v>22</v>
      </c>
      <c r="B35" s="207" t="str">
        <f>+'G3 BOST'!B38</f>
        <v>Transition</v>
      </c>
      <c r="C35" s="233" t="str">
        <f>+'G3 BOST'!C38</f>
        <v>TRNSN</v>
      </c>
      <c r="D35" s="233"/>
      <c r="E35" s="206"/>
      <c r="F35" s="239"/>
      <c r="G35" s="236">
        <v>-6.0999999999999997E-4</v>
      </c>
      <c r="H35" s="211"/>
      <c r="I35" s="210">
        <f t="shared" si="3"/>
        <v>-123444.63858243624</v>
      </c>
      <c r="K35" s="210"/>
      <c r="L35" s="236">
        <v>-5.210932140356871E-4</v>
      </c>
      <c r="M35" s="211"/>
      <c r="N35" s="210">
        <f t="shared" si="4"/>
        <v>-105452.72700720571</v>
      </c>
    </row>
    <row r="36" spans="1:14" ht="14" x14ac:dyDescent="0.3">
      <c r="A36" s="151">
        <f>IF(B36&lt;&gt;"",COUNTA($B$13:B36),"")</f>
        <v>23</v>
      </c>
      <c r="B36" s="207" t="str">
        <f>+'G3 BOST'!B39</f>
        <v>Transmission Demand</v>
      </c>
      <c r="C36" s="233" t="str">
        <f>+'G3 BOST'!C39</f>
        <v>TMKW</v>
      </c>
      <c r="D36" s="233"/>
      <c r="E36" s="206"/>
      <c r="F36" s="239"/>
      <c r="G36" s="283">
        <v>8.67</v>
      </c>
      <c r="H36" s="211"/>
      <c r="I36" s="210">
        <f>G36*E16</f>
        <v>5698763.6944240257</v>
      </c>
      <c r="K36" s="210"/>
      <c r="L36" s="283">
        <v>7.1669222542506583</v>
      </c>
      <c r="M36" s="211"/>
      <c r="N36" s="210">
        <f>L36*E16</f>
        <v>4710795.4259842271</v>
      </c>
    </row>
    <row r="37" spans="1:14" ht="14" x14ac:dyDescent="0.3">
      <c r="A37" s="151">
        <f>IF(B37&lt;&gt;"",COUNTA($B$13:B37),"")</f>
        <v>24</v>
      </c>
      <c r="B37" s="207" t="str">
        <f>+'G3 BOST'!B40</f>
        <v>Energy Efficiency Reconciliation Factor</v>
      </c>
      <c r="C37" s="233" t="str">
        <f>+'G3 BOST'!C40</f>
        <v>EERF</v>
      </c>
      <c r="D37" s="233"/>
      <c r="E37" s="206"/>
      <c r="F37" s="239"/>
      <c r="G37" s="241">
        <v>8.4600000000000005E-3</v>
      </c>
      <c r="H37" s="211"/>
      <c r="I37" s="210">
        <f t="shared" ref="I37:I40" si="5">G37*$E$17</f>
        <v>1712035.4793564109</v>
      </c>
      <c r="K37" s="210"/>
      <c r="L37" s="281">
        <v>8.4600000000000005E-3</v>
      </c>
      <c r="M37" s="211"/>
      <c r="N37" s="210">
        <f t="shared" ref="N37:N40" si="6">$E$17*L37</f>
        <v>1712035.4793564109</v>
      </c>
    </row>
    <row r="38" spans="1:14" ht="14" x14ac:dyDescent="0.3">
      <c r="A38" s="151">
        <f>IF(B38&lt;&gt;"",COUNTA($B$13:B38),"")</f>
        <v>25</v>
      </c>
      <c r="B38" s="207" t="str">
        <f>+'G3 BOST'!B41</f>
        <v>System Benefits Charge</v>
      </c>
      <c r="C38" s="233" t="str">
        <f>+'G3 BOST'!C41</f>
        <v>SBC</v>
      </c>
      <c r="D38" s="233"/>
      <c r="E38" s="206"/>
      <c r="F38" s="239"/>
      <c r="G38" s="241">
        <v>2.5000000000000001E-3</v>
      </c>
      <c r="H38" s="211"/>
      <c r="I38" s="210">
        <f t="shared" si="5"/>
        <v>505920.6499280174</v>
      </c>
      <c r="K38" s="210"/>
      <c r="L38" s="281">
        <f>+G38</f>
        <v>2.5000000000000001E-3</v>
      </c>
      <c r="M38" s="211"/>
      <c r="N38" s="210">
        <f t="shared" si="6"/>
        <v>505920.6499280174</v>
      </c>
    </row>
    <row r="39" spans="1:14" ht="14" x14ac:dyDescent="0.3">
      <c r="A39" s="151">
        <f>IF(B39&lt;&gt;"",COUNTA($B$13:B39),"")</f>
        <v>26</v>
      </c>
      <c r="B39" s="207" t="str">
        <f>+'G3 BOST'!B42</f>
        <v>Renewable Energy Charge</v>
      </c>
      <c r="C39" s="233" t="str">
        <f>+'G3 BOST'!C42</f>
        <v>RNEW</v>
      </c>
      <c r="D39" s="233"/>
      <c r="E39" s="206"/>
      <c r="F39" s="239"/>
      <c r="G39" s="241">
        <v>5.0000000000000001E-4</v>
      </c>
      <c r="H39" s="211"/>
      <c r="I39" s="210">
        <f t="shared" si="5"/>
        <v>101184.12998560349</v>
      </c>
      <c r="K39" s="210"/>
      <c r="L39" s="281">
        <f>+G39</f>
        <v>5.0000000000000001E-4</v>
      </c>
      <c r="M39" s="211"/>
      <c r="N39" s="210">
        <f t="shared" si="6"/>
        <v>101184.12998560349</v>
      </c>
    </row>
    <row r="40" spans="1:14" ht="14" x14ac:dyDescent="0.3">
      <c r="A40" s="151">
        <f>IF(B40&lt;&gt;"",COUNTA($B$13:B40),"")</f>
        <v>27</v>
      </c>
      <c r="B40" s="207" t="str">
        <f>+'G3 BOST'!B43</f>
        <v>Basic Service Charge</v>
      </c>
      <c r="C40" s="233" t="str">
        <f>+'G3 BOST'!C43</f>
        <v>BS</v>
      </c>
      <c r="D40" s="233"/>
      <c r="E40" s="206"/>
      <c r="F40" s="239"/>
      <c r="G40" s="236">
        <v>0.11403000000000001</v>
      </c>
      <c r="H40" s="211"/>
      <c r="I40" s="237">
        <f t="shared" si="5"/>
        <v>23076052.684516732</v>
      </c>
      <c r="K40" s="210"/>
      <c r="L40" s="281">
        <v>0.13185000000000002</v>
      </c>
      <c r="M40" s="211"/>
      <c r="N40" s="237">
        <f t="shared" si="6"/>
        <v>26682255.077203643</v>
      </c>
    </row>
    <row r="41" spans="1:14" ht="14" x14ac:dyDescent="0.3">
      <c r="A41" s="151" t="str">
        <f>IF(B41&lt;&gt;"",COUNTA($B$13:B41),"")</f>
        <v/>
      </c>
      <c r="B41" s="207"/>
      <c r="E41" s="206"/>
      <c r="F41" s="239"/>
      <c r="G41" s="241"/>
      <c r="H41" s="211"/>
      <c r="I41" s="244"/>
      <c r="K41" s="210"/>
      <c r="L41" s="241"/>
      <c r="M41" s="211"/>
      <c r="N41" s="244"/>
    </row>
    <row r="42" spans="1:14" ht="14" x14ac:dyDescent="0.3">
      <c r="A42" s="151">
        <f>IF(B42&lt;&gt;"",COUNTA($B$13:B42),"")</f>
        <v>28</v>
      </c>
      <c r="B42" s="188" t="s">
        <v>46</v>
      </c>
      <c r="E42" s="188"/>
      <c r="G42" s="245" t="s">
        <v>324</v>
      </c>
      <c r="H42" s="246"/>
      <c r="I42" s="154">
        <f>SUM(I18:I41)</f>
        <v>39504758.163639635</v>
      </c>
      <c r="K42" s="247"/>
      <c r="L42" s="245"/>
      <c r="N42" s="154">
        <f>SUM(N18:N41)</f>
        <v>42441203.623501927</v>
      </c>
    </row>
    <row r="43" spans="1:14" ht="14" x14ac:dyDescent="0.3">
      <c r="A43" s="151" t="str">
        <f>IF(B43&lt;&gt;"",COUNTA($B$13:B43),"")</f>
        <v/>
      </c>
      <c r="E43" s="188"/>
      <c r="H43" s="188"/>
      <c r="I43" s="154"/>
      <c r="K43" s="265"/>
      <c r="L43" s="278"/>
      <c r="N43" s="265"/>
    </row>
    <row r="44" spans="1:14" ht="14" x14ac:dyDescent="0.3">
      <c r="A44" s="151">
        <f>IF(B44&lt;&gt;"",COUNTA($B$13:B44),"")</f>
        <v>29</v>
      </c>
      <c r="B44" s="188" t="s">
        <v>46</v>
      </c>
      <c r="E44" s="188"/>
      <c r="G44" s="188"/>
      <c r="H44" s="188"/>
      <c r="I44" s="188"/>
      <c r="J44" s="188"/>
      <c r="L44" s="248" t="s">
        <v>325</v>
      </c>
      <c r="N44" s="160">
        <f>+N42/I42-1</f>
        <v>7.4331437435934289E-2</v>
      </c>
    </row>
    <row r="45" spans="1:14" ht="14" x14ac:dyDescent="0.3">
      <c r="A45" s="151" t="str">
        <f>IF(B45&lt;&gt;"",COUNTA($B$13:B45),"")</f>
        <v/>
      </c>
      <c r="E45" s="188"/>
      <c r="G45" s="188"/>
      <c r="H45" s="188"/>
      <c r="I45" s="188"/>
      <c r="J45" s="188"/>
      <c r="L45" s="248"/>
      <c r="N45" s="160"/>
    </row>
    <row r="46" spans="1:14" ht="14" x14ac:dyDescent="0.3">
      <c r="A46" s="151" t="str">
        <f>IF(B46&lt;&gt;"",COUNTA($B$13:B46),"")</f>
        <v/>
      </c>
      <c r="E46" s="188"/>
      <c r="G46" s="186"/>
      <c r="H46" s="188"/>
      <c r="I46" s="188"/>
      <c r="L46" s="248"/>
      <c r="N46" s="160"/>
    </row>
    <row r="47" spans="1:14" ht="14.5" thickBot="1" x14ac:dyDescent="0.35">
      <c r="A47" s="151">
        <f>IF(B47&lt;&gt;"",COUNTA($B$13:B47),"")</f>
        <v>30</v>
      </c>
      <c r="B47" s="188" t="s">
        <v>46</v>
      </c>
      <c r="E47" s="279" t="s">
        <v>326</v>
      </c>
      <c r="F47" s="135"/>
      <c r="G47" s="280"/>
      <c r="I47" s="279" t="s">
        <v>327</v>
      </c>
      <c r="J47" s="135"/>
      <c r="L47" s="279" t="s">
        <v>328</v>
      </c>
      <c r="M47" s="135"/>
      <c r="N47" s="137"/>
    </row>
    <row r="48" spans="1:14" ht="14" x14ac:dyDescent="0.3">
      <c r="A48" s="151">
        <f>IF(B48&lt;&gt;"",COUNTA($B$13:B48),"")</f>
        <v>31</v>
      </c>
      <c r="B48" s="144" t="s">
        <v>329</v>
      </c>
      <c r="C48" s="144"/>
      <c r="D48" s="144"/>
      <c r="E48" s="249" t="s">
        <v>148</v>
      </c>
      <c r="F48" s="250"/>
      <c r="G48" s="251" t="s">
        <v>330</v>
      </c>
      <c r="I48" s="249" t="s">
        <v>148</v>
      </c>
      <c r="J48" s="251" t="s">
        <v>330</v>
      </c>
      <c r="K48" s="212"/>
      <c r="L48" s="249" t="s">
        <v>148</v>
      </c>
      <c r="M48" s="252"/>
      <c r="N48" s="251" t="s">
        <v>330</v>
      </c>
    </row>
    <row r="49" spans="1:14" ht="14" x14ac:dyDescent="0.3">
      <c r="A49" s="151">
        <f>IF(B49&lt;&gt;"",COUNTA($B$13:B49),"")</f>
        <v>32</v>
      </c>
      <c r="B49" s="130" t="str">
        <f>+'G3 BOST'!B52</f>
        <v>Distribution</v>
      </c>
      <c r="C49" s="253" t="str">
        <f>+'G3 BOST'!C52</f>
        <v>DIST</v>
      </c>
      <c r="D49" s="253"/>
      <c r="E49" s="154">
        <f t="shared" ref="E49:E64" si="7">SUMIF($C$13:$C$40,$C49,$I$13:$I$40)</f>
        <v>6324384.7651257068</v>
      </c>
      <c r="G49" s="254">
        <f>+E49/$E$17*100</f>
        <v>3.1251861166496879</v>
      </c>
      <c r="I49" s="154">
        <f t="shared" ref="I49:I64" si="8">SUMIF($C$13:$C$40,$C49,$N$13:$N$40)</f>
        <v>6535517.5885668388</v>
      </c>
      <c r="J49" s="254">
        <f>+I49/$E$17*100</f>
        <v>3.2295171137493175</v>
      </c>
      <c r="L49" s="154">
        <f t="shared" ref="L49:L69" si="9">I49-E49</f>
        <v>211132.82344113197</v>
      </c>
      <c r="N49" s="254">
        <f>+L49/$E$17*100</f>
        <v>0.10433099709963017</v>
      </c>
    </row>
    <row r="50" spans="1:14" ht="14" x14ac:dyDescent="0.3">
      <c r="A50" s="151">
        <f>IF(B50&lt;&gt;"",COUNTA($B$13:B50),"")</f>
        <v>33</v>
      </c>
      <c r="B50" s="130" t="str">
        <f>+'G3 BOST'!B53</f>
        <v>Revenue Decoupling</v>
      </c>
      <c r="C50" s="253" t="str">
        <f>+'G3 BOST'!C53</f>
        <v>RDAF</v>
      </c>
      <c r="D50" s="253"/>
      <c r="E50" s="154">
        <f t="shared" si="7"/>
        <v>0</v>
      </c>
      <c r="G50" s="254">
        <f t="shared" ref="G50:G70" si="10">+E50/$E$17*100</f>
        <v>0</v>
      </c>
      <c r="I50" s="154">
        <f t="shared" si="8"/>
        <v>-65462.84673654673</v>
      </c>
      <c r="J50" s="254">
        <f t="shared" ref="J50:J70" si="11">+I50/$E$17*100</f>
        <v>-3.2348376541786156E-2</v>
      </c>
      <c r="L50" s="154">
        <f>I50-E50</f>
        <v>-65462.84673654673</v>
      </c>
      <c r="N50" s="254">
        <f t="shared" ref="N50:N70" si="12">+L50/$E$17*100</f>
        <v>-3.2348376541786156E-2</v>
      </c>
    </row>
    <row r="51" spans="1:14" ht="14" x14ac:dyDescent="0.3">
      <c r="A51" s="151">
        <f>IF(B51&lt;&gt;"",COUNTA($B$13:B51),"")</f>
        <v>34</v>
      </c>
      <c r="B51" s="130" t="str">
        <f>+'G3 BOST'!B54</f>
        <v>Residential Assistance Adjustment Factor</v>
      </c>
      <c r="C51" s="253" t="str">
        <f>+'G3 BOST'!C54</f>
        <v>RAAF</v>
      </c>
      <c r="D51" s="253"/>
      <c r="E51" s="154">
        <f t="shared" si="7"/>
        <v>422949.66333982249</v>
      </c>
      <c r="G51" s="254">
        <f t="shared" si="10"/>
        <v>0.20899999999999999</v>
      </c>
      <c r="I51" s="154">
        <f t="shared" si="8"/>
        <v>553047.73501261568</v>
      </c>
      <c r="J51" s="254">
        <f t="shared" si="11"/>
        <v>0.27328778489833511</v>
      </c>
      <c r="L51" s="154">
        <f t="shared" si="9"/>
        <v>130098.07167279319</v>
      </c>
      <c r="N51" s="254">
        <f t="shared" si="12"/>
        <v>6.4287784898335143E-2</v>
      </c>
    </row>
    <row r="52" spans="1:14" ht="14" x14ac:dyDescent="0.3">
      <c r="A52" s="151">
        <f>IF(B52&lt;&gt;"",COUNTA($B$13:B52),"")</f>
        <v>35</v>
      </c>
      <c r="B52" s="130" t="str">
        <f>+'G3 BOST'!B55</f>
        <v>Pension Adjustment Factor</v>
      </c>
      <c r="C52" s="253" t="str">
        <f>+'G3 BOST'!C55</f>
        <v>PAF</v>
      </c>
      <c r="D52" s="253"/>
      <c r="E52" s="154">
        <f t="shared" si="7"/>
        <v>-12142.095598272417</v>
      </c>
      <c r="G52" s="254">
        <f t="shared" si="10"/>
        <v>-5.9999999999999993E-3</v>
      </c>
      <c r="I52" s="154">
        <f t="shared" si="8"/>
        <v>110036.36810830222</v>
      </c>
      <c r="J52" s="254">
        <f t="shared" si="11"/>
        <v>5.4374321409868448E-2</v>
      </c>
      <c r="L52" s="154">
        <f t="shared" si="9"/>
        <v>122178.46370657464</v>
      </c>
      <c r="N52" s="254">
        <f t="shared" si="12"/>
        <v>6.0374321409868439E-2</v>
      </c>
    </row>
    <row r="53" spans="1:14" ht="14" x14ac:dyDescent="0.3">
      <c r="A53" s="151">
        <f>IF(B53&lt;&gt;"",COUNTA($B$13:B53),"")</f>
        <v>36</v>
      </c>
      <c r="B53" s="130" t="str">
        <f>+'G3 BOST'!B56</f>
        <v>Net Metering Recovery Surcharge</v>
      </c>
      <c r="C53" s="253" t="str">
        <f>+'G3 BOST'!C56</f>
        <v>NMRS</v>
      </c>
      <c r="D53" s="253"/>
      <c r="E53" s="154">
        <f t="shared" si="7"/>
        <v>831733.54848166066</v>
      </c>
      <c r="G53" s="254">
        <f t="shared" si="10"/>
        <v>0.41099999999999998</v>
      </c>
      <c r="I53" s="154">
        <f t="shared" si="8"/>
        <v>721129.88433202531</v>
      </c>
      <c r="J53" s="254">
        <f t="shared" si="11"/>
        <v>0.35634535002407391</v>
      </c>
      <c r="L53" s="154">
        <f t="shared" si="9"/>
        <v>-110603.66414963535</v>
      </c>
      <c r="N53" s="254">
        <f t="shared" si="12"/>
        <v>-5.4654649975926103E-2</v>
      </c>
    </row>
    <row r="54" spans="1:14" ht="14" x14ac:dyDescent="0.3">
      <c r="A54" s="151">
        <f>IF(B54&lt;&gt;"",COUNTA($B$13:B54),"")</f>
        <v>37</v>
      </c>
      <c r="B54" s="130" t="str">
        <f>+'G3 BOST'!B57</f>
        <v>Long Term Renewable Contract Adjustment</v>
      </c>
      <c r="C54" s="253" t="str">
        <f>+'G3 BOST'!C57</f>
        <v>LTRCA</v>
      </c>
      <c r="D54" s="253"/>
      <c r="E54" s="154">
        <f t="shared" si="7"/>
        <v>477589.09353204846</v>
      </c>
      <c r="G54" s="254">
        <f t="shared" si="10"/>
        <v>0.23600000000000002</v>
      </c>
      <c r="I54" s="154">
        <f t="shared" si="8"/>
        <v>351253.19497225509</v>
      </c>
      <c r="J54" s="254">
        <f t="shared" si="11"/>
        <v>0.17357128782064518</v>
      </c>
      <c r="L54" s="154">
        <f t="shared" si="9"/>
        <v>-126335.89855979336</v>
      </c>
      <c r="N54" s="254">
        <f t="shared" si="12"/>
        <v>-6.2428712179354848E-2</v>
      </c>
    </row>
    <row r="55" spans="1:14" ht="14" x14ac:dyDescent="0.3">
      <c r="A55" s="151">
        <f>IF(B55&lt;&gt;"",COUNTA($B$13:B55),"")</f>
        <v>38</v>
      </c>
      <c r="B55" s="130" t="str">
        <f>+'G3 BOST'!B58</f>
        <v>AG Consulting Expense</v>
      </c>
      <c r="C55" s="253" t="str">
        <f>+'G3 BOST'!C58</f>
        <v>AGCE</v>
      </c>
      <c r="D55" s="253"/>
      <c r="E55" s="154">
        <f t="shared" si="7"/>
        <v>4047.3651994241395</v>
      </c>
      <c r="G55" s="254">
        <f t="shared" si="10"/>
        <v>2E-3</v>
      </c>
      <c r="I55" s="154">
        <f t="shared" si="8"/>
        <v>1161.1939393864589</v>
      </c>
      <c r="J55" s="254">
        <f t="shared" si="11"/>
        <v>5.7380240337673207E-4</v>
      </c>
      <c r="L55" s="154">
        <f t="shared" si="9"/>
        <v>-2886.1712600376804</v>
      </c>
      <c r="N55" s="254">
        <f t="shared" si="12"/>
        <v>-1.4261975966232679E-3</v>
      </c>
    </row>
    <row r="56" spans="1:14" ht="14" x14ac:dyDescent="0.3">
      <c r="A56" s="151">
        <f>IF(B56&lt;&gt;"",COUNTA($B$13:B56),"")</f>
        <v>39</v>
      </c>
      <c r="B56" s="130" t="str">
        <f>+'G3 BOST'!B59</f>
        <v>Storm Cost Recovery Adjustment Factor</v>
      </c>
      <c r="C56" s="253" t="str">
        <f>+'G3 BOST'!C59</f>
        <v>SCRA</v>
      </c>
      <c r="D56" s="253"/>
      <c r="E56" s="154">
        <f t="shared" si="7"/>
        <v>261055.05536285698</v>
      </c>
      <c r="G56" s="254">
        <f t="shared" si="10"/>
        <v>0.129</v>
      </c>
      <c r="I56" s="154">
        <f t="shared" si="8"/>
        <v>419057.50174381299</v>
      </c>
      <c r="J56" s="254">
        <f t="shared" si="11"/>
        <v>0.20707669364920994</v>
      </c>
      <c r="L56" s="154">
        <f>I56-E56</f>
        <v>158002.44638095601</v>
      </c>
      <c r="N56" s="254">
        <f t="shared" si="12"/>
        <v>7.8076693649209938E-2</v>
      </c>
    </row>
    <row r="57" spans="1:14" ht="14" x14ac:dyDescent="0.3">
      <c r="A57" s="151">
        <f>IF(B57&lt;&gt;"",COUNTA($B$13:B57),"")</f>
        <v>40</v>
      </c>
      <c r="B57" s="130" t="str">
        <f>+'G3 BOST'!B60</f>
        <v>Storm Reserve Adjustment</v>
      </c>
      <c r="C57" s="253" t="str">
        <f>+'G3 BOST'!C60</f>
        <v>SRA</v>
      </c>
      <c r="D57" s="253"/>
      <c r="E57" s="154">
        <f t="shared" si="7"/>
        <v>0</v>
      </c>
      <c r="G57" s="254">
        <f t="shared" si="10"/>
        <v>0</v>
      </c>
      <c r="I57" s="154">
        <f t="shared" si="8"/>
        <v>0</v>
      </c>
      <c r="J57" s="254">
        <f t="shared" si="11"/>
        <v>0</v>
      </c>
      <c r="L57" s="154">
        <f>I57-E57</f>
        <v>0</v>
      </c>
      <c r="N57" s="254">
        <f t="shared" si="12"/>
        <v>0</v>
      </c>
    </row>
    <row r="58" spans="1:14" ht="14" x14ac:dyDescent="0.3">
      <c r="A58" s="151">
        <f>IF(B58&lt;&gt;"",COUNTA($B$13:B58),"")</f>
        <v>41</v>
      </c>
      <c r="B58" s="130" t="str">
        <f>+'G3 BOST'!B61</f>
        <v>Basic Service Cost True Up Factor</v>
      </c>
      <c r="C58" s="253" t="str">
        <f>+'G3 BOST'!C61</f>
        <v>BSTF</v>
      </c>
      <c r="D58" s="253"/>
      <c r="E58" s="154">
        <f t="shared" si="7"/>
        <v>224628.76856803976</v>
      </c>
      <c r="G58" s="254">
        <f t="shared" si="10"/>
        <v>0.11100000000000002</v>
      </c>
      <c r="I58" s="154">
        <f t="shared" si="8"/>
        <v>-27443.583830460804</v>
      </c>
      <c r="J58" s="254">
        <f t="shared" si="11"/>
        <v>-1.3561209566344785E-2</v>
      </c>
      <c r="L58" s="154">
        <f>I58-E58</f>
        <v>-252072.35239850054</v>
      </c>
      <c r="N58" s="254">
        <f t="shared" si="12"/>
        <v>-0.1245612095663448</v>
      </c>
    </row>
    <row r="59" spans="1:14" ht="14" x14ac:dyDescent="0.3">
      <c r="A59" s="151">
        <f>IF(B59&lt;&gt;"",COUNTA($B$13:B59),"")</f>
        <v>42</v>
      </c>
      <c r="B59" s="130" t="str">
        <f>+'G3 BOST'!B62</f>
        <v>Solar Program Cost Adjustment Factor</v>
      </c>
      <c r="C59" s="253" t="str">
        <f>+'G3 BOST'!C62</f>
        <v>SPCA</v>
      </c>
      <c r="D59" s="253"/>
      <c r="E59" s="154">
        <f t="shared" si="7"/>
        <v>0</v>
      </c>
      <c r="G59" s="254">
        <f t="shared" si="10"/>
        <v>0</v>
      </c>
      <c r="I59" s="154">
        <f t="shared" si="8"/>
        <v>4883.9841580042958</v>
      </c>
      <c r="J59" s="254">
        <f t="shared" si="11"/>
        <v>2.4134141187452966E-3</v>
      </c>
      <c r="L59" s="154">
        <f t="shared" ref="L59:L64" si="13">I59-E59</f>
        <v>4883.9841580042958</v>
      </c>
      <c r="N59" s="254">
        <f t="shared" si="12"/>
        <v>2.4134141187452966E-3</v>
      </c>
    </row>
    <row r="60" spans="1:14" ht="14" x14ac:dyDescent="0.3">
      <c r="A60" s="151">
        <f>IF(B60&lt;&gt;"",COUNTA($B$13:B60),"")</f>
        <v>43</v>
      </c>
      <c r="B60" s="130" t="str">
        <f>+'G3 BOST'!B63</f>
        <v>Solar Expansion Cost Recovery Factor</v>
      </c>
      <c r="C60" s="253" t="str">
        <f>+'G3 BOST'!C63</f>
        <v>SECRF</v>
      </c>
      <c r="D60" s="253"/>
      <c r="E60" s="154">
        <f t="shared" si="7"/>
        <v>0</v>
      </c>
      <c r="G60" s="254">
        <f t="shared" si="10"/>
        <v>0</v>
      </c>
      <c r="I60" s="154">
        <f t="shared" si="8"/>
        <v>86142.307330209005</v>
      </c>
      <c r="J60" s="254">
        <f t="shared" si="11"/>
        <v>4.2567103824713105E-2</v>
      </c>
      <c r="L60" s="154">
        <f t="shared" si="13"/>
        <v>86142.307330209005</v>
      </c>
      <c r="N60" s="254">
        <f t="shared" si="12"/>
        <v>4.2567103824713105E-2</v>
      </c>
    </row>
    <row r="61" spans="1:14" ht="14" x14ac:dyDescent="0.3">
      <c r="A61" s="151">
        <f>IF(B61&lt;&gt;"",COUNTA($B$13:B61),"")</f>
        <v>44</v>
      </c>
      <c r="B61" s="130" t="str">
        <f>+'G3 BOST'!B64</f>
        <v>Vegetation Management</v>
      </c>
      <c r="C61" s="253" t="str">
        <f>+'G3 BOST'!C64</f>
        <v>RTWF</v>
      </c>
      <c r="D61" s="253"/>
      <c r="E61" s="154">
        <f t="shared" si="7"/>
        <v>0</v>
      </c>
      <c r="G61" s="254">
        <f t="shared" si="10"/>
        <v>0</v>
      </c>
      <c r="I61" s="154">
        <f t="shared" si="8"/>
        <v>197002.28947194264</v>
      </c>
      <c r="J61" s="254">
        <f t="shared" si="11"/>
        <v>9.7348412987279823E-2</v>
      </c>
      <c r="L61" s="154">
        <f t="shared" si="13"/>
        <v>197002.28947194264</v>
      </c>
      <c r="N61" s="254">
        <f t="shared" si="12"/>
        <v>9.7348412987279823E-2</v>
      </c>
    </row>
    <row r="62" spans="1:14" ht="14" x14ac:dyDescent="0.3">
      <c r="A62" s="151">
        <f>IF(B62&lt;&gt;"",COUNTA($B$13:B62),"")</f>
        <v>45</v>
      </c>
      <c r="B62" s="130" t="str">
        <f>+'G3 BOST'!B65</f>
        <v>Solar Massachusetts Renewable Target</v>
      </c>
      <c r="C62" s="253" t="str">
        <f>+'G3 BOST'!C65</f>
        <v>SMART</v>
      </c>
      <c r="D62" s="253"/>
      <c r="E62" s="154">
        <f t="shared" si="7"/>
        <v>0</v>
      </c>
      <c r="G62" s="254">
        <f t="shared" si="10"/>
        <v>0</v>
      </c>
      <c r="I62" s="154">
        <f t="shared" si="8"/>
        <v>100927.80125484438</v>
      </c>
      <c r="J62" s="254">
        <f t="shared" si="11"/>
        <v>4.9873335506864777E-2</v>
      </c>
      <c r="L62" s="154">
        <f t="shared" si="13"/>
        <v>100927.80125484438</v>
      </c>
      <c r="N62" s="254">
        <f t="shared" si="12"/>
        <v>4.9873335506864777E-2</v>
      </c>
    </row>
    <row r="63" spans="1:14" ht="14" x14ac:dyDescent="0.3">
      <c r="A63" s="151">
        <f>IF(B63&lt;&gt;"",COUNTA($B$13:B63),"")</f>
        <v>46</v>
      </c>
      <c r="B63" s="130" t="str">
        <f>+'G3 BOST'!B66</f>
        <v>Tax Act Credit Factor</v>
      </c>
      <c r="C63" s="253" t="str">
        <f>+'G3 BOST'!C66</f>
        <v>TACF</v>
      </c>
      <c r="D63" s="253"/>
      <c r="E63" s="154">
        <f t="shared" si="7"/>
        <v>0</v>
      </c>
      <c r="G63" s="254">
        <f t="shared" si="10"/>
        <v>0</v>
      </c>
      <c r="I63" s="154">
        <f t="shared" si="8"/>
        <v>-152787.83027199877</v>
      </c>
      <c r="J63" s="254">
        <f t="shared" si="11"/>
        <v>-7.5499898202286017E-2</v>
      </c>
      <c r="L63" s="154">
        <f t="shared" si="13"/>
        <v>-152787.83027199877</v>
      </c>
      <c r="N63" s="254">
        <f t="shared" si="12"/>
        <v>-7.5499898202286017E-2</v>
      </c>
    </row>
    <row r="64" spans="1:14" ht="14" x14ac:dyDescent="0.3">
      <c r="A64" s="151">
        <f>IF(B64&lt;&gt;"",COUNTA($B$13:B64),"")</f>
        <v>47</v>
      </c>
      <c r="B64" s="130" t="str">
        <f>+'G3 BOST'!B67</f>
        <v>Transition</v>
      </c>
      <c r="C64" s="253" t="str">
        <f>+'G3 BOST'!C67</f>
        <v>TRNSN</v>
      </c>
      <c r="D64" s="253"/>
      <c r="E64" s="154">
        <f t="shared" si="7"/>
        <v>-123444.63858243624</v>
      </c>
      <c r="G64" s="254">
        <f t="shared" si="10"/>
        <v>-6.0999999999999999E-2</v>
      </c>
      <c r="I64" s="154">
        <f t="shared" si="8"/>
        <v>-105452.72700720571</v>
      </c>
      <c r="J64" s="254">
        <f t="shared" si="11"/>
        <v>-5.2109321403568713E-2</v>
      </c>
      <c r="L64" s="154">
        <f t="shared" si="13"/>
        <v>17991.911575230522</v>
      </c>
      <c r="N64" s="254">
        <f t="shared" si="12"/>
        <v>8.8906785964312871E-3</v>
      </c>
    </row>
    <row r="65" spans="1:14" ht="14" x14ac:dyDescent="0.3">
      <c r="A65" s="151">
        <f>IF(B65&lt;&gt;"",COUNTA($B$13:B65),"")</f>
        <v>48</v>
      </c>
      <c r="B65" s="130" t="str">
        <f>+'G3 BOST'!B68</f>
        <v>Transmission</v>
      </c>
      <c r="C65" s="253" t="str">
        <f>+'G3 BOST'!C68</f>
        <v>TRNSM</v>
      </c>
      <c r="D65" s="253"/>
      <c r="E65" s="154">
        <f>SUM(SUMIF($C$13:$C$40,{"TMKW","TMKWH"},$I$13:$I$40))</f>
        <v>5698763.6944240257</v>
      </c>
      <c r="G65" s="254">
        <f t="shared" si="10"/>
        <v>2.8160363167795426</v>
      </c>
      <c r="I65" s="154">
        <f>SUM(SUMIF($C$13:$C$40,{"TMKW","TMKWH"},$N$13:$N$40))</f>
        <v>4710795.4259842271</v>
      </c>
      <c r="J65" s="254">
        <f t="shared" si="11"/>
        <v>2.3278331427341823</v>
      </c>
      <c r="L65" s="154">
        <f t="shared" si="9"/>
        <v>-987968.26843979862</v>
      </c>
      <c r="N65" s="254">
        <f t="shared" si="12"/>
        <v>-0.48820317404536023</v>
      </c>
    </row>
    <row r="66" spans="1:14" ht="14" x14ac:dyDescent="0.3">
      <c r="A66" s="151">
        <f>IF(B66&lt;&gt;"",COUNTA($B$13:B66),"")</f>
        <v>49</v>
      </c>
      <c r="B66" s="130" t="str">
        <f>+'G3 BOST'!B69</f>
        <v>Energy Efficiency Reconciliation Factor</v>
      </c>
      <c r="C66" s="253" t="str">
        <f>+'G3 BOST'!C69</f>
        <v>EERF</v>
      </c>
      <c r="D66" s="253"/>
      <c r="E66" s="154">
        <f>SUMIF($C$13:$C$40,$C66,$I$13:$I$40)</f>
        <v>1712035.4793564109</v>
      </c>
      <c r="G66" s="254">
        <f t="shared" si="10"/>
        <v>0.84600000000000009</v>
      </c>
      <c r="I66" s="154">
        <f>SUMIF($C$13:$C$40,$C66,$N$13:$N$40)</f>
        <v>1712035.4793564109</v>
      </c>
      <c r="J66" s="254">
        <f t="shared" si="11"/>
        <v>0.84600000000000009</v>
      </c>
      <c r="L66" s="154">
        <f t="shared" si="9"/>
        <v>0</v>
      </c>
      <c r="N66" s="254">
        <f t="shared" si="12"/>
        <v>0</v>
      </c>
    </row>
    <row r="67" spans="1:14" ht="14" x14ac:dyDescent="0.3">
      <c r="A67" s="151">
        <f>IF(B67&lt;&gt;"",COUNTA($B$13:B67),"")</f>
        <v>50</v>
      </c>
      <c r="B67" s="130" t="str">
        <f>+'G3 BOST'!B70</f>
        <v>System Benefits Charge</v>
      </c>
      <c r="C67" s="253" t="str">
        <f>+'G3 BOST'!C70</f>
        <v>SBC</v>
      </c>
      <c r="D67" s="253"/>
      <c r="E67" s="154">
        <f>SUMIF($C$13:$C$40,$C67,$I$13:$I$40)</f>
        <v>505920.6499280174</v>
      </c>
      <c r="G67" s="254">
        <f t="shared" si="10"/>
        <v>0.25</v>
      </c>
      <c r="I67" s="154">
        <f>SUMIF($C$13:$C$40,$C67,$N$13:$N$40)</f>
        <v>505920.6499280174</v>
      </c>
      <c r="J67" s="254">
        <f t="shared" si="11"/>
        <v>0.25</v>
      </c>
      <c r="L67" s="154">
        <f t="shared" si="9"/>
        <v>0</v>
      </c>
      <c r="N67" s="254">
        <f t="shared" si="12"/>
        <v>0</v>
      </c>
    </row>
    <row r="68" spans="1:14" ht="14" x14ac:dyDescent="0.3">
      <c r="A68" s="151">
        <f>IF(B68&lt;&gt;"",COUNTA($B$13:B68),"")</f>
        <v>51</v>
      </c>
      <c r="B68" s="130" t="str">
        <f>+'G3 BOST'!B71</f>
        <v>Renewable Energy Charge</v>
      </c>
      <c r="C68" s="253" t="str">
        <f>+'G3 BOST'!C71</f>
        <v>RNEW</v>
      </c>
      <c r="D68" s="253"/>
      <c r="E68" s="154">
        <f>SUMIF($C$13:$C$40,$C68,$I$13:$I$40)</f>
        <v>101184.12998560349</v>
      </c>
      <c r="G68" s="254">
        <f t="shared" si="10"/>
        <v>0.05</v>
      </c>
      <c r="I68" s="154">
        <f>SUMIF($C$13:$C$40,$C68,$N$13:$N$40)</f>
        <v>101184.12998560349</v>
      </c>
      <c r="J68" s="254">
        <f t="shared" si="11"/>
        <v>0.05</v>
      </c>
      <c r="L68" s="154">
        <f>I68-E68</f>
        <v>0</v>
      </c>
      <c r="N68" s="254">
        <f t="shared" si="12"/>
        <v>0</v>
      </c>
    </row>
    <row r="69" spans="1:14" ht="14" x14ac:dyDescent="0.3">
      <c r="A69" s="151">
        <f>IF(B69&lt;&gt;"",COUNTA($B$13:B69),"")</f>
        <v>52</v>
      </c>
      <c r="B69" s="130" t="str">
        <f>+'G3 BOST'!B72</f>
        <v>Basic Service Charge</v>
      </c>
      <c r="C69" s="253" t="str">
        <f>+'G3 BOST'!C72</f>
        <v>BS</v>
      </c>
      <c r="D69" s="253"/>
      <c r="E69" s="255">
        <f>SUMIF($C$13:$C$40,$C69,$I$13:$I$40)</f>
        <v>23076052.684516732</v>
      </c>
      <c r="F69" s="256"/>
      <c r="G69" s="257">
        <f t="shared" si="10"/>
        <v>11.403</v>
      </c>
      <c r="H69" s="258"/>
      <c r="I69" s="255">
        <f>SUMIF($C$13:$C$40,$C69,$N$13:$N$40)</f>
        <v>26682255.077203643</v>
      </c>
      <c r="J69" s="257">
        <f t="shared" si="11"/>
        <v>13.185000000000002</v>
      </c>
      <c r="K69" s="255"/>
      <c r="L69" s="255">
        <f t="shared" si="9"/>
        <v>3606202.3926869109</v>
      </c>
      <c r="M69" s="259"/>
      <c r="N69" s="257">
        <f t="shared" si="12"/>
        <v>1.7820000000000014</v>
      </c>
    </row>
    <row r="70" spans="1:14" ht="14" x14ac:dyDescent="0.3">
      <c r="A70" s="151">
        <f>IF(B70&lt;&gt;"",COUNTA($B$13:B70),"")</f>
        <v>53</v>
      </c>
      <c r="B70" s="130" t="str">
        <f>+'G3 BOST'!B73</f>
        <v>Total</v>
      </c>
      <c r="C70" s="130"/>
      <c r="D70" s="130"/>
      <c r="E70" s="154">
        <f>SUM(E49:E69)</f>
        <v>39504758.163639635</v>
      </c>
      <c r="G70" s="254">
        <f t="shared" si="10"/>
        <v>19.521222433429227</v>
      </c>
      <c r="I70" s="154">
        <f>SUM(I49:I69)</f>
        <v>42441203.623501927</v>
      </c>
      <c r="J70" s="254">
        <f t="shared" si="11"/>
        <v>20.972262957412628</v>
      </c>
      <c r="L70" s="154">
        <f>SUM(L49:L69)</f>
        <v>2936445.4598622867</v>
      </c>
      <c r="N70" s="254">
        <f t="shared" si="12"/>
        <v>1.4510405239833981</v>
      </c>
    </row>
    <row r="71" spans="1:14" ht="14" x14ac:dyDescent="0.3">
      <c r="A71" s="151" t="str">
        <f>IF(B71&lt;&gt;"",COUNTA($B$10:B71),"")</f>
        <v/>
      </c>
    </row>
    <row r="72" spans="1:14" ht="14" x14ac:dyDescent="0.3">
      <c r="A72" s="151"/>
      <c r="B72" s="256" t="s">
        <v>164</v>
      </c>
      <c r="E72" s="188"/>
      <c r="G72" s="188"/>
      <c r="H72" s="188"/>
      <c r="I72" s="188"/>
      <c r="J72" s="188"/>
      <c r="K72" s="188"/>
      <c r="L72" s="188"/>
      <c r="M72" s="188"/>
      <c r="N72" s="188"/>
    </row>
    <row r="73" spans="1:14" ht="14" x14ac:dyDescent="0.3">
      <c r="A73" s="151"/>
      <c r="B73" s="130" t="str">
        <f>+'G3 BOST'!B76</f>
        <v>Col. (a): Company's forecast</v>
      </c>
    </row>
    <row r="74" spans="1:14" ht="14" x14ac:dyDescent="0.3">
      <c r="A74" s="151"/>
      <c r="B74" s="130" t="str">
        <f>+'G3 BOST'!B77</f>
        <v>Col. (b): Current rates</v>
      </c>
    </row>
    <row r="75" spans="1:14" ht="14" x14ac:dyDescent="0.3">
      <c r="A75" s="151"/>
      <c r="B75" s="130" t="str">
        <f>+'G3 BOST'!B78</f>
        <v>Col. (c): Col. (a) x Col. (b)</v>
      </c>
    </row>
    <row r="76" spans="1:14" ht="14" x14ac:dyDescent="0.3">
      <c r="A76" s="151"/>
      <c r="B76" s="130" t="str">
        <f>+'G3 BOST'!B79</f>
        <v>Col. (e): Proposed rates</v>
      </c>
    </row>
    <row r="77" spans="1:14" ht="14" x14ac:dyDescent="0.3">
      <c r="A77" s="151"/>
      <c r="B77" s="130" t="str">
        <f>+'G3 BOST'!B80</f>
        <v>Col. (f): Col. (a), Line 1 through Line 5 (as appropriate) x Col. (e)</v>
      </c>
    </row>
  </sheetData>
  <mergeCells count="6">
    <mergeCell ref="A4:N4"/>
    <mergeCell ref="A5:N5"/>
    <mergeCell ref="A7:N7"/>
    <mergeCell ref="A8:N8"/>
    <mergeCell ref="G10:I10"/>
    <mergeCell ref="L10:N10"/>
  </mergeCells>
  <pageMargins left="0.7" right="0.7" top="0.75" bottom="0.75" header="0.3" footer="0.3"/>
  <pageSetup scale="64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E281E-0ECD-4734-907A-BC7F155BE423}">
  <sheetPr>
    <tabColor theme="9" tint="0.59999389629810485"/>
    <pageSetUpPr fitToPage="1"/>
  </sheetPr>
  <dimension ref="A3:N78"/>
  <sheetViews>
    <sheetView workbookViewId="0"/>
  </sheetViews>
  <sheetFormatPr defaultRowHeight="12.5" x14ac:dyDescent="0.25"/>
  <cols>
    <col min="1" max="1" width="3.26953125" bestFit="1" customWidth="1"/>
    <col min="2" max="2" width="41.1796875" customWidth="1"/>
    <col min="3" max="3" width="8.26953125" bestFit="1" customWidth="1"/>
    <col min="4" max="4" width="1.26953125" customWidth="1"/>
    <col min="5" max="5" width="14.453125" bestFit="1" customWidth="1"/>
    <col min="6" max="6" width="1.26953125" customWidth="1"/>
    <col min="7" max="7" width="12.7265625" customWidth="1"/>
    <col min="8" max="8" width="1.26953125" customWidth="1"/>
    <col min="9" max="9" width="14.453125" bestFit="1" customWidth="1"/>
    <col min="11" max="11" width="1.26953125" customWidth="1"/>
    <col min="12" max="12" width="14" customWidth="1"/>
    <col min="13" max="13" width="1.26953125" customWidth="1"/>
    <col min="14" max="14" width="14.453125" bestFit="1" customWidth="1"/>
  </cols>
  <sheetData>
    <row r="3" spans="1:14" ht="14" x14ac:dyDescent="0.3">
      <c r="A3" s="268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</row>
    <row r="4" spans="1:14" ht="14" x14ac:dyDescent="0.3">
      <c r="A4" s="748" t="str">
        <f>'R1 EMA'!A4:N4</f>
        <v>Eastern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4" ht="14" x14ac:dyDescent="0.3">
      <c r="A5" s="748" t="str">
        <f>'R1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4" ht="14" x14ac:dyDescent="0.3">
      <c r="A6" s="205"/>
      <c r="C6" s="205"/>
      <c r="D6" s="205"/>
      <c r="E6" s="206"/>
      <c r="F6" s="207"/>
      <c r="G6" s="208"/>
      <c r="H6" s="209"/>
      <c r="I6" s="210"/>
      <c r="J6" s="210"/>
      <c r="K6" s="210"/>
      <c r="L6" s="211"/>
      <c r="M6" s="211"/>
      <c r="N6" s="212"/>
    </row>
    <row r="7" spans="1:14" ht="14" x14ac:dyDescent="0.3">
      <c r="A7" s="748" t="s">
        <v>424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4" ht="14" x14ac:dyDescent="0.3">
      <c r="A8" s="748" t="s">
        <v>432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4" ht="14" x14ac:dyDescent="0.3">
      <c r="B9" s="207"/>
      <c r="C9" s="207"/>
      <c r="D9" s="207"/>
      <c r="E9" s="213"/>
      <c r="F9" s="207"/>
      <c r="I9" s="210"/>
      <c r="J9" s="210"/>
      <c r="K9" s="210"/>
      <c r="L9" s="214"/>
      <c r="M9" s="214"/>
      <c r="N9" s="215"/>
    </row>
    <row r="10" spans="1:14" ht="14.5" thickBot="1" x14ac:dyDescent="0.35">
      <c r="A10" s="151"/>
      <c r="B10" s="216" t="s">
        <v>46</v>
      </c>
      <c r="C10" s="216"/>
      <c r="D10" s="216"/>
      <c r="E10" s="217" t="s">
        <v>144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4" ht="14" x14ac:dyDescent="0.3">
      <c r="A11" s="151"/>
      <c r="B11" s="219" t="s">
        <v>293</v>
      </c>
      <c r="C11" s="220" t="s">
        <v>294</v>
      </c>
      <c r="D11" s="220"/>
      <c r="E11" s="221" t="s">
        <v>295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4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4" ht="14" x14ac:dyDescent="0.3">
      <c r="A13" s="151">
        <f>IF(B13&lt;&gt;"",COUNTA($B$13:B13),"")</f>
        <v>1</v>
      </c>
      <c r="B13" s="232" t="s">
        <v>296</v>
      </c>
      <c r="C13" s="233" t="s">
        <v>297</v>
      </c>
      <c r="D13" s="233"/>
      <c r="E13" s="234">
        <v>5465.4475661663673</v>
      </c>
      <c r="F13" s="207"/>
      <c r="G13" s="209">
        <v>97</v>
      </c>
      <c r="H13" s="209"/>
      <c r="I13" s="210">
        <f>G13*E13</f>
        <v>530148.41391813767</v>
      </c>
      <c r="J13" s="235"/>
      <c r="K13" s="210"/>
      <c r="L13" s="209">
        <v>97</v>
      </c>
      <c r="M13" s="211"/>
      <c r="N13" s="210">
        <f>L13*E13</f>
        <v>530148.41391813767</v>
      </c>
    </row>
    <row r="14" spans="1:14" ht="14" x14ac:dyDescent="0.3">
      <c r="A14" s="151">
        <f>IF(B14&lt;&gt;"",COUNTA($B$13:B14),"")</f>
        <v>2</v>
      </c>
      <c r="B14" s="232" t="s">
        <v>433</v>
      </c>
      <c r="C14" s="233" t="s">
        <v>429</v>
      </c>
      <c r="D14" s="233"/>
      <c r="E14" s="234">
        <v>483128.58969774179</v>
      </c>
      <c r="F14" s="207"/>
      <c r="G14" s="209">
        <v>4.04</v>
      </c>
      <c r="H14" s="209"/>
      <c r="I14" s="210">
        <f t="shared" ref="I14:I15" si="0">G14*E14</f>
        <v>1951839.5023788768</v>
      </c>
      <c r="J14" s="235"/>
      <c r="K14" s="210"/>
      <c r="L14" s="209">
        <v>4.18</v>
      </c>
      <c r="M14" s="211"/>
      <c r="N14" s="210">
        <f t="shared" ref="N14:N15" si="1">L14*E14</f>
        <v>2019477.5049365605</v>
      </c>
    </row>
    <row r="15" spans="1:14" ht="14" x14ac:dyDescent="0.3">
      <c r="A15" s="151">
        <f>IF(B15&lt;&gt;"",COUNTA($B$13:B15),"")</f>
        <v>3</v>
      </c>
      <c r="B15" s="232" t="s">
        <v>434</v>
      </c>
      <c r="C15" s="233" t="s">
        <v>431</v>
      </c>
      <c r="D15" s="233"/>
      <c r="E15" s="234">
        <v>1057736.2932226318</v>
      </c>
      <c r="F15" s="207"/>
      <c r="G15" s="209">
        <v>5.01</v>
      </c>
      <c r="H15" s="209"/>
      <c r="I15" s="210">
        <f t="shared" si="0"/>
        <v>5299258.8290453851</v>
      </c>
      <c r="J15" s="235"/>
      <c r="K15" s="210"/>
      <c r="L15" s="209">
        <v>5.18</v>
      </c>
      <c r="M15" s="211"/>
      <c r="N15" s="210">
        <f t="shared" si="1"/>
        <v>5479073.9988932321</v>
      </c>
    </row>
    <row r="16" spans="1:14" ht="14" x14ac:dyDescent="0.3">
      <c r="A16" s="151">
        <f>IF(B16&lt;&gt;"",COUNTA($B$13:B16),"")</f>
        <v>4</v>
      </c>
      <c r="B16" s="232" t="s">
        <v>363</v>
      </c>
      <c r="C16" s="233" t="s">
        <v>364</v>
      </c>
      <c r="D16" s="233"/>
      <c r="E16" s="234">
        <v>1540864.8829203737</v>
      </c>
      <c r="F16" s="207"/>
      <c r="G16" s="209"/>
      <c r="H16" s="209"/>
      <c r="I16" s="210"/>
      <c r="J16" s="235"/>
      <c r="K16" s="210"/>
      <c r="L16" s="209"/>
      <c r="M16" s="211"/>
      <c r="N16" s="210"/>
    </row>
    <row r="17" spans="1:14" ht="14" x14ac:dyDescent="0.3">
      <c r="A17" s="151">
        <f>IF(B17&lt;&gt;"",COUNTA($B$13:B17),"")</f>
        <v>5</v>
      </c>
      <c r="B17" s="207" t="s">
        <v>298</v>
      </c>
      <c r="C17" s="233" t="s">
        <v>299</v>
      </c>
      <c r="D17" s="233"/>
      <c r="E17" s="234">
        <v>561519934.63065052</v>
      </c>
      <c r="F17" s="207"/>
      <c r="G17" s="236">
        <v>9.4900000000000002E-3</v>
      </c>
      <c r="H17" s="209"/>
      <c r="I17" s="237">
        <f t="shared" ref="I17" si="2">G17*E17</f>
        <v>5328824.1796448734</v>
      </c>
      <c r="J17" s="235"/>
      <c r="K17" s="210"/>
      <c r="L17" s="236">
        <v>9.8200000000000006E-3</v>
      </c>
      <c r="M17" s="211"/>
      <c r="N17" s="237">
        <f t="shared" ref="N17" si="3">L17*E17</f>
        <v>5514125.7580729881</v>
      </c>
    </row>
    <row r="18" spans="1:14" ht="14" x14ac:dyDescent="0.3">
      <c r="A18" s="151">
        <f>IF(B18&lt;&gt;"",COUNTA($B$13:B18),"")</f>
        <v>6</v>
      </c>
      <c r="B18" s="207" t="s">
        <v>300</v>
      </c>
      <c r="C18" s="233" t="s">
        <v>301</v>
      </c>
      <c r="D18" s="233"/>
      <c r="E18" s="234"/>
      <c r="F18" s="207"/>
      <c r="G18" s="209"/>
      <c r="H18" s="209"/>
      <c r="I18" s="210">
        <f>SUM(I13:I17)</f>
        <v>13110070.924987273</v>
      </c>
      <c r="J18" s="235"/>
      <c r="K18" s="210"/>
      <c r="L18" s="238"/>
      <c r="M18" s="211"/>
      <c r="N18" s="210">
        <f>SUM(N13:N17)</f>
        <v>13542825.675820917</v>
      </c>
    </row>
    <row r="19" spans="1:14" ht="14" x14ac:dyDescent="0.3">
      <c r="A19" s="151" t="str">
        <f>IF(B19&lt;&gt;"",COUNTA($B$13:B19),"")</f>
        <v/>
      </c>
      <c r="B19" s="207"/>
      <c r="C19" s="233"/>
      <c r="D19" s="233"/>
      <c r="E19" s="234"/>
      <c r="F19" s="207"/>
      <c r="G19" s="209"/>
      <c r="H19" s="209"/>
      <c r="I19" s="210"/>
      <c r="J19" s="235"/>
      <c r="K19" s="210"/>
      <c r="L19" s="238"/>
      <c r="M19" s="211"/>
      <c r="N19" s="210"/>
    </row>
    <row r="20" spans="1:14" ht="14" x14ac:dyDescent="0.3">
      <c r="A20" s="151">
        <f>IF(B20&lt;&gt;"",COUNTA($B$13:B20),"")</f>
        <v>7</v>
      </c>
      <c r="B20" s="228" t="s">
        <v>302</v>
      </c>
      <c r="F20" s="239"/>
      <c r="G20" s="240"/>
      <c r="H20" s="211"/>
      <c r="I20" s="210"/>
      <c r="K20" s="210"/>
      <c r="L20" s="241"/>
      <c r="M20" s="211"/>
      <c r="N20" s="210"/>
    </row>
    <row r="21" spans="1:14" ht="14" x14ac:dyDescent="0.3">
      <c r="A21" s="151">
        <f>IF(B21&lt;&gt;"",COUNTA($B$13:B21),"")</f>
        <v>8</v>
      </c>
      <c r="B21" s="207" t="str">
        <f>'G1 CAMB'!B21</f>
        <v>Revenue Decoupling</v>
      </c>
      <c r="C21" s="233" t="str">
        <f>'G1 CAMB'!C21</f>
        <v>RDAF</v>
      </c>
      <c r="D21" s="233"/>
      <c r="E21" s="242"/>
      <c r="F21" s="239"/>
      <c r="G21" s="236">
        <v>0</v>
      </c>
      <c r="H21" s="211"/>
      <c r="I21" s="210">
        <f>G21*$E$17</f>
        <v>0</v>
      </c>
      <c r="K21" s="210"/>
      <c r="L21" s="236">
        <v>-2.2234944571826207E-4</v>
      </c>
      <c r="M21" s="211"/>
      <c r="N21" s="210">
        <f>$E$17*L21</f>
        <v>-124853.64622487989</v>
      </c>
    </row>
    <row r="22" spans="1:14" ht="14" x14ac:dyDescent="0.3">
      <c r="A22" s="151">
        <f>IF(B22&lt;&gt;"",COUNTA($B$13:B22),"")</f>
        <v>9</v>
      </c>
      <c r="B22" s="207" t="str">
        <f>'G1 CAMB'!B22</f>
        <v>Residential Assistance Adjustment Factor</v>
      </c>
      <c r="C22" s="233" t="str">
        <f>'G1 CAMB'!C22</f>
        <v>RAAF</v>
      </c>
      <c r="D22" s="243"/>
      <c r="E22" s="206"/>
      <c r="F22" s="239"/>
      <c r="G22" s="236">
        <v>1.47E-3</v>
      </c>
      <c r="H22" s="211"/>
      <c r="I22" s="210">
        <f t="shared" ref="I22:I35" si="4">G22*$E$17</f>
        <v>825434.30390705622</v>
      </c>
      <c r="K22" s="210"/>
      <c r="L22" s="236">
        <v>1.8784679167816196E-3</v>
      </c>
      <c r="M22" s="211"/>
      <c r="N22" s="210">
        <f t="shared" ref="N22:N35" si="5">$E$17*L22</f>
        <v>1054797.1818369892</v>
      </c>
    </row>
    <row r="23" spans="1:14" ht="14" x14ac:dyDescent="0.3">
      <c r="A23" s="151">
        <f>IF(B23&lt;&gt;"",COUNTA($B$13:B23),"")</f>
        <v>10</v>
      </c>
      <c r="B23" s="207" t="str">
        <f>'G1 CAMB'!B23</f>
        <v>Pension Adjustment Factor</v>
      </c>
      <c r="C23" s="233" t="str">
        <f>'G1 CAMB'!C23</f>
        <v>PAF</v>
      </c>
      <c r="D23" s="243"/>
      <c r="E23" s="206"/>
      <c r="F23" s="239"/>
      <c r="G23" s="236">
        <v>-5.0000000000000002E-5</v>
      </c>
      <c r="H23" s="211"/>
      <c r="I23" s="210">
        <f t="shared" si="4"/>
        <v>-28075.996731532527</v>
      </c>
      <c r="K23" s="210"/>
      <c r="L23" s="236">
        <v>4.1192213493034734E-4</v>
      </c>
      <c r="M23" s="211"/>
      <c r="N23" s="210">
        <f t="shared" si="5"/>
        <v>231302.49027900663</v>
      </c>
    </row>
    <row r="24" spans="1:14" ht="14" x14ac:dyDescent="0.3">
      <c r="A24" s="151">
        <f>IF(B24&lt;&gt;"",COUNTA($B$13:B24),"")</f>
        <v>11</v>
      </c>
      <c r="B24" s="207" t="str">
        <f>'G1 CAMB'!B24</f>
        <v>Net Metering Recovery Surcharge</v>
      </c>
      <c r="C24" s="233" t="str">
        <f>'G1 CAMB'!C24</f>
        <v>NMRS</v>
      </c>
      <c r="D24" s="243"/>
      <c r="E24" s="206"/>
      <c r="F24" s="239"/>
      <c r="G24" s="236">
        <v>2.8999999999999998E-3</v>
      </c>
      <c r="H24" s="211"/>
      <c r="I24" s="210">
        <f t="shared" si="4"/>
        <v>1628407.8104288864</v>
      </c>
      <c r="K24" s="210"/>
      <c r="L24" s="236">
        <v>2.4493714842160038E-3</v>
      </c>
      <c r="M24" s="211"/>
      <c r="N24" s="210">
        <f t="shared" si="5"/>
        <v>1375370.91570315</v>
      </c>
    </row>
    <row r="25" spans="1:14" ht="14" x14ac:dyDescent="0.3">
      <c r="A25" s="151">
        <f>IF(B25&lt;&gt;"",COUNTA($B$13:B25),"")</f>
        <v>12</v>
      </c>
      <c r="B25" s="207" t="str">
        <f>'G1 CAMB'!B25</f>
        <v>Long Term Renewable Contract Adjustment</v>
      </c>
      <c r="C25" s="233" t="str">
        <f>'G1 CAMB'!C25</f>
        <v>LTRCA</v>
      </c>
      <c r="D25" s="243"/>
      <c r="E25" s="206"/>
      <c r="F25" s="239"/>
      <c r="G25" s="236">
        <v>2.3600000000000001E-3</v>
      </c>
      <c r="H25" s="211"/>
      <c r="I25" s="210">
        <f t="shared" si="4"/>
        <v>1325187.0457283354</v>
      </c>
      <c r="K25" s="210"/>
      <c r="L25" s="236">
        <v>1.7357128782064517E-3</v>
      </c>
      <c r="M25" s="211"/>
      <c r="N25" s="210">
        <f t="shared" si="5"/>
        <v>974637.38190806506</v>
      </c>
    </row>
    <row r="26" spans="1:14" ht="14" x14ac:dyDescent="0.3">
      <c r="A26" s="151">
        <f>IF(B26&lt;&gt;"",COUNTA($B$13:B26),"")</f>
        <v>13</v>
      </c>
      <c r="B26" s="207" t="str">
        <f>'G1 CAMB'!B26</f>
        <v>AG Consulting Expense</v>
      </c>
      <c r="C26" s="233" t="str">
        <f>'G1 CAMB'!C26</f>
        <v>AGCE</v>
      </c>
      <c r="D26" s="243"/>
      <c r="E26" s="206"/>
      <c r="F26" s="239"/>
      <c r="G26" s="236">
        <v>2.0000000000000002E-5</v>
      </c>
      <c r="H26" s="211"/>
      <c r="I26" s="210">
        <f t="shared" si="4"/>
        <v>11230.398692613011</v>
      </c>
      <c r="K26" s="210"/>
      <c r="L26" s="236">
        <v>3.9440818978292469E-6</v>
      </c>
      <c r="M26" s="211"/>
      <c r="N26" s="210">
        <f t="shared" si="5"/>
        <v>2214.6806094470107</v>
      </c>
    </row>
    <row r="27" spans="1:14" ht="14" x14ac:dyDescent="0.3">
      <c r="A27" s="151">
        <f>IF(B27&lt;&gt;"",COUNTA($B$13:B27),"")</f>
        <v>14</v>
      </c>
      <c r="B27" s="207" t="str">
        <f>'G1 CAMB'!B27</f>
        <v>Storm Cost Recovery Adjustment Factor</v>
      </c>
      <c r="C27" s="233" t="str">
        <f>'G1 CAMB'!C27</f>
        <v>SCRA</v>
      </c>
      <c r="D27" s="243"/>
      <c r="E27" s="206"/>
      <c r="F27" s="239"/>
      <c r="G27" s="236">
        <v>9.1E-4</v>
      </c>
      <c r="H27" s="211"/>
      <c r="I27" s="210">
        <f t="shared" si="4"/>
        <v>510983.14051389199</v>
      </c>
      <c r="K27" s="210"/>
      <c r="L27" s="236">
        <v>1.4232415699405342E-3</v>
      </c>
      <c r="M27" s="211"/>
      <c r="N27" s="210">
        <f t="shared" si="5"/>
        <v>799178.51331663318</v>
      </c>
    </row>
    <row r="28" spans="1:14" ht="14" x14ac:dyDescent="0.3">
      <c r="A28" s="151">
        <f>IF(B28&lt;&gt;"",COUNTA($B$13:B28),"")</f>
        <v>15</v>
      </c>
      <c r="B28" s="207" t="str">
        <f>'G1 CAMB'!B28</f>
        <v>Storm Reserve Adjustment</v>
      </c>
      <c r="C28" s="233" t="str">
        <f>'G1 CAMB'!C28</f>
        <v>SRA</v>
      </c>
      <c r="D28" s="243"/>
      <c r="E28" s="206"/>
      <c r="F28" s="239"/>
      <c r="G28" s="236">
        <v>0</v>
      </c>
      <c r="H28" s="211"/>
      <c r="I28" s="210">
        <f t="shared" si="4"/>
        <v>0</v>
      </c>
      <c r="K28" s="210"/>
      <c r="L28" s="236">
        <v>0</v>
      </c>
      <c r="M28" s="211"/>
      <c r="N28" s="210">
        <f t="shared" si="5"/>
        <v>0</v>
      </c>
    </row>
    <row r="29" spans="1:14" ht="14" x14ac:dyDescent="0.3">
      <c r="A29" s="151">
        <f>IF(B29&lt;&gt;"",COUNTA($B$13:B29),"")</f>
        <v>16</v>
      </c>
      <c r="B29" s="207" t="str">
        <f>'G1 CAMB'!B29</f>
        <v>Basic Service Cost True Up Factor</v>
      </c>
      <c r="C29" s="233" t="str">
        <f>'G1 CAMB'!C29</f>
        <v>BSTF</v>
      </c>
      <c r="D29" s="243"/>
      <c r="E29" s="206"/>
      <c r="F29" s="239"/>
      <c r="G29" s="236">
        <v>7.9000000000000001E-4</v>
      </c>
      <c r="H29" s="211"/>
      <c r="I29" s="210">
        <f t="shared" si="4"/>
        <v>443600.74835821392</v>
      </c>
      <c r="K29" s="210"/>
      <c r="L29" s="236">
        <v>-9.3214181133661962E-5</v>
      </c>
      <c r="M29" s="211"/>
      <c r="N29" s="210">
        <f t="shared" si="5"/>
        <v>-52341.620896823479</v>
      </c>
    </row>
    <row r="30" spans="1:14" ht="14" x14ac:dyDescent="0.3">
      <c r="A30" s="151">
        <f>IF(B30&lt;&gt;"",COUNTA($B$13:B30),"")</f>
        <v>17</v>
      </c>
      <c r="B30" s="207" t="str">
        <f>'G1 CAMB'!B30</f>
        <v>Solar Program Cost Adjustment Factor</v>
      </c>
      <c r="C30" s="233" t="str">
        <f>'G1 CAMB'!C30</f>
        <v>SPCA</v>
      </c>
      <c r="D30" s="233"/>
      <c r="E30" s="206"/>
      <c r="F30" s="239"/>
      <c r="G30" s="236">
        <v>0</v>
      </c>
      <c r="H30" s="211"/>
      <c r="I30" s="210">
        <f t="shared" si="4"/>
        <v>0</v>
      </c>
      <c r="K30" s="210"/>
      <c r="L30" s="236">
        <v>1.6588816780293805E-5</v>
      </c>
      <c r="M30" s="211"/>
      <c r="N30" s="210">
        <f t="shared" si="5"/>
        <v>9314.9513140704166</v>
      </c>
    </row>
    <row r="31" spans="1:14" ht="14" x14ac:dyDescent="0.3">
      <c r="A31" s="151">
        <f>IF(B31&lt;&gt;"",COUNTA($B$13:B31),"")</f>
        <v>18</v>
      </c>
      <c r="B31" s="207" t="str">
        <f>'G1 CAMB'!B31</f>
        <v>Solar Expansion Cost Recovery Factor</v>
      </c>
      <c r="C31" s="233" t="str">
        <f>'G1 CAMB'!C31</f>
        <v>SECRF</v>
      </c>
      <c r="D31" s="233"/>
      <c r="E31" s="206"/>
      <c r="F31" s="239"/>
      <c r="G31" s="236">
        <v>0</v>
      </c>
      <c r="H31" s="211"/>
      <c r="I31" s="210">
        <f t="shared" si="4"/>
        <v>0</v>
      </c>
      <c r="K31" s="210"/>
      <c r="L31" s="236">
        <v>2.9258877733881065E-4</v>
      </c>
      <c r="M31" s="211"/>
      <c r="N31" s="210">
        <f t="shared" si="5"/>
        <v>164294.43112495093</v>
      </c>
    </row>
    <row r="32" spans="1:14" ht="14" x14ac:dyDescent="0.3">
      <c r="A32" s="151">
        <f>IF(B32&lt;&gt;"",COUNTA($B$13:B32),"")</f>
        <v>19</v>
      </c>
      <c r="B32" s="207" t="str">
        <f>'G1 CAMB'!B32</f>
        <v>Vegetation Management</v>
      </c>
      <c r="C32" s="233" t="str">
        <f>'G1 CAMB'!C32</f>
        <v>RTWF</v>
      </c>
      <c r="D32" s="233"/>
      <c r="E32" s="206"/>
      <c r="F32" s="239"/>
      <c r="G32" s="236">
        <v>0</v>
      </c>
      <c r="H32" s="211"/>
      <c r="I32" s="210">
        <f t="shared" si="4"/>
        <v>0</v>
      </c>
      <c r="K32" s="210"/>
      <c r="L32" s="236">
        <v>7.3747984471441471E-4</v>
      </c>
      <c r="M32" s="211"/>
      <c r="N32" s="210">
        <f t="shared" si="5"/>
        <v>414109.63419546047</v>
      </c>
    </row>
    <row r="33" spans="1:14" ht="14" x14ac:dyDescent="0.3">
      <c r="A33" s="151">
        <f>IF(B33&lt;&gt;"",COUNTA($B$13:B33),"")</f>
        <v>20</v>
      </c>
      <c r="B33" s="207" t="str">
        <f>'G1 CAMB'!B33</f>
        <v>Solar Massachusetts Renewable Target</v>
      </c>
      <c r="C33" s="233" t="str">
        <f>'G1 CAMB'!C33</f>
        <v>SMART</v>
      </c>
      <c r="D33" s="233"/>
      <c r="E33" s="206"/>
      <c r="F33" s="239"/>
      <c r="G33" s="236">
        <v>0</v>
      </c>
      <c r="H33" s="211"/>
      <c r="I33" s="210">
        <f t="shared" si="4"/>
        <v>0</v>
      </c>
      <c r="K33" s="210"/>
      <c r="L33" s="236">
        <v>3.4280881118555178E-4</v>
      </c>
      <c r="M33" s="211"/>
      <c r="N33" s="210">
        <f t="shared" si="5"/>
        <v>192493.98124772205</v>
      </c>
    </row>
    <row r="34" spans="1:14" ht="14" x14ac:dyDescent="0.3">
      <c r="A34" s="151">
        <f>IF(B34&lt;&gt;"",COUNTA($B$13:B34),"")</f>
        <v>21</v>
      </c>
      <c r="B34" s="207" t="str">
        <f>'G1 CAMB'!B34</f>
        <v>Tax Act Credit Factor</v>
      </c>
      <c r="C34" s="233" t="str">
        <f>'G1 CAMB'!C34</f>
        <v>TACF</v>
      </c>
      <c r="D34" s="233"/>
      <c r="E34" s="206"/>
      <c r="F34" s="239"/>
      <c r="G34" s="236">
        <v>0</v>
      </c>
      <c r="H34" s="211"/>
      <c r="I34" s="210">
        <f t="shared" si="4"/>
        <v>0</v>
      </c>
      <c r="K34" s="210"/>
      <c r="L34" s="236">
        <v>-5.1895527107452717E-4</v>
      </c>
      <c r="M34" s="211"/>
      <c r="N34" s="210">
        <f t="shared" si="5"/>
        <v>-291403.72989000002</v>
      </c>
    </row>
    <row r="35" spans="1:14" ht="14" x14ac:dyDescent="0.3">
      <c r="A35" s="151">
        <f>IF(B35&lt;&gt;"",COUNTA($B$13:B35),"")</f>
        <v>22</v>
      </c>
      <c r="B35" s="207" t="str">
        <f>'G1 CAMB'!B35</f>
        <v>Transition</v>
      </c>
      <c r="C35" s="233" t="str">
        <f>'G1 CAMB'!C35</f>
        <v>TRNSN</v>
      </c>
      <c r="D35" s="233"/>
      <c r="E35" s="206"/>
      <c r="F35" s="239"/>
      <c r="G35" s="236">
        <v>-6.0999999999999997E-4</v>
      </c>
      <c r="H35" s="211"/>
      <c r="I35" s="210">
        <f t="shared" si="4"/>
        <v>-342527.16012469679</v>
      </c>
      <c r="K35" s="210"/>
      <c r="L35" s="236">
        <v>-5.210932140356871E-4</v>
      </c>
      <c r="M35" s="211"/>
      <c r="N35" s="210">
        <f t="shared" si="5"/>
        <v>-292604.2274817946</v>
      </c>
    </row>
    <row r="36" spans="1:14" ht="14" x14ac:dyDescent="0.3">
      <c r="A36" s="151">
        <f>IF(B36&lt;&gt;"",COUNTA($B$13:B36),"")</f>
        <v>23</v>
      </c>
      <c r="B36" s="207" t="s">
        <v>435</v>
      </c>
      <c r="C36" s="233" t="s">
        <v>382</v>
      </c>
      <c r="D36" s="233"/>
      <c r="E36" s="206"/>
      <c r="F36" s="239"/>
      <c r="G36" s="283">
        <v>5.46</v>
      </c>
      <c r="H36" s="211"/>
      <c r="I36" s="210">
        <f>G36*E14</f>
        <v>2637882.0997496704</v>
      </c>
      <c r="K36" s="210"/>
      <c r="L36" s="283">
        <v>4.5800404274465727</v>
      </c>
      <c r="M36" s="211"/>
      <c r="N36" s="210">
        <f>+L36*E14</f>
        <v>2212748.4724709052</v>
      </c>
    </row>
    <row r="37" spans="1:14" ht="14" x14ac:dyDescent="0.3">
      <c r="A37" s="151">
        <f>IF(B37&lt;&gt;"",COUNTA($B$13:B37),"")</f>
        <v>24</v>
      </c>
      <c r="B37" s="207" t="s">
        <v>436</v>
      </c>
      <c r="C37" s="233" t="s">
        <v>382</v>
      </c>
      <c r="D37" s="233"/>
      <c r="E37" s="206"/>
      <c r="F37" s="239"/>
      <c r="G37" s="283">
        <v>11.16</v>
      </c>
      <c r="H37" s="211"/>
      <c r="I37" s="210">
        <f>G37*E15</f>
        <v>11804337.032364571</v>
      </c>
      <c r="K37" s="210"/>
      <c r="L37" s="283">
        <v>9.3715847419600617</v>
      </c>
      <c r="M37" s="211"/>
      <c r="N37" s="210">
        <f>+E15*L37</f>
        <v>9912665.3065826092</v>
      </c>
    </row>
    <row r="38" spans="1:14" ht="14" x14ac:dyDescent="0.3">
      <c r="A38" s="151">
        <f>IF(B38&lt;&gt;"",COUNTA($B$13:B38),"")</f>
        <v>25</v>
      </c>
      <c r="B38" s="207" t="str">
        <f>'G1 CAMB'!B37</f>
        <v>Energy Efficiency Reconciliation Factor</v>
      </c>
      <c r="C38" s="233" t="str">
        <f>'G1 CAMB'!C37</f>
        <v>EERF</v>
      </c>
      <c r="D38" s="233"/>
      <c r="E38" s="206"/>
      <c r="F38" s="239"/>
      <c r="G38" s="241">
        <v>8.4600000000000005E-3</v>
      </c>
      <c r="H38" s="211"/>
      <c r="I38" s="210">
        <f t="shared" ref="I38:I41" si="6">G38*$E$17</f>
        <v>4750458.646975304</v>
      </c>
      <c r="K38" s="210"/>
      <c r="L38" s="281">
        <v>8.4600000000000005E-3</v>
      </c>
      <c r="M38" s="211"/>
      <c r="N38" s="210">
        <f t="shared" ref="N38:N41" si="7">$E$17*L38</f>
        <v>4750458.646975304</v>
      </c>
    </row>
    <row r="39" spans="1:14" ht="14" x14ac:dyDescent="0.3">
      <c r="A39" s="151">
        <f>IF(B39&lt;&gt;"",COUNTA($B$13:B39),"")</f>
        <v>26</v>
      </c>
      <c r="B39" s="207" t="str">
        <f>'G1 CAMB'!B38</f>
        <v>System Benefits Charge</v>
      </c>
      <c r="C39" s="233" t="str">
        <f>'G1 CAMB'!C38</f>
        <v>SBC</v>
      </c>
      <c r="D39" s="233"/>
      <c r="E39" s="206"/>
      <c r="F39" s="239"/>
      <c r="G39" s="241">
        <v>2.5000000000000001E-3</v>
      </c>
      <c r="H39" s="211"/>
      <c r="I39" s="210">
        <f t="shared" si="6"/>
        <v>1403799.8365766264</v>
      </c>
      <c r="K39" s="210"/>
      <c r="L39" s="281">
        <f>+G39</f>
        <v>2.5000000000000001E-3</v>
      </c>
      <c r="M39" s="211"/>
      <c r="N39" s="210">
        <f t="shared" si="7"/>
        <v>1403799.8365766264</v>
      </c>
    </row>
    <row r="40" spans="1:14" ht="14" x14ac:dyDescent="0.3">
      <c r="A40" s="151">
        <f>IF(B40&lt;&gt;"",COUNTA($B$13:B40),"")</f>
        <v>27</v>
      </c>
      <c r="B40" s="207" t="str">
        <f>'G1 CAMB'!B39</f>
        <v>Renewable Energy Charge</v>
      </c>
      <c r="C40" s="233" t="str">
        <f>'G1 CAMB'!C39</f>
        <v>RNEW</v>
      </c>
      <c r="D40" s="233"/>
      <c r="E40" s="206"/>
      <c r="F40" s="239"/>
      <c r="G40" s="241">
        <v>5.0000000000000001E-4</v>
      </c>
      <c r="H40" s="211"/>
      <c r="I40" s="210">
        <f t="shared" si="6"/>
        <v>280759.96731532528</v>
      </c>
      <c r="K40" s="210"/>
      <c r="L40" s="281">
        <f>+G40</f>
        <v>5.0000000000000001E-4</v>
      </c>
      <c r="M40" s="211"/>
      <c r="N40" s="210">
        <f t="shared" si="7"/>
        <v>280759.96731532528</v>
      </c>
    </row>
    <row r="41" spans="1:14" ht="14" x14ac:dyDescent="0.3">
      <c r="A41" s="151">
        <f>IF(B41&lt;&gt;"",COUNTA($B$13:B41),"")</f>
        <v>28</v>
      </c>
      <c r="B41" s="207" t="str">
        <f>'G1 CAMB'!B40</f>
        <v>Basic Service Charge</v>
      </c>
      <c r="C41" s="233" t="str">
        <f>'G1 CAMB'!C40</f>
        <v>BS</v>
      </c>
      <c r="D41" s="233"/>
      <c r="E41" s="206"/>
      <c r="F41" s="239"/>
      <c r="G41" s="241">
        <v>0.1326</v>
      </c>
      <c r="H41" s="211"/>
      <c r="I41" s="237">
        <f t="shared" si="6"/>
        <v>74457543.332024261</v>
      </c>
      <c r="K41" s="210"/>
      <c r="L41" s="281">
        <v>0.17265000000000003</v>
      </c>
      <c r="M41" s="211"/>
      <c r="N41" s="237">
        <f t="shared" si="7"/>
        <v>96946416.713981822</v>
      </c>
    </row>
    <row r="42" spans="1:14" ht="14" x14ac:dyDescent="0.3">
      <c r="A42" s="151" t="str">
        <f>IF(B42&lt;&gt;"",COUNTA($B$13:B42),"")</f>
        <v/>
      </c>
      <c r="B42" s="207"/>
      <c r="E42" s="206"/>
      <c r="F42" s="239"/>
      <c r="G42" s="241"/>
      <c r="H42" s="211"/>
      <c r="I42" s="244"/>
      <c r="K42" s="210"/>
      <c r="L42" s="241"/>
      <c r="M42" s="211"/>
      <c r="N42" s="244"/>
    </row>
    <row r="43" spans="1:14" ht="14" x14ac:dyDescent="0.3">
      <c r="A43" s="151">
        <f>IF(B43&lt;&gt;"",COUNTA($B$13:B43),"")</f>
        <v>29</v>
      </c>
      <c r="B43" s="188" t="s">
        <v>46</v>
      </c>
      <c r="E43" s="188"/>
      <c r="G43" s="245" t="s">
        <v>324</v>
      </c>
      <c r="H43" s="246"/>
      <c r="I43" s="154">
        <f>SUM(I18:I42)</f>
        <v>112819092.1307658</v>
      </c>
      <c r="K43" s="247"/>
      <c r="L43" s="245"/>
      <c r="N43" s="154">
        <f>SUM(N18:N42)</f>
        <v>133506185.5567655</v>
      </c>
    </row>
    <row r="44" spans="1:14" ht="14" x14ac:dyDescent="0.3">
      <c r="A44" s="151" t="str">
        <f>IF(B44&lt;&gt;"",COUNTA($B$13:B44),"")</f>
        <v/>
      </c>
      <c r="E44" s="188"/>
      <c r="H44" s="188"/>
      <c r="I44" s="154"/>
      <c r="K44" s="265"/>
      <c r="L44" s="278"/>
      <c r="N44" s="265"/>
    </row>
    <row r="45" spans="1:14" ht="14" x14ac:dyDescent="0.3">
      <c r="A45" s="151">
        <f>IF(B45&lt;&gt;"",COUNTA($B$13:B45),"")</f>
        <v>30</v>
      </c>
      <c r="B45" s="188" t="s">
        <v>46</v>
      </c>
      <c r="E45" s="188"/>
      <c r="G45" s="188"/>
      <c r="H45" s="188"/>
      <c r="I45" s="188"/>
      <c r="J45" s="188"/>
      <c r="L45" s="248" t="s">
        <v>325</v>
      </c>
      <c r="N45" s="160">
        <f>+N43/I43-1</f>
        <v>0.18336518257053336</v>
      </c>
    </row>
    <row r="46" spans="1:14" ht="14" x14ac:dyDescent="0.3">
      <c r="A46" s="151" t="str">
        <f>IF(B46&lt;&gt;"",COUNTA($B$13:B46),"")</f>
        <v/>
      </c>
      <c r="E46" s="188"/>
      <c r="G46" s="188"/>
      <c r="H46" s="188"/>
      <c r="I46" s="188"/>
      <c r="J46" s="188"/>
      <c r="L46" s="248"/>
      <c r="N46" s="160"/>
    </row>
    <row r="47" spans="1:14" ht="14" x14ac:dyDescent="0.3">
      <c r="A47" s="151" t="str">
        <f>IF(B47&lt;&gt;"",COUNTA($B$13:B47),"")</f>
        <v/>
      </c>
      <c r="E47" s="188"/>
      <c r="G47" s="186"/>
      <c r="H47" s="188"/>
      <c r="I47" s="188"/>
      <c r="L47" s="248"/>
      <c r="N47" s="160"/>
    </row>
    <row r="48" spans="1:14" ht="14.5" thickBot="1" x14ac:dyDescent="0.35">
      <c r="A48" s="151">
        <f>IF(B48&lt;&gt;"",COUNTA($B$13:B48),"")</f>
        <v>31</v>
      </c>
      <c r="B48" s="188" t="s">
        <v>46</v>
      </c>
      <c r="E48" s="279" t="s">
        <v>326</v>
      </c>
      <c r="F48" s="135"/>
      <c r="G48" s="280"/>
      <c r="I48" s="279" t="s">
        <v>327</v>
      </c>
      <c r="J48" s="135"/>
      <c r="L48" s="279" t="s">
        <v>328</v>
      </c>
      <c r="M48" s="135"/>
      <c r="N48" s="137"/>
    </row>
    <row r="49" spans="1:14" ht="14" x14ac:dyDescent="0.3">
      <c r="A49" s="151">
        <f>IF(B49&lt;&gt;"",COUNTA($B$13:B49),"")</f>
        <v>32</v>
      </c>
      <c r="B49" s="144" t="s">
        <v>329</v>
      </c>
      <c r="C49" s="144"/>
      <c r="D49" s="144"/>
      <c r="E49" s="249" t="s">
        <v>148</v>
      </c>
      <c r="F49" s="250"/>
      <c r="G49" s="251" t="s">
        <v>330</v>
      </c>
      <c r="I49" s="249" t="s">
        <v>148</v>
      </c>
      <c r="J49" s="251" t="s">
        <v>330</v>
      </c>
      <c r="K49" s="212"/>
      <c r="L49" s="249" t="s">
        <v>148</v>
      </c>
      <c r="M49" s="252"/>
      <c r="N49" s="251" t="s">
        <v>330</v>
      </c>
    </row>
    <row r="50" spans="1:14" ht="14" x14ac:dyDescent="0.3">
      <c r="A50" s="151">
        <f>IF(B50&lt;&gt;"",COUNTA($B$13:B50),"")</f>
        <v>33</v>
      </c>
      <c r="B50" s="130" t="str">
        <f>+'G1 CAMB'!B49</f>
        <v>Distribution</v>
      </c>
      <c r="C50" s="253" t="str">
        <f>+'G1 CAMB'!C49</f>
        <v>DIST</v>
      </c>
      <c r="D50" s="253"/>
      <c r="E50" s="154">
        <f t="shared" ref="E50:E65" si="8">SUMIF($C$13:$C$41,$C50,$I$13:$I$41)</f>
        <v>13110070.924987273</v>
      </c>
      <c r="G50" s="254">
        <f>+E50/$E$17*100</f>
        <v>2.3347471953263152</v>
      </c>
      <c r="I50" s="154">
        <f t="shared" ref="I50:I65" si="9">SUMIF($C$13:$C$41,$C50,$N$13:$N$41)</f>
        <v>13542825.675820917</v>
      </c>
      <c r="J50" s="254">
        <f>+I50/$E$17*100</f>
        <v>2.4118156525874626</v>
      </c>
      <c r="L50" s="154">
        <f t="shared" ref="L50:L70" si="10">I50-E50</f>
        <v>432754.7508336436</v>
      </c>
      <c r="N50" s="254">
        <f>+L50/$E$17*100</f>
        <v>7.7068457261147028E-2</v>
      </c>
    </row>
    <row r="51" spans="1:14" ht="14" x14ac:dyDescent="0.3">
      <c r="A51" s="151">
        <f>IF(B51&lt;&gt;"",COUNTA($B$13:B51),"")</f>
        <v>34</v>
      </c>
      <c r="B51" s="130" t="str">
        <f>+'G1 CAMB'!B50</f>
        <v>Revenue Decoupling</v>
      </c>
      <c r="C51" s="253" t="str">
        <f>+'G1 CAMB'!C50</f>
        <v>RDAF</v>
      </c>
      <c r="D51" s="253"/>
      <c r="E51" s="154">
        <f t="shared" si="8"/>
        <v>0</v>
      </c>
      <c r="G51" s="254">
        <f t="shared" ref="G51:G71" si="11">+E51/$E$17*100</f>
        <v>0</v>
      </c>
      <c r="I51" s="154">
        <f t="shared" si="9"/>
        <v>-124853.64622487989</v>
      </c>
      <c r="J51" s="254">
        <f t="shared" ref="J51:J71" si="12">+I51/$E$17*100</f>
        <v>-2.2234944571826207E-2</v>
      </c>
      <c r="L51" s="154">
        <f>I51-E51</f>
        <v>-124853.64622487989</v>
      </c>
      <c r="N51" s="254">
        <f t="shared" ref="N51:N71" si="13">+L51/$E$17*100</f>
        <v>-2.2234944571826207E-2</v>
      </c>
    </row>
    <row r="52" spans="1:14" ht="14" x14ac:dyDescent="0.3">
      <c r="A52" s="151">
        <f>IF(B52&lt;&gt;"",COUNTA($B$13:B52),"")</f>
        <v>35</v>
      </c>
      <c r="B52" s="130" t="str">
        <f>+'G1 CAMB'!B51</f>
        <v>Residential Assistance Adjustment Factor</v>
      </c>
      <c r="C52" s="253" t="str">
        <f>+'G1 CAMB'!C51</f>
        <v>RAAF</v>
      </c>
      <c r="D52" s="253"/>
      <c r="E52" s="154">
        <f t="shared" si="8"/>
        <v>825434.30390705622</v>
      </c>
      <c r="G52" s="254">
        <f t="shared" si="11"/>
        <v>0.14699999999999999</v>
      </c>
      <c r="I52" s="154">
        <f t="shared" si="9"/>
        <v>1054797.1818369892</v>
      </c>
      <c r="J52" s="254">
        <f t="shared" si="12"/>
        <v>0.18784679167816196</v>
      </c>
      <c r="L52" s="154">
        <f t="shared" si="10"/>
        <v>229362.87792993302</v>
      </c>
      <c r="N52" s="254">
        <f t="shared" si="13"/>
        <v>4.0846791678161957E-2</v>
      </c>
    </row>
    <row r="53" spans="1:14" ht="14" x14ac:dyDescent="0.3">
      <c r="A53" s="151">
        <f>IF(B53&lt;&gt;"",COUNTA($B$13:B53),"")</f>
        <v>36</v>
      </c>
      <c r="B53" s="130" t="str">
        <f>+'G1 CAMB'!B52</f>
        <v>Pension Adjustment Factor</v>
      </c>
      <c r="C53" s="253" t="str">
        <f>+'G1 CAMB'!C52</f>
        <v>PAF</v>
      </c>
      <c r="D53" s="253"/>
      <c r="E53" s="154">
        <f t="shared" si="8"/>
        <v>-28075.996731532527</v>
      </c>
      <c r="G53" s="254">
        <f t="shared" si="11"/>
        <v>-5.0000000000000001E-3</v>
      </c>
      <c r="I53" s="154">
        <f t="shared" si="9"/>
        <v>231302.49027900663</v>
      </c>
      <c r="J53" s="254">
        <f t="shared" si="12"/>
        <v>4.1192213493034736E-2</v>
      </c>
      <c r="L53" s="154">
        <f t="shared" si="10"/>
        <v>259378.48701053916</v>
      </c>
      <c r="N53" s="254">
        <f t="shared" si="13"/>
        <v>4.6192213493034734E-2</v>
      </c>
    </row>
    <row r="54" spans="1:14" ht="14" x14ac:dyDescent="0.3">
      <c r="A54" s="151">
        <f>IF(B54&lt;&gt;"",COUNTA($B$13:B54),"")</f>
        <v>37</v>
      </c>
      <c r="B54" s="130" t="str">
        <f>+'G1 CAMB'!B53</f>
        <v>Net Metering Recovery Surcharge</v>
      </c>
      <c r="C54" s="253" t="str">
        <f>+'G1 CAMB'!C53</f>
        <v>NMRS</v>
      </c>
      <c r="D54" s="253"/>
      <c r="E54" s="154">
        <f t="shared" si="8"/>
        <v>1628407.8104288864</v>
      </c>
      <c r="G54" s="254">
        <f t="shared" si="11"/>
        <v>0.28999999999999998</v>
      </c>
      <c r="I54" s="154">
        <f t="shared" si="9"/>
        <v>1375370.91570315</v>
      </c>
      <c r="J54" s="254">
        <f t="shared" si="12"/>
        <v>0.24493714842160039</v>
      </c>
      <c r="L54" s="154">
        <f t="shared" si="10"/>
        <v>-253036.89472573646</v>
      </c>
      <c r="N54" s="254">
        <f t="shared" si="13"/>
        <v>-4.5062851578399593E-2</v>
      </c>
    </row>
    <row r="55" spans="1:14" ht="14" x14ac:dyDescent="0.3">
      <c r="A55" s="151">
        <f>IF(B55&lt;&gt;"",COUNTA($B$13:B55),"")</f>
        <v>38</v>
      </c>
      <c r="B55" s="130" t="str">
        <f>+'G1 CAMB'!B54</f>
        <v>Long Term Renewable Contract Adjustment</v>
      </c>
      <c r="C55" s="253" t="str">
        <f>+'G1 CAMB'!C54</f>
        <v>LTRCA</v>
      </c>
      <c r="D55" s="253"/>
      <c r="E55" s="154">
        <f t="shared" si="8"/>
        <v>1325187.0457283354</v>
      </c>
      <c r="G55" s="254">
        <f t="shared" si="11"/>
        <v>0.23600000000000002</v>
      </c>
      <c r="I55" s="154">
        <f t="shared" si="9"/>
        <v>974637.38190806506</v>
      </c>
      <c r="J55" s="254">
        <f t="shared" si="12"/>
        <v>0.17357128782064518</v>
      </c>
      <c r="L55" s="154">
        <f t="shared" si="10"/>
        <v>-350549.66382027033</v>
      </c>
      <c r="N55" s="254">
        <f t="shared" si="13"/>
        <v>-6.2428712179354848E-2</v>
      </c>
    </row>
    <row r="56" spans="1:14" ht="14" x14ac:dyDescent="0.3">
      <c r="A56" s="151">
        <f>IF(B56&lt;&gt;"",COUNTA($B$13:B56),"")</f>
        <v>39</v>
      </c>
      <c r="B56" s="130" t="str">
        <f>+'G1 CAMB'!B55</f>
        <v>AG Consulting Expense</v>
      </c>
      <c r="C56" s="253" t="str">
        <f>+'G1 CAMB'!C55</f>
        <v>AGCE</v>
      </c>
      <c r="D56" s="253"/>
      <c r="E56" s="154">
        <f t="shared" si="8"/>
        <v>11230.398692613011</v>
      </c>
      <c r="G56" s="254">
        <f t="shared" si="11"/>
        <v>2E-3</v>
      </c>
      <c r="I56" s="154">
        <f t="shared" si="9"/>
        <v>2214.6806094470107</v>
      </c>
      <c r="J56" s="254">
        <f t="shared" si="12"/>
        <v>3.9440818978292468E-4</v>
      </c>
      <c r="L56" s="154">
        <f t="shared" si="10"/>
        <v>-9015.7180831660007</v>
      </c>
      <c r="N56" s="254">
        <f t="shared" si="13"/>
        <v>-1.6055918102170757E-3</v>
      </c>
    </row>
    <row r="57" spans="1:14" ht="14" x14ac:dyDescent="0.3">
      <c r="A57" s="151">
        <f>IF(B57&lt;&gt;"",COUNTA($B$13:B57),"")</f>
        <v>40</v>
      </c>
      <c r="B57" s="130" t="str">
        <f>+'G1 CAMB'!B56</f>
        <v>Storm Cost Recovery Adjustment Factor</v>
      </c>
      <c r="C57" s="253" t="str">
        <f>+'G1 CAMB'!C56</f>
        <v>SCRA</v>
      </c>
      <c r="D57" s="253"/>
      <c r="E57" s="154">
        <f t="shared" si="8"/>
        <v>510983.14051389199</v>
      </c>
      <c r="G57" s="254">
        <f t="shared" si="11"/>
        <v>9.0999999999999998E-2</v>
      </c>
      <c r="I57" s="154">
        <f t="shared" si="9"/>
        <v>799178.51331663318</v>
      </c>
      <c r="J57" s="254">
        <f t="shared" si="12"/>
        <v>0.14232415699405343</v>
      </c>
      <c r="L57" s="154">
        <f>I57-E57</f>
        <v>288195.37280274119</v>
      </c>
      <c r="N57" s="254">
        <f t="shared" si="13"/>
        <v>5.1324156994053412E-2</v>
      </c>
    </row>
    <row r="58" spans="1:14" ht="14" x14ac:dyDescent="0.3">
      <c r="A58" s="151">
        <f>IF(B58&lt;&gt;"",COUNTA($B$13:B58),"")</f>
        <v>41</v>
      </c>
      <c r="B58" s="130" t="str">
        <f>+'G1 CAMB'!B57</f>
        <v>Storm Reserve Adjustment</v>
      </c>
      <c r="C58" s="253" t="str">
        <f>+'G1 CAMB'!C57</f>
        <v>SRA</v>
      </c>
      <c r="D58" s="253"/>
      <c r="E58" s="154">
        <f t="shared" si="8"/>
        <v>0</v>
      </c>
      <c r="G58" s="254">
        <f t="shared" si="11"/>
        <v>0</v>
      </c>
      <c r="I58" s="154">
        <f t="shared" si="9"/>
        <v>0</v>
      </c>
      <c r="J58" s="254">
        <f t="shared" si="12"/>
        <v>0</v>
      </c>
      <c r="L58" s="154">
        <f>I58-E58</f>
        <v>0</v>
      </c>
      <c r="N58" s="254">
        <f t="shared" si="13"/>
        <v>0</v>
      </c>
    </row>
    <row r="59" spans="1:14" ht="14" x14ac:dyDescent="0.3">
      <c r="A59" s="151">
        <f>IF(B59&lt;&gt;"",COUNTA($B$13:B59),"")</f>
        <v>42</v>
      </c>
      <c r="B59" s="130" t="str">
        <f>+'G1 CAMB'!B58</f>
        <v>Basic Service Cost True Up Factor</v>
      </c>
      <c r="C59" s="253" t="str">
        <f>+'G1 CAMB'!C58</f>
        <v>BSTF</v>
      </c>
      <c r="D59" s="253"/>
      <c r="E59" s="154">
        <f t="shared" si="8"/>
        <v>443600.74835821392</v>
      </c>
      <c r="G59" s="254">
        <f t="shared" si="11"/>
        <v>7.9000000000000001E-2</v>
      </c>
      <c r="I59" s="154">
        <f t="shared" si="9"/>
        <v>-52341.620896823479</v>
      </c>
      <c r="J59" s="254">
        <f t="shared" si="12"/>
        <v>-9.3214181133661964E-3</v>
      </c>
      <c r="L59" s="154">
        <f>I59-E59</f>
        <v>-495942.3692550374</v>
      </c>
      <c r="N59" s="254">
        <f t="shared" si="13"/>
        <v>-8.8321418113366204E-2</v>
      </c>
    </row>
    <row r="60" spans="1:14" ht="14" x14ac:dyDescent="0.3">
      <c r="A60" s="151">
        <f>IF(B60&lt;&gt;"",COUNTA($B$13:B60),"")</f>
        <v>43</v>
      </c>
      <c r="B60" s="130" t="str">
        <f>+'G1 CAMB'!B59</f>
        <v>Solar Program Cost Adjustment Factor</v>
      </c>
      <c r="C60" s="253" t="str">
        <f>+'G1 CAMB'!C59</f>
        <v>SPCA</v>
      </c>
      <c r="D60" s="253"/>
      <c r="E60" s="154">
        <f t="shared" si="8"/>
        <v>0</v>
      </c>
      <c r="G60" s="254">
        <f t="shared" si="11"/>
        <v>0</v>
      </c>
      <c r="I60" s="154">
        <f t="shared" si="9"/>
        <v>9314.9513140704166</v>
      </c>
      <c r="J60" s="254">
        <f t="shared" si="12"/>
        <v>1.6588816780293805E-3</v>
      </c>
      <c r="L60" s="154">
        <f t="shared" si="10"/>
        <v>9314.9513140704166</v>
      </c>
      <c r="N60" s="254">
        <f t="shared" si="13"/>
        <v>1.6588816780293805E-3</v>
      </c>
    </row>
    <row r="61" spans="1:14" ht="14" x14ac:dyDescent="0.3">
      <c r="A61" s="151">
        <f>IF(B61&lt;&gt;"",COUNTA($B$13:B61),"")</f>
        <v>44</v>
      </c>
      <c r="B61" s="130" t="str">
        <f>+'G1 CAMB'!B60</f>
        <v>Solar Expansion Cost Recovery Factor</v>
      </c>
      <c r="C61" s="253" t="str">
        <f>+'G1 CAMB'!C60</f>
        <v>SECRF</v>
      </c>
      <c r="D61" s="253"/>
      <c r="E61" s="154">
        <f t="shared" si="8"/>
        <v>0</v>
      </c>
      <c r="G61" s="254">
        <f t="shared" si="11"/>
        <v>0</v>
      </c>
      <c r="I61" s="154">
        <f t="shared" si="9"/>
        <v>164294.43112495093</v>
      </c>
      <c r="J61" s="254">
        <f t="shared" si="12"/>
        <v>2.9258877733881066E-2</v>
      </c>
      <c r="L61" s="154">
        <f t="shared" si="10"/>
        <v>164294.43112495093</v>
      </c>
      <c r="N61" s="254">
        <f t="shared" si="13"/>
        <v>2.9258877733881066E-2</v>
      </c>
    </row>
    <row r="62" spans="1:14" ht="14" x14ac:dyDescent="0.3">
      <c r="A62" s="151">
        <f>IF(B62&lt;&gt;"",COUNTA($B$13:B62),"")</f>
        <v>45</v>
      </c>
      <c r="B62" s="130" t="str">
        <f>+'G1 CAMB'!B61</f>
        <v>Vegetation Management</v>
      </c>
      <c r="C62" s="253" t="str">
        <f>+'G1 CAMB'!C61</f>
        <v>RTWF</v>
      </c>
      <c r="D62" s="253"/>
      <c r="E62" s="154">
        <f t="shared" si="8"/>
        <v>0</v>
      </c>
      <c r="G62" s="254">
        <f t="shared" si="11"/>
        <v>0</v>
      </c>
      <c r="I62" s="154">
        <f t="shared" si="9"/>
        <v>414109.63419546047</v>
      </c>
      <c r="J62" s="254">
        <f t="shared" si="12"/>
        <v>7.3747984471441472E-2</v>
      </c>
      <c r="L62" s="154">
        <f t="shared" si="10"/>
        <v>414109.63419546047</v>
      </c>
      <c r="N62" s="254">
        <f t="shared" si="13"/>
        <v>7.3747984471441472E-2</v>
      </c>
    </row>
    <row r="63" spans="1:14" ht="14" x14ac:dyDescent="0.3">
      <c r="A63" s="151">
        <f>IF(B63&lt;&gt;"",COUNTA($B$13:B63),"")</f>
        <v>46</v>
      </c>
      <c r="B63" s="130" t="str">
        <f>+'G1 CAMB'!B62</f>
        <v>Solar Massachusetts Renewable Target</v>
      </c>
      <c r="C63" s="253" t="str">
        <f>+'G1 CAMB'!C62</f>
        <v>SMART</v>
      </c>
      <c r="D63" s="253"/>
      <c r="E63" s="154">
        <f t="shared" si="8"/>
        <v>0</v>
      </c>
      <c r="G63" s="254">
        <f t="shared" si="11"/>
        <v>0</v>
      </c>
      <c r="I63" s="154">
        <f t="shared" si="9"/>
        <v>192493.98124772205</v>
      </c>
      <c r="J63" s="254">
        <f t="shared" si="12"/>
        <v>3.4280881118555179E-2</v>
      </c>
      <c r="L63" s="154">
        <f t="shared" si="10"/>
        <v>192493.98124772205</v>
      </c>
      <c r="N63" s="254">
        <f t="shared" si="13"/>
        <v>3.4280881118555179E-2</v>
      </c>
    </row>
    <row r="64" spans="1:14" ht="14" x14ac:dyDescent="0.3">
      <c r="A64" s="151">
        <f>IF(B64&lt;&gt;"",COUNTA($B$13:B64),"")</f>
        <v>47</v>
      </c>
      <c r="B64" s="130" t="str">
        <f>+'G1 CAMB'!B63</f>
        <v>Tax Act Credit Factor</v>
      </c>
      <c r="C64" s="253" t="str">
        <f>+'G1 CAMB'!C63</f>
        <v>TACF</v>
      </c>
      <c r="D64" s="253"/>
      <c r="E64" s="154">
        <f t="shared" si="8"/>
        <v>0</v>
      </c>
      <c r="G64" s="254">
        <f t="shared" si="11"/>
        <v>0</v>
      </c>
      <c r="I64" s="154">
        <f t="shared" si="9"/>
        <v>-291403.72989000002</v>
      </c>
      <c r="J64" s="254">
        <f t="shared" si="12"/>
        <v>-5.1895527107452717E-2</v>
      </c>
      <c r="L64" s="154">
        <f t="shared" si="10"/>
        <v>-291403.72989000002</v>
      </c>
      <c r="N64" s="254">
        <f t="shared" si="13"/>
        <v>-5.1895527107452717E-2</v>
      </c>
    </row>
    <row r="65" spans="1:14" ht="14" x14ac:dyDescent="0.3">
      <c r="A65" s="151">
        <f>IF(B65&lt;&gt;"",COUNTA($B$13:B65),"")</f>
        <v>48</v>
      </c>
      <c r="B65" s="130" t="str">
        <f>+'G1 CAMB'!B64</f>
        <v>Transition</v>
      </c>
      <c r="C65" s="253" t="str">
        <f>+'G1 CAMB'!C64</f>
        <v>TRNSN</v>
      </c>
      <c r="D65" s="253"/>
      <c r="E65" s="154">
        <f t="shared" si="8"/>
        <v>-342527.16012469679</v>
      </c>
      <c r="G65" s="254">
        <f t="shared" si="11"/>
        <v>-6.0999999999999999E-2</v>
      </c>
      <c r="I65" s="154">
        <f t="shared" si="9"/>
        <v>-292604.2274817946</v>
      </c>
      <c r="J65" s="254">
        <f t="shared" si="12"/>
        <v>-5.2109321403568713E-2</v>
      </c>
      <c r="L65" s="154">
        <f t="shared" si="10"/>
        <v>49922.932642902189</v>
      </c>
      <c r="N65" s="254">
        <f t="shared" si="13"/>
        <v>8.8906785964312854E-3</v>
      </c>
    </row>
    <row r="66" spans="1:14" ht="14" x14ac:dyDescent="0.3">
      <c r="A66" s="151">
        <f>IF(B66&lt;&gt;"",COUNTA($B$13:B66),"")</f>
        <v>49</v>
      </c>
      <c r="B66" s="130" t="str">
        <f>+'G1 CAMB'!B65</f>
        <v>Transmission</v>
      </c>
      <c r="C66" s="253" t="str">
        <f>+'G1 CAMB'!C65</f>
        <v>TRNSM</v>
      </c>
      <c r="D66" s="253"/>
      <c r="E66" s="154">
        <f>SUM(SUMIF($C$13:$C$41,{"TMKW","TMKWH"},$I$13:$I$41))</f>
        <v>14442219.132114243</v>
      </c>
      <c r="G66" s="254">
        <f t="shared" si="11"/>
        <v>2.5719868951070923</v>
      </c>
      <c r="I66" s="154">
        <f>SUM(SUMIF($C$13:$C$41,{"TMKW","TMKWH"},$N$13:$N$41))</f>
        <v>12125413.779053515</v>
      </c>
      <c r="J66" s="254">
        <f t="shared" si="12"/>
        <v>2.1593915070939049</v>
      </c>
      <c r="L66" s="154">
        <f t="shared" si="10"/>
        <v>-2316805.3530607279</v>
      </c>
      <c r="N66" s="254">
        <f t="shared" si="13"/>
        <v>-0.41259538801318729</v>
      </c>
    </row>
    <row r="67" spans="1:14" ht="14" x14ac:dyDescent="0.3">
      <c r="A67" s="151">
        <f>IF(B67&lt;&gt;"",COUNTA($B$13:B67),"")</f>
        <v>50</v>
      </c>
      <c r="B67" s="130" t="str">
        <f>+'G1 CAMB'!B66</f>
        <v>Energy Efficiency Reconciliation Factor</v>
      </c>
      <c r="C67" s="253" t="str">
        <f>+'G1 CAMB'!C66</f>
        <v>EERF</v>
      </c>
      <c r="D67" s="253"/>
      <c r="E67" s="154">
        <f>SUMIF($C$13:$C$41,$C67,$I$13:$I$41)</f>
        <v>4750458.646975304</v>
      </c>
      <c r="G67" s="254">
        <f t="shared" si="11"/>
        <v>0.84600000000000009</v>
      </c>
      <c r="I67" s="154">
        <f>SUMIF($C$13:$C$41,$C67,$N$13:$N$41)</f>
        <v>4750458.646975304</v>
      </c>
      <c r="J67" s="254">
        <f t="shared" si="12"/>
        <v>0.84600000000000009</v>
      </c>
      <c r="L67" s="154">
        <f t="shared" si="10"/>
        <v>0</v>
      </c>
      <c r="N67" s="254">
        <f t="shared" si="13"/>
        <v>0</v>
      </c>
    </row>
    <row r="68" spans="1:14" ht="14" x14ac:dyDescent="0.3">
      <c r="A68" s="151">
        <f>IF(B68&lt;&gt;"",COUNTA($B$13:B68),"")</f>
        <v>51</v>
      </c>
      <c r="B68" s="130" t="str">
        <f>+'G1 CAMB'!B67</f>
        <v>System Benefits Charge</v>
      </c>
      <c r="C68" s="253" t="str">
        <f>+'G1 CAMB'!C67</f>
        <v>SBC</v>
      </c>
      <c r="D68" s="253"/>
      <c r="E68" s="154">
        <f>SUMIF($C$13:$C$41,$C68,$I$13:$I$41)</f>
        <v>1403799.8365766264</v>
      </c>
      <c r="G68" s="254">
        <f t="shared" si="11"/>
        <v>0.25</v>
      </c>
      <c r="I68" s="154">
        <f>SUMIF($C$13:$C$41,$C68,$N$13:$N$41)</f>
        <v>1403799.8365766264</v>
      </c>
      <c r="J68" s="254">
        <f t="shared" si="12"/>
        <v>0.25</v>
      </c>
      <c r="L68" s="154">
        <f t="shared" si="10"/>
        <v>0</v>
      </c>
      <c r="N68" s="254">
        <f t="shared" si="13"/>
        <v>0</v>
      </c>
    </row>
    <row r="69" spans="1:14" ht="14" x14ac:dyDescent="0.3">
      <c r="A69" s="151">
        <f>IF(B69&lt;&gt;"",COUNTA($B$13:B69),"")</f>
        <v>52</v>
      </c>
      <c r="B69" s="130" t="str">
        <f>+'G1 CAMB'!B68</f>
        <v>Renewable Energy Charge</v>
      </c>
      <c r="C69" s="253" t="str">
        <f>+'G1 CAMB'!C68</f>
        <v>RNEW</v>
      </c>
      <c r="D69" s="253"/>
      <c r="E69" s="154">
        <f>SUMIF($C$13:$C$41,$C69,$I$13:$I$41)</f>
        <v>280759.96731532528</v>
      </c>
      <c r="G69" s="254">
        <f t="shared" si="11"/>
        <v>0.05</v>
      </c>
      <c r="I69" s="154">
        <f>SUMIF($C$13:$C$41,$C69,$N$13:$N$41)</f>
        <v>280759.96731532528</v>
      </c>
      <c r="J69" s="254">
        <f t="shared" si="12"/>
        <v>0.05</v>
      </c>
      <c r="L69" s="154">
        <f>I69-E69</f>
        <v>0</v>
      </c>
      <c r="N69" s="254">
        <f t="shared" si="13"/>
        <v>0</v>
      </c>
    </row>
    <row r="70" spans="1:14" ht="14" x14ac:dyDescent="0.3">
      <c r="A70" s="151">
        <f>IF(B70&lt;&gt;"",COUNTA($B$13:B70),"")</f>
        <v>53</v>
      </c>
      <c r="B70" s="130" t="str">
        <f>+'G1 CAMB'!B69</f>
        <v>Basic Service Charge</v>
      </c>
      <c r="C70" s="253" t="str">
        <f>+'G1 CAMB'!C69</f>
        <v>BS</v>
      </c>
      <c r="D70" s="253"/>
      <c r="E70" s="255">
        <f>SUMIF($C$13:$C$41,$C70,$I$13:$I$41)</f>
        <v>74457543.332024261</v>
      </c>
      <c r="F70" s="256"/>
      <c r="G70" s="257">
        <f t="shared" si="11"/>
        <v>13.26</v>
      </c>
      <c r="H70" s="258"/>
      <c r="I70" s="255">
        <f>SUMIF($C$13:$C$41,$C70,$N$13:$N$41)</f>
        <v>96946416.713981822</v>
      </c>
      <c r="J70" s="257">
        <f t="shared" si="12"/>
        <v>17.265000000000004</v>
      </c>
      <c r="K70" s="255"/>
      <c r="L70" s="255">
        <f t="shared" si="10"/>
        <v>22488873.381957561</v>
      </c>
      <c r="M70" s="259"/>
      <c r="N70" s="257">
        <f t="shared" si="13"/>
        <v>4.0050000000000017</v>
      </c>
    </row>
    <row r="71" spans="1:14" ht="14" x14ac:dyDescent="0.3">
      <c r="A71" s="151">
        <f>IF(B71&lt;&gt;"",COUNTA($B$13:B71),"")</f>
        <v>54</v>
      </c>
      <c r="B71" s="130" t="str">
        <f>+'G1 CAMB'!B70</f>
        <v>Total</v>
      </c>
      <c r="C71" s="130"/>
      <c r="D71" s="130"/>
      <c r="E71" s="154">
        <f>SUM(E50:E70)</f>
        <v>112819092.1307658</v>
      </c>
      <c r="G71" s="254">
        <f t="shared" si="11"/>
        <v>20.091734090433409</v>
      </c>
      <c r="I71" s="154">
        <f>SUM(I50:I70)</f>
        <v>133506185.5567655</v>
      </c>
      <c r="J71" s="254">
        <f t="shared" si="12"/>
        <v>23.775858580084339</v>
      </c>
      <c r="L71" s="154">
        <f>SUM(L50:L70)</f>
        <v>20687093.425999705</v>
      </c>
      <c r="N71" s="254">
        <f t="shared" si="13"/>
        <v>3.6841244896509329</v>
      </c>
    </row>
    <row r="72" spans="1:14" ht="14" x14ac:dyDescent="0.3">
      <c r="A72" s="151" t="str">
        <f>IF(B72&lt;&gt;"",COUNTA($B$10:B72),"")</f>
        <v/>
      </c>
    </row>
    <row r="73" spans="1:14" ht="14" x14ac:dyDescent="0.3">
      <c r="A73" s="151"/>
      <c r="B73" s="256" t="s">
        <v>164</v>
      </c>
      <c r="E73" s="188"/>
      <c r="G73" s="188"/>
      <c r="H73" s="188"/>
      <c r="I73" s="188"/>
      <c r="J73" s="188"/>
      <c r="K73" s="188"/>
      <c r="L73" s="188"/>
      <c r="M73" s="188"/>
      <c r="N73" s="188"/>
    </row>
    <row r="74" spans="1:14" ht="14" x14ac:dyDescent="0.3">
      <c r="A74" s="151"/>
      <c r="B74" s="130" t="str">
        <f>+'G1 CAMB'!B73</f>
        <v>Col. (a): Company's forecast</v>
      </c>
    </row>
    <row r="75" spans="1:14" ht="14" x14ac:dyDescent="0.3">
      <c r="A75" s="151"/>
      <c r="B75" s="130" t="str">
        <f>+'G1 CAMB'!B74</f>
        <v>Col. (b): Current rates</v>
      </c>
    </row>
    <row r="76" spans="1:14" ht="14" x14ac:dyDescent="0.3">
      <c r="A76" s="151"/>
      <c r="B76" s="130" t="str">
        <f>+'G1 CAMB'!B75</f>
        <v>Col. (c): Col. (a) x Col. (b)</v>
      </c>
    </row>
    <row r="77" spans="1:14" ht="14" x14ac:dyDescent="0.3">
      <c r="A77" s="151"/>
      <c r="B77" s="130" t="str">
        <f>+'G1 CAMB'!B76</f>
        <v>Col. (e): Proposed rates</v>
      </c>
    </row>
    <row r="78" spans="1:14" ht="14" x14ac:dyDescent="0.3">
      <c r="A78" s="151"/>
      <c r="B78" s="130" t="str">
        <f>+'G1 CAMB'!B77</f>
        <v>Col. (f): Col. (a), Line 1 through Line 5 (as appropriate) x Col. (e)</v>
      </c>
    </row>
  </sheetData>
  <mergeCells count="6">
    <mergeCell ref="A4:N4"/>
    <mergeCell ref="A5:N5"/>
    <mergeCell ref="A7:N7"/>
    <mergeCell ref="A8:N8"/>
    <mergeCell ref="G10:I10"/>
    <mergeCell ref="L10:N10"/>
  </mergeCells>
  <pageMargins left="0.7" right="0.7" top="0.75" bottom="0.75" header="0.3" footer="0.3"/>
  <pageSetup scale="63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AD1CC-D3BB-460E-B342-FBAEDA6A46DE}">
  <sheetPr>
    <tabColor theme="9" tint="0.59999389629810485"/>
    <pageSetUpPr fitToPage="1"/>
  </sheetPr>
  <dimension ref="A3:N78"/>
  <sheetViews>
    <sheetView workbookViewId="0"/>
  </sheetViews>
  <sheetFormatPr defaultRowHeight="12.5" x14ac:dyDescent="0.25"/>
  <cols>
    <col min="1" max="1" width="3.26953125" customWidth="1"/>
    <col min="2" max="2" width="41.1796875" customWidth="1"/>
    <col min="3" max="3" width="8.26953125" bestFit="1" customWidth="1"/>
    <col min="4" max="4" width="1.26953125" customWidth="1"/>
    <col min="5" max="5" width="13.7265625" bestFit="1" customWidth="1"/>
    <col min="6" max="6" width="1.26953125" customWidth="1"/>
    <col min="7" max="7" width="12.7265625" customWidth="1"/>
    <col min="8" max="8" width="1.26953125" customWidth="1"/>
    <col min="9" max="9" width="14.453125" customWidth="1"/>
    <col min="11" max="11" width="1.26953125" customWidth="1"/>
    <col min="12" max="12" width="14" customWidth="1"/>
    <col min="13" max="13" width="1.26953125" customWidth="1"/>
    <col min="14" max="14" width="15.54296875" customWidth="1"/>
  </cols>
  <sheetData>
    <row r="3" spans="1:14" ht="14" x14ac:dyDescent="0.3">
      <c r="A3" s="291"/>
      <c r="B3" s="292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</row>
    <row r="4" spans="1:14" ht="14" x14ac:dyDescent="0.3">
      <c r="A4" s="748" t="str">
        <f>'R1 EMA'!A4:N4</f>
        <v>Eastern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4" ht="14" x14ac:dyDescent="0.3">
      <c r="A5" s="748" t="str">
        <f>'R1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4" ht="14" x14ac:dyDescent="0.3">
      <c r="A6" s="205"/>
      <c r="C6" s="205"/>
      <c r="D6" s="205"/>
      <c r="E6" s="206"/>
      <c r="F6" s="207"/>
      <c r="G6" s="208"/>
      <c r="H6" s="209"/>
      <c r="I6" s="210"/>
      <c r="J6" s="210"/>
      <c r="K6" s="210"/>
      <c r="L6" s="211"/>
      <c r="M6" s="211"/>
      <c r="N6" s="212"/>
    </row>
    <row r="7" spans="1:14" ht="14" x14ac:dyDescent="0.3">
      <c r="A7" s="748" t="s">
        <v>424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4" ht="14" x14ac:dyDescent="0.3">
      <c r="A8" s="748" t="s">
        <v>437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4" ht="14" x14ac:dyDescent="0.3">
      <c r="B9" s="207"/>
      <c r="C9" s="207"/>
      <c r="D9" s="207"/>
      <c r="E9" s="213"/>
      <c r="F9" s="207"/>
      <c r="I9" s="210"/>
      <c r="J9" s="210"/>
      <c r="K9" s="210"/>
      <c r="L9" s="214"/>
      <c r="M9" s="214"/>
      <c r="N9" s="215"/>
    </row>
    <row r="10" spans="1:14" ht="14.5" thickBot="1" x14ac:dyDescent="0.35">
      <c r="A10" s="151"/>
      <c r="B10" s="216" t="s">
        <v>46</v>
      </c>
      <c r="C10" s="216"/>
      <c r="D10" s="216"/>
      <c r="E10" s="217" t="s">
        <v>144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4" ht="14" x14ac:dyDescent="0.3">
      <c r="A11" s="151"/>
      <c r="B11" s="219" t="s">
        <v>293</v>
      </c>
      <c r="C11" s="220" t="s">
        <v>294</v>
      </c>
      <c r="D11" s="220"/>
      <c r="E11" s="221" t="s">
        <v>295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4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4" ht="14" x14ac:dyDescent="0.3">
      <c r="A13" s="151">
        <f>IF(B13&lt;&gt;"",COUNTA($B$13:B13),"")</f>
        <v>1</v>
      </c>
      <c r="B13" s="232" t="str">
        <f>+'G2 CAMB'!B13</f>
        <v>Customer Charge</v>
      </c>
      <c r="C13" s="233" t="str">
        <f>+'G2 CAMB'!C13</f>
        <v>CUST</v>
      </c>
      <c r="D13" s="233"/>
      <c r="E13" s="234">
        <v>892.25811274571925</v>
      </c>
      <c r="F13" s="207"/>
      <c r="G13" s="209">
        <v>97</v>
      </c>
      <c r="H13" s="209"/>
      <c r="I13" s="210">
        <f>G13*E13</f>
        <v>86549.036936334771</v>
      </c>
      <c r="J13" s="235"/>
      <c r="K13" s="210"/>
      <c r="L13" s="209">
        <v>97</v>
      </c>
      <c r="M13" s="211"/>
      <c r="N13" s="210">
        <f>L13*E13</f>
        <v>86549.036936334771</v>
      </c>
    </row>
    <row r="14" spans="1:14" ht="14" x14ac:dyDescent="0.3">
      <c r="A14" s="151">
        <f>IF(B14&lt;&gt;"",COUNTA($B$13:B14),"")</f>
        <v>2</v>
      </c>
      <c r="B14" s="232" t="str">
        <f>+'G2 CAMB'!B14</f>
        <v>Distribution Demand &lt;=100 kVA</v>
      </c>
      <c r="C14" s="233" t="str">
        <f>+'G2 CAMB'!C14</f>
        <v>DKW1</v>
      </c>
      <c r="D14" s="233"/>
      <c r="E14" s="234">
        <v>98488.713379783687</v>
      </c>
      <c r="F14" s="207"/>
      <c r="G14" s="209">
        <v>0</v>
      </c>
      <c r="H14" s="209"/>
      <c r="I14" s="210">
        <f t="shared" ref="I14:I15" si="0">G14*E14</f>
        <v>0</v>
      </c>
      <c r="J14" s="235"/>
      <c r="K14" s="210"/>
      <c r="L14" s="209">
        <v>0</v>
      </c>
      <c r="M14" s="211"/>
      <c r="N14" s="210">
        <f t="shared" ref="N14:N15" si="1">L14*E14</f>
        <v>0</v>
      </c>
    </row>
    <row r="15" spans="1:14" ht="14" x14ac:dyDescent="0.3">
      <c r="A15" s="151">
        <f>IF(B15&lt;&gt;"",COUNTA($B$13:B15),"")</f>
        <v>3</v>
      </c>
      <c r="B15" s="232" t="str">
        <f>+'G2 CAMB'!B15</f>
        <v>Distribution Demand &gt;100 kVA</v>
      </c>
      <c r="C15" s="233" t="str">
        <f>+'G2 CAMB'!C15</f>
        <v>DKW2</v>
      </c>
      <c r="D15" s="233"/>
      <c r="E15" s="234">
        <v>1220901.0415145869</v>
      </c>
      <c r="F15" s="207"/>
      <c r="G15" s="209">
        <v>4.3099999999999996</v>
      </c>
      <c r="H15" s="209"/>
      <c r="I15" s="210">
        <f t="shared" si="0"/>
        <v>5262083.4889278691</v>
      </c>
      <c r="J15" s="235"/>
      <c r="K15" s="210"/>
      <c r="L15" s="209">
        <v>4.3</v>
      </c>
      <c r="M15" s="211"/>
      <c r="N15" s="210">
        <f t="shared" si="1"/>
        <v>5249874.478512723</v>
      </c>
    </row>
    <row r="16" spans="1:14" ht="14" x14ac:dyDescent="0.3">
      <c r="A16" s="151">
        <f>IF(B16&lt;&gt;"",COUNTA($B$13:B16),"")</f>
        <v>4</v>
      </c>
      <c r="B16" s="232" t="str">
        <f>+'G2 CAMB'!B16</f>
        <v>Distribution Demand - Total</v>
      </c>
      <c r="C16" s="233" t="str">
        <f>+'G2 CAMB'!C16</f>
        <v>DKW</v>
      </c>
      <c r="D16" s="233"/>
      <c r="E16" s="234">
        <v>1319389.7548943707</v>
      </c>
      <c r="F16" s="207"/>
      <c r="G16" s="209"/>
      <c r="H16" s="209"/>
      <c r="I16" s="210"/>
      <c r="J16" s="235"/>
      <c r="K16" s="210"/>
      <c r="L16" s="209"/>
      <c r="M16" s="211"/>
      <c r="N16" s="210"/>
    </row>
    <row r="17" spans="1:14" ht="14" x14ac:dyDescent="0.3">
      <c r="A17" s="151">
        <f>IF(B17&lt;&gt;"",COUNTA($B$13:B17),"")</f>
        <v>5</v>
      </c>
      <c r="B17" s="232" t="str">
        <f>+'G2 CAMB'!B17</f>
        <v>Distribution Energy</v>
      </c>
      <c r="C17" s="233" t="str">
        <f>+'G2 CAMB'!C17</f>
        <v>DKWH</v>
      </c>
      <c r="D17" s="233"/>
      <c r="E17" s="234">
        <v>533792570.20151818</v>
      </c>
      <c r="F17" s="207"/>
      <c r="G17" s="236">
        <v>3.29E-3</v>
      </c>
      <c r="H17" s="209"/>
      <c r="I17" s="237">
        <f t="shared" ref="I17" si="2">G17*E17</f>
        <v>1756177.5559629947</v>
      </c>
      <c r="J17" s="235"/>
      <c r="K17" s="210"/>
      <c r="L17" s="236">
        <v>3.6800000000000001E-3</v>
      </c>
      <c r="M17" s="211"/>
      <c r="N17" s="237">
        <f t="shared" ref="N17" si="3">L17*E17</f>
        <v>1964356.6583415871</v>
      </c>
    </row>
    <row r="18" spans="1:14" ht="14" x14ac:dyDescent="0.3">
      <c r="A18" s="151">
        <f>IF(B18&lt;&gt;"",COUNTA($B$13:B18),"")</f>
        <v>6</v>
      </c>
      <c r="B18" s="232" t="str">
        <f>+'G2 CAMB'!B18</f>
        <v>Total Distribution</v>
      </c>
      <c r="C18" s="233" t="str">
        <f>+'G2 CAMB'!C18</f>
        <v>DIST</v>
      </c>
      <c r="D18" s="233"/>
      <c r="E18" s="234"/>
      <c r="F18" s="207"/>
      <c r="G18" s="209"/>
      <c r="H18" s="209"/>
      <c r="I18" s="210">
        <f>SUM(I13:I17)</f>
        <v>7104810.0818271982</v>
      </c>
      <c r="J18" s="235"/>
      <c r="K18" s="210"/>
      <c r="L18" s="238"/>
      <c r="M18" s="211"/>
      <c r="N18" s="210">
        <f>SUM(N13:N17)</f>
        <v>7300780.1737906449</v>
      </c>
    </row>
    <row r="19" spans="1:14" ht="14" x14ac:dyDescent="0.3">
      <c r="A19" s="151" t="str">
        <f>IF(B19&lt;&gt;"",COUNTA($B$13:B19),"")</f>
        <v/>
      </c>
      <c r="B19" s="207"/>
      <c r="C19" s="233"/>
      <c r="D19" s="233"/>
      <c r="E19" s="234"/>
      <c r="F19" s="207"/>
      <c r="G19" s="209"/>
      <c r="H19" s="209"/>
      <c r="I19" s="210"/>
      <c r="J19" s="235"/>
      <c r="K19" s="210"/>
      <c r="L19" s="238"/>
      <c r="M19" s="211"/>
      <c r="N19" s="210"/>
    </row>
    <row r="20" spans="1:14" ht="14" x14ac:dyDescent="0.3">
      <c r="A20" s="151">
        <f>IF(B20&lt;&gt;"",COUNTA($B$13:B20),"")</f>
        <v>7</v>
      </c>
      <c r="B20" s="228" t="s">
        <v>302</v>
      </c>
      <c r="F20" s="239"/>
      <c r="G20" s="240"/>
      <c r="H20" s="211"/>
      <c r="I20" s="210"/>
      <c r="K20" s="210"/>
      <c r="L20" s="241"/>
      <c r="M20" s="211"/>
      <c r="N20" s="210"/>
    </row>
    <row r="21" spans="1:14" ht="14" x14ac:dyDescent="0.3">
      <c r="A21" s="151">
        <f>IF(B21&lt;&gt;"",COUNTA($B$13:B21),"")</f>
        <v>8</v>
      </c>
      <c r="B21" s="207" t="str">
        <f>+'G2 CAMB'!B21</f>
        <v>Revenue Decoupling</v>
      </c>
      <c r="C21" s="233" t="str">
        <f>+'G2 CAMB'!C21</f>
        <v>RDAF</v>
      </c>
      <c r="D21" s="233"/>
      <c r="E21" s="242"/>
      <c r="F21" s="239"/>
      <c r="G21" s="236">
        <v>0</v>
      </c>
      <c r="H21" s="211"/>
      <c r="I21" s="210">
        <f>G21*$E$17</f>
        <v>0</v>
      </c>
      <c r="K21" s="210"/>
      <c r="L21" s="236">
        <v>-1.2064154453692992E-4</v>
      </c>
      <c r="M21" s="211"/>
      <c r="N21" s="210">
        <f>$E$17*L21</f>
        <v>-64397.56013144875</v>
      </c>
    </row>
    <row r="22" spans="1:14" ht="14" x14ac:dyDescent="0.3">
      <c r="A22" s="151">
        <f>IF(B22&lt;&gt;"",COUNTA($B$13:B22),"")</f>
        <v>9</v>
      </c>
      <c r="B22" s="207" t="str">
        <f>+'G2 CAMB'!B22</f>
        <v>Residential Assistance Adjustment Factor</v>
      </c>
      <c r="C22" s="233" t="str">
        <f>+'G2 CAMB'!C22</f>
        <v>RAAF</v>
      </c>
      <c r="D22" s="243"/>
      <c r="E22" s="206"/>
      <c r="F22" s="239"/>
      <c r="G22" s="236">
        <v>7.9000000000000001E-4</v>
      </c>
      <c r="H22" s="211"/>
      <c r="I22" s="210">
        <f t="shared" ref="I22:I35" si="4">G22*$E$17</f>
        <v>421696.13045919937</v>
      </c>
      <c r="K22" s="210"/>
      <c r="L22" s="236">
        <v>1.0192122139614168E-3</v>
      </c>
      <c r="M22" s="211"/>
      <c r="N22" s="210">
        <f t="shared" ref="N22:N35" si="5">$E$17*L22</f>
        <v>544047.90727124433</v>
      </c>
    </row>
    <row r="23" spans="1:14" ht="14" x14ac:dyDescent="0.3">
      <c r="A23" s="151">
        <f>IF(B23&lt;&gt;"",COUNTA($B$13:B23),"")</f>
        <v>10</v>
      </c>
      <c r="B23" s="207" t="str">
        <f>+'G2 CAMB'!B23</f>
        <v>Pension Adjustment Factor</v>
      </c>
      <c r="C23" s="233" t="str">
        <f>+'G2 CAMB'!C23</f>
        <v>PAF</v>
      </c>
      <c r="D23" s="243"/>
      <c r="E23" s="206"/>
      <c r="F23" s="239"/>
      <c r="G23" s="236">
        <v>-3.0000000000000001E-5</v>
      </c>
      <c r="H23" s="211"/>
      <c r="I23" s="210">
        <f t="shared" si="4"/>
        <v>-16013.777106045545</v>
      </c>
      <c r="K23" s="210"/>
      <c r="L23" s="236">
        <v>3.0549530563213188E-4</v>
      </c>
      <c r="M23" s="211"/>
      <c r="N23" s="210">
        <f t="shared" si="5"/>
        <v>163071.12437787402</v>
      </c>
    </row>
    <row r="24" spans="1:14" ht="14" x14ac:dyDescent="0.3">
      <c r="A24" s="151">
        <f>IF(B24&lt;&gt;"",COUNTA($B$13:B24),"")</f>
        <v>11</v>
      </c>
      <c r="B24" s="207" t="str">
        <f>+'G2 CAMB'!B24</f>
        <v>Net Metering Recovery Surcharge</v>
      </c>
      <c r="C24" s="233" t="str">
        <f>+'G2 CAMB'!C24</f>
        <v>NMRS</v>
      </c>
      <c r="D24" s="243"/>
      <c r="E24" s="206"/>
      <c r="F24" s="239"/>
      <c r="G24" s="236">
        <v>1.56E-3</v>
      </c>
      <c r="H24" s="211"/>
      <c r="I24" s="210">
        <f t="shared" si="4"/>
        <v>832716.4095143684</v>
      </c>
      <c r="K24" s="210"/>
      <c r="L24" s="236">
        <v>1.3289709720030187E-3</v>
      </c>
      <c r="M24" s="211"/>
      <c r="N24" s="210">
        <f t="shared" si="5"/>
        <v>709394.83086870122</v>
      </c>
    </row>
    <row r="25" spans="1:14" ht="14" x14ac:dyDescent="0.3">
      <c r="A25" s="151">
        <f>IF(B25&lt;&gt;"",COUNTA($B$13:B25),"")</f>
        <v>12</v>
      </c>
      <c r="B25" s="207" t="str">
        <f>+'G2 CAMB'!B25</f>
        <v>Long Term Renewable Contract Adjustment</v>
      </c>
      <c r="C25" s="233" t="str">
        <f>+'G2 CAMB'!C25</f>
        <v>LTRCA</v>
      </c>
      <c r="D25" s="243"/>
      <c r="E25" s="206"/>
      <c r="F25" s="239"/>
      <c r="G25" s="236">
        <v>2.3600000000000001E-3</v>
      </c>
      <c r="H25" s="211"/>
      <c r="I25" s="210">
        <f t="shared" si="4"/>
        <v>1259750.4656755829</v>
      </c>
      <c r="K25" s="210"/>
      <c r="L25" s="236">
        <v>1.7357128782064517E-3</v>
      </c>
      <c r="M25" s="211"/>
      <c r="N25" s="210">
        <f t="shared" si="5"/>
        <v>926510.6383896966</v>
      </c>
    </row>
    <row r="26" spans="1:14" ht="14" x14ac:dyDescent="0.3">
      <c r="A26" s="151">
        <f>IF(B26&lt;&gt;"",COUNTA($B$13:B26),"")</f>
        <v>13</v>
      </c>
      <c r="B26" s="207" t="str">
        <f>+'G2 CAMB'!B26</f>
        <v>AG Consulting Expense</v>
      </c>
      <c r="C26" s="233" t="str">
        <f>+'G2 CAMB'!C26</f>
        <v>AGCE</v>
      </c>
      <c r="D26" s="243"/>
      <c r="E26" s="206"/>
      <c r="F26" s="239"/>
      <c r="G26" s="236">
        <v>1.0000000000000001E-5</v>
      </c>
      <c r="H26" s="211"/>
      <c r="I26" s="210">
        <f t="shared" si="4"/>
        <v>5337.9257020151827</v>
      </c>
      <c r="K26" s="210"/>
      <c r="L26" s="236">
        <v>2.1399654512167108E-6</v>
      </c>
      <c r="M26" s="211"/>
      <c r="N26" s="210">
        <f t="shared" si="5"/>
        <v>1142.2976583474197</v>
      </c>
    </row>
    <row r="27" spans="1:14" ht="14" x14ac:dyDescent="0.3">
      <c r="A27" s="151">
        <f>IF(B27&lt;&gt;"",COUNTA($B$13:B27),"")</f>
        <v>14</v>
      </c>
      <c r="B27" s="207" t="str">
        <f>+'G2 CAMB'!B27</f>
        <v>Storm Cost Recovery Adjustment Factor</v>
      </c>
      <c r="C27" s="233" t="str">
        <f>+'G2 CAMB'!C27</f>
        <v>SCRA</v>
      </c>
      <c r="D27" s="243"/>
      <c r="E27" s="206"/>
      <c r="F27" s="239"/>
      <c r="G27" s="236">
        <v>4.8999999999999998E-4</v>
      </c>
      <c r="H27" s="211"/>
      <c r="I27" s="210">
        <f t="shared" si="4"/>
        <v>261558.35939874389</v>
      </c>
      <c r="K27" s="210"/>
      <c r="L27" s="236">
        <v>7.7269338573246493E-4</v>
      </c>
      <c r="M27" s="211"/>
      <c r="N27" s="210">
        <f t="shared" si="5"/>
        <v>412457.98834784556</v>
      </c>
    </row>
    <row r="28" spans="1:14" ht="14" x14ac:dyDescent="0.3">
      <c r="A28" s="151">
        <f>IF(B28&lt;&gt;"",COUNTA($B$13:B28),"")</f>
        <v>15</v>
      </c>
      <c r="B28" s="207" t="str">
        <f>+'G2 CAMB'!B28</f>
        <v>Storm Reserve Adjustment</v>
      </c>
      <c r="C28" s="233" t="str">
        <f>+'G2 CAMB'!C28</f>
        <v>SRA</v>
      </c>
      <c r="D28" s="243"/>
      <c r="E28" s="206"/>
      <c r="F28" s="239"/>
      <c r="G28" s="236">
        <v>0</v>
      </c>
      <c r="H28" s="211"/>
      <c r="I28" s="210">
        <f t="shared" si="4"/>
        <v>0</v>
      </c>
      <c r="K28" s="210"/>
      <c r="L28" s="236">
        <v>0</v>
      </c>
      <c r="M28" s="211"/>
      <c r="N28" s="210">
        <f t="shared" si="5"/>
        <v>0</v>
      </c>
    </row>
    <row r="29" spans="1:14" ht="14" x14ac:dyDescent="0.3">
      <c r="A29" s="151">
        <f>IF(B29&lt;&gt;"",COUNTA($B$13:B29),"")</f>
        <v>16</v>
      </c>
      <c r="B29" s="207" t="str">
        <f>+'G2 CAMB'!B29</f>
        <v>Basic Service Cost True Up Factor</v>
      </c>
      <c r="C29" s="233" t="str">
        <f>+'G2 CAMB'!C29</f>
        <v>BSTF</v>
      </c>
      <c r="D29" s="243"/>
      <c r="E29" s="206"/>
      <c r="F29" s="239"/>
      <c r="G29" s="236">
        <v>4.2000000000000002E-4</v>
      </c>
      <c r="H29" s="211"/>
      <c r="I29" s="210">
        <f t="shared" si="4"/>
        <v>224192.87948463764</v>
      </c>
      <c r="K29" s="210"/>
      <c r="L29" s="236">
        <v>-5.0575807591439905E-5</v>
      </c>
      <c r="M29" s="211"/>
      <c r="N29" s="210">
        <f t="shared" si="5"/>
        <v>-26996.990324252161</v>
      </c>
    </row>
    <row r="30" spans="1:14" ht="14" x14ac:dyDescent="0.3">
      <c r="A30" s="151">
        <f>IF(B30&lt;&gt;"",COUNTA($B$13:B30),"")</f>
        <v>17</v>
      </c>
      <c r="B30" s="207" t="str">
        <f>+'G2 CAMB'!B30</f>
        <v>Solar Program Cost Adjustment Factor</v>
      </c>
      <c r="C30" s="233" t="str">
        <f>+'G2 CAMB'!C30</f>
        <v>SPCA</v>
      </c>
      <c r="D30" s="233"/>
      <c r="E30" s="206"/>
      <c r="F30" s="239"/>
      <c r="G30" s="236">
        <v>0</v>
      </c>
      <c r="H30" s="211"/>
      <c r="I30" s="210">
        <f t="shared" si="4"/>
        <v>0</v>
      </c>
      <c r="K30" s="210"/>
      <c r="L30" s="236">
        <v>9.0006992009803514E-6</v>
      </c>
      <c r="M30" s="211"/>
      <c r="N30" s="210">
        <f t="shared" si="5"/>
        <v>4804.5063601020529</v>
      </c>
    </row>
    <row r="31" spans="1:14" ht="14" x14ac:dyDescent="0.3">
      <c r="A31" s="151">
        <f>IF(B31&lt;&gt;"",COUNTA($B$13:B31),"")</f>
        <v>18</v>
      </c>
      <c r="B31" s="207" t="str">
        <f>+'G2 CAMB'!B31</f>
        <v>Solar Expansion Cost Recovery Factor</v>
      </c>
      <c r="C31" s="233" t="str">
        <f>+'G2 CAMB'!C31</f>
        <v>SECRF</v>
      </c>
      <c r="D31" s="233"/>
      <c r="E31" s="206"/>
      <c r="F31" s="239"/>
      <c r="G31" s="236">
        <v>0</v>
      </c>
      <c r="H31" s="211"/>
      <c r="I31" s="210">
        <f t="shared" si="4"/>
        <v>0</v>
      </c>
      <c r="K31" s="210"/>
      <c r="L31" s="236">
        <v>1.5875174277273614E-4</v>
      </c>
      <c r="M31" s="211"/>
      <c r="N31" s="210">
        <f t="shared" si="5"/>
        <v>84740.500798629117</v>
      </c>
    </row>
    <row r="32" spans="1:14" ht="14" x14ac:dyDescent="0.3">
      <c r="A32" s="151">
        <f>IF(B32&lt;&gt;"",COUNTA($B$13:B32),"")</f>
        <v>19</v>
      </c>
      <c r="B32" s="207" t="str">
        <f>+'G2 CAMB'!B32</f>
        <v>Vegetation Management</v>
      </c>
      <c r="C32" s="233" t="str">
        <f>+'G2 CAMB'!C32</f>
        <v>RTWF</v>
      </c>
      <c r="D32" s="233"/>
      <c r="E32" s="206"/>
      <c r="F32" s="239"/>
      <c r="G32" s="236">
        <v>0</v>
      </c>
      <c r="H32" s="211"/>
      <c r="I32" s="210">
        <f t="shared" si="4"/>
        <v>0</v>
      </c>
      <c r="K32" s="210"/>
      <c r="L32" s="236">
        <v>5.4693984967975351E-4</v>
      </c>
      <c r="M32" s="211"/>
      <c r="N32" s="210">
        <f t="shared" si="5"/>
        <v>291952.42810618761</v>
      </c>
    </row>
    <row r="33" spans="1:14" ht="14" x14ac:dyDescent="0.3">
      <c r="A33" s="151">
        <f>IF(B33&lt;&gt;"",COUNTA($B$13:B33),"")</f>
        <v>20</v>
      </c>
      <c r="B33" s="207" t="str">
        <f>+'G2 CAMB'!B33</f>
        <v>Solar Massachusetts Renewable Target</v>
      </c>
      <c r="C33" s="233" t="str">
        <f>+'G2 CAMB'!C33</f>
        <v>SMART</v>
      </c>
      <c r="D33" s="233"/>
      <c r="E33" s="206"/>
      <c r="F33" s="239"/>
      <c r="G33" s="236">
        <v>0</v>
      </c>
      <c r="H33" s="211"/>
      <c r="I33" s="210">
        <f t="shared" si="4"/>
        <v>0</v>
      </c>
      <c r="K33" s="210"/>
      <c r="L33" s="236">
        <v>1.859999440461704E-4</v>
      </c>
      <c r="M33" s="211"/>
      <c r="N33" s="210">
        <f t="shared" si="5"/>
        <v>99285.38818974387</v>
      </c>
    </row>
    <row r="34" spans="1:14" ht="14" x14ac:dyDescent="0.3">
      <c r="A34" s="151">
        <f>IF(B34&lt;&gt;"",COUNTA($B$13:B34),"")</f>
        <v>21</v>
      </c>
      <c r="B34" s="207" t="str">
        <f>+'G2 CAMB'!B34</f>
        <v>Tax Act Credit Factor</v>
      </c>
      <c r="C34" s="233" t="str">
        <f>+'G2 CAMB'!C34</f>
        <v>TACF</v>
      </c>
      <c r="D34" s="233"/>
      <c r="E34" s="206"/>
      <c r="F34" s="239"/>
      <c r="G34" s="236">
        <v>0</v>
      </c>
      <c r="H34" s="211"/>
      <c r="I34" s="210">
        <f t="shared" si="4"/>
        <v>0</v>
      </c>
      <c r="K34" s="210"/>
      <c r="L34" s="236">
        <v>-2.8157284244972598E-4</v>
      </c>
      <c r="M34" s="211"/>
      <c r="N34" s="210">
        <f t="shared" si="5"/>
        <v>-150301.49127018638</v>
      </c>
    </row>
    <row r="35" spans="1:14" ht="14" x14ac:dyDescent="0.3">
      <c r="A35" s="151">
        <f>IF(B35&lt;&gt;"",COUNTA($B$13:B35),"")</f>
        <v>22</v>
      </c>
      <c r="B35" s="207" t="str">
        <f>+'G2 CAMB'!B35</f>
        <v>Transition</v>
      </c>
      <c r="C35" s="233" t="str">
        <f>+'G2 CAMB'!C35</f>
        <v>TRNSN</v>
      </c>
      <c r="D35" s="233"/>
      <c r="E35" s="206"/>
      <c r="F35" s="239"/>
      <c r="G35" s="236">
        <v>-6.0999999999999997E-4</v>
      </c>
      <c r="H35" s="211"/>
      <c r="I35" s="210">
        <f t="shared" si="4"/>
        <v>-325613.46782292606</v>
      </c>
      <c r="K35" s="210"/>
      <c r="L35" s="236">
        <v>-5.210932140356871E-4</v>
      </c>
      <c r="M35" s="211"/>
      <c r="N35" s="210">
        <f t="shared" si="5"/>
        <v>-278155.68603467924</v>
      </c>
    </row>
    <row r="36" spans="1:14" ht="14" x14ac:dyDescent="0.3">
      <c r="A36" s="151">
        <f>IF(B36&lt;&gt;"",COUNTA($B$13:B36),"")</f>
        <v>23</v>
      </c>
      <c r="B36" s="207" t="str">
        <f>+'G2 CAMB'!B36</f>
        <v>Transmission Demand &lt;=100 kVA</v>
      </c>
      <c r="C36" s="233" t="str">
        <f>+'G2 CAMB'!C36</f>
        <v>TMKW</v>
      </c>
      <c r="D36" s="233"/>
      <c r="E36" s="206"/>
      <c r="F36" s="239"/>
      <c r="G36" s="283">
        <v>477.65</v>
      </c>
      <c r="H36" s="211"/>
      <c r="I36" s="210">
        <f>G36*E13</f>
        <v>426187.0875529928</v>
      </c>
      <c r="K36" s="210"/>
      <c r="L36" s="283">
        <v>470.53096582483835</v>
      </c>
      <c r="M36" s="211"/>
      <c r="N36" s="210">
        <f>+L36*E13</f>
        <v>419835.07155529078</v>
      </c>
    </row>
    <row r="37" spans="1:14" ht="14" x14ac:dyDescent="0.3">
      <c r="A37" s="151">
        <f>IF(B37&lt;&gt;"",COUNTA($B$13:B37),"")</f>
        <v>24</v>
      </c>
      <c r="B37" s="207" t="str">
        <f>+'G2 CAMB'!B37</f>
        <v>Transmission Demand &gt;100 kVA</v>
      </c>
      <c r="C37" s="233" t="str">
        <f>+'G2 CAMB'!C37</f>
        <v>TMKW</v>
      </c>
      <c r="D37" s="233"/>
      <c r="E37" s="206"/>
      <c r="F37" s="239"/>
      <c r="G37" s="283">
        <v>8.48</v>
      </c>
      <c r="H37" s="211"/>
      <c r="I37" s="210">
        <f>G37*E15</f>
        <v>10353240.832043698</v>
      </c>
      <c r="K37" s="210"/>
      <c r="L37" s="283">
        <v>8.3536116197940533</v>
      </c>
      <c r="M37" s="211"/>
      <c r="N37" s="210">
        <f>+L37*E15</f>
        <v>10198933.127014915</v>
      </c>
    </row>
    <row r="38" spans="1:14" ht="14" x14ac:dyDescent="0.3">
      <c r="A38" s="151">
        <f>IF(B38&lt;&gt;"",COUNTA($B$13:B38),"")</f>
        <v>25</v>
      </c>
      <c r="B38" s="207" t="str">
        <f>+'G2 CAMB'!B38</f>
        <v>Energy Efficiency Reconciliation Factor</v>
      </c>
      <c r="C38" s="233" t="str">
        <f>+'G2 CAMB'!C38</f>
        <v>EERF</v>
      </c>
      <c r="D38" s="233"/>
      <c r="E38" s="206"/>
      <c r="F38" s="239"/>
      <c r="G38" s="241">
        <v>8.4600000000000005E-3</v>
      </c>
      <c r="H38" s="211"/>
      <c r="I38" s="210">
        <f t="shared" ref="I38:I41" si="6">G38*$E$17</f>
        <v>4515885.1439048443</v>
      </c>
      <c r="K38" s="210"/>
      <c r="L38" s="281">
        <v>8.4600000000000005E-3</v>
      </c>
      <c r="M38" s="211"/>
      <c r="N38" s="210">
        <f t="shared" ref="N38:N41" si="7">$E$17*L38</f>
        <v>4515885.1439048443</v>
      </c>
    </row>
    <row r="39" spans="1:14" ht="14" x14ac:dyDescent="0.3">
      <c r="A39" s="151">
        <f>IF(B39&lt;&gt;"",COUNTA($B$13:B39),"")</f>
        <v>26</v>
      </c>
      <c r="B39" s="207" t="str">
        <f>+'G2 CAMB'!B39</f>
        <v>System Benefits Charge</v>
      </c>
      <c r="C39" s="233" t="str">
        <f>+'G2 CAMB'!C39</f>
        <v>SBC</v>
      </c>
      <c r="D39" s="233"/>
      <c r="E39" s="206"/>
      <c r="F39" s="239"/>
      <c r="G39" s="241">
        <v>2.5000000000000001E-3</v>
      </c>
      <c r="H39" s="211"/>
      <c r="I39" s="210">
        <f t="shared" si="6"/>
        <v>1334481.4255037955</v>
      </c>
      <c r="K39" s="210"/>
      <c r="L39" s="281">
        <f>+G39</f>
        <v>2.5000000000000001E-3</v>
      </c>
      <c r="M39" s="211"/>
      <c r="N39" s="210">
        <f t="shared" si="7"/>
        <v>1334481.4255037955</v>
      </c>
    </row>
    <row r="40" spans="1:14" ht="14" x14ac:dyDescent="0.3">
      <c r="A40" s="151">
        <f>IF(B40&lt;&gt;"",COUNTA($B$13:B40),"")</f>
        <v>27</v>
      </c>
      <c r="B40" s="207" t="str">
        <f>+'G2 CAMB'!B40</f>
        <v>Renewable Energy Charge</v>
      </c>
      <c r="C40" s="233" t="str">
        <f>+'G2 CAMB'!C40</f>
        <v>RNEW</v>
      </c>
      <c r="D40" s="233"/>
      <c r="E40" s="206"/>
      <c r="F40" s="239"/>
      <c r="G40" s="241">
        <v>5.0000000000000001E-4</v>
      </c>
      <c r="H40" s="211"/>
      <c r="I40" s="210">
        <f t="shared" si="6"/>
        <v>266896.28510075912</v>
      </c>
      <c r="K40" s="210"/>
      <c r="L40" s="281">
        <f>+G40</f>
        <v>5.0000000000000001E-4</v>
      </c>
      <c r="M40" s="211"/>
      <c r="N40" s="210">
        <f t="shared" si="7"/>
        <v>266896.28510075912</v>
      </c>
    </row>
    <row r="41" spans="1:14" ht="14" x14ac:dyDescent="0.3">
      <c r="A41" s="151">
        <f>IF(B41&lt;&gt;"",COUNTA($B$13:B41),"")</f>
        <v>28</v>
      </c>
      <c r="B41" s="207" t="str">
        <f>+'G2 CAMB'!B41</f>
        <v>Basic Service Charge</v>
      </c>
      <c r="C41" s="233" t="str">
        <f>+'G2 CAMB'!C41</f>
        <v>BS</v>
      </c>
      <c r="D41" s="233"/>
      <c r="E41" s="206"/>
      <c r="F41" s="239"/>
      <c r="G41" s="241">
        <v>0.1326</v>
      </c>
      <c r="H41" s="211"/>
      <c r="I41" s="237">
        <f t="shared" si="6"/>
        <v>70780894.808721304</v>
      </c>
      <c r="K41" s="210"/>
      <c r="L41" s="281">
        <v>0.17265000000000003</v>
      </c>
      <c r="M41" s="211"/>
      <c r="N41" s="237">
        <f t="shared" si="7"/>
        <v>92159287.245292127</v>
      </c>
    </row>
    <row r="42" spans="1:14" ht="14" x14ac:dyDescent="0.3">
      <c r="A42" s="151" t="str">
        <f>IF(B42&lt;&gt;"",COUNTA($B$13:B42),"")</f>
        <v/>
      </c>
      <c r="B42" s="207"/>
      <c r="E42" s="206"/>
      <c r="F42" s="239"/>
      <c r="G42" s="241"/>
      <c r="H42" s="211"/>
      <c r="I42" s="244"/>
      <c r="K42" s="210"/>
      <c r="L42" s="241"/>
      <c r="M42" s="211"/>
      <c r="N42" s="244"/>
    </row>
    <row r="43" spans="1:14" ht="14" x14ac:dyDescent="0.3">
      <c r="A43" s="151">
        <f>IF(B43&lt;&gt;"",COUNTA($B$13:B43),"")</f>
        <v>29</v>
      </c>
      <c r="B43" s="188" t="s">
        <v>46</v>
      </c>
      <c r="E43" s="188"/>
      <c r="G43" s="245" t="s">
        <v>324</v>
      </c>
      <c r="H43" s="246"/>
      <c r="I43" s="154">
        <f>SUM(I18:I42)</f>
        <v>97446020.589960158</v>
      </c>
      <c r="K43" s="247"/>
      <c r="L43" s="245"/>
      <c r="N43" s="154">
        <f>SUM(N18:N42)</f>
        <v>118913654.35477018</v>
      </c>
    </row>
    <row r="44" spans="1:14" ht="14" x14ac:dyDescent="0.3">
      <c r="A44" s="151" t="str">
        <f>IF(B44&lt;&gt;"",COUNTA($B$13:B44),"")</f>
        <v/>
      </c>
      <c r="E44" s="188"/>
      <c r="H44" s="188"/>
      <c r="I44" s="154"/>
      <c r="K44" s="265"/>
      <c r="L44" s="278"/>
      <c r="N44" s="265"/>
    </row>
    <row r="45" spans="1:14" ht="14" x14ac:dyDescent="0.3">
      <c r="A45" s="151">
        <f>IF(B45&lt;&gt;"",COUNTA($B$13:B45),"")</f>
        <v>30</v>
      </c>
      <c r="B45" s="188" t="s">
        <v>46</v>
      </c>
      <c r="E45" s="188"/>
      <c r="G45" s="188"/>
      <c r="H45" s="188"/>
      <c r="I45" s="188"/>
      <c r="J45" s="188"/>
      <c r="L45" s="248" t="s">
        <v>325</v>
      </c>
      <c r="N45" s="160">
        <f>+N43/I43-1</f>
        <v>0.22030282647603405</v>
      </c>
    </row>
    <row r="46" spans="1:14" ht="14" x14ac:dyDescent="0.3">
      <c r="A46" s="151" t="str">
        <f>IF(B46&lt;&gt;"",COUNTA($B$13:B46),"")</f>
        <v/>
      </c>
      <c r="E46" s="188"/>
      <c r="G46" s="188"/>
      <c r="H46" s="188"/>
      <c r="I46" s="188"/>
      <c r="J46" s="188"/>
      <c r="L46" s="248"/>
      <c r="N46" s="160"/>
    </row>
    <row r="47" spans="1:14" ht="14" x14ac:dyDescent="0.3">
      <c r="A47" s="151" t="str">
        <f>IF(B47&lt;&gt;"",COUNTA($B$13:B47),"")</f>
        <v/>
      </c>
      <c r="E47" s="188"/>
      <c r="G47" s="186"/>
      <c r="H47" s="188"/>
      <c r="I47" s="188"/>
      <c r="L47" s="248"/>
      <c r="N47" s="160"/>
    </row>
    <row r="48" spans="1:14" ht="14.5" thickBot="1" x14ac:dyDescent="0.35">
      <c r="A48" s="151">
        <f>IF(B48&lt;&gt;"",COUNTA($B$13:B48),"")</f>
        <v>31</v>
      </c>
      <c r="B48" s="188" t="s">
        <v>46</v>
      </c>
      <c r="E48" s="279" t="s">
        <v>326</v>
      </c>
      <c r="F48" s="135"/>
      <c r="G48" s="280"/>
      <c r="I48" s="279" t="s">
        <v>327</v>
      </c>
      <c r="J48" s="135"/>
      <c r="L48" s="279" t="s">
        <v>328</v>
      </c>
      <c r="M48" s="135"/>
      <c r="N48" s="137"/>
    </row>
    <row r="49" spans="1:14" ht="14" x14ac:dyDescent="0.3">
      <c r="A49" s="151">
        <f>IF(B49&lt;&gt;"",COUNTA($B$13:B49),"")</f>
        <v>32</v>
      </c>
      <c r="B49" s="144" t="s">
        <v>329</v>
      </c>
      <c r="C49" s="144"/>
      <c r="D49" s="144"/>
      <c r="E49" s="249" t="s">
        <v>148</v>
      </c>
      <c r="F49" s="250"/>
      <c r="G49" s="251" t="s">
        <v>330</v>
      </c>
      <c r="I49" s="249" t="s">
        <v>148</v>
      </c>
      <c r="J49" s="251" t="s">
        <v>330</v>
      </c>
      <c r="K49" s="212"/>
      <c r="L49" s="249" t="s">
        <v>148</v>
      </c>
      <c r="M49" s="252"/>
      <c r="N49" s="251" t="s">
        <v>330</v>
      </c>
    </row>
    <row r="50" spans="1:14" ht="14" x14ac:dyDescent="0.3">
      <c r="A50" s="151">
        <f>IF(B50&lt;&gt;"",COUNTA($B$13:B50),"")</f>
        <v>33</v>
      </c>
      <c r="B50" s="130" t="str">
        <f>+'G2 CAMB'!B50</f>
        <v>Distribution</v>
      </c>
      <c r="C50" s="253" t="str">
        <f>+'G2 CAMB'!C50</f>
        <v>DIST</v>
      </c>
      <c r="D50" s="253"/>
      <c r="E50" s="154">
        <f t="shared" ref="E50:E65" si="8">SUMIF($C$13:$C$41,$C50,$I$13:$I$41)</f>
        <v>7104810.0818271982</v>
      </c>
      <c r="G50" s="254">
        <f>+E50/$E$17*100</f>
        <v>1.3310058023372224</v>
      </c>
      <c r="I50" s="154">
        <f t="shared" ref="I50:I65" si="9">SUMIF($C$13:$C$41,$C50,$N$13:$N$41)</f>
        <v>7300780.1737906449</v>
      </c>
      <c r="J50" s="254">
        <f>+I50/$E$17*100</f>
        <v>1.3677185823389117</v>
      </c>
      <c r="L50" s="154">
        <f t="shared" ref="L50:L70" si="10">I50-E50</f>
        <v>195970.0919634467</v>
      </c>
      <c r="N50" s="254">
        <f>+L50/$E$17*100</f>
        <v>3.6712780001689378E-2</v>
      </c>
    </row>
    <row r="51" spans="1:14" ht="14" x14ac:dyDescent="0.3">
      <c r="A51" s="151">
        <f>IF(B51&lt;&gt;"",COUNTA($B$13:B51),"")</f>
        <v>34</v>
      </c>
      <c r="B51" s="130" t="str">
        <f>+'G2 CAMB'!B51</f>
        <v>Revenue Decoupling</v>
      </c>
      <c r="C51" s="253" t="str">
        <f>+'G2 CAMB'!C51</f>
        <v>RDAF</v>
      </c>
      <c r="D51" s="253"/>
      <c r="E51" s="154">
        <f t="shared" si="8"/>
        <v>0</v>
      </c>
      <c r="G51" s="254">
        <f t="shared" ref="G51:G71" si="11">+E51/$E$17*100</f>
        <v>0</v>
      </c>
      <c r="I51" s="154">
        <f t="shared" si="9"/>
        <v>-64397.56013144875</v>
      </c>
      <c r="J51" s="254">
        <f t="shared" ref="J51:J71" si="12">+I51/$E$17*100</f>
        <v>-1.2064154453692992E-2</v>
      </c>
      <c r="L51" s="154">
        <f>I51-E51</f>
        <v>-64397.56013144875</v>
      </c>
      <c r="N51" s="254">
        <f t="shared" ref="N51:N71" si="13">+L51/$E$17*100</f>
        <v>-1.2064154453692992E-2</v>
      </c>
    </row>
    <row r="52" spans="1:14" ht="14" x14ac:dyDescent="0.3">
      <c r="A52" s="151">
        <f>IF(B52&lt;&gt;"",COUNTA($B$13:B52),"")</f>
        <v>35</v>
      </c>
      <c r="B52" s="130" t="str">
        <f>+'G2 CAMB'!B52</f>
        <v>Residential Assistance Adjustment Factor</v>
      </c>
      <c r="C52" s="253" t="str">
        <f>+'G2 CAMB'!C52</f>
        <v>RAAF</v>
      </c>
      <c r="D52" s="253"/>
      <c r="E52" s="154">
        <f t="shared" si="8"/>
        <v>421696.13045919937</v>
      </c>
      <c r="G52" s="254">
        <f t="shared" si="11"/>
        <v>7.9000000000000001E-2</v>
      </c>
      <c r="I52" s="154">
        <f t="shared" si="9"/>
        <v>544047.90727124433</v>
      </c>
      <c r="J52" s="254">
        <f t="shared" si="12"/>
        <v>0.10192122139614168</v>
      </c>
      <c r="L52" s="154">
        <f t="shared" si="10"/>
        <v>122351.77681204496</v>
      </c>
      <c r="N52" s="254">
        <f t="shared" si="13"/>
        <v>2.2921221396141677E-2</v>
      </c>
    </row>
    <row r="53" spans="1:14" ht="14" x14ac:dyDescent="0.3">
      <c r="A53" s="151">
        <f>IF(B53&lt;&gt;"",COUNTA($B$13:B53),"")</f>
        <v>36</v>
      </c>
      <c r="B53" s="130" t="str">
        <f>+'G2 CAMB'!B53</f>
        <v>Pension Adjustment Factor</v>
      </c>
      <c r="C53" s="253" t="str">
        <f>+'G2 CAMB'!C53</f>
        <v>PAF</v>
      </c>
      <c r="D53" s="253"/>
      <c r="E53" s="154">
        <f t="shared" si="8"/>
        <v>-16013.777106045545</v>
      </c>
      <c r="G53" s="254">
        <f t="shared" si="11"/>
        <v>-3.0000000000000001E-3</v>
      </c>
      <c r="I53" s="154">
        <f t="shared" si="9"/>
        <v>163071.12437787402</v>
      </c>
      <c r="J53" s="254">
        <f t="shared" si="12"/>
        <v>3.054953056321319E-2</v>
      </c>
      <c r="L53" s="154">
        <f t="shared" si="10"/>
        <v>179084.90148391956</v>
      </c>
      <c r="N53" s="254">
        <f t="shared" si="13"/>
        <v>3.3549530563213192E-2</v>
      </c>
    </row>
    <row r="54" spans="1:14" ht="14" x14ac:dyDescent="0.3">
      <c r="A54" s="151">
        <f>IF(B54&lt;&gt;"",COUNTA($B$13:B54),"")</f>
        <v>37</v>
      </c>
      <c r="B54" s="130" t="str">
        <f>+'G2 CAMB'!B54</f>
        <v>Net Metering Recovery Surcharge</v>
      </c>
      <c r="C54" s="253" t="str">
        <f>+'G2 CAMB'!C54</f>
        <v>NMRS</v>
      </c>
      <c r="D54" s="253"/>
      <c r="E54" s="154">
        <f t="shared" si="8"/>
        <v>832716.4095143684</v>
      </c>
      <c r="G54" s="254">
        <f t="shared" si="11"/>
        <v>0.156</v>
      </c>
      <c r="I54" s="154">
        <f t="shared" si="9"/>
        <v>709394.83086870122</v>
      </c>
      <c r="J54" s="254">
        <f t="shared" si="12"/>
        <v>0.13289709720030188</v>
      </c>
      <c r="L54" s="154">
        <f t="shared" si="10"/>
        <v>-123321.57864566718</v>
      </c>
      <c r="N54" s="254">
        <f t="shared" si="13"/>
        <v>-2.3102902799698136E-2</v>
      </c>
    </row>
    <row r="55" spans="1:14" ht="14" x14ac:dyDescent="0.3">
      <c r="A55" s="151">
        <f>IF(B55&lt;&gt;"",COUNTA($B$13:B55),"")</f>
        <v>38</v>
      </c>
      <c r="B55" s="130" t="str">
        <f>+'G2 CAMB'!B55</f>
        <v>Long Term Renewable Contract Adjustment</v>
      </c>
      <c r="C55" s="253" t="str">
        <f>+'G2 CAMB'!C55</f>
        <v>LTRCA</v>
      </c>
      <c r="D55" s="253"/>
      <c r="E55" s="154">
        <f t="shared" si="8"/>
        <v>1259750.4656755829</v>
      </c>
      <c r="G55" s="254">
        <f t="shared" si="11"/>
        <v>0.23600000000000002</v>
      </c>
      <c r="I55" s="154">
        <f t="shared" si="9"/>
        <v>926510.6383896966</v>
      </c>
      <c r="J55" s="254">
        <f t="shared" si="12"/>
        <v>0.17357128782064518</v>
      </c>
      <c r="L55" s="154">
        <f t="shared" si="10"/>
        <v>-333239.82728588628</v>
      </c>
      <c r="N55" s="254">
        <f t="shared" si="13"/>
        <v>-6.242871217935482E-2</v>
      </c>
    </row>
    <row r="56" spans="1:14" ht="14" x14ac:dyDescent="0.3">
      <c r="A56" s="151">
        <f>IF(B56&lt;&gt;"",COUNTA($B$13:B56),"")</f>
        <v>39</v>
      </c>
      <c r="B56" s="130" t="str">
        <f>+'G2 CAMB'!B56</f>
        <v>AG Consulting Expense</v>
      </c>
      <c r="C56" s="253" t="str">
        <f>+'G2 CAMB'!C56</f>
        <v>AGCE</v>
      </c>
      <c r="D56" s="253"/>
      <c r="E56" s="154">
        <f t="shared" si="8"/>
        <v>5337.9257020151827</v>
      </c>
      <c r="G56" s="254">
        <f t="shared" si="11"/>
        <v>1E-3</v>
      </c>
      <c r="I56" s="154">
        <f t="shared" si="9"/>
        <v>1142.2976583474197</v>
      </c>
      <c r="J56" s="254">
        <f t="shared" si="12"/>
        <v>2.1399654512167107E-4</v>
      </c>
      <c r="L56" s="154">
        <f t="shared" si="10"/>
        <v>-4195.6280436677625</v>
      </c>
      <c r="N56" s="254">
        <f t="shared" si="13"/>
        <v>-7.8600345487832887E-4</v>
      </c>
    </row>
    <row r="57" spans="1:14" ht="14" x14ac:dyDescent="0.3">
      <c r="A57" s="151">
        <f>IF(B57&lt;&gt;"",COUNTA($B$13:B57),"")</f>
        <v>40</v>
      </c>
      <c r="B57" s="130" t="str">
        <f>+'G2 CAMB'!B57</f>
        <v>Storm Cost Recovery Adjustment Factor</v>
      </c>
      <c r="C57" s="253" t="str">
        <f>+'G2 CAMB'!C57</f>
        <v>SCRA</v>
      </c>
      <c r="D57" s="253"/>
      <c r="E57" s="154">
        <f t="shared" si="8"/>
        <v>261558.35939874389</v>
      </c>
      <c r="G57" s="254">
        <f t="shared" si="11"/>
        <v>4.9000000000000002E-2</v>
      </c>
      <c r="I57" s="154">
        <f t="shared" si="9"/>
        <v>412457.98834784556</v>
      </c>
      <c r="J57" s="254">
        <f t="shared" si="12"/>
        <v>7.7269338573246499E-2</v>
      </c>
      <c r="L57" s="154">
        <f>I57-E57</f>
        <v>150899.62894910167</v>
      </c>
      <c r="N57" s="254">
        <f t="shared" si="13"/>
        <v>2.82693385732465E-2</v>
      </c>
    </row>
    <row r="58" spans="1:14" ht="14" x14ac:dyDescent="0.3">
      <c r="A58" s="151">
        <f>IF(B58&lt;&gt;"",COUNTA($B$13:B58),"")</f>
        <v>41</v>
      </c>
      <c r="B58" s="130" t="str">
        <f>+'G2 CAMB'!B58</f>
        <v>Storm Reserve Adjustment</v>
      </c>
      <c r="C58" s="253" t="str">
        <f>+'G2 CAMB'!C58</f>
        <v>SRA</v>
      </c>
      <c r="D58" s="253"/>
      <c r="E58" s="154">
        <f t="shared" si="8"/>
        <v>0</v>
      </c>
      <c r="G58" s="254">
        <f t="shared" si="11"/>
        <v>0</v>
      </c>
      <c r="I58" s="154">
        <f t="shared" si="9"/>
        <v>0</v>
      </c>
      <c r="J58" s="254">
        <f t="shared" si="12"/>
        <v>0</v>
      </c>
      <c r="L58" s="154">
        <f>I58-E58</f>
        <v>0</v>
      </c>
      <c r="N58" s="254">
        <f t="shared" si="13"/>
        <v>0</v>
      </c>
    </row>
    <row r="59" spans="1:14" ht="14" x14ac:dyDescent="0.3">
      <c r="A59" s="151">
        <f>IF(B59&lt;&gt;"",COUNTA($B$13:B59),"")</f>
        <v>42</v>
      </c>
      <c r="B59" s="130" t="str">
        <f>+'G2 CAMB'!B59</f>
        <v>Basic Service Cost True Up Factor</v>
      </c>
      <c r="C59" s="253" t="str">
        <f>+'G2 CAMB'!C59</f>
        <v>BSTF</v>
      </c>
      <c r="D59" s="253"/>
      <c r="E59" s="154">
        <f t="shared" si="8"/>
        <v>224192.87948463764</v>
      </c>
      <c r="G59" s="254">
        <f t="shared" si="11"/>
        <v>4.2000000000000003E-2</v>
      </c>
      <c r="I59" s="154">
        <f t="shared" si="9"/>
        <v>-26996.990324252161</v>
      </c>
      <c r="J59" s="254">
        <f t="shared" si="12"/>
        <v>-5.0575807591439906E-3</v>
      </c>
      <c r="L59" s="154">
        <f t="shared" ref="L59:L65" si="14">I59-E59</f>
        <v>-251189.86980888981</v>
      </c>
      <c r="N59" s="254">
        <f t="shared" si="13"/>
        <v>-4.7057580759143992E-2</v>
      </c>
    </row>
    <row r="60" spans="1:14" ht="14" x14ac:dyDescent="0.3">
      <c r="A60" s="151">
        <f>IF(B60&lt;&gt;"",COUNTA($B$13:B60),"")</f>
        <v>43</v>
      </c>
      <c r="B60" s="130" t="str">
        <f>+'G2 CAMB'!B60</f>
        <v>Solar Program Cost Adjustment Factor</v>
      </c>
      <c r="C60" s="253" t="str">
        <f>+'G2 CAMB'!C60</f>
        <v>SPCA</v>
      </c>
      <c r="D60" s="253"/>
      <c r="E60" s="154">
        <f t="shared" si="8"/>
        <v>0</v>
      </c>
      <c r="G60" s="254">
        <f t="shared" si="11"/>
        <v>0</v>
      </c>
      <c r="I60" s="154">
        <f t="shared" si="9"/>
        <v>4804.5063601020529</v>
      </c>
      <c r="J60" s="254">
        <f t="shared" si="12"/>
        <v>9.0006992009803517E-4</v>
      </c>
      <c r="L60" s="154">
        <f t="shared" si="14"/>
        <v>4804.5063601020529</v>
      </c>
      <c r="N60" s="254">
        <f t="shared" si="13"/>
        <v>9.0006992009803517E-4</v>
      </c>
    </row>
    <row r="61" spans="1:14" ht="14" x14ac:dyDescent="0.3">
      <c r="A61" s="151">
        <f>IF(B61&lt;&gt;"",COUNTA($B$13:B61),"")</f>
        <v>44</v>
      </c>
      <c r="B61" s="130" t="str">
        <f>+'G2 CAMB'!B61</f>
        <v>Solar Expansion Cost Recovery Factor</v>
      </c>
      <c r="C61" s="253" t="str">
        <f>+'G2 CAMB'!C61</f>
        <v>SECRF</v>
      </c>
      <c r="D61" s="253"/>
      <c r="E61" s="154">
        <f t="shared" si="8"/>
        <v>0</v>
      </c>
      <c r="G61" s="254">
        <f t="shared" si="11"/>
        <v>0</v>
      </c>
      <c r="I61" s="154">
        <f t="shared" si="9"/>
        <v>84740.500798629117</v>
      </c>
      <c r="J61" s="254">
        <f t="shared" si="12"/>
        <v>1.5875174277273613E-2</v>
      </c>
      <c r="L61" s="154">
        <f t="shared" si="14"/>
        <v>84740.500798629117</v>
      </c>
      <c r="N61" s="254">
        <f t="shared" si="13"/>
        <v>1.5875174277273613E-2</v>
      </c>
    </row>
    <row r="62" spans="1:14" ht="14" x14ac:dyDescent="0.3">
      <c r="A62" s="151">
        <f>IF(B62&lt;&gt;"",COUNTA($B$13:B62),"")</f>
        <v>45</v>
      </c>
      <c r="B62" s="130" t="str">
        <f>+'G2 CAMB'!B62</f>
        <v>Vegetation Management</v>
      </c>
      <c r="C62" s="253" t="str">
        <f>+'G2 CAMB'!C62</f>
        <v>RTWF</v>
      </c>
      <c r="D62" s="253"/>
      <c r="E62" s="154">
        <f t="shared" si="8"/>
        <v>0</v>
      </c>
      <c r="G62" s="254">
        <f t="shared" si="11"/>
        <v>0</v>
      </c>
      <c r="I62" s="154">
        <f t="shared" si="9"/>
        <v>291952.42810618761</v>
      </c>
      <c r="J62" s="254">
        <f t="shared" si="12"/>
        <v>5.4693984967975354E-2</v>
      </c>
      <c r="L62" s="154">
        <f t="shared" si="14"/>
        <v>291952.42810618761</v>
      </c>
      <c r="N62" s="254">
        <f t="shared" si="13"/>
        <v>5.4693984967975354E-2</v>
      </c>
    </row>
    <row r="63" spans="1:14" ht="14" x14ac:dyDescent="0.3">
      <c r="A63" s="151">
        <f>IF(B63&lt;&gt;"",COUNTA($B$13:B63),"")</f>
        <v>46</v>
      </c>
      <c r="B63" s="130" t="str">
        <f>+'G2 CAMB'!B63</f>
        <v>Solar Massachusetts Renewable Target</v>
      </c>
      <c r="C63" s="253" t="str">
        <f>+'G2 CAMB'!C63</f>
        <v>SMART</v>
      </c>
      <c r="D63" s="253"/>
      <c r="E63" s="154">
        <f t="shared" si="8"/>
        <v>0</v>
      </c>
      <c r="G63" s="254">
        <f t="shared" si="11"/>
        <v>0</v>
      </c>
      <c r="I63" s="154">
        <f t="shared" si="9"/>
        <v>99285.38818974387</v>
      </c>
      <c r="J63" s="254">
        <f t="shared" si="12"/>
        <v>1.8599994404617039E-2</v>
      </c>
      <c r="L63" s="154">
        <f t="shared" si="14"/>
        <v>99285.38818974387</v>
      </c>
      <c r="N63" s="254">
        <f t="shared" si="13"/>
        <v>1.8599994404617039E-2</v>
      </c>
    </row>
    <row r="64" spans="1:14" ht="14" x14ac:dyDescent="0.3">
      <c r="A64" s="151">
        <f>IF(B64&lt;&gt;"",COUNTA($B$13:B64),"")</f>
        <v>47</v>
      </c>
      <c r="B64" s="130" t="str">
        <f>+'G2 CAMB'!B64</f>
        <v>Tax Act Credit Factor</v>
      </c>
      <c r="C64" s="253" t="str">
        <f>+'G2 CAMB'!C64</f>
        <v>TACF</v>
      </c>
      <c r="D64" s="253"/>
      <c r="E64" s="154">
        <f t="shared" si="8"/>
        <v>0</v>
      </c>
      <c r="G64" s="254">
        <f t="shared" si="11"/>
        <v>0</v>
      </c>
      <c r="I64" s="154">
        <f t="shared" si="9"/>
        <v>-150301.49127018638</v>
      </c>
      <c r="J64" s="254">
        <f t="shared" si="12"/>
        <v>-2.8157284244972599E-2</v>
      </c>
      <c r="L64" s="154">
        <f t="shared" si="14"/>
        <v>-150301.49127018638</v>
      </c>
      <c r="N64" s="254">
        <f t="shared" si="13"/>
        <v>-2.8157284244972599E-2</v>
      </c>
    </row>
    <row r="65" spans="1:14" ht="14" x14ac:dyDescent="0.3">
      <c r="A65" s="151">
        <f>IF(B65&lt;&gt;"",COUNTA($B$13:B65),"")</f>
        <v>48</v>
      </c>
      <c r="B65" s="130" t="str">
        <f>+'G2 CAMB'!B65</f>
        <v>Transition</v>
      </c>
      <c r="C65" s="253" t="str">
        <f>+'G2 CAMB'!C65</f>
        <v>TRNSN</v>
      </c>
      <c r="D65" s="253"/>
      <c r="E65" s="154">
        <f t="shared" si="8"/>
        <v>-325613.46782292606</v>
      </c>
      <c r="G65" s="254">
        <f t="shared" si="11"/>
        <v>-6.0999999999999999E-2</v>
      </c>
      <c r="I65" s="154">
        <f t="shared" si="9"/>
        <v>-278155.68603467924</v>
      </c>
      <c r="J65" s="254">
        <f t="shared" si="12"/>
        <v>-5.2109321403568713E-2</v>
      </c>
      <c r="L65" s="154">
        <f t="shared" si="14"/>
        <v>47457.781788246823</v>
      </c>
      <c r="N65" s="254">
        <f t="shared" si="13"/>
        <v>8.8906785964312854E-3</v>
      </c>
    </row>
    <row r="66" spans="1:14" ht="14" x14ac:dyDescent="0.3">
      <c r="A66" s="151">
        <f>IF(B66&lt;&gt;"",COUNTA($B$13:B66),"")</f>
        <v>49</v>
      </c>
      <c r="B66" s="130" t="str">
        <f>+'G2 CAMB'!B66</f>
        <v>Transmission</v>
      </c>
      <c r="C66" s="253" t="str">
        <f>+'G2 CAMB'!C66</f>
        <v>TRNSM</v>
      </c>
      <c r="D66" s="253"/>
      <c r="E66" s="154">
        <f>SUM(SUMIF($C$13:$C$41,{"TMKW","TMKWH"},$I$13:$I$41))</f>
        <v>10779427.919596691</v>
      </c>
      <c r="G66" s="254">
        <f t="shared" si="11"/>
        <v>2.0194038885792702</v>
      </c>
      <c r="I66" s="154">
        <f>SUM(SUMIF($C$13:$C$41,{"TMKW","TMKWH"},$N$13:$N$41))</f>
        <v>10618768.198570205</v>
      </c>
      <c r="J66" s="254">
        <f t="shared" si="12"/>
        <v>1.9893061071572036</v>
      </c>
      <c r="L66" s="154">
        <f t="shared" si="10"/>
        <v>-160659.72102648579</v>
      </c>
      <c r="N66" s="254">
        <f t="shared" si="13"/>
        <v>-3.0097781422066865E-2</v>
      </c>
    </row>
    <row r="67" spans="1:14" ht="14" x14ac:dyDescent="0.3">
      <c r="A67" s="151">
        <f>IF(B67&lt;&gt;"",COUNTA($B$13:B67),"")</f>
        <v>50</v>
      </c>
      <c r="B67" s="130" t="str">
        <f>+'G2 CAMB'!B67</f>
        <v>Energy Efficiency Reconciliation Factor</v>
      </c>
      <c r="C67" s="253" t="str">
        <f>+'G2 CAMB'!C67</f>
        <v>EERF</v>
      </c>
      <c r="D67" s="253"/>
      <c r="E67" s="154">
        <f>SUMIF($C$13:$C$41,$C67,$I$13:$I$41)</f>
        <v>4515885.1439048443</v>
      </c>
      <c r="G67" s="254">
        <f t="shared" si="11"/>
        <v>0.84600000000000009</v>
      </c>
      <c r="I67" s="154">
        <f>SUMIF($C$13:$C$41,$C67,$N$13:$N$41)</f>
        <v>4515885.1439048443</v>
      </c>
      <c r="J67" s="254">
        <f t="shared" si="12"/>
        <v>0.84600000000000009</v>
      </c>
      <c r="L67" s="154">
        <f t="shared" si="10"/>
        <v>0</v>
      </c>
      <c r="N67" s="254">
        <f t="shared" si="13"/>
        <v>0</v>
      </c>
    </row>
    <row r="68" spans="1:14" ht="14" x14ac:dyDescent="0.3">
      <c r="A68" s="151">
        <f>IF(B68&lt;&gt;"",COUNTA($B$13:B68),"")</f>
        <v>51</v>
      </c>
      <c r="B68" s="130" t="str">
        <f>+'G2 CAMB'!B68</f>
        <v>System Benefits Charge</v>
      </c>
      <c r="C68" s="253" t="str">
        <f>+'G2 CAMB'!C68</f>
        <v>SBC</v>
      </c>
      <c r="D68" s="253"/>
      <c r="E68" s="154">
        <f>SUMIF($C$13:$C$41,$C68,$I$13:$I$41)</f>
        <v>1334481.4255037955</v>
      </c>
      <c r="G68" s="254">
        <f t="shared" si="11"/>
        <v>0.25</v>
      </c>
      <c r="I68" s="154">
        <f>SUMIF($C$13:$C$41,$C68,$N$13:$N$41)</f>
        <v>1334481.4255037955</v>
      </c>
      <c r="J68" s="254">
        <f t="shared" si="12"/>
        <v>0.25</v>
      </c>
      <c r="L68" s="154">
        <f t="shared" si="10"/>
        <v>0</v>
      </c>
      <c r="N68" s="254">
        <f t="shared" si="13"/>
        <v>0</v>
      </c>
    </row>
    <row r="69" spans="1:14" ht="14" x14ac:dyDescent="0.3">
      <c r="A69" s="151">
        <f>IF(B69&lt;&gt;"",COUNTA($B$13:B69),"")</f>
        <v>52</v>
      </c>
      <c r="B69" s="130" t="str">
        <f>+'G2 CAMB'!B69</f>
        <v>Renewable Energy Charge</v>
      </c>
      <c r="C69" s="253" t="str">
        <f>+'G2 CAMB'!C69</f>
        <v>RNEW</v>
      </c>
      <c r="D69" s="253"/>
      <c r="E69" s="154">
        <f>SUMIF($C$13:$C$41,$C69,$I$13:$I$41)</f>
        <v>266896.28510075912</v>
      </c>
      <c r="G69" s="254">
        <f t="shared" si="11"/>
        <v>0.05</v>
      </c>
      <c r="I69" s="154">
        <f>SUMIF($C$13:$C$41,$C69,$N$13:$N$41)</f>
        <v>266896.28510075912</v>
      </c>
      <c r="J69" s="254">
        <f t="shared" si="12"/>
        <v>0.05</v>
      </c>
      <c r="L69" s="154">
        <f>I69-E69</f>
        <v>0</v>
      </c>
      <c r="N69" s="254">
        <f t="shared" si="13"/>
        <v>0</v>
      </c>
    </row>
    <row r="70" spans="1:14" ht="14" x14ac:dyDescent="0.3">
      <c r="A70" s="151">
        <f>IF(B70&lt;&gt;"",COUNTA($B$13:B70),"")</f>
        <v>53</v>
      </c>
      <c r="B70" s="130" t="str">
        <f>+'G2 CAMB'!B70</f>
        <v>Basic Service Charge</v>
      </c>
      <c r="C70" s="253" t="str">
        <f>+'G2 CAMB'!C70</f>
        <v>BS</v>
      </c>
      <c r="D70" s="253"/>
      <c r="E70" s="255">
        <f>SUMIF($C$13:$C$41,$C70,$I$13:$I$41)</f>
        <v>70780894.808721304</v>
      </c>
      <c r="F70" s="256"/>
      <c r="G70" s="257">
        <f t="shared" si="11"/>
        <v>13.26</v>
      </c>
      <c r="H70" s="258"/>
      <c r="I70" s="255">
        <f>SUMIF($C$13:$C$41,$C70,$N$13:$N$41)</f>
        <v>92159287.245292127</v>
      </c>
      <c r="J70" s="257">
        <f t="shared" si="12"/>
        <v>17.265000000000004</v>
      </c>
      <c r="K70" s="255"/>
      <c r="L70" s="255">
        <f t="shared" si="10"/>
        <v>21378392.436570823</v>
      </c>
      <c r="M70" s="259"/>
      <c r="N70" s="257">
        <f t="shared" si="13"/>
        <v>4.0050000000000034</v>
      </c>
    </row>
    <row r="71" spans="1:14" ht="14" x14ac:dyDescent="0.3">
      <c r="A71" s="151">
        <f>IF(B71&lt;&gt;"",COUNTA($B$13:B71),"")</f>
        <v>54</v>
      </c>
      <c r="B71" s="130" t="str">
        <f>+'G2 CAMB'!B71</f>
        <v>Total</v>
      </c>
      <c r="C71" s="130"/>
      <c r="D71" s="130"/>
      <c r="E71" s="154">
        <f>SUM(E50:E70)</f>
        <v>97446020.589960158</v>
      </c>
      <c r="G71" s="254">
        <f t="shared" si="11"/>
        <v>18.25540969091649</v>
      </c>
      <c r="I71" s="154">
        <f>SUM(I50:I70)</f>
        <v>118913654.35477018</v>
      </c>
      <c r="J71" s="254">
        <f t="shared" si="12"/>
        <v>22.277128044303375</v>
      </c>
      <c r="L71" s="154">
        <f>SUM(L50:L70)</f>
        <v>21467633.764810015</v>
      </c>
      <c r="N71" s="254">
        <f t="shared" si="13"/>
        <v>4.0217183533868823</v>
      </c>
    </row>
    <row r="72" spans="1:14" ht="14" x14ac:dyDescent="0.3">
      <c r="A72" s="151" t="str">
        <f>IF(B72&lt;&gt;"",COUNTA($B$10:B72),"")</f>
        <v/>
      </c>
    </row>
    <row r="73" spans="1:14" ht="14" x14ac:dyDescent="0.3">
      <c r="A73" s="151"/>
      <c r="B73" s="256" t="str">
        <f>+'G0 CAMB'!B69</f>
        <v>Notes:</v>
      </c>
      <c r="E73" s="188"/>
      <c r="G73" s="188"/>
      <c r="H73" s="188"/>
      <c r="I73" s="188"/>
      <c r="J73" s="188"/>
      <c r="K73" s="188"/>
      <c r="L73" s="188"/>
      <c r="M73" s="188"/>
      <c r="N73" s="188"/>
    </row>
    <row r="74" spans="1:14" ht="14" x14ac:dyDescent="0.3">
      <c r="A74" s="151"/>
      <c r="B74" s="130" t="str">
        <f>+'G2 CAMB'!B74</f>
        <v>Col. (a): Company's forecast</v>
      </c>
    </row>
    <row r="75" spans="1:14" ht="14" x14ac:dyDescent="0.3">
      <c r="A75" s="151"/>
      <c r="B75" s="130" t="str">
        <f>+'G2 CAMB'!B75</f>
        <v>Col. (b): Current rates</v>
      </c>
    </row>
    <row r="76" spans="1:14" ht="14" x14ac:dyDescent="0.3">
      <c r="A76" s="151"/>
      <c r="B76" s="130" t="str">
        <f>+'G2 CAMB'!B76</f>
        <v>Col. (c): Col. (a) x Col. (b)</v>
      </c>
    </row>
    <row r="77" spans="1:14" ht="14" x14ac:dyDescent="0.3">
      <c r="A77" s="151"/>
      <c r="B77" s="130" t="str">
        <f>+'G2 CAMB'!B77</f>
        <v>Col. (e): Proposed rates</v>
      </c>
    </row>
    <row r="78" spans="1:14" ht="14" x14ac:dyDescent="0.3">
      <c r="A78" s="151"/>
      <c r="B78" s="130" t="str">
        <f>+'G2 CAMB'!B78</f>
        <v>Col. (f): Col. (a), Line 1 through Line 5 (as appropriate) x Col. (e)</v>
      </c>
    </row>
  </sheetData>
  <mergeCells count="6">
    <mergeCell ref="A4:N4"/>
    <mergeCell ref="A5:N5"/>
    <mergeCell ref="A7:N7"/>
    <mergeCell ref="A8:N8"/>
    <mergeCell ref="G10:I10"/>
    <mergeCell ref="L10:N10"/>
  </mergeCells>
  <pageMargins left="0.7" right="0.7" top="0.75" bottom="0.75" header="0.3" footer="0.3"/>
  <pageSetup scale="63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412C6-F0B2-45CC-8BF7-20536AD7B785}">
  <sheetPr>
    <tabColor theme="9" tint="0.59999389629810485"/>
    <pageSetUpPr fitToPage="1"/>
  </sheetPr>
  <dimension ref="A3:N75"/>
  <sheetViews>
    <sheetView workbookViewId="0"/>
  </sheetViews>
  <sheetFormatPr defaultRowHeight="12.5" x14ac:dyDescent="0.25"/>
  <cols>
    <col min="1" max="1" width="3.26953125" bestFit="1" customWidth="1"/>
    <col min="2" max="2" width="41.1796875" customWidth="1"/>
    <col min="3" max="3" width="8.26953125" bestFit="1" customWidth="1"/>
    <col min="4" max="4" width="1.26953125" customWidth="1"/>
    <col min="5" max="5" width="13.7265625" bestFit="1" customWidth="1"/>
    <col min="6" max="6" width="1.26953125" customWidth="1"/>
    <col min="7" max="7" width="12.7265625" customWidth="1"/>
    <col min="8" max="8" width="1.26953125" customWidth="1"/>
    <col min="9" max="9" width="12.1796875" customWidth="1"/>
    <col min="11" max="11" width="1.26953125" customWidth="1"/>
    <col min="12" max="12" width="12.7265625" customWidth="1"/>
    <col min="13" max="13" width="1.26953125" customWidth="1"/>
    <col min="14" max="14" width="12.26953125" customWidth="1"/>
  </cols>
  <sheetData>
    <row r="3" spans="1:14" ht="14" x14ac:dyDescent="0.3">
      <c r="A3" s="268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</row>
    <row r="4" spans="1:14" ht="14" x14ac:dyDescent="0.3">
      <c r="A4" s="748" t="str">
        <f>'R1 EMA'!A4:N4</f>
        <v>Eastern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4" ht="14" x14ac:dyDescent="0.3">
      <c r="A5" s="748" t="str">
        <f>'R1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4" ht="14" x14ac:dyDescent="0.3">
      <c r="A6" s="205"/>
      <c r="C6" s="205"/>
      <c r="D6" s="205"/>
      <c r="E6" s="206"/>
      <c r="F6" s="207"/>
      <c r="G6" s="208"/>
      <c r="H6" s="209"/>
      <c r="I6" s="210"/>
      <c r="J6" s="210"/>
      <c r="K6" s="210"/>
      <c r="L6" s="211"/>
      <c r="M6" s="211"/>
      <c r="N6" s="212"/>
    </row>
    <row r="7" spans="1:14" ht="14" x14ac:dyDescent="0.3">
      <c r="A7" s="748" t="s">
        <v>424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4" ht="14" x14ac:dyDescent="0.3">
      <c r="A8" s="748" t="s">
        <v>438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4" ht="14" x14ac:dyDescent="0.3">
      <c r="B9" s="207"/>
      <c r="C9" s="207"/>
      <c r="D9" s="207"/>
      <c r="E9" s="213"/>
      <c r="F9" s="207"/>
      <c r="I9" s="210"/>
      <c r="J9" s="210"/>
      <c r="K9" s="210"/>
      <c r="L9" s="214"/>
      <c r="M9" s="214"/>
      <c r="N9" s="215"/>
    </row>
    <row r="10" spans="1:14" ht="14.5" thickBot="1" x14ac:dyDescent="0.35">
      <c r="A10" s="151"/>
      <c r="B10" s="216" t="s">
        <v>46</v>
      </c>
      <c r="C10" s="216"/>
      <c r="D10" s="216"/>
      <c r="E10" s="217" t="s">
        <v>144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4" ht="14" x14ac:dyDescent="0.3">
      <c r="A11" s="151"/>
      <c r="B11" s="219" t="s">
        <v>293</v>
      </c>
      <c r="C11" s="220" t="s">
        <v>294</v>
      </c>
      <c r="D11" s="220"/>
      <c r="E11" s="221" t="s">
        <v>295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4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4" ht="14" x14ac:dyDescent="0.3">
      <c r="A13" s="151">
        <f>IF(B13&lt;&gt;"",COUNTA($B$13:B13),"")</f>
        <v>1</v>
      </c>
      <c r="B13" s="232" t="s">
        <v>296</v>
      </c>
      <c r="C13" s="233" t="s">
        <v>297</v>
      </c>
      <c r="D13" s="233"/>
      <c r="E13" s="234">
        <v>446.68635230484699</v>
      </c>
      <c r="F13" s="207"/>
      <c r="G13" s="209">
        <v>12</v>
      </c>
      <c r="H13" s="209"/>
      <c r="I13" s="210">
        <f>G13*E13</f>
        <v>5360.2362276581644</v>
      </c>
      <c r="J13" s="235"/>
      <c r="K13" s="210"/>
      <c r="L13" s="209">
        <v>12</v>
      </c>
      <c r="M13" s="211"/>
      <c r="N13" s="210">
        <f>L13*E13</f>
        <v>5360.2362276581644</v>
      </c>
    </row>
    <row r="14" spans="1:14" ht="14" x14ac:dyDescent="0.3">
      <c r="A14" s="151">
        <f>IF(B14&lt;&gt;"",COUNTA($B$13:B14),"")</f>
        <v>2</v>
      </c>
      <c r="B14" s="232" t="s">
        <v>422</v>
      </c>
      <c r="C14" s="233" t="s">
        <v>364</v>
      </c>
      <c r="D14" s="233"/>
      <c r="E14" s="234">
        <v>13760.423066357538</v>
      </c>
      <c r="F14" s="207"/>
      <c r="G14" s="209">
        <v>4.1399999999999997</v>
      </c>
      <c r="H14" s="209"/>
      <c r="I14" s="210">
        <f>G14*E14</f>
        <v>56968.151494720201</v>
      </c>
      <c r="J14" s="235"/>
      <c r="K14" s="210"/>
      <c r="L14" s="209">
        <v>4.28</v>
      </c>
      <c r="M14" s="211"/>
      <c r="N14" s="210">
        <f t="shared" ref="N14:N15" si="0">L14*E14</f>
        <v>58894.610724010265</v>
      </c>
    </row>
    <row r="15" spans="1:14" ht="14" x14ac:dyDescent="0.3">
      <c r="A15" s="151">
        <f>IF(B15&lt;&gt;"",COUNTA($B$13:B15),"")</f>
        <v>3</v>
      </c>
      <c r="B15" s="207" t="s">
        <v>298</v>
      </c>
      <c r="C15" s="233" t="s">
        <v>299</v>
      </c>
      <c r="D15" s="233"/>
      <c r="E15" s="234">
        <v>5468456.2095517535</v>
      </c>
      <c r="F15" s="207"/>
      <c r="G15" s="236">
        <v>1.038E-2</v>
      </c>
      <c r="H15" s="209"/>
      <c r="I15" s="237">
        <f t="shared" ref="I15" si="1">G15*E15</f>
        <v>56762.575455147206</v>
      </c>
      <c r="J15" s="235"/>
      <c r="K15" s="210"/>
      <c r="L15" s="236">
        <v>1.0749999999999999E-2</v>
      </c>
      <c r="M15" s="211"/>
      <c r="N15" s="237">
        <f t="shared" si="0"/>
        <v>58785.904252681343</v>
      </c>
    </row>
    <row r="16" spans="1:14" ht="14" x14ac:dyDescent="0.3">
      <c r="A16" s="151">
        <f>IF(B16&lt;&gt;"",COUNTA($B$13:B16),"")</f>
        <v>4</v>
      </c>
      <c r="B16" s="207" t="s">
        <v>300</v>
      </c>
      <c r="C16" s="233" t="s">
        <v>301</v>
      </c>
      <c r="D16" s="233"/>
      <c r="E16" s="234"/>
      <c r="F16" s="207"/>
      <c r="G16" s="209"/>
      <c r="H16" s="209"/>
      <c r="I16" s="210">
        <f>SUM(I13:I15)</f>
        <v>119090.96317752557</v>
      </c>
      <c r="J16" s="235"/>
      <c r="K16" s="210"/>
      <c r="L16" s="238"/>
      <c r="M16" s="211"/>
      <c r="N16" s="210">
        <f>SUM(N13:N15)</f>
        <v>123040.75120434977</v>
      </c>
    </row>
    <row r="17" spans="1:14" ht="14" x14ac:dyDescent="0.3">
      <c r="A17" s="151" t="str">
        <f>IF(B17&lt;&gt;"",COUNTA($B$13:B17),"")</f>
        <v/>
      </c>
      <c r="B17" s="207"/>
      <c r="C17" s="233"/>
      <c r="D17" s="233"/>
      <c r="E17" s="234"/>
      <c r="F17" s="207"/>
      <c r="G17" s="209"/>
      <c r="H17" s="209"/>
      <c r="I17" s="210"/>
      <c r="J17" s="235"/>
      <c r="K17" s="210"/>
      <c r="L17" s="238"/>
      <c r="M17" s="211"/>
      <c r="N17" s="210"/>
    </row>
    <row r="18" spans="1:14" ht="14" x14ac:dyDescent="0.3">
      <c r="A18" s="151">
        <f>IF(B18&lt;&gt;"",COUNTA($B$13:B18),"")</f>
        <v>5</v>
      </c>
      <c r="B18" s="228" t="s">
        <v>302</v>
      </c>
      <c r="F18" s="239"/>
      <c r="G18" s="240"/>
      <c r="H18" s="211"/>
      <c r="I18" s="210"/>
      <c r="K18" s="210"/>
      <c r="L18" s="241"/>
      <c r="M18" s="211"/>
      <c r="N18" s="210"/>
    </row>
    <row r="19" spans="1:14" ht="14" x14ac:dyDescent="0.3">
      <c r="A19" s="151">
        <f>IF(B19&lt;&gt;"",COUNTA($B$13:B19),"")</f>
        <v>6</v>
      </c>
      <c r="B19" s="207" t="str">
        <f>+'G1 CAMB'!B21</f>
        <v>Revenue Decoupling</v>
      </c>
      <c r="C19" s="233" t="str">
        <f>+'G1 CAMB'!C21</f>
        <v>RDAF</v>
      </c>
      <c r="D19" s="233"/>
      <c r="E19" s="242"/>
      <c r="F19" s="239"/>
      <c r="G19" s="236">
        <v>0</v>
      </c>
      <c r="H19" s="211"/>
      <c r="I19" s="210">
        <f>G19*$E$15</f>
        <v>0</v>
      </c>
      <c r="K19" s="210"/>
      <c r="L19" s="236">
        <v>-2.0615447021525064E-4</v>
      </c>
      <c r="M19" s="211"/>
      <c r="N19" s="210">
        <f>$E$15*L19</f>
        <v>-1127.3466927754394</v>
      </c>
    </row>
    <row r="20" spans="1:14" ht="14" x14ac:dyDescent="0.3">
      <c r="A20" s="151">
        <f>IF(B20&lt;&gt;"",COUNTA($B$13:B20),"")</f>
        <v>7</v>
      </c>
      <c r="B20" s="207" t="str">
        <f>+'G1 CAMB'!B22</f>
        <v>Residential Assistance Adjustment Factor</v>
      </c>
      <c r="C20" s="233" t="str">
        <f>+'G1 CAMB'!C22</f>
        <v>RAAF</v>
      </c>
      <c r="D20" s="243"/>
      <c r="E20" s="206"/>
      <c r="F20" s="239"/>
      <c r="G20" s="236">
        <v>1.3500000000000001E-3</v>
      </c>
      <c r="H20" s="211"/>
      <c r="I20" s="210">
        <f t="shared" ref="I20:I33" si="2">G20*$E$15</f>
        <v>7382.4158828948675</v>
      </c>
      <c r="K20" s="210"/>
      <c r="L20" s="236">
        <v>1.7416484082049329E-3</v>
      </c>
      <c r="M20" s="211"/>
      <c r="N20" s="210">
        <f t="shared" ref="N20:N33" si="3">$E$15*L20</f>
        <v>9524.1280527041927</v>
      </c>
    </row>
    <row r="21" spans="1:14" ht="14" x14ac:dyDescent="0.3">
      <c r="A21" s="151">
        <f>IF(B21&lt;&gt;"",COUNTA($B$13:B21),"")</f>
        <v>8</v>
      </c>
      <c r="B21" s="207" t="str">
        <f>+'G1 CAMB'!B23</f>
        <v>Pension Adjustment Factor</v>
      </c>
      <c r="C21" s="233" t="str">
        <f>+'G1 CAMB'!C23</f>
        <v>PAF</v>
      </c>
      <c r="D21" s="243"/>
      <c r="E21" s="206"/>
      <c r="F21" s="239"/>
      <c r="G21" s="236">
        <v>-8.0000000000000007E-5</v>
      </c>
      <c r="H21" s="211"/>
      <c r="I21" s="210">
        <f t="shared" si="2"/>
        <v>-437.47649676414034</v>
      </c>
      <c r="K21" s="210"/>
      <c r="L21" s="236">
        <v>7.3016792512680686E-4</v>
      </c>
      <c r="M21" s="211"/>
      <c r="N21" s="210">
        <f t="shared" si="3"/>
        <v>3992.8913241752066</v>
      </c>
    </row>
    <row r="22" spans="1:14" ht="14" x14ac:dyDescent="0.3">
      <c r="A22" s="151">
        <f>IF(B22&lt;&gt;"",COUNTA($B$13:B22),"")</f>
        <v>9</v>
      </c>
      <c r="B22" s="207" t="str">
        <f>+'G1 CAMB'!B24</f>
        <v>Net Metering Recovery Surcharge</v>
      </c>
      <c r="C22" s="233" t="str">
        <f>+'G1 CAMB'!C24</f>
        <v>NMRS</v>
      </c>
      <c r="D22" s="243"/>
      <c r="E22" s="206"/>
      <c r="F22" s="239"/>
      <c r="G22" s="236">
        <v>2.66E-3</v>
      </c>
      <c r="H22" s="211"/>
      <c r="I22" s="210">
        <f t="shared" si="2"/>
        <v>14546.093517407664</v>
      </c>
      <c r="K22" s="210"/>
      <c r="L22" s="236">
        <v>2.2709698198605396E-3</v>
      </c>
      <c r="M22" s="211"/>
      <c r="N22" s="210">
        <f t="shared" si="3"/>
        <v>12418.699013120995</v>
      </c>
    </row>
    <row r="23" spans="1:14" ht="14" x14ac:dyDescent="0.3">
      <c r="A23" s="151">
        <f>IF(B23&lt;&gt;"",COUNTA($B$13:B23),"")</f>
        <v>10</v>
      </c>
      <c r="B23" s="207" t="str">
        <f>+'G1 CAMB'!B25</f>
        <v>Long Term Renewable Contract Adjustment</v>
      </c>
      <c r="C23" s="233" t="str">
        <f>+'G1 CAMB'!C25</f>
        <v>LTRCA</v>
      </c>
      <c r="D23" s="243"/>
      <c r="E23" s="206"/>
      <c r="F23" s="239"/>
      <c r="G23" s="236">
        <v>2.3600000000000001E-3</v>
      </c>
      <c r="H23" s="211"/>
      <c r="I23" s="210">
        <f t="shared" si="2"/>
        <v>12905.556654542139</v>
      </c>
      <c r="K23" s="210"/>
      <c r="L23" s="236">
        <v>1.7357128782064517E-3</v>
      </c>
      <c r="M23" s="211"/>
      <c r="N23" s="210">
        <f t="shared" si="3"/>
        <v>9491.6698668270164</v>
      </c>
    </row>
    <row r="24" spans="1:14" ht="14" x14ac:dyDescent="0.3">
      <c r="A24" s="151">
        <f>IF(B24&lt;&gt;"",COUNTA($B$13:B24),"")</f>
        <v>11</v>
      </c>
      <c r="B24" s="207" t="str">
        <f>+'G1 CAMB'!B26</f>
        <v>AG Consulting Expense</v>
      </c>
      <c r="C24" s="233" t="str">
        <f>+'G1 CAMB'!C26</f>
        <v>AGCE</v>
      </c>
      <c r="D24" s="243"/>
      <c r="E24" s="206"/>
      <c r="F24" s="239"/>
      <c r="G24" s="236">
        <v>1.0000000000000001E-5</v>
      </c>
      <c r="H24" s="211"/>
      <c r="I24" s="210">
        <f t="shared" si="2"/>
        <v>54.684562095517542</v>
      </c>
      <c r="K24" s="210"/>
      <c r="L24" s="236">
        <v>3.6568119677834112E-6</v>
      </c>
      <c r="M24" s="211"/>
      <c r="N24" s="210">
        <f t="shared" si="3"/>
        <v>19.997116112388362</v>
      </c>
    </row>
    <row r="25" spans="1:14" ht="14" x14ac:dyDescent="0.3">
      <c r="A25" s="151">
        <f>IF(B25&lt;&gt;"",COUNTA($B$13:B25),"")</f>
        <v>12</v>
      </c>
      <c r="B25" s="207" t="str">
        <f>+'G1 CAMB'!B27</f>
        <v>Storm Cost Recovery Adjustment Factor</v>
      </c>
      <c r="C25" s="233" t="str">
        <f>+'G1 CAMB'!C27</f>
        <v>SCRA</v>
      </c>
      <c r="D25" s="243"/>
      <c r="E25" s="206"/>
      <c r="F25" s="239"/>
      <c r="G25" s="236">
        <v>8.3000000000000001E-4</v>
      </c>
      <c r="H25" s="211"/>
      <c r="I25" s="210">
        <f t="shared" si="2"/>
        <v>4538.818653927955</v>
      </c>
      <c r="K25" s="210"/>
      <c r="L25" s="236">
        <v>1.3285791528670132E-3</v>
      </c>
      <c r="M25" s="211"/>
      <c r="N25" s="210">
        <f t="shared" si="3"/>
        <v>7265.2769183766268</v>
      </c>
    </row>
    <row r="26" spans="1:14" ht="14" x14ac:dyDescent="0.3">
      <c r="A26" s="151">
        <f>IF(B26&lt;&gt;"",COUNTA($B$13:B26),"")</f>
        <v>13</v>
      </c>
      <c r="B26" s="207" t="str">
        <f>+'G1 CAMB'!B28</f>
        <v>Storm Reserve Adjustment</v>
      </c>
      <c r="C26" s="233" t="str">
        <f>+'G1 CAMB'!C28</f>
        <v>SRA</v>
      </c>
      <c r="D26" s="243"/>
      <c r="E26" s="206"/>
      <c r="F26" s="239"/>
      <c r="G26" s="236">
        <v>0</v>
      </c>
      <c r="H26" s="211"/>
      <c r="I26" s="210">
        <f t="shared" si="2"/>
        <v>0</v>
      </c>
      <c r="K26" s="210"/>
      <c r="L26" s="236">
        <v>0</v>
      </c>
      <c r="M26" s="211"/>
      <c r="N26" s="210">
        <f t="shared" si="3"/>
        <v>0</v>
      </c>
    </row>
    <row r="27" spans="1:14" ht="14" x14ac:dyDescent="0.3">
      <c r="A27" s="151">
        <f>IF(B27&lt;&gt;"",COUNTA($B$13:B27),"")</f>
        <v>14</v>
      </c>
      <c r="B27" s="207" t="str">
        <f>+'G1 CAMB'!B29</f>
        <v>Basic Service Cost True Up Factor</v>
      </c>
      <c r="C27" s="233" t="str">
        <f>+'G1 CAMB'!C29</f>
        <v>BSTF</v>
      </c>
      <c r="D27" s="243"/>
      <c r="E27" s="206"/>
      <c r="F27" s="239"/>
      <c r="G27" s="236">
        <v>7.2000000000000005E-4</v>
      </c>
      <c r="H27" s="211"/>
      <c r="I27" s="210">
        <f t="shared" si="2"/>
        <v>3937.2884708772626</v>
      </c>
      <c r="K27" s="210"/>
      <c r="L27" s="236">
        <v>-8.6424861847902491E-5</v>
      </c>
      <c r="M27" s="211"/>
      <c r="N27" s="210">
        <f t="shared" si="3"/>
        <v>-472.61057243181483</v>
      </c>
    </row>
    <row r="28" spans="1:14" ht="14" x14ac:dyDescent="0.3">
      <c r="A28" s="151">
        <f>IF(B28&lt;&gt;"",COUNTA($B$13:B28),"")</f>
        <v>15</v>
      </c>
      <c r="B28" s="207" t="str">
        <f>+'G1 CAMB'!B30</f>
        <v>Solar Program Cost Adjustment Factor</v>
      </c>
      <c r="C28" s="233" t="str">
        <f>+'G1 CAMB'!C30</f>
        <v>SPCA</v>
      </c>
      <c r="D28" s="233"/>
      <c r="E28" s="206"/>
      <c r="F28" s="239"/>
      <c r="G28" s="236">
        <v>0</v>
      </c>
      <c r="H28" s="211"/>
      <c r="I28" s="210">
        <f t="shared" si="2"/>
        <v>0</v>
      </c>
      <c r="K28" s="210"/>
      <c r="L28" s="236">
        <v>1.5380558848671995E-5</v>
      </c>
      <c r="M28" s="211"/>
      <c r="N28" s="210">
        <f t="shared" si="3"/>
        <v>84.107912542396534</v>
      </c>
    </row>
    <row r="29" spans="1:14" ht="14" x14ac:dyDescent="0.3">
      <c r="A29" s="151">
        <f>IF(B29&lt;&gt;"",COUNTA($B$13:B29),"")</f>
        <v>16</v>
      </c>
      <c r="B29" s="207" t="str">
        <f>+'G1 CAMB'!B31</f>
        <v>Solar Expansion Cost Recovery Factor</v>
      </c>
      <c r="C29" s="233" t="str">
        <f>+'G1 CAMB'!C31</f>
        <v>SECRF</v>
      </c>
      <c r="D29" s="233"/>
      <c r="E29" s="206"/>
      <c r="F29" s="239"/>
      <c r="G29" s="236">
        <v>0</v>
      </c>
      <c r="H29" s="211"/>
      <c r="I29" s="210">
        <f t="shared" si="2"/>
        <v>0</v>
      </c>
      <c r="K29" s="210"/>
      <c r="L29" s="236">
        <v>2.7127787158794944E-4</v>
      </c>
      <c r="M29" s="211"/>
      <c r="N29" s="210">
        <f t="shared" si="3"/>
        <v>1483.4711613991053</v>
      </c>
    </row>
    <row r="30" spans="1:14" ht="14" x14ac:dyDescent="0.3">
      <c r="A30" s="151">
        <f>IF(B30&lt;&gt;"",COUNTA($B$13:B30),"")</f>
        <v>17</v>
      </c>
      <c r="B30" s="207" t="str">
        <f>+'G1 CAMB'!B32</f>
        <v>Vegetation Management</v>
      </c>
      <c r="C30" s="233" t="str">
        <f>+'G1 CAMB'!C32</f>
        <v>RTWF</v>
      </c>
      <c r="D30" s="233"/>
      <c r="E30" s="206"/>
      <c r="F30" s="239"/>
      <c r="G30" s="236">
        <v>0</v>
      </c>
      <c r="H30" s="211"/>
      <c r="I30" s="210">
        <f t="shared" si="2"/>
        <v>0</v>
      </c>
      <c r="K30" s="210"/>
      <c r="L30" s="236">
        <v>1.3072473712271307E-3</v>
      </c>
      <c r="M30" s="211"/>
      <c r="N30" s="210">
        <f t="shared" si="3"/>
        <v>7148.6250046072091</v>
      </c>
    </row>
    <row r="31" spans="1:14" ht="14" x14ac:dyDescent="0.3">
      <c r="A31" s="151">
        <f>IF(B31&lt;&gt;"",COUNTA($B$13:B31),"")</f>
        <v>18</v>
      </c>
      <c r="B31" s="207" t="str">
        <f>+'G1 CAMB'!B33</f>
        <v>Solar Massachusetts Renewable Target</v>
      </c>
      <c r="C31" s="233" t="str">
        <f>+'G1 CAMB'!C33</f>
        <v>SMART</v>
      </c>
      <c r="D31" s="233"/>
      <c r="E31" s="206"/>
      <c r="F31" s="239"/>
      <c r="G31" s="236">
        <v>0</v>
      </c>
      <c r="H31" s="211"/>
      <c r="I31" s="210">
        <f t="shared" si="2"/>
        <v>0</v>
      </c>
      <c r="K31" s="210"/>
      <c r="L31" s="236">
        <v>3.178400945717891E-4</v>
      </c>
      <c r="M31" s="211"/>
      <c r="N31" s="210">
        <f t="shared" si="3"/>
        <v>1738.0946388056166</v>
      </c>
    </row>
    <row r="32" spans="1:14" ht="14" x14ac:dyDescent="0.3">
      <c r="A32" s="151">
        <f>IF(B32&lt;&gt;"",COUNTA($B$13:B32),"")</f>
        <v>19</v>
      </c>
      <c r="B32" s="207" t="str">
        <f>+'G1 CAMB'!B34</f>
        <v>Tax Act Credit Factor</v>
      </c>
      <c r="C32" s="233" t="str">
        <f>+'G1 CAMB'!C34</f>
        <v>TACF</v>
      </c>
      <c r="D32" s="233"/>
      <c r="E32" s="206"/>
      <c r="F32" s="239"/>
      <c r="G32" s="236">
        <v>0</v>
      </c>
      <c r="H32" s="211"/>
      <c r="I32" s="210">
        <f t="shared" si="2"/>
        <v>0</v>
      </c>
      <c r="K32" s="210"/>
      <c r="L32" s="236">
        <v>-4.8115680535287255E-4</v>
      </c>
      <c r="M32" s="211"/>
      <c r="N32" s="210">
        <f t="shared" si="3"/>
        <v>-2631.1849200000001</v>
      </c>
    </row>
    <row r="33" spans="1:14" ht="14" x14ac:dyDescent="0.3">
      <c r="A33" s="151">
        <f>IF(B33&lt;&gt;"",COUNTA($B$13:B33),"")</f>
        <v>20</v>
      </c>
      <c r="B33" s="207" t="str">
        <f>+'G1 CAMB'!B35</f>
        <v>Transition</v>
      </c>
      <c r="C33" s="233" t="str">
        <f>+'G1 CAMB'!C35</f>
        <v>TRNSN</v>
      </c>
      <c r="D33" s="233"/>
      <c r="E33" s="206"/>
      <c r="F33" s="239"/>
      <c r="G33" s="236">
        <v>-6.0999999999999997E-4</v>
      </c>
      <c r="H33" s="211"/>
      <c r="I33" s="210">
        <f t="shared" si="2"/>
        <v>-3335.7582878265694</v>
      </c>
      <c r="K33" s="210"/>
      <c r="L33" s="236">
        <v>-5.210932140356871E-4</v>
      </c>
      <c r="M33" s="211"/>
      <c r="N33" s="210">
        <f t="shared" si="3"/>
        <v>-2849.5754220487343</v>
      </c>
    </row>
    <row r="34" spans="1:14" ht="14" x14ac:dyDescent="0.3">
      <c r="A34" s="151">
        <f>IF(B34&lt;&gt;"",COUNTA($B$13:B34),"")</f>
        <v>21</v>
      </c>
      <c r="B34" s="207" t="str">
        <f>+'G1 CAMB'!B36</f>
        <v>Transmission Demand</v>
      </c>
      <c r="C34" s="233" t="str">
        <f>+'G1 CAMB'!C36</f>
        <v>TMKW</v>
      </c>
      <c r="D34" s="233"/>
      <c r="E34" s="206"/>
      <c r="F34" s="239"/>
      <c r="G34" s="283">
        <v>9.98</v>
      </c>
      <c r="H34" s="211"/>
      <c r="I34" s="210">
        <f>G34*$E$14</f>
        <v>137329.02220224825</v>
      </c>
      <c r="K34" s="210"/>
      <c r="L34" s="283">
        <v>7.6101921377327786</v>
      </c>
      <c r="M34" s="211"/>
      <c r="N34" s="210">
        <f>$E$14*L34</f>
        <v>104719.46343147091</v>
      </c>
    </row>
    <row r="35" spans="1:14" ht="14" x14ac:dyDescent="0.3">
      <c r="A35" s="151">
        <f>IF(B35&lt;&gt;"",COUNTA($B$13:B35),"")</f>
        <v>22</v>
      </c>
      <c r="B35" s="207" t="str">
        <f>+'G1 CAMB'!B37</f>
        <v>Energy Efficiency Reconciliation Factor</v>
      </c>
      <c r="C35" s="233" t="str">
        <f>+'G1 CAMB'!C37</f>
        <v>EERF</v>
      </c>
      <c r="D35" s="233"/>
      <c r="E35" s="206"/>
      <c r="F35" s="239"/>
      <c r="G35" s="241">
        <v>8.4600000000000005E-3</v>
      </c>
      <c r="H35" s="211"/>
      <c r="I35" s="210">
        <f t="shared" ref="I35:I38" si="4">G35*$E$15</f>
        <v>46263.139532807836</v>
      </c>
      <c r="K35" s="210"/>
      <c r="L35" s="281">
        <v>8.4600000000000005E-3</v>
      </c>
      <c r="M35" s="211"/>
      <c r="N35" s="210">
        <f t="shared" ref="N35:N38" si="5">$E$15*L35</f>
        <v>46263.139532807836</v>
      </c>
    </row>
    <row r="36" spans="1:14" ht="14" x14ac:dyDescent="0.3">
      <c r="A36" s="151">
        <f>IF(B36&lt;&gt;"",COUNTA($B$13:B36),"")</f>
        <v>23</v>
      </c>
      <c r="B36" s="207" t="str">
        <f>+'G1 CAMB'!B38</f>
        <v>System Benefits Charge</v>
      </c>
      <c r="C36" s="233" t="str">
        <f>+'G1 CAMB'!C38</f>
        <v>SBC</v>
      </c>
      <c r="D36" s="233"/>
      <c r="E36" s="206"/>
      <c r="F36" s="239"/>
      <c r="G36" s="241">
        <v>2.5000000000000001E-3</v>
      </c>
      <c r="H36" s="211"/>
      <c r="I36" s="210">
        <f t="shared" si="4"/>
        <v>13671.140523879383</v>
      </c>
      <c r="K36" s="210"/>
      <c r="L36" s="281">
        <f>+G36</f>
        <v>2.5000000000000001E-3</v>
      </c>
      <c r="M36" s="211"/>
      <c r="N36" s="210">
        <f t="shared" si="5"/>
        <v>13671.140523879383</v>
      </c>
    </row>
    <row r="37" spans="1:14" ht="14" x14ac:dyDescent="0.3">
      <c r="A37" s="151">
        <f>IF(B37&lt;&gt;"",COUNTA($B$13:B37),"")</f>
        <v>24</v>
      </c>
      <c r="B37" s="207" t="str">
        <f>+'G1 CAMB'!B39</f>
        <v>Renewable Energy Charge</v>
      </c>
      <c r="C37" s="233" t="str">
        <f>+'G1 CAMB'!C39</f>
        <v>RNEW</v>
      </c>
      <c r="D37" s="233"/>
      <c r="E37" s="206"/>
      <c r="F37" s="239"/>
      <c r="G37" s="241">
        <v>5.0000000000000001E-4</v>
      </c>
      <c r="H37" s="211"/>
      <c r="I37" s="210">
        <f t="shared" si="4"/>
        <v>2734.228104775877</v>
      </c>
      <c r="K37" s="210"/>
      <c r="L37" s="281">
        <f>+G37</f>
        <v>5.0000000000000001E-4</v>
      </c>
      <c r="M37" s="211"/>
      <c r="N37" s="210">
        <f t="shared" si="5"/>
        <v>2734.228104775877</v>
      </c>
    </row>
    <row r="38" spans="1:14" ht="14" x14ac:dyDescent="0.3">
      <c r="A38" s="151">
        <f>IF(B38&lt;&gt;"",COUNTA($B$13:B38),"")</f>
        <v>25</v>
      </c>
      <c r="B38" s="207" t="str">
        <f>+'G1 CAMB'!B40</f>
        <v>Basic Service Charge</v>
      </c>
      <c r="C38" s="233" t="str">
        <f>+'G1 CAMB'!C40</f>
        <v>BS</v>
      </c>
      <c r="D38" s="233"/>
      <c r="E38" s="206"/>
      <c r="F38" s="239"/>
      <c r="G38" s="236">
        <v>0.11403000000000001</v>
      </c>
      <c r="H38" s="211"/>
      <c r="I38" s="237">
        <f t="shared" si="4"/>
        <v>623568.06157518644</v>
      </c>
      <c r="J38" s="187"/>
      <c r="K38" s="210"/>
      <c r="L38" s="281">
        <v>0.13185000000000002</v>
      </c>
      <c r="M38" s="211"/>
      <c r="N38" s="237">
        <f t="shared" si="5"/>
        <v>721015.95122939884</v>
      </c>
    </row>
    <row r="39" spans="1:14" ht="14" x14ac:dyDescent="0.3">
      <c r="A39" s="151" t="str">
        <f>IF(B39&lt;&gt;"",COUNTA($B$13:B39),"")</f>
        <v/>
      </c>
      <c r="B39" s="207"/>
      <c r="E39" s="206"/>
      <c r="F39" s="239"/>
      <c r="G39" s="241"/>
      <c r="H39" s="211"/>
      <c r="I39" s="244"/>
      <c r="J39" s="150"/>
      <c r="K39" s="210"/>
      <c r="L39" s="281"/>
      <c r="M39" s="211"/>
      <c r="N39" s="244"/>
    </row>
    <row r="40" spans="1:14" ht="14" x14ac:dyDescent="0.3">
      <c r="A40" s="151">
        <f>IF(B40&lt;&gt;"",COUNTA($B$13:B40),"")</f>
        <v>26</v>
      </c>
      <c r="B40" s="188" t="s">
        <v>46</v>
      </c>
      <c r="E40" s="188"/>
      <c r="G40" s="245" t="s">
        <v>324</v>
      </c>
      <c r="H40" s="246"/>
      <c r="I40" s="154">
        <f>SUM(I16:I39)</f>
        <v>982248.17807357805</v>
      </c>
      <c r="K40" s="247"/>
      <c r="L40" s="245"/>
      <c r="N40" s="154">
        <f>SUM(N16:N39)</f>
        <v>1057530.9174280975</v>
      </c>
    </row>
    <row r="41" spans="1:14" ht="14" x14ac:dyDescent="0.3">
      <c r="A41" s="151" t="str">
        <f>IF(B41&lt;&gt;"",COUNTA($B$13:B41),"")</f>
        <v/>
      </c>
      <c r="E41" s="188"/>
      <c r="H41" s="188"/>
      <c r="I41" s="154"/>
      <c r="K41" s="265"/>
      <c r="L41" s="278"/>
      <c r="N41" s="265"/>
    </row>
    <row r="42" spans="1:14" ht="14" x14ac:dyDescent="0.3">
      <c r="A42" s="151">
        <f>IF(B42&lt;&gt;"",COUNTA($B$13:B42),"")</f>
        <v>27</v>
      </c>
      <c r="B42" s="188" t="s">
        <v>46</v>
      </c>
      <c r="E42" s="188"/>
      <c r="G42" s="188"/>
      <c r="H42" s="188"/>
      <c r="I42" s="188"/>
      <c r="J42" s="188"/>
      <c r="L42" s="248" t="s">
        <v>325</v>
      </c>
      <c r="N42" s="160">
        <f>+N40/I40-1</f>
        <v>7.664329752401966E-2</v>
      </c>
    </row>
    <row r="43" spans="1:14" ht="14" x14ac:dyDescent="0.3">
      <c r="A43" s="151" t="str">
        <f>IF(B43&lt;&gt;"",COUNTA($B$13:B43),"")</f>
        <v/>
      </c>
      <c r="E43" s="188"/>
      <c r="G43" s="188"/>
      <c r="H43" s="188"/>
      <c r="I43" s="188"/>
      <c r="J43" s="188"/>
      <c r="L43" s="248"/>
      <c r="N43" s="160"/>
    </row>
    <row r="44" spans="1:14" ht="14" x14ac:dyDescent="0.3">
      <c r="A44" s="151" t="str">
        <f>IF(B44&lt;&gt;"",COUNTA($B$13:B44),"")</f>
        <v/>
      </c>
      <c r="E44" s="188"/>
      <c r="G44" s="186"/>
      <c r="H44" s="188"/>
      <c r="I44" s="188"/>
      <c r="L44" s="248"/>
      <c r="N44" s="160"/>
    </row>
    <row r="45" spans="1:14" ht="14.5" thickBot="1" x14ac:dyDescent="0.35">
      <c r="A45" s="151">
        <f>IF(B45&lt;&gt;"",COUNTA($B$13:B45),"")</f>
        <v>28</v>
      </c>
      <c r="B45" s="188" t="s">
        <v>46</v>
      </c>
      <c r="E45" s="279" t="s">
        <v>326</v>
      </c>
      <c r="F45" s="135"/>
      <c r="G45" s="280"/>
      <c r="I45" s="279" t="s">
        <v>327</v>
      </c>
      <c r="J45" s="135"/>
      <c r="L45" s="279" t="s">
        <v>328</v>
      </c>
      <c r="M45" s="135"/>
      <c r="N45" s="137"/>
    </row>
    <row r="46" spans="1:14" ht="14" x14ac:dyDescent="0.3">
      <c r="A46" s="151">
        <f>IF(B46&lt;&gt;"",COUNTA($B$13:B46),"")</f>
        <v>29</v>
      </c>
      <c r="B46" s="144" t="s">
        <v>329</v>
      </c>
      <c r="C46" s="144"/>
      <c r="D46" s="144"/>
      <c r="E46" s="249" t="s">
        <v>148</v>
      </c>
      <c r="F46" s="250"/>
      <c r="G46" s="251" t="s">
        <v>330</v>
      </c>
      <c r="I46" s="249" t="s">
        <v>148</v>
      </c>
      <c r="J46" s="251" t="s">
        <v>330</v>
      </c>
      <c r="K46" s="212"/>
      <c r="L46" s="249" t="s">
        <v>148</v>
      </c>
      <c r="M46" s="252"/>
      <c r="N46" s="251" t="s">
        <v>330</v>
      </c>
    </row>
    <row r="47" spans="1:14" ht="14" x14ac:dyDescent="0.3">
      <c r="A47" s="151">
        <f>IF(B47&lt;&gt;"",COUNTA($B$13:B47),"")</f>
        <v>30</v>
      </c>
      <c r="B47" s="130" t="str">
        <f>+'G1 CAMB'!B49</f>
        <v>Distribution</v>
      </c>
      <c r="C47" s="253" t="str">
        <f>+'G1 CAMB'!C49</f>
        <v>DIST</v>
      </c>
      <c r="D47" s="253"/>
      <c r="E47" s="154">
        <f t="shared" ref="E47:E62" si="6">SUMIF($C$13:$C$38,$C47,$I$13:$I$38)</f>
        <v>119090.96317752557</v>
      </c>
      <c r="G47" s="254">
        <f>+E47/$E$15*100</f>
        <v>2.1777803206965314</v>
      </c>
      <c r="I47" s="154">
        <f t="shared" ref="I47:I62" si="7">SUMIF($C$13:$C$38,$C47,$N$13:$N$38)</f>
        <v>123040.75120434977</v>
      </c>
      <c r="J47" s="254">
        <f>+I47/$E$15*100</f>
        <v>2.2500088962847409</v>
      </c>
      <c r="L47" s="154">
        <f t="shared" ref="L47:L67" si="8">I47-E47</f>
        <v>3949.7880268242006</v>
      </c>
      <c r="N47" s="254">
        <f>+L47/$E$15*100</f>
        <v>7.2228575588209068E-2</v>
      </c>
    </row>
    <row r="48" spans="1:14" ht="14" x14ac:dyDescent="0.3">
      <c r="A48" s="151">
        <f>IF(B48&lt;&gt;"",COUNTA($B$13:B48),"")</f>
        <v>31</v>
      </c>
      <c r="B48" s="130" t="str">
        <f>+'G1 CAMB'!B50</f>
        <v>Revenue Decoupling</v>
      </c>
      <c r="C48" s="253" t="str">
        <f>+'G1 CAMB'!C50</f>
        <v>RDAF</v>
      </c>
      <c r="D48" s="253"/>
      <c r="E48" s="154">
        <f t="shared" si="6"/>
        <v>0</v>
      </c>
      <c r="G48" s="254">
        <f t="shared" ref="G48:G68" si="9">+E48/$E$15*100</f>
        <v>0</v>
      </c>
      <c r="I48" s="154">
        <f t="shared" si="7"/>
        <v>-1127.3466927754394</v>
      </c>
      <c r="J48" s="254">
        <f t="shared" ref="J48:J68" si="10">+I48/$E$15*100</f>
        <v>-2.0615447021525065E-2</v>
      </c>
      <c r="L48" s="154">
        <f>I48-E48</f>
        <v>-1127.3466927754394</v>
      </c>
      <c r="N48" s="254">
        <f t="shared" ref="N48:N68" si="11">+L48/$E$15*100</f>
        <v>-2.0615447021525065E-2</v>
      </c>
    </row>
    <row r="49" spans="1:14" ht="14" x14ac:dyDescent="0.3">
      <c r="A49" s="151">
        <f>IF(B49&lt;&gt;"",COUNTA($B$13:B49),"")</f>
        <v>32</v>
      </c>
      <c r="B49" s="130" t="str">
        <f>+'G1 CAMB'!B51</f>
        <v>Residential Assistance Adjustment Factor</v>
      </c>
      <c r="C49" s="253" t="str">
        <f>+'G1 CAMB'!C51</f>
        <v>RAAF</v>
      </c>
      <c r="D49" s="253"/>
      <c r="E49" s="154">
        <f t="shared" si="6"/>
        <v>7382.4158828948675</v>
      </c>
      <c r="G49" s="254">
        <f t="shared" si="9"/>
        <v>0.13500000000000001</v>
      </c>
      <c r="I49" s="154">
        <f t="shared" si="7"/>
        <v>9524.1280527041927</v>
      </c>
      <c r="J49" s="254">
        <f t="shared" si="10"/>
        <v>0.1741648408204933</v>
      </c>
      <c r="L49" s="154">
        <f t="shared" si="8"/>
        <v>2141.7121698093251</v>
      </c>
      <c r="N49" s="254">
        <f t="shared" si="11"/>
        <v>3.9164840820493291E-2</v>
      </c>
    </row>
    <row r="50" spans="1:14" ht="14" x14ac:dyDescent="0.3">
      <c r="A50" s="151">
        <f>IF(B50&lt;&gt;"",COUNTA($B$13:B50),"")</f>
        <v>33</v>
      </c>
      <c r="B50" s="130" t="str">
        <f>+'G1 CAMB'!B52</f>
        <v>Pension Adjustment Factor</v>
      </c>
      <c r="C50" s="253" t="str">
        <f>+'G1 CAMB'!C52</f>
        <v>PAF</v>
      </c>
      <c r="D50" s="253"/>
      <c r="E50" s="154">
        <f t="shared" si="6"/>
        <v>-437.47649676414034</v>
      </c>
      <c r="G50" s="254">
        <f t="shared" si="9"/>
        <v>-8.0000000000000002E-3</v>
      </c>
      <c r="I50" s="154">
        <f t="shared" si="7"/>
        <v>3992.8913241752066</v>
      </c>
      <c r="J50" s="254">
        <f t="shared" si="10"/>
        <v>7.3016792512680687E-2</v>
      </c>
      <c r="L50" s="154">
        <f t="shared" si="8"/>
        <v>4430.3678209393465</v>
      </c>
      <c r="N50" s="254">
        <f t="shared" si="11"/>
        <v>8.101679251268068E-2</v>
      </c>
    </row>
    <row r="51" spans="1:14" ht="14" x14ac:dyDescent="0.3">
      <c r="A51" s="151">
        <f>IF(B51&lt;&gt;"",COUNTA($B$13:B51),"")</f>
        <v>34</v>
      </c>
      <c r="B51" s="130" t="str">
        <f>+'G1 CAMB'!B53</f>
        <v>Net Metering Recovery Surcharge</v>
      </c>
      <c r="C51" s="253" t="str">
        <f>+'G1 CAMB'!C53</f>
        <v>NMRS</v>
      </c>
      <c r="D51" s="253"/>
      <c r="E51" s="154">
        <f t="shared" si="6"/>
        <v>14546.093517407664</v>
      </c>
      <c r="G51" s="254">
        <f t="shared" si="9"/>
        <v>0.26600000000000001</v>
      </c>
      <c r="I51" s="154">
        <f t="shared" si="7"/>
        <v>12418.699013120995</v>
      </c>
      <c r="J51" s="254">
        <f t="shared" si="10"/>
        <v>0.22709698198605396</v>
      </c>
      <c r="L51" s="154">
        <f t="shared" si="8"/>
        <v>-2127.394504286669</v>
      </c>
      <c r="N51" s="254">
        <f t="shared" si="11"/>
        <v>-3.8903018013946029E-2</v>
      </c>
    </row>
    <row r="52" spans="1:14" ht="14" x14ac:dyDescent="0.3">
      <c r="A52" s="151">
        <f>IF(B52&lt;&gt;"",COUNTA($B$13:B52),"")</f>
        <v>35</v>
      </c>
      <c r="B52" s="130" t="str">
        <f>+'G1 CAMB'!B54</f>
        <v>Long Term Renewable Contract Adjustment</v>
      </c>
      <c r="C52" s="253" t="str">
        <f>+'G1 CAMB'!C54</f>
        <v>LTRCA</v>
      </c>
      <c r="D52" s="253"/>
      <c r="E52" s="154">
        <f t="shared" si="6"/>
        <v>12905.556654542139</v>
      </c>
      <c r="G52" s="254">
        <f t="shared" si="9"/>
        <v>0.23600000000000002</v>
      </c>
      <c r="I52" s="154">
        <f t="shared" si="7"/>
        <v>9491.6698668270164</v>
      </c>
      <c r="J52" s="254">
        <f t="shared" si="10"/>
        <v>0.17357128782064515</v>
      </c>
      <c r="L52" s="154">
        <f t="shared" si="8"/>
        <v>-3413.8867877151224</v>
      </c>
      <c r="N52" s="254">
        <f t="shared" si="11"/>
        <v>-6.2428712179354848E-2</v>
      </c>
    </row>
    <row r="53" spans="1:14" ht="14" x14ac:dyDescent="0.3">
      <c r="A53" s="151">
        <f>IF(B53&lt;&gt;"",COUNTA($B$13:B53),"")</f>
        <v>36</v>
      </c>
      <c r="B53" s="130" t="str">
        <f>+'G1 CAMB'!B55</f>
        <v>AG Consulting Expense</v>
      </c>
      <c r="C53" s="253" t="str">
        <f>+'G1 CAMB'!C55</f>
        <v>AGCE</v>
      </c>
      <c r="D53" s="253"/>
      <c r="E53" s="154">
        <f t="shared" si="6"/>
        <v>54.684562095517542</v>
      </c>
      <c r="G53" s="254">
        <f t="shared" si="9"/>
        <v>1E-3</v>
      </c>
      <c r="I53" s="154">
        <f t="shared" si="7"/>
        <v>19.997116112388362</v>
      </c>
      <c r="J53" s="254">
        <f t="shared" si="10"/>
        <v>3.656811967783411E-4</v>
      </c>
      <c r="L53" s="154">
        <f t="shared" si="8"/>
        <v>-34.68744598312918</v>
      </c>
      <c r="N53" s="254">
        <f t="shared" si="11"/>
        <v>-6.3431880322165903E-4</v>
      </c>
    </row>
    <row r="54" spans="1:14" ht="14" x14ac:dyDescent="0.3">
      <c r="A54" s="151">
        <f>IF(B54&lt;&gt;"",COUNTA($B$13:B54),"")</f>
        <v>37</v>
      </c>
      <c r="B54" s="130" t="str">
        <f>+'G1 CAMB'!B56</f>
        <v>Storm Cost Recovery Adjustment Factor</v>
      </c>
      <c r="C54" s="253" t="str">
        <f>+'G1 CAMB'!C56</f>
        <v>SCRA</v>
      </c>
      <c r="D54" s="253"/>
      <c r="E54" s="154">
        <f t="shared" si="6"/>
        <v>4538.818653927955</v>
      </c>
      <c r="G54" s="254">
        <f t="shared" si="9"/>
        <v>8.299999999999999E-2</v>
      </c>
      <c r="I54" s="154">
        <f t="shared" si="7"/>
        <v>7265.2769183766268</v>
      </c>
      <c r="J54" s="254">
        <f t="shared" si="10"/>
        <v>0.13285791528670132</v>
      </c>
      <c r="L54" s="154">
        <f>I54-E54</f>
        <v>2726.4582644486718</v>
      </c>
      <c r="N54" s="254">
        <f t="shared" si="11"/>
        <v>4.9857915286701332E-2</v>
      </c>
    </row>
    <row r="55" spans="1:14" ht="14" x14ac:dyDescent="0.3">
      <c r="A55" s="151">
        <f>IF(B55&lt;&gt;"",COUNTA($B$13:B55),"")</f>
        <v>38</v>
      </c>
      <c r="B55" s="130" t="str">
        <f>+'G1 CAMB'!B57</f>
        <v>Storm Reserve Adjustment</v>
      </c>
      <c r="C55" s="253" t="str">
        <f>+'G1 CAMB'!C57</f>
        <v>SRA</v>
      </c>
      <c r="D55" s="253"/>
      <c r="E55" s="154">
        <f t="shared" si="6"/>
        <v>0</v>
      </c>
      <c r="G55" s="254">
        <f t="shared" si="9"/>
        <v>0</v>
      </c>
      <c r="I55" s="154">
        <f t="shared" si="7"/>
        <v>0</v>
      </c>
      <c r="J55" s="254">
        <f t="shared" si="10"/>
        <v>0</v>
      </c>
      <c r="L55" s="154">
        <f>I55-E55</f>
        <v>0</v>
      </c>
      <c r="N55" s="254">
        <f t="shared" si="11"/>
        <v>0</v>
      </c>
    </row>
    <row r="56" spans="1:14" ht="14" x14ac:dyDescent="0.3">
      <c r="A56" s="151">
        <f>IF(B56&lt;&gt;"",COUNTA($B$13:B56),"")</f>
        <v>39</v>
      </c>
      <c r="B56" s="130" t="str">
        <f>+'G1 CAMB'!B58</f>
        <v>Basic Service Cost True Up Factor</v>
      </c>
      <c r="C56" s="253" t="str">
        <f>+'G1 CAMB'!C58</f>
        <v>BSTF</v>
      </c>
      <c r="D56" s="253"/>
      <c r="E56" s="154">
        <f t="shared" si="6"/>
        <v>3937.2884708772626</v>
      </c>
      <c r="G56" s="254">
        <f t="shared" si="9"/>
        <v>7.2000000000000008E-2</v>
      </c>
      <c r="I56" s="154">
        <f t="shared" si="7"/>
        <v>-472.61057243181483</v>
      </c>
      <c r="J56" s="254">
        <f t="shared" si="10"/>
        <v>-8.6424861847902486E-3</v>
      </c>
      <c r="L56" s="154">
        <f>I56-E56</f>
        <v>-4409.8990433090776</v>
      </c>
      <c r="N56" s="254">
        <f t="shared" si="11"/>
        <v>-8.0642486184790252E-2</v>
      </c>
    </row>
    <row r="57" spans="1:14" ht="14" x14ac:dyDescent="0.3">
      <c r="A57" s="151">
        <f>IF(B57&lt;&gt;"",COUNTA($B$13:B57),"")</f>
        <v>40</v>
      </c>
      <c r="B57" s="130" t="str">
        <f>+'G1 CAMB'!B59</f>
        <v>Solar Program Cost Adjustment Factor</v>
      </c>
      <c r="C57" s="253" t="str">
        <f>+'G1 CAMB'!C59</f>
        <v>SPCA</v>
      </c>
      <c r="D57" s="253"/>
      <c r="E57" s="154">
        <f t="shared" si="6"/>
        <v>0</v>
      </c>
      <c r="G57" s="254">
        <f t="shared" si="9"/>
        <v>0</v>
      </c>
      <c r="I57" s="154">
        <f t="shared" si="7"/>
        <v>84.107912542396534</v>
      </c>
      <c r="J57" s="254">
        <f t="shared" si="10"/>
        <v>1.5380558848671995E-3</v>
      </c>
      <c r="L57" s="154">
        <f t="shared" si="8"/>
        <v>84.107912542396534</v>
      </c>
      <c r="N57" s="254">
        <f t="shared" si="11"/>
        <v>1.5380558848671995E-3</v>
      </c>
    </row>
    <row r="58" spans="1:14" ht="14" x14ac:dyDescent="0.3">
      <c r="A58" s="151">
        <f>IF(B58&lt;&gt;"",COUNTA($B$13:B58),"")</f>
        <v>41</v>
      </c>
      <c r="B58" s="130" t="str">
        <f>+'G1 CAMB'!B60</f>
        <v>Solar Expansion Cost Recovery Factor</v>
      </c>
      <c r="C58" s="253" t="str">
        <f>+'G1 CAMB'!C60</f>
        <v>SECRF</v>
      </c>
      <c r="D58" s="253"/>
      <c r="E58" s="154">
        <f t="shared" si="6"/>
        <v>0</v>
      </c>
      <c r="G58" s="254">
        <f t="shared" si="9"/>
        <v>0</v>
      </c>
      <c r="I58" s="154">
        <f t="shared" si="7"/>
        <v>1483.4711613991053</v>
      </c>
      <c r="J58" s="254">
        <f t="shared" si="10"/>
        <v>2.7127787158794943E-2</v>
      </c>
      <c r="L58" s="154">
        <f t="shared" si="8"/>
        <v>1483.4711613991053</v>
      </c>
      <c r="N58" s="254">
        <f t="shared" si="11"/>
        <v>2.7127787158794943E-2</v>
      </c>
    </row>
    <row r="59" spans="1:14" ht="14" x14ac:dyDescent="0.3">
      <c r="A59" s="151">
        <f>IF(B59&lt;&gt;"",COUNTA($B$13:B59),"")</f>
        <v>42</v>
      </c>
      <c r="B59" s="130" t="str">
        <f>+'G1 CAMB'!B61</f>
        <v>Vegetation Management</v>
      </c>
      <c r="C59" s="253" t="str">
        <f>+'G1 CAMB'!C61</f>
        <v>RTWF</v>
      </c>
      <c r="D59" s="253"/>
      <c r="E59" s="154">
        <f t="shared" si="6"/>
        <v>0</v>
      </c>
      <c r="G59" s="254">
        <f t="shared" si="9"/>
        <v>0</v>
      </c>
      <c r="I59" s="154">
        <f t="shared" si="7"/>
        <v>7148.6250046072091</v>
      </c>
      <c r="J59" s="254">
        <f t="shared" si="10"/>
        <v>0.13072473712271307</v>
      </c>
      <c r="L59" s="154">
        <f t="shared" si="8"/>
        <v>7148.6250046072091</v>
      </c>
      <c r="N59" s="254">
        <f t="shared" si="11"/>
        <v>0.13072473712271307</v>
      </c>
    </row>
    <row r="60" spans="1:14" ht="14" x14ac:dyDescent="0.3">
      <c r="A60" s="151">
        <f>IF(B60&lt;&gt;"",COUNTA($B$13:B60),"")</f>
        <v>43</v>
      </c>
      <c r="B60" s="130" t="str">
        <f>+'G1 CAMB'!B62</f>
        <v>Solar Massachusetts Renewable Target</v>
      </c>
      <c r="C60" s="253" t="str">
        <f>+'G1 CAMB'!C62</f>
        <v>SMART</v>
      </c>
      <c r="D60" s="253"/>
      <c r="E60" s="154">
        <f t="shared" si="6"/>
        <v>0</v>
      </c>
      <c r="G60" s="254">
        <f t="shared" si="9"/>
        <v>0</v>
      </c>
      <c r="I60" s="154">
        <f t="shared" si="7"/>
        <v>1738.0946388056166</v>
      </c>
      <c r="J60" s="254">
        <f t="shared" si="10"/>
        <v>3.1784009457178908E-2</v>
      </c>
      <c r="L60" s="154">
        <f t="shared" si="8"/>
        <v>1738.0946388056166</v>
      </c>
      <c r="N60" s="254">
        <f t="shared" si="11"/>
        <v>3.1784009457178908E-2</v>
      </c>
    </row>
    <row r="61" spans="1:14" ht="14" x14ac:dyDescent="0.3">
      <c r="A61" s="151">
        <f>IF(B61&lt;&gt;"",COUNTA($B$13:B61),"")</f>
        <v>44</v>
      </c>
      <c r="B61" s="130" t="str">
        <f>+'G1 CAMB'!B63</f>
        <v>Tax Act Credit Factor</v>
      </c>
      <c r="C61" s="253" t="str">
        <f>+'G1 CAMB'!C63</f>
        <v>TACF</v>
      </c>
      <c r="D61" s="253"/>
      <c r="E61" s="154">
        <f t="shared" si="6"/>
        <v>0</v>
      </c>
      <c r="G61" s="254">
        <f t="shared" si="9"/>
        <v>0</v>
      </c>
      <c r="I61" s="154">
        <f t="shared" si="7"/>
        <v>-2631.1849200000001</v>
      </c>
      <c r="J61" s="254">
        <f t="shared" si="10"/>
        <v>-4.8115680535287253E-2</v>
      </c>
      <c r="L61" s="154">
        <f t="shared" si="8"/>
        <v>-2631.1849200000001</v>
      </c>
      <c r="N61" s="254">
        <f t="shared" si="11"/>
        <v>-4.8115680535287253E-2</v>
      </c>
    </row>
    <row r="62" spans="1:14" ht="14" x14ac:dyDescent="0.3">
      <c r="A62" s="151">
        <f>IF(B62&lt;&gt;"",COUNTA($B$13:B62),"")</f>
        <v>45</v>
      </c>
      <c r="B62" s="130" t="str">
        <f>+'G1 CAMB'!B64</f>
        <v>Transition</v>
      </c>
      <c r="C62" s="253" t="str">
        <f>+'G1 CAMB'!C64</f>
        <v>TRNSN</v>
      </c>
      <c r="D62" s="253"/>
      <c r="E62" s="154">
        <f t="shared" si="6"/>
        <v>-3335.7582878265694</v>
      </c>
      <c r="G62" s="254">
        <f t="shared" si="9"/>
        <v>-6.0999999999999999E-2</v>
      </c>
      <c r="I62" s="154">
        <f t="shared" si="7"/>
        <v>-2849.5754220487343</v>
      </c>
      <c r="J62" s="254">
        <f t="shared" si="10"/>
        <v>-5.2109321403568713E-2</v>
      </c>
      <c r="L62" s="154">
        <f t="shared" si="8"/>
        <v>486.1828657778351</v>
      </c>
      <c r="N62" s="254">
        <f t="shared" si="11"/>
        <v>8.8906785964312819E-3</v>
      </c>
    </row>
    <row r="63" spans="1:14" ht="14" x14ac:dyDescent="0.3">
      <c r="A63" s="151">
        <f>IF(B63&lt;&gt;"",COUNTA($B$13:B63),"")</f>
        <v>46</v>
      </c>
      <c r="B63" s="130" t="str">
        <f>+'G1 CAMB'!B65</f>
        <v>Transmission</v>
      </c>
      <c r="C63" s="253" t="str">
        <f>+'G1 CAMB'!C65</f>
        <v>TRNSM</v>
      </c>
      <c r="D63" s="253"/>
      <c r="E63" s="154">
        <f>SUM(SUMIF($C$13:$C$38,{"TMKW","TMKWH"},$I$13:$I$38))</f>
        <v>137329.02220224825</v>
      </c>
      <c r="G63" s="254">
        <f t="shared" si="9"/>
        <v>2.5112941740737655</v>
      </c>
      <c r="I63" s="154">
        <f>SUM(SUMIF($C$13:$C$38,{"TMKW","TMKWH"},$N$13:$N$38))</f>
        <v>104719.46343147091</v>
      </c>
      <c r="J63" s="254">
        <f t="shared" si="10"/>
        <v>1.9149730640351001</v>
      </c>
      <c r="L63" s="154">
        <f t="shared" si="8"/>
        <v>-32609.558770777337</v>
      </c>
      <c r="N63" s="254">
        <f t="shared" si="11"/>
        <v>-0.59632111003866539</v>
      </c>
    </row>
    <row r="64" spans="1:14" ht="14" x14ac:dyDescent="0.3">
      <c r="A64" s="151">
        <f>IF(B64&lt;&gt;"",COUNTA($B$13:B64),"")</f>
        <v>47</v>
      </c>
      <c r="B64" s="130" t="str">
        <f>+'G1 CAMB'!B66</f>
        <v>Energy Efficiency Reconciliation Factor</v>
      </c>
      <c r="C64" s="253" t="str">
        <f>+'G1 CAMB'!C66</f>
        <v>EERF</v>
      </c>
      <c r="D64" s="253"/>
      <c r="E64" s="154">
        <f>SUMIF($C$13:$C$38,$C64,$I$13:$I$38)</f>
        <v>46263.139532807836</v>
      </c>
      <c r="G64" s="254">
        <f t="shared" si="9"/>
        <v>0.84600000000000009</v>
      </c>
      <c r="I64" s="154">
        <f>SUMIF($C$13:$C$38,$C64,$N$13:$N$38)</f>
        <v>46263.139532807836</v>
      </c>
      <c r="J64" s="254">
        <f t="shared" si="10"/>
        <v>0.84600000000000009</v>
      </c>
      <c r="L64" s="154">
        <f t="shared" si="8"/>
        <v>0</v>
      </c>
      <c r="N64" s="254">
        <f t="shared" si="11"/>
        <v>0</v>
      </c>
    </row>
    <row r="65" spans="1:14" ht="14" x14ac:dyDescent="0.3">
      <c r="A65" s="151">
        <f>IF(B65&lt;&gt;"",COUNTA($B$13:B65),"")</f>
        <v>48</v>
      </c>
      <c r="B65" s="130" t="str">
        <f>+'G1 CAMB'!B67</f>
        <v>System Benefits Charge</v>
      </c>
      <c r="C65" s="253" t="str">
        <f>+'G1 CAMB'!C67</f>
        <v>SBC</v>
      </c>
      <c r="D65" s="253"/>
      <c r="E65" s="154">
        <f>SUMIF($C$13:$C$38,$C65,$I$13:$I$38)</f>
        <v>13671.140523879383</v>
      </c>
      <c r="G65" s="254">
        <f t="shared" si="9"/>
        <v>0.25</v>
      </c>
      <c r="I65" s="154">
        <f>SUMIF($C$13:$C$38,$C65,$N$13:$N$38)</f>
        <v>13671.140523879383</v>
      </c>
      <c r="J65" s="254">
        <f t="shared" si="10"/>
        <v>0.25</v>
      </c>
      <c r="L65" s="154">
        <f t="shared" si="8"/>
        <v>0</v>
      </c>
      <c r="N65" s="254">
        <f t="shared" si="11"/>
        <v>0</v>
      </c>
    </row>
    <row r="66" spans="1:14" ht="14" x14ac:dyDescent="0.3">
      <c r="A66" s="151">
        <f>IF(B66&lt;&gt;"",COUNTA($B$13:B66),"")</f>
        <v>49</v>
      </c>
      <c r="B66" s="130" t="str">
        <f>+'G1 CAMB'!B68</f>
        <v>Renewable Energy Charge</v>
      </c>
      <c r="C66" s="253" t="str">
        <f>+'G1 CAMB'!C68</f>
        <v>RNEW</v>
      </c>
      <c r="D66" s="253"/>
      <c r="E66" s="154">
        <f>SUMIF($C$13:$C$38,$C66,$I$13:$I$38)</f>
        <v>2734.228104775877</v>
      </c>
      <c r="G66" s="254">
        <f t="shared" si="9"/>
        <v>0.05</v>
      </c>
      <c r="I66" s="154">
        <f>SUMIF($C$13:$C$38,$C66,$N$13:$N$38)</f>
        <v>2734.228104775877</v>
      </c>
      <c r="J66" s="254">
        <f t="shared" si="10"/>
        <v>0.05</v>
      </c>
      <c r="L66" s="154">
        <f>I66-E66</f>
        <v>0</v>
      </c>
      <c r="N66" s="254">
        <f t="shared" si="11"/>
        <v>0</v>
      </c>
    </row>
    <row r="67" spans="1:14" ht="14" x14ac:dyDescent="0.3">
      <c r="A67" s="151">
        <f>IF(B67&lt;&gt;"",COUNTA($B$13:B67),"")</f>
        <v>50</v>
      </c>
      <c r="B67" s="130" t="str">
        <f>+'G1 CAMB'!B69</f>
        <v>Basic Service Charge</v>
      </c>
      <c r="C67" s="253" t="str">
        <f>+'G1 CAMB'!C69</f>
        <v>BS</v>
      </c>
      <c r="D67" s="253"/>
      <c r="E67" s="255">
        <f>SUMIF($C$13:$C$38,$C67,$I$13:$I$38)</f>
        <v>623568.06157518644</v>
      </c>
      <c r="F67" s="256"/>
      <c r="G67" s="257">
        <f t="shared" si="9"/>
        <v>11.402999999999999</v>
      </c>
      <c r="H67" s="258"/>
      <c r="I67" s="255">
        <f>SUMIF($C$13:$C$38,$C67,$N$13:$N$38)</f>
        <v>721015.95122939884</v>
      </c>
      <c r="J67" s="257">
        <f t="shared" si="10"/>
        <v>13.185000000000002</v>
      </c>
      <c r="K67" s="255"/>
      <c r="L67" s="255">
        <f t="shared" si="8"/>
        <v>97447.889654212398</v>
      </c>
      <c r="M67" s="259"/>
      <c r="N67" s="257">
        <f t="shared" si="11"/>
        <v>1.7820000000000027</v>
      </c>
    </row>
    <row r="68" spans="1:14" ht="14" x14ac:dyDescent="0.3">
      <c r="A68" s="151">
        <f>IF(B68&lt;&gt;"",COUNTA($B$13:B68),"")</f>
        <v>51</v>
      </c>
      <c r="B68" s="130" t="str">
        <f>+'G1 CAMB'!B70</f>
        <v>Total</v>
      </c>
      <c r="C68" s="130"/>
      <c r="D68" s="130"/>
      <c r="E68" s="154">
        <f>SUM(E47:E67)</f>
        <v>982248.17807357805</v>
      </c>
      <c r="G68" s="254">
        <f t="shared" si="9"/>
        <v>17.962074494770299</v>
      </c>
      <c r="I68" s="154">
        <f>SUM(I47:I67)</f>
        <v>1057530.9174280975</v>
      </c>
      <c r="J68" s="254">
        <f t="shared" si="10"/>
        <v>19.338747114421579</v>
      </c>
      <c r="L68" s="154">
        <f>SUM(L47:L67)</f>
        <v>75282.739354519319</v>
      </c>
      <c r="N68" s="254">
        <f t="shared" si="11"/>
        <v>1.376672619651282</v>
      </c>
    </row>
    <row r="69" spans="1:14" ht="14" x14ac:dyDescent="0.3">
      <c r="A69" s="151" t="str">
        <f>IF(B69&lt;&gt;"",COUNTA($B$10:B69),"")</f>
        <v/>
      </c>
    </row>
    <row r="70" spans="1:14" ht="14" x14ac:dyDescent="0.3">
      <c r="A70" s="151"/>
      <c r="B70" s="256" t="s">
        <v>164</v>
      </c>
      <c r="E70" s="188"/>
      <c r="G70" s="188"/>
      <c r="H70" s="188"/>
      <c r="I70" s="188"/>
      <c r="J70" s="188"/>
      <c r="K70" s="188"/>
      <c r="L70" s="188"/>
      <c r="M70" s="188"/>
      <c r="N70" s="188"/>
    </row>
    <row r="71" spans="1:14" ht="14" x14ac:dyDescent="0.3">
      <c r="A71" s="151"/>
      <c r="B71" s="130" t="str">
        <f>+'G1 CAMB'!B73</f>
        <v>Col. (a): Company's forecast</v>
      </c>
    </row>
    <row r="72" spans="1:14" ht="14" x14ac:dyDescent="0.3">
      <c r="A72" s="151"/>
      <c r="B72" s="130" t="str">
        <f>+'G1 CAMB'!B74</f>
        <v>Col. (b): Current rates</v>
      </c>
    </row>
    <row r="73" spans="1:14" ht="14" x14ac:dyDescent="0.3">
      <c r="A73" s="151"/>
      <c r="B73" s="130" t="str">
        <f>+'G1 CAMB'!B75</f>
        <v>Col. (c): Col. (a) x Col. (b)</v>
      </c>
    </row>
    <row r="74" spans="1:14" ht="14" x14ac:dyDescent="0.3">
      <c r="A74" s="151"/>
      <c r="B74" s="130" t="str">
        <f>+'G1 CAMB'!B76</f>
        <v>Col. (e): Proposed rates</v>
      </c>
    </row>
    <row r="75" spans="1:14" ht="14" x14ac:dyDescent="0.3">
      <c r="A75" s="151"/>
      <c r="B75" s="130" t="s">
        <v>439</v>
      </c>
    </row>
  </sheetData>
  <mergeCells count="6">
    <mergeCell ref="A4:N4"/>
    <mergeCell ref="A5:N5"/>
    <mergeCell ref="A7:N7"/>
    <mergeCell ref="A8:N8"/>
    <mergeCell ref="G10:I10"/>
    <mergeCell ref="L10:N10"/>
  </mergeCells>
  <pageMargins left="0.7" right="0.7" top="0.75" bottom="0.75" header="0.3" footer="0.3"/>
  <pageSetup scale="66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3A561-C78A-4DA6-8E15-E8E37A9FD125}">
  <sheetPr>
    <tabColor theme="9" tint="0.59999389629810485"/>
    <pageSetUpPr fitToPage="1"/>
  </sheetPr>
  <dimension ref="A3:N77"/>
  <sheetViews>
    <sheetView workbookViewId="0"/>
  </sheetViews>
  <sheetFormatPr defaultRowHeight="12.5" x14ac:dyDescent="0.25"/>
  <cols>
    <col min="1" max="1" width="3.26953125" bestFit="1" customWidth="1"/>
    <col min="2" max="2" width="41.1796875" customWidth="1"/>
    <col min="3" max="3" width="8.7265625" bestFit="1" customWidth="1"/>
    <col min="4" max="4" width="1.26953125" customWidth="1"/>
    <col min="5" max="5" width="13.7265625" bestFit="1" customWidth="1"/>
    <col min="6" max="6" width="1.26953125" customWidth="1"/>
    <col min="7" max="7" width="12.7265625" customWidth="1"/>
    <col min="8" max="8" width="1.26953125" customWidth="1"/>
    <col min="9" max="9" width="12" bestFit="1" customWidth="1"/>
    <col min="11" max="11" width="1.26953125" customWidth="1"/>
    <col min="12" max="12" width="12.7265625" customWidth="1"/>
    <col min="13" max="13" width="1.26953125" customWidth="1"/>
    <col min="14" max="14" width="12" bestFit="1" customWidth="1"/>
  </cols>
  <sheetData>
    <row r="3" spans="1:14" ht="14" x14ac:dyDescent="0.3">
      <c r="A3" s="268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</row>
    <row r="4" spans="1:14" ht="14" x14ac:dyDescent="0.3">
      <c r="A4" s="748" t="str">
        <f>'R1 EMA'!A4:N4</f>
        <v>Eastern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4" ht="14" x14ac:dyDescent="0.3">
      <c r="A5" s="748" t="str">
        <f>'R1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4" ht="14" x14ac:dyDescent="0.3">
      <c r="A6" s="205"/>
      <c r="C6" s="205"/>
      <c r="D6" s="205"/>
      <c r="E6" s="206"/>
      <c r="F6" s="207"/>
      <c r="G6" s="208"/>
      <c r="H6" s="209"/>
      <c r="I6" s="210"/>
      <c r="J6" s="210"/>
      <c r="K6" s="210"/>
      <c r="L6" s="211"/>
      <c r="M6" s="211"/>
      <c r="N6" s="212"/>
    </row>
    <row r="7" spans="1:14" ht="14" x14ac:dyDescent="0.3">
      <c r="A7" s="748" t="s">
        <v>424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4" ht="14" x14ac:dyDescent="0.3">
      <c r="A8" s="748" t="s">
        <v>440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4" ht="14" x14ac:dyDescent="0.3">
      <c r="B9" s="207"/>
      <c r="C9" s="207"/>
      <c r="D9" s="207"/>
      <c r="E9" s="213"/>
      <c r="F9" s="207"/>
      <c r="I9" s="210"/>
      <c r="J9" s="210"/>
      <c r="K9" s="210"/>
      <c r="L9" s="214"/>
      <c r="M9" s="214"/>
      <c r="N9" s="215"/>
    </row>
    <row r="10" spans="1:14" ht="14.5" thickBot="1" x14ac:dyDescent="0.35">
      <c r="A10" s="151"/>
      <c r="B10" s="216" t="s">
        <v>46</v>
      </c>
      <c r="C10" s="216"/>
      <c r="D10" s="216"/>
      <c r="E10" s="217" t="s">
        <v>144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4" ht="14" x14ac:dyDescent="0.3">
      <c r="A11" s="151"/>
      <c r="B11" s="219" t="s">
        <v>293</v>
      </c>
      <c r="C11" s="220" t="s">
        <v>294</v>
      </c>
      <c r="D11" s="220"/>
      <c r="E11" s="221" t="s">
        <v>295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4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4" ht="14" x14ac:dyDescent="0.3">
      <c r="A13" s="151">
        <f>IF(B13&lt;&gt;"",COUNTA($B$13:B13),"")</f>
        <v>1</v>
      </c>
      <c r="B13" s="232" t="s">
        <v>296</v>
      </c>
      <c r="C13" s="233" t="s">
        <v>297</v>
      </c>
      <c r="D13" s="233"/>
      <c r="E13" s="234">
        <v>715.30662747307429</v>
      </c>
      <c r="F13" s="207"/>
      <c r="G13" s="209">
        <v>8</v>
      </c>
      <c r="H13" s="209"/>
      <c r="I13" s="210">
        <f>G13*E13</f>
        <v>5722.4530197845943</v>
      </c>
      <c r="J13" s="235"/>
      <c r="K13" s="210"/>
      <c r="L13" s="209">
        <v>8</v>
      </c>
      <c r="M13" s="211"/>
      <c r="N13" s="210">
        <f>L13*E13</f>
        <v>5722.4530197845943</v>
      </c>
    </row>
    <row r="14" spans="1:14" ht="14" x14ac:dyDescent="0.3">
      <c r="A14" s="151">
        <f>IF(B14&lt;&gt;"",COUNTA($B$13:B14),"")</f>
        <v>2</v>
      </c>
      <c r="B14" s="293" t="s">
        <v>441</v>
      </c>
      <c r="C14" s="233" t="s">
        <v>442</v>
      </c>
      <c r="D14" s="233"/>
      <c r="E14" s="234">
        <v>1991194.0238880739</v>
      </c>
      <c r="F14" s="207"/>
      <c r="G14" s="236">
        <v>1.77E-2</v>
      </c>
      <c r="H14" s="209"/>
      <c r="I14" s="210">
        <f t="shared" ref="I14:I15" si="0">G14*E14</f>
        <v>35244.13422281891</v>
      </c>
      <c r="J14" s="235"/>
      <c r="K14" s="210"/>
      <c r="L14" s="236">
        <v>1.831E-2</v>
      </c>
      <c r="M14" s="211"/>
      <c r="N14" s="210">
        <f t="shared" ref="N14:N15" si="1">L14*E14</f>
        <v>36458.762577390633</v>
      </c>
    </row>
    <row r="15" spans="1:14" ht="14" x14ac:dyDescent="0.3">
      <c r="A15" s="151">
        <f>IF(B15&lt;&gt;"",COUNTA($B$13:B15),"")</f>
        <v>3</v>
      </c>
      <c r="B15" s="293" t="s">
        <v>443</v>
      </c>
      <c r="C15" s="233" t="s">
        <v>444</v>
      </c>
      <c r="D15" s="233"/>
      <c r="E15" s="234">
        <v>5111707.0553980432</v>
      </c>
      <c r="F15" s="207"/>
      <c r="G15" s="236">
        <v>2.3259999999999999E-2</v>
      </c>
      <c r="H15" s="209"/>
      <c r="I15" s="210">
        <f t="shared" si="0"/>
        <v>118898.30610855848</v>
      </c>
      <c r="J15" s="235"/>
      <c r="K15" s="210"/>
      <c r="L15" s="236">
        <v>2.4070000000000001E-2</v>
      </c>
      <c r="M15" s="211"/>
      <c r="N15" s="210">
        <f t="shared" si="1"/>
        <v>123038.78882343091</v>
      </c>
    </row>
    <row r="16" spans="1:14" ht="14" x14ac:dyDescent="0.3">
      <c r="A16" s="151">
        <f>IF(B16&lt;&gt;"",COUNTA($B$13:B16),"")</f>
        <v>4</v>
      </c>
      <c r="B16" s="207" t="s">
        <v>352</v>
      </c>
      <c r="C16" s="233" t="s">
        <v>299</v>
      </c>
      <c r="D16" s="233"/>
      <c r="E16" s="234">
        <v>7102901.0792861171</v>
      </c>
      <c r="F16" s="207"/>
      <c r="G16" s="236"/>
      <c r="H16" s="209"/>
      <c r="I16" s="237"/>
      <c r="J16" s="235"/>
      <c r="K16" s="210"/>
      <c r="L16" s="281"/>
      <c r="M16" s="211"/>
      <c r="N16" s="237"/>
    </row>
    <row r="17" spans="1:14" ht="14" x14ac:dyDescent="0.3">
      <c r="A17" s="151">
        <f>IF(B17&lt;&gt;"",COUNTA($B$13:B17),"")</f>
        <v>5</v>
      </c>
      <c r="B17" s="207" t="s">
        <v>300</v>
      </c>
      <c r="C17" s="233" t="s">
        <v>301</v>
      </c>
      <c r="D17" s="233"/>
      <c r="E17" s="234"/>
      <c r="F17" s="207"/>
      <c r="G17" s="209"/>
      <c r="H17" s="209"/>
      <c r="I17" s="210">
        <f>SUM(I13:I16)</f>
        <v>159864.89335116197</v>
      </c>
      <c r="J17" s="235"/>
      <c r="K17" s="210"/>
      <c r="L17" s="238"/>
      <c r="M17" s="211"/>
      <c r="N17" s="210">
        <f>SUM(N13:N16)</f>
        <v>165220.00442060613</v>
      </c>
    </row>
    <row r="18" spans="1:14" ht="14" x14ac:dyDescent="0.3">
      <c r="A18" s="151" t="str">
        <f>IF(B18&lt;&gt;"",COUNTA($B$13:B18),"")</f>
        <v/>
      </c>
      <c r="B18" s="207"/>
      <c r="C18" s="233"/>
      <c r="D18" s="233"/>
      <c r="E18" s="234"/>
      <c r="F18" s="207"/>
      <c r="G18" s="209"/>
      <c r="H18" s="209"/>
      <c r="I18" s="210"/>
      <c r="J18" s="235"/>
      <c r="K18" s="210"/>
      <c r="L18" s="238"/>
      <c r="M18" s="211"/>
      <c r="N18" s="210"/>
    </row>
    <row r="19" spans="1:14" ht="14" x14ac:dyDescent="0.3">
      <c r="A19" s="151">
        <f>IF(B19&lt;&gt;"",COUNTA($B$13:B19),"")</f>
        <v>6</v>
      </c>
      <c r="B19" s="228" t="s">
        <v>302</v>
      </c>
      <c r="F19" s="239"/>
      <c r="G19" s="240"/>
      <c r="H19" s="211"/>
      <c r="I19" s="210"/>
      <c r="K19" s="210"/>
      <c r="L19" s="241"/>
      <c r="M19" s="211"/>
      <c r="N19" s="210"/>
    </row>
    <row r="20" spans="1:14" ht="14" x14ac:dyDescent="0.3">
      <c r="A20" s="151">
        <f>IF(B20&lt;&gt;"",COUNTA($B$13:B20),"")</f>
        <v>7</v>
      </c>
      <c r="B20" s="207" t="str">
        <f>+'G1 CAMB'!B21</f>
        <v>Revenue Decoupling</v>
      </c>
      <c r="C20" s="233" t="str">
        <f>+'G1 CAMB'!C21</f>
        <v>RDAF</v>
      </c>
      <c r="D20" s="233"/>
      <c r="E20" s="242"/>
      <c r="F20" s="239"/>
      <c r="G20" s="236">
        <v>0</v>
      </c>
      <c r="H20" s="211"/>
      <c r="I20" s="210">
        <f>G20*$E$16</f>
        <v>0</v>
      </c>
      <c r="K20" s="210"/>
      <c r="L20" s="236">
        <v>-2.3807455859051839E-4</v>
      </c>
      <c r="M20" s="211"/>
      <c r="N20" s="210">
        <f>L20*$E$16</f>
        <v>-1691.020039163159</v>
      </c>
    </row>
    <row r="21" spans="1:14" ht="14" x14ac:dyDescent="0.3">
      <c r="A21" s="151">
        <f>IF(B21&lt;&gt;"",COUNTA($B$13:B21),"")</f>
        <v>8</v>
      </c>
      <c r="B21" s="207" t="str">
        <f>+'G1 CAMB'!B22</f>
        <v>Residential Assistance Adjustment Factor</v>
      </c>
      <c r="C21" s="233" t="str">
        <f>+'G1 CAMB'!C22</f>
        <v>RAAF</v>
      </c>
      <c r="D21" s="243"/>
      <c r="E21" s="206"/>
      <c r="F21" s="239"/>
      <c r="G21" s="236">
        <v>1.41E-3</v>
      </c>
      <c r="H21" s="211"/>
      <c r="I21" s="210">
        <f t="shared" ref="I21:I34" si="2">G21*$E$16</f>
        <v>10015.090521793425</v>
      </c>
      <c r="K21" s="210"/>
      <c r="L21" s="236">
        <v>2.0113178994873647E-3</v>
      </c>
      <c r="M21" s="211"/>
      <c r="N21" s="210">
        <f t="shared" ref="N21:N34" si="3">L21*$E$16</f>
        <v>14286.192079056289</v>
      </c>
    </row>
    <row r="22" spans="1:14" ht="14" x14ac:dyDescent="0.3">
      <c r="A22" s="151">
        <f>IF(B22&lt;&gt;"",COUNTA($B$13:B22),"")</f>
        <v>9</v>
      </c>
      <c r="B22" s="207" t="str">
        <f>+'G1 CAMB'!B23</f>
        <v>Pension Adjustment Factor</v>
      </c>
      <c r="C22" s="233" t="str">
        <f>+'G1 CAMB'!C23</f>
        <v>PAF</v>
      </c>
      <c r="D22" s="243"/>
      <c r="E22" s="206"/>
      <c r="F22" s="239"/>
      <c r="G22" s="236">
        <v>-9.0000000000000006E-5</v>
      </c>
      <c r="H22" s="211"/>
      <c r="I22" s="210">
        <f t="shared" si="2"/>
        <v>-639.26109713575056</v>
      </c>
      <c r="K22" s="210"/>
      <c r="L22" s="236">
        <v>8.8337757197778845E-4</v>
      </c>
      <c r="M22" s="211"/>
      <c r="N22" s="210">
        <f t="shared" si="3"/>
        <v>6274.543509418183</v>
      </c>
    </row>
    <row r="23" spans="1:14" ht="14" x14ac:dyDescent="0.3">
      <c r="A23" s="151">
        <f>IF(B23&lt;&gt;"",COUNTA($B$13:B23),"")</f>
        <v>10</v>
      </c>
      <c r="B23" s="207" t="str">
        <f>+'G1 CAMB'!B24</f>
        <v>Net Metering Recovery Surcharge</v>
      </c>
      <c r="C23" s="233" t="str">
        <f>+'G1 CAMB'!C24</f>
        <v>NMRS</v>
      </c>
      <c r="D23" s="243"/>
      <c r="E23" s="206"/>
      <c r="F23" s="239"/>
      <c r="G23" s="236">
        <v>2.7899999999999999E-3</v>
      </c>
      <c r="H23" s="211"/>
      <c r="I23" s="210">
        <f t="shared" si="2"/>
        <v>19817.094011208268</v>
      </c>
      <c r="K23" s="210"/>
      <c r="L23" s="236">
        <v>2.6225972052469747E-3</v>
      </c>
      <c r="M23" s="211"/>
      <c r="N23" s="210">
        <f t="shared" si="3"/>
        <v>18628.048519681492</v>
      </c>
    </row>
    <row r="24" spans="1:14" ht="14" x14ac:dyDescent="0.3">
      <c r="A24" s="151">
        <f>IF(B24&lt;&gt;"",COUNTA($B$13:B24),"")</f>
        <v>11</v>
      </c>
      <c r="B24" s="207" t="str">
        <f>+'G1 CAMB'!B25</f>
        <v>Long Term Renewable Contract Adjustment</v>
      </c>
      <c r="C24" s="233" t="str">
        <f>+'G1 CAMB'!C25</f>
        <v>LTRCA</v>
      </c>
      <c r="D24" s="243"/>
      <c r="E24" s="206"/>
      <c r="F24" s="239"/>
      <c r="G24" s="236">
        <v>2.3600000000000001E-3</v>
      </c>
      <c r="H24" s="211"/>
      <c r="I24" s="210">
        <f t="shared" si="2"/>
        <v>16762.846547115238</v>
      </c>
      <c r="K24" s="210"/>
      <c r="L24" s="236">
        <v>1.7357128782064517E-3</v>
      </c>
      <c r="M24" s="211"/>
      <c r="N24" s="210">
        <f t="shared" si="3"/>
        <v>12328.596875943418</v>
      </c>
    </row>
    <row r="25" spans="1:14" ht="14" x14ac:dyDescent="0.3">
      <c r="A25" s="151">
        <f>IF(B25&lt;&gt;"",COUNTA($B$13:B25),"")</f>
        <v>12</v>
      </c>
      <c r="B25" s="207" t="str">
        <f>+'G1 CAMB'!B26</f>
        <v>AG Consulting Expense</v>
      </c>
      <c r="C25" s="233" t="str">
        <f>+'G1 CAMB'!C26</f>
        <v>AGCE</v>
      </c>
      <c r="D25" s="243"/>
      <c r="E25" s="206"/>
      <c r="F25" s="239"/>
      <c r="G25" s="236">
        <v>2.0000000000000002E-5</v>
      </c>
      <c r="H25" s="211"/>
      <c r="I25" s="210">
        <f t="shared" si="2"/>
        <v>142.05802158572234</v>
      </c>
      <c r="K25" s="210"/>
      <c r="L25" s="236">
        <v>4.2230173043036776E-6</v>
      </c>
      <c r="M25" s="211"/>
      <c r="N25" s="210">
        <f t="shared" si="3"/>
        <v>29.995674168582539</v>
      </c>
    </row>
    <row r="26" spans="1:14" ht="14" x14ac:dyDescent="0.3">
      <c r="A26" s="151">
        <f>IF(B26&lt;&gt;"",COUNTA($B$13:B26),"")</f>
        <v>13</v>
      </c>
      <c r="B26" s="207" t="str">
        <f>+'G1 CAMB'!B27</f>
        <v>Storm Cost Recovery Adjustment Factor</v>
      </c>
      <c r="C26" s="233" t="str">
        <f>+'G1 CAMB'!C27</f>
        <v>SCRA</v>
      </c>
      <c r="D26" s="243"/>
      <c r="E26" s="206"/>
      <c r="F26" s="239"/>
      <c r="G26" s="236">
        <v>8.7000000000000001E-4</v>
      </c>
      <c r="H26" s="211"/>
      <c r="I26" s="210">
        <f t="shared" si="2"/>
        <v>6179.5239389789222</v>
      </c>
      <c r="K26" s="210"/>
      <c r="L26" s="236">
        <v>1.4877804656102493E-3</v>
      </c>
      <c r="M26" s="211"/>
      <c r="N26" s="210">
        <f t="shared" si="3"/>
        <v>10567.557474923842</v>
      </c>
    </row>
    <row r="27" spans="1:14" ht="14" x14ac:dyDescent="0.3">
      <c r="A27" s="151">
        <f>IF(B27&lt;&gt;"",COUNTA($B$13:B27),"")</f>
        <v>14</v>
      </c>
      <c r="B27" s="207" t="str">
        <f>+'G1 CAMB'!B28</f>
        <v>Storm Reserve Adjustment</v>
      </c>
      <c r="C27" s="233" t="str">
        <f>+'G1 CAMB'!C28</f>
        <v>SRA</v>
      </c>
      <c r="D27" s="243"/>
      <c r="E27" s="206"/>
      <c r="F27" s="239"/>
      <c r="G27" s="236">
        <v>0</v>
      </c>
      <c r="H27" s="211"/>
      <c r="I27" s="210">
        <f t="shared" si="2"/>
        <v>0</v>
      </c>
      <c r="K27" s="210"/>
      <c r="L27" s="236">
        <v>0</v>
      </c>
      <c r="M27" s="211"/>
      <c r="N27" s="210">
        <f t="shared" si="3"/>
        <v>0</v>
      </c>
    </row>
    <row r="28" spans="1:14" ht="14" x14ac:dyDescent="0.3">
      <c r="A28" s="151">
        <f>IF(B28&lt;&gt;"",COUNTA($B$13:B28),"")</f>
        <v>15</v>
      </c>
      <c r="B28" s="207" t="str">
        <f>+'G1 CAMB'!B29</f>
        <v>Basic Service Cost True Up Factor</v>
      </c>
      <c r="C28" s="233" t="str">
        <f>+'G1 CAMB'!C29</f>
        <v>BSTF</v>
      </c>
      <c r="D28" s="243"/>
      <c r="E28" s="206"/>
      <c r="F28" s="239"/>
      <c r="G28" s="236">
        <v>7.5000000000000002E-4</v>
      </c>
      <c r="H28" s="211"/>
      <c r="I28" s="210">
        <f t="shared" si="2"/>
        <v>5327.1758094645884</v>
      </c>
      <c r="K28" s="210"/>
      <c r="L28" s="236">
        <v>-9.9806522818556893E-5</v>
      </c>
      <c r="M28" s="211"/>
      <c r="N28" s="210">
        <f t="shared" si="3"/>
        <v>-708.91585864772219</v>
      </c>
    </row>
    <row r="29" spans="1:14" ht="14" x14ac:dyDescent="0.3">
      <c r="A29" s="151">
        <f>IF(B29&lt;&gt;"",COUNTA($B$13:B29),"")</f>
        <v>16</v>
      </c>
      <c r="B29" s="207" t="str">
        <f>+'G1 CAMB'!B30</f>
        <v>Solar Program Cost Adjustment Factor</v>
      </c>
      <c r="C29" s="233" t="str">
        <f>+'G1 CAMB'!C30</f>
        <v>SPCA</v>
      </c>
      <c r="D29" s="233"/>
      <c r="E29" s="206"/>
      <c r="F29" s="239"/>
      <c r="G29" s="236">
        <v>0</v>
      </c>
      <c r="H29" s="211"/>
      <c r="I29" s="210">
        <f t="shared" si="2"/>
        <v>0</v>
      </c>
      <c r="K29" s="210"/>
      <c r="L29" s="236">
        <v>1.7762019688196871E-5</v>
      </c>
      <c r="M29" s="211"/>
      <c r="N29" s="210">
        <f t="shared" si="3"/>
        <v>126.16186881359481</v>
      </c>
    </row>
    <row r="30" spans="1:14" ht="14" x14ac:dyDescent="0.3">
      <c r="A30" s="151">
        <f>IF(B30&lt;&gt;"",COUNTA($B$13:B30),"")</f>
        <v>17</v>
      </c>
      <c r="B30" s="207" t="str">
        <f>+'G1 CAMB'!B31</f>
        <v>Solar Expansion Cost Recovery Factor</v>
      </c>
      <c r="C30" s="233" t="str">
        <f>+'G1 CAMB'!C31</f>
        <v>SECRF</v>
      </c>
      <c r="D30" s="233"/>
      <c r="E30" s="206"/>
      <c r="F30" s="239"/>
      <c r="G30" s="236">
        <v>0</v>
      </c>
      <c r="H30" s="211"/>
      <c r="I30" s="210">
        <f t="shared" si="2"/>
        <v>0</v>
      </c>
      <c r="K30" s="210"/>
      <c r="L30" s="236">
        <v>3.132813926675583E-4</v>
      </c>
      <c r="M30" s="211"/>
      <c r="N30" s="210">
        <f t="shared" si="3"/>
        <v>2225.2067420986577</v>
      </c>
    </row>
    <row r="31" spans="1:14" ht="14" x14ac:dyDescent="0.3">
      <c r="A31" s="151">
        <f>IF(B31&lt;&gt;"",COUNTA($B$13:B31),"")</f>
        <v>18</v>
      </c>
      <c r="B31" s="207" t="str">
        <f>+'G1 CAMB'!B32</f>
        <v>Vegetation Management</v>
      </c>
      <c r="C31" s="233" t="str">
        <f>+'G1 CAMB'!C32</f>
        <v>RTWF</v>
      </c>
      <c r="D31" s="233"/>
      <c r="E31" s="206"/>
      <c r="F31" s="239"/>
      <c r="G31" s="236">
        <v>0</v>
      </c>
      <c r="H31" s="211"/>
      <c r="I31" s="210">
        <f t="shared" si="2"/>
        <v>0</v>
      </c>
      <c r="K31" s="210"/>
      <c r="L31" s="236">
        <v>1.5815444215362083E-3</v>
      </c>
      <c r="M31" s="211"/>
      <c r="N31" s="210">
        <f t="shared" si="3"/>
        <v>11233.553578668472</v>
      </c>
    </row>
    <row r="32" spans="1:14" ht="14" x14ac:dyDescent="0.3">
      <c r="A32" s="151">
        <f>IF(B32&lt;&gt;"",COUNTA($B$13:B32),"")</f>
        <v>19</v>
      </c>
      <c r="B32" s="207" t="str">
        <f>+'G1 CAMB'!B33</f>
        <v>Solar Massachusetts Renewable Target</v>
      </c>
      <c r="C32" s="233" t="str">
        <f>+'G1 CAMB'!C33</f>
        <v>SMART</v>
      </c>
      <c r="D32" s="233"/>
      <c r="E32" s="206"/>
      <c r="F32" s="239"/>
      <c r="G32" s="236">
        <v>0</v>
      </c>
      <c r="H32" s="211"/>
      <c r="I32" s="210">
        <f t="shared" si="2"/>
        <v>0</v>
      </c>
      <c r="K32" s="210"/>
      <c r="L32" s="236">
        <v>3.670531138060645E-4</v>
      </c>
      <c r="M32" s="211"/>
      <c r="N32" s="210">
        <f t="shared" si="3"/>
        <v>2607.1419582084254</v>
      </c>
    </row>
    <row r="33" spans="1:14" ht="14" x14ac:dyDescent="0.3">
      <c r="A33" s="151">
        <f>IF(B33&lt;&gt;"",COUNTA($B$13:B33),"")</f>
        <v>20</v>
      </c>
      <c r="B33" s="207" t="str">
        <f>+'G1 CAMB'!B34</f>
        <v>Tax Act Credit Factor</v>
      </c>
      <c r="C33" s="233" t="str">
        <f>+'G1 CAMB'!C34</f>
        <v>TACF</v>
      </c>
      <c r="D33" s="233"/>
      <c r="E33" s="206"/>
      <c r="F33" s="239"/>
      <c r="G33" s="236">
        <v>0</v>
      </c>
      <c r="H33" s="211"/>
      <c r="I33" s="210">
        <f t="shared" si="2"/>
        <v>0</v>
      </c>
      <c r="K33" s="210"/>
      <c r="L33" s="236">
        <v>-5.556570950297783E-4</v>
      </c>
      <c r="M33" s="211"/>
      <c r="N33" s="210">
        <f t="shared" si="3"/>
        <v>-3946.7773800000009</v>
      </c>
    </row>
    <row r="34" spans="1:14" ht="14" x14ac:dyDescent="0.3">
      <c r="A34" s="151">
        <f>IF(B34&lt;&gt;"",COUNTA($B$13:B34),"")</f>
        <v>21</v>
      </c>
      <c r="B34" s="207" t="str">
        <f>+'G1 CAMB'!B35</f>
        <v>Transition</v>
      </c>
      <c r="C34" s="233" t="str">
        <f>+'G1 CAMB'!C35</f>
        <v>TRNSN</v>
      </c>
      <c r="D34" s="233"/>
      <c r="E34" s="206"/>
      <c r="F34" s="239"/>
      <c r="G34" s="236">
        <v>-6.0999999999999997E-4</v>
      </c>
      <c r="H34" s="211"/>
      <c r="I34" s="210">
        <f t="shared" si="2"/>
        <v>-4332.7696583645311</v>
      </c>
      <c r="K34" s="210"/>
      <c r="L34" s="236">
        <v>-5.210932140356871E-4</v>
      </c>
      <c r="M34" s="211"/>
      <c r="N34" s="210">
        <f t="shared" si="3"/>
        <v>-3701.2735523827537</v>
      </c>
    </row>
    <row r="35" spans="1:14" ht="14" x14ac:dyDescent="0.3">
      <c r="A35" s="151">
        <f>IF(B35&lt;&gt;"",COUNTA($B$13:B35),"")</f>
        <v>22</v>
      </c>
      <c r="B35" s="207" t="s">
        <v>445</v>
      </c>
      <c r="C35" s="233" t="s">
        <v>316</v>
      </c>
      <c r="D35" s="233"/>
      <c r="E35" s="206"/>
      <c r="F35" s="239"/>
      <c r="G35" s="241">
        <v>2.3900000000000001E-2</v>
      </c>
      <c r="H35" s="211"/>
      <c r="I35" s="210">
        <f>G35*$E$14</f>
        <v>47589.537170924967</v>
      </c>
      <c r="K35" s="210"/>
      <c r="L35" s="241">
        <v>2.0763078946980037E-2</v>
      </c>
      <c r="M35" s="211"/>
      <c r="N35" s="210">
        <f>+L35*E14</f>
        <v>41343.318716742928</v>
      </c>
    </row>
    <row r="36" spans="1:14" ht="14" x14ac:dyDescent="0.3">
      <c r="A36" s="151">
        <f>IF(B36&lt;&gt;"",COUNTA($B$13:B36),"")</f>
        <v>23</v>
      </c>
      <c r="B36" s="207" t="s">
        <v>446</v>
      </c>
      <c r="C36" s="233" t="s">
        <v>316</v>
      </c>
      <c r="D36" s="233"/>
      <c r="E36" s="206"/>
      <c r="F36" s="239"/>
      <c r="G36" s="241">
        <v>3.4079999999999999E-2</v>
      </c>
      <c r="H36" s="211"/>
      <c r="I36" s="210">
        <f>G36*$E$15</f>
        <v>174206.97644796531</v>
      </c>
      <c r="K36" s="210"/>
      <c r="L36" s="241">
        <v>2.8466466894891303E-2</v>
      </c>
      <c r="M36" s="211"/>
      <c r="N36" s="210">
        <f>+L36*E15</f>
        <v>145512.23966887069</v>
      </c>
    </row>
    <row r="37" spans="1:14" ht="14" x14ac:dyDescent="0.3">
      <c r="A37" s="151">
        <f>IF(B37&lt;&gt;"",COUNTA($B$13:B37),"")</f>
        <v>24</v>
      </c>
      <c r="B37" s="207" t="str">
        <f>+'G1 CAMB'!B37</f>
        <v>Energy Efficiency Reconciliation Factor</v>
      </c>
      <c r="C37" s="233" t="str">
        <f>+'G1 CAMB'!C37</f>
        <v>EERF</v>
      </c>
      <c r="D37" s="233"/>
      <c r="E37" s="206"/>
      <c r="F37" s="239"/>
      <c r="G37" s="241">
        <v>8.4600000000000005E-3</v>
      </c>
      <c r="H37" s="211"/>
      <c r="I37" s="210">
        <f t="shared" ref="I37:I40" si="4">G37*$E$16</f>
        <v>60090.543130760554</v>
      </c>
      <c r="K37" s="210"/>
      <c r="L37" s="281">
        <v>8.4600000000000005E-3</v>
      </c>
      <c r="M37" s="211"/>
      <c r="N37" s="210">
        <f t="shared" ref="N37:N40" si="5">L37*$E$16</f>
        <v>60090.543130760554</v>
      </c>
    </row>
    <row r="38" spans="1:14" ht="14" x14ac:dyDescent="0.3">
      <c r="A38" s="151">
        <f>IF(B38&lt;&gt;"",COUNTA($B$13:B38),"")</f>
        <v>25</v>
      </c>
      <c r="B38" s="207" t="str">
        <f>+'G1 CAMB'!B38</f>
        <v>System Benefits Charge</v>
      </c>
      <c r="C38" s="233" t="str">
        <f>+'G1 CAMB'!C38</f>
        <v>SBC</v>
      </c>
      <c r="D38" s="233"/>
      <c r="E38" s="206"/>
      <c r="F38" s="239"/>
      <c r="G38" s="241">
        <v>2.5000000000000001E-3</v>
      </c>
      <c r="H38" s="211"/>
      <c r="I38" s="210">
        <f t="shared" si="4"/>
        <v>17757.252698215292</v>
      </c>
      <c r="K38" s="210"/>
      <c r="L38" s="281">
        <f>+G38</f>
        <v>2.5000000000000001E-3</v>
      </c>
      <c r="M38" s="211"/>
      <c r="N38" s="210">
        <f t="shared" si="5"/>
        <v>17757.252698215292</v>
      </c>
    </row>
    <row r="39" spans="1:14" ht="14" x14ac:dyDescent="0.3">
      <c r="A39" s="151">
        <f>IF(B39&lt;&gt;"",COUNTA($B$13:B39),"")</f>
        <v>26</v>
      </c>
      <c r="B39" s="207" t="str">
        <f>+'G1 CAMB'!B39</f>
        <v>Renewable Energy Charge</v>
      </c>
      <c r="C39" s="233" t="str">
        <f>+'G1 CAMB'!C39</f>
        <v>RNEW</v>
      </c>
      <c r="D39" s="233"/>
      <c r="E39" s="206"/>
      <c r="F39" s="239"/>
      <c r="G39" s="241">
        <v>5.0000000000000001E-4</v>
      </c>
      <c r="H39" s="211"/>
      <c r="I39" s="210">
        <f t="shared" si="4"/>
        <v>3551.4505396430586</v>
      </c>
      <c r="K39" s="210"/>
      <c r="L39" s="281">
        <f>+G39</f>
        <v>5.0000000000000001E-4</v>
      </c>
      <c r="M39" s="211"/>
      <c r="N39" s="210">
        <f t="shared" si="5"/>
        <v>3551.4505396430586</v>
      </c>
    </row>
    <row r="40" spans="1:14" ht="14" x14ac:dyDescent="0.3">
      <c r="A40" s="151">
        <f>IF(B40&lt;&gt;"",COUNTA($B$13:B40),"")</f>
        <v>27</v>
      </c>
      <c r="B40" s="207" t="str">
        <f>+'G1 CAMB'!B40</f>
        <v>Basic Service Charge</v>
      </c>
      <c r="C40" s="233" t="str">
        <f>+'G1 CAMB'!C40</f>
        <v>BS</v>
      </c>
      <c r="D40" s="233"/>
      <c r="E40" s="206"/>
      <c r="F40" s="239"/>
      <c r="G40" s="236">
        <v>0.11403000000000001</v>
      </c>
      <c r="H40" s="211"/>
      <c r="I40" s="237">
        <f t="shared" si="4"/>
        <v>809943.81007099594</v>
      </c>
      <c r="K40" s="210"/>
      <c r="L40" s="281">
        <v>0.13185000000000002</v>
      </c>
      <c r="M40" s="211"/>
      <c r="N40" s="237">
        <f t="shared" si="5"/>
        <v>936517.50730387471</v>
      </c>
    </row>
    <row r="41" spans="1:14" ht="14" x14ac:dyDescent="0.3">
      <c r="A41" s="151" t="str">
        <f>IF(B41&lt;&gt;"",COUNTA($B$13:B41),"")</f>
        <v/>
      </c>
      <c r="B41" s="207"/>
      <c r="E41" s="206"/>
      <c r="F41" s="239"/>
      <c r="G41" s="241"/>
      <c r="H41" s="211"/>
      <c r="I41" s="244"/>
      <c r="K41" s="210"/>
      <c r="L41" s="241"/>
      <c r="M41" s="211"/>
      <c r="N41" s="244"/>
    </row>
    <row r="42" spans="1:14" ht="14" x14ac:dyDescent="0.3">
      <c r="A42" s="151">
        <f>IF(B42&lt;&gt;"",COUNTA($B$13:B42),"")</f>
        <v>28</v>
      </c>
      <c r="B42" s="188" t="s">
        <v>46</v>
      </c>
      <c r="E42" s="188"/>
      <c r="G42" s="245" t="s">
        <v>324</v>
      </c>
      <c r="H42" s="246"/>
      <c r="I42" s="154">
        <f>SUM(I17:I41)</f>
        <v>1326276.2215043129</v>
      </c>
      <c r="K42" s="247"/>
      <c r="L42" s="245"/>
      <c r="N42" s="154">
        <f>SUM(N17:N41)</f>
        <v>1438251.3279295007</v>
      </c>
    </row>
    <row r="43" spans="1:14" ht="14" x14ac:dyDescent="0.3">
      <c r="A43" s="151" t="str">
        <f>IF(B43&lt;&gt;"",COUNTA($B$13:B43),"")</f>
        <v/>
      </c>
      <c r="E43" s="188"/>
      <c r="H43" s="188"/>
      <c r="I43" s="154"/>
      <c r="K43" s="265"/>
      <c r="L43" s="278"/>
      <c r="N43" s="265"/>
    </row>
    <row r="44" spans="1:14" ht="14" x14ac:dyDescent="0.3">
      <c r="A44" s="151">
        <f>IF(B44&lt;&gt;"",COUNTA($B$13:B44),"")</f>
        <v>29</v>
      </c>
      <c r="B44" s="188" t="s">
        <v>46</v>
      </c>
      <c r="E44" s="188"/>
      <c r="G44" s="188"/>
      <c r="H44" s="188"/>
      <c r="I44" s="188"/>
      <c r="J44" s="188"/>
      <c r="L44" s="248" t="s">
        <v>325</v>
      </c>
      <c r="N44" s="160">
        <f>+N42/I42-1</f>
        <v>8.4428194225016906E-2</v>
      </c>
    </row>
    <row r="45" spans="1:14" ht="14" x14ac:dyDescent="0.3">
      <c r="A45" s="151" t="str">
        <f>IF(B45&lt;&gt;"",COUNTA($B$13:B45),"")</f>
        <v/>
      </c>
      <c r="E45" s="188"/>
      <c r="G45" s="188"/>
      <c r="H45" s="188"/>
      <c r="I45" s="188"/>
      <c r="J45" s="188"/>
      <c r="L45" s="248"/>
      <c r="N45" s="160"/>
    </row>
    <row r="46" spans="1:14" ht="14" x14ac:dyDescent="0.3">
      <c r="A46" s="151" t="str">
        <f>IF(B46&lt;&gt;"",COUNTA($B$13:B46),"")</f>
        <v/>
      </c>
      <c r="E46" s="188"/>
      <c r="G46" s="186"/>
      <c r="H46" s="188"/>
      <c r="I46" s="188"/>
      <c r="L46" s="248"/>
      <c r="N46" s="160"/>
    </row>
    <row r="47" spans="1:14" ht="14.5" thickBot="1" x14ac:dyDescent="0.35">
      <c r="A47" s="151">
        <f>IF(B47&lt;&gt;"",COUNTA($B$13:B47),"")</f>
        <v>30</v>
      </c>
      <c r="B47" s="188" t="s">
        <v>46</v>
      </c>
      <c r="E47" s="279" t="s">
        <v>326</v>
      </c>
      <c r="F47" s="135"/>
      <c r="G47" s="280"/>
      <c r="I47" s="279" t="s">
        <v>327</v>
      </c>
      <c r="J47" s="135"/>
      <c r="L47" s="279" t="s">
        <v>328</v>
      </c>
      <c r="M47" s="135"/>
      <c r="N47" s="137"/>
    </row>
    <row r="48" spans="1:14" ht="14" x14ac:dyDescent="0.3">
      <c r="A48" s="151">
        <f>IF(B48&lt;&gt;"",COUNTA($B$13:B48),"")</f>
        <v>31</v>
      </c>
      <c r="B48" s="144" t="s">
        <v>329</v>
      </c>
      <c r="C48" s="144"/>
      <c r="D48" s="144"/>
      <c r="E48" s="249" t="s">
        <v>148</v>
      </c>
      <c r="F48" s="250"/>
      <c r="G48" s="251" t="s">
        <v>330</v>
      </c>
      <c r="I48" s="249" t="s">
        <v>148</v>
      </c>
      <c r="J48" s="251" t="s">
        <v>330</v>
      </c>
      <c r="K48" s="212"/>
      <c r="L48" s="249" t="s">
        <v>148</v>
      </c>
      <c r="M48" s="252"/>
      <c r="N48" s="251" t="s">
        <v>330</v>
      </c>
    </row>
    <row r="49" spans="1:14" ht="14" x14ac:dyDescent="0.3">
      <c r="A49" s="151">
        <f>IF(B49&lt;&gt;"",COUNTA($B$13:B49),"")</f>
        <v>32</v>
      </c>
      <c r="B49" s="130" t="str">
        <f>+'G1 CAMB'!B49</f>
        <v>Distribution</v>
      </c>
      <c r="C49" s="253" t="str">
        <f>+'G1 CAMB'!C49</f>
        <v>DIST</v>
      </c>
      <c r="D49" s="253"/>
      <c r="E49" s="154">
        <f t="shared" ref="E49:E64" si="6">SUMIF($C$13:$C$40,$C49,$I$13:$I$40)</f>
        <v>159864.89335116197</v>
      </c>
      <c r="G49" s="254">
        <f>+E49/$E$16*100</f>
        <v>2.2506985746622465</v>
      </c>
      <c r="I49" s="154">
        <f t="shared" ref="I49:I64" si="7">SUMIF($C$13:$C$40,$C49,$N$13:$N$40)</f>
        <v>165220.00442060613</v>
      </c>
      <c r="J49" s="254">
        <f>+I49/$E$16*100</f>
        <v>2.3260918683272962</v>
      </c>
      <c r="L49" s="154">
        <f t="shared" ref="L49:L69" si="8">I49-E49</f>
        <v>5355.1110694441595</v>
      </c>
      <c r="N49" s="254">
        <f>+L49/$E$16*100</f>
        <v>7.5393293665049599E-2</v>
      </c>
    </row>
    <row r="50" spans="1:14" ht="14" x14ac:dyDescent="0.3">
      <c r="A50" s="151">
        <f>IF(B50&lt;&gt;"",COUNTA($B$13:B50),"")</f>
        <v>33</v>
      </c>
      <c r="B50" s="130" t="str">
        <f>+'G1 CAMB'!B50</f>
        <v>Revenue Decoupling</v>
      </c>
      <c r="C50" s="253" t="str">
        <f>+'G1 CAMB'!C50</f>
        <v>RDAF</v>
      </c>
      <c r="D50" s="253"/>
      <c r="E50" s="154">
        <f t="shared" si="6"/>
        <v>0</v>
      </c>
      <c r="G50" s="254">
        <f t="shared" ref="G50:G70" si="9">+E50/$E$16*100</f>
        <v>0</v>
      </c>
      <c r="I50" s="154">
        <f t="shared" si="7"/>
        <v>-1691.020039163159</v>
      </c>
      <c r="J50" s="254">
        <f t="shared" ref="J50:J70" si="10">+I50/$E$16*100</f>
        <v>-2.3807455859051838E-2</v>
      </c>
      <c r="L50" s="154">
        <f>I50-E50</f>
        <v>-1691.020039163159</v>
      </c>
      <c r="N50" s="254">
        <f t="shared" ref="N50:N70" si="11">+L50/$E$16*100</f>
        <v>-2.3807455859051838E-2</v>
      </c>
    </row>
    <row r="51" spans="1:14" ht="14" x14ac:dyDescent="0.3">
      <c r="A51" s="151">
        <f>IF(B51&lt;&gt;"",COUNTA($B$13:B51),"")</f>
        <v>34</v>
      </c>
      <c r="B51" s="130" t="str">
        <f>+'G1 CAMB'!B51</f>
        <v>Residential Assistance Adjustment Factor</v>
      </c>
      <c r="C51" s="253" t="str">
        <f>+'G1 CAMB'!C51</f>
        <v>RAAF</v>
      </c>
      <c r="D51" s="253"/>
      <c r="E51" s="154">
        <f t="shared" si="6"/>
        <v>10015.090521793425</v>
      </c>
      <c r="G51" s="254">
        <f t="shared" si="9"/>
        <v>0.14100000000000001</v>
      </c>
      <c r="I51" s="154">
        <f t="shared" si="7"/>
        <v>14286.192079056289</v>
      </c>
      <c r="J51" s="254">
        <f t="shared" si="10"/>
        <v>0.20113178994873646</v>
      </c>
      <c r="L51" s="154">
        <f t="shared" si="8"/>
        <v>4271.1015572628639</v>
      </c>
      <c r="N51" s="254">
        <f t="shared" si="11"/>
        <v>6.0131789948736476E-2</v>
      </c>
    </row>
    <row r="52" spans="1:14" ht="14" x14ac:dyDescent="0.3">
      <c r="A52" s="151">
        <f>IF(B52&lt;&gt;"",COUNTA($B$13:B52),"")</f>
        <v>35</v>
      </c>
      <c r="B52" s="130" t="str">
        <f>+'G1 CAMB'!B52</f>
        <v>Pension Adjustment Factor</v>
      </c>
      <c r="C52" s="253" t="str">
        <f>+'G1 CAMB'!C52</f>
        <v>PAF</v>
      </c>
      <c r="D52" s="253"/>
      <c r="E52" s="154">
        <f t="shared" si="6"/>
        <v>-639.26109713575056</v>
      </c>
      <c r="G52" s="254">
        <f t="shared" si="9"/>
        <v>-9.0000000000000011E-3</v>
      </c>
      <c r="I52" s="154">
        <f t="shared" si="7"/>
        <v>6274.543509418183</v>
      </c>
      <c r="J52" s="254">
        <f t="shared" si="10"/>
        <v>8.8337757197778852E-2</v>
      </c>
      <c r="L52" s="154">
        <f t="shared" si="8"/>
        <v>6913.8046065539338</v>
      </c>
      <c r="N52" s="254">
        <f t="shared" si="11"/>
        <v>9.7337757197778846E-2</v>
      </c>
    </row>
    <row r="53" spans="1:14" ht="14" x14ac:dyDescent="0.3">
      <c r="A53" s="151">
        <f>IF(B53&lt;&gt;"",COUNTA($B$13:B53),"")</f>
        <v>36</v>
      </c>
      <c r="B53" s="130" t="str">
        <f>+'G1 CAMB'!B53</f>
        <v>Net Metering Recovery Surcharge</v>
      </c>
      <c r="C53" s="253" t="str">
        <f>+'G1 CAMB'!C53</f>
        <v>NMRS</v>
      </c>
      <c r="D53" s="253"/>
      <c r="E53" s="154">
        <f t="shared" si="6"/>
        <v>19817.094011208268</v>
      </c>
      <c r="G53" s="254">
        <f t="shared" si="9"/>
        <v>0.27900000000000003</v>
      </c>
      <c r="I53" s="154">
        <f t="shared" si="7"/>
        <v>18628.048519681492</v>
      </c>
      <c r="J53" s="254">
        <f t="shared" si="10"/>
        <v>0.26225972052469748</v>
      </c>
      <c r="L53" s="154">
        <f t="shared" si="8"/>
        <v>-1189.0454915267765</v>
      </c>
      <c r="N53" s="254">
        <f t="shared" si="11"/>
        <v>-1.6740279475302537E-2</v>
      </c>
    </row>
    <row r="54" spans="1:14" ht="14" x14ac:dyDescent="0.3">
      <c r="A54" s="151">
        <f>IF(B54&lt;&gt;"",COUNTA($B$13:B54),"")</f>
        <v>37</v>
      </c>
      <c r="B54" s="130" t="str">
        <f>+'G1 CAMB'!B54</f>
        <v>Long Term Renewable Contract Adjustment</v>
      </c>
      <c r="C54" s="253" t="str">
        <f>+'G1 CAMB'!C54</f>
        <v>LTRCA</v>
      </c>
      <c r="D54" s="253"/>
      <c r="E54" s="154">
        <f t="shared" si="6"/>
        <v>16762.846547115238</v>
      </c>
      <c r="G54" s="254">
        <f t="shared" si="9"/>
        <v>0.23600000000000002</v>
      </c>
      <c r="I54" s="154">
        <f t="shared" si="7"/>
        <v>12328.596875943418</v>
      </c>
      <c r="J54" s="254">
        <f t="shared" si="10"/>
        <v>0.17357128782064518</v>
      </c>
      <c r="L54" s="154">
        <f t="shared" si="8"/>
        <v>-4434.2496711718195</v>
      </c>
      <c r="N54" s="254">
        <f t="shared" si="11"/>
        <v>-6.2428712179354848E-2</v>
      </c>
    </row>
    <row r="55" spans="1:14" ht="14" x14ac:dyDescent="0.3">
      <c r="A55" s="151">
        <f>IF(B55&lt;&gt;"",COUNTA($B$13:B55),"")</f>
        <v>38</v>
      </c>
      <c r="B55" s="130" t="str">
        <f>+'G1 CAMB'!B55</f>
        <v>AG Consulting Expense</v>
      </c>
      <c r="C55" s="253" t="str">
        <f>+'G1 CAMB'!C55</f>
        <v>AGCE</v>
      </c>
      <c r="D55" s="253"/>
      <c r="E55" s="154">
        <f t="shared" si="6"/>
        <v>142.05802158572234</v>
      </c>
      <c r="G55" s="254">
        <f t="shared" si="9"/>
        <v>2E-3</v>
      </c>
      <c r="I55" s="154">
        <f t="shared" si="7"/>
        <v>29.995674168582539</v>
      </c>
      <c r="J55" s="254">
        <f t="shared" si="10"/>
        <v>4.2230173043036776E-4</v>
      </c>
      <c r="L55" s="154">
        <f t="shared" si="8"/>
        <v>-112.0623474171398</v>
      </c>
      <c r="N55" s="254">
        <f t="shared" si="11"/>
        <v>-1.5776982695696324E-3</v>
      </c>
    </row>
    <row r="56" spans="1:14" ht="14" x14ac:dyDescent="0.3">
      <c r="A56" s="151">
        <f>IF(B56&lt;&gt;"",COUNTA($B$13:B56),"")</f>
        <v>39</v>
      </c>
      <c r="B56" s="130" t="str">
        <f>+'G1 CAMB'!B56</f>
        <v>Storm Cost Recovery Adjustment Factor</v>
      </c>
      <c r="C56" s="253" t="str">
        <f>+'G1 CAMB'!C56</f>
        <v>SCRA</v>
      </c>
      <c r="D56" s="253"/>
      <c r="E56" s="154">
        <f t="shared" si="6"/>
        <v>6179.5239389789222</v>
      </c>
      <c r="G56" s="254">
        <f t="shared" si="9"/>
        <v>8.6999999999999994E-2</v>
      </c>
      <c r="I56" s="154">
        <f t="shared" si="7"/>
        <v>10567.557474923842</v>
      </c>
      <c r="J56" s="254">
        <f t="shared" si="10"/>
        <v>0.14877804656102495</v>
      </c>
      <c r="L56" s="154">
        <f>I56-E56</f>
        <v>4388.03353594492</v>
      </c>
      <c r="N56" s="254">
        <f t="shared" si="11"/>
        <v>6.1778046561024931E-2</v>
      </c>
    </row>
    <row r="57" spans="1:14" ht="14" x14ac:dyDescent="0.3">
      <c r="A57" s="151">
        <f>IF(B57&lt;&gt;"",COUNTA($B$13:B57),"")</f>
        <v>40</v>
      </c>
      <c r="B57" s="130" t="str">
        <f>+'G1 CAMB'!B57</f>
        <v>Storm Reserve Adjustment</v>
      </c>
      <c r="C57" s="253" t="str">
        <f>+'G1 CAMB'!C57</f>
        <v>SRA</v>
      </c>
      <c r="D57" s="253"/>
      <c r="E57" s="154">
        <f t="shared" si="6"/>
        <v>0</v>
      </c>
      <c r="G57" s="254">
        <f t="shared" si="9"/>
        <v>0</v>
      </c>
      <c r="I57" s="154">
        <f t="shared" si="7"/>
        <v>0</v>
      </c>
      <c r="J57" s="254">
        <f t="shared" si="10"/>
        <v>0</v>
      </c>
      <c r="L57" s="154">
        <f>I57-E57</f>
        <v>0</v>
      </c>
      <c r="N57" s="254">
        <f t="shared" si="11"/>
        <v>0</v>
      </c>
    </row>
    <row r="58" spans="1:14" ht="14" x14ac:dyDescent="0.3">
      <c r="A58" s="151">
        <f>IF(B58&lt;&gt;"",COUNTA($B$13:B58),"")</f>
        <v>41</v>
      </c>
      <c r="B58" s="130" t="str">
        <f>+'G1 CAMB'!B58</f>
        <v>Basic Service Cost True Up Factor</v>
      </c>
      <c r="C58" s="253" t="str">
        <f>+'G1 CAMB'!C58</f>
        <v>BSTF</v>
      </c>
      <c r="D58" s="253"/>
      <c r="E58" s="154">
        <f t="shared" si="6"/>
        <v>5327.1758094645884</v>
      </c>
      <c r="G58" s="254">
        <f t="shared" si="9"/>
        <v>7.5000000000000011E-2</v>
      </c>
      <c r="I58" s="154">
        <f t="shared" si="7"/>
        <v>-708.91585864772219</v>
      </c>
      <c r="J58" s="254">
        <f t="shared" si="10"/>
        <v>-9.9806522818556894E-3</v>
      </c>
      <c r="L58" s="154">
        <f>I58-E58</f>
        <v>-6036.0916681123108</v>
      </c>
      <c r="N58" s="254">
        <f t="shared" si="11"/>
        <v>-8.4980652281855709E-2</v>
      </c>
    </row>
    <row r="59" spans="1:14" ht="14" x14ac:dyDescent="0.3">
      <c r="A59" s="151">
        <f>IF(B59&lt;&gt;"",COUNTA($B$13:B59),"")</f>
        <v>42</v>
      </c>
      <c r="B59" s="130" t="str">
        <f>+'G1 CAMB'!B59</f>
        <v>Solar Program Cost Adjustment Factor</v>
      </c>
      <c r="C59" s="253" t="str">
        <f>+'G1 CAMB'!C59</f>
        <v>SPCA</v>
      </c>
      <c r="D59" s="253"/>
      <c r="E59" s="154">
        <f t="shared" si="6"/>
        <v>0</v>
      </c>
      <c r="G59" s="254">
        <f t="shared" si="9"/>
        <v>0</v>
      </c>
      <c r="I59" s="154">
        <f t="shared" si="7"/>
        <v>126.16186881359481</v>
      </c>
      <c r="J59" s="254">
        <f t="shared" si="10"/>
        <v>1.7762019688196871E-3</v>
      </c>
      <c r="L59" s="154">
        <f t="shared" si="8"/>
        <v>126.16186881359481</v>
      </c>
      <c r="N59" s="254">
        <f t="shared" si="11"/>
        <v>1.7762019688196871E-3</v>
      </c>
    </row>
    <row r="60" spans="1:14" ht="14" x14ac:dyDescent="0.3">
      <c r="A60" s="151">
        <f>IF(B60&lt;&gt;"",COUNTA($B$13:B60),"")</f>
        <v>43</v>
      </c>
      <c r="B60" s="130" t="str">
        <f>+'G1 CAMB'!B60</f>
        <v>Solar Expansion Cost Recovery Factor</v>
      </c>
      <c r="C60" s="253" t="str">
        <f>+'G1 CAMB'!C60</f>
        <v>SECRF</v>
      </c>
      <c r="D60" s="253"/>
      <c r="E60" s="154">
        <f t="shared" si="6"/>
        <v>0</v>
      </c>
      <c r="G60" s="254">
        <f t="shared" si="9"/>
        <v>0</v>
      </c>
      <c r="I60" s="154">
        <f t="shared" si="7"/>
        <v>2225.2067420986577</v>
      </c>
      <c r="J60" s="254">
        <f t="shared" si="10"/>
        <v>3.1328139266755831E-2</v>
      </c>
      <c r="L60" s="154">
        <f t="shared" si="8"/>
        <v>2225.2067420986577</v>
      </c>
      <c r="N60" s="254">
        <f t="shared" si="11"/>
        <v>3.1328139266755831E-2</v>
      </c>
    </row>
    <row r="61" spans="1:14" ht="14" x14ac:dyDescent="0.3">
      <c r="A61" s="151">
        <f>IF(B61&lt;&gt;"",COUNTA($B$13:B61),"")</f>
        <v>44</v>
      </c>
      <c r="B61" s="130" t="str">
        <f>+'G1 CAMB'!B61</f>
        <v>Vegetation Management</v>
      </c>
      <c r="C61" s="253" t="str">
        <f>+'G1 CAMB'!C61</f>
        <v>RTWF</v>
      </c>
      <c r="D61" s="253"/>
      <c r="E61" s="154">
        <f t="shared" si="6"/>
        <v>0</v>
      </c>
      <c r="G61" s="254">
        <f t="shared" si="9"/>
        <v>0</v>
      </c>
      <c r="I61" s="154">
        <f t="shared" si="7"/>
        <v>11233.553578668472</v>
      </c>
      <c r="J61" s="254">
        <f t="shared" si="10"/>
        <v>0.15815444215362084</v>
      </c>
      <c r="L61" s="154">
        <f t="shared" si="8"/>
        <v>11233.553578668472</v>
      </c>
      <c r="N61" s="254">
        <f t="shared" si="11"/>
        <v>0.15815444215362084</v>
      </c>
    </row>
    <row r="62" spans="1:14" ht="14" x14ac:dyDescent="0.3">
      <c r="A62" s="151">
        <f>IF(B62&lt;&gt;"",COUNTA($B$13:B62),"")</f>
        <v>45</v>
      </c>
      <c r="B62" s="130" t="str">
        <f>+'G1 CAMB'!B62</f>
        <v>Solar Massachusetts Renewable Target</v>
      </c>
      <c r="C62" s="253" t="str">
        <f>+'G1 CAMB'!C62</f>
        <v>SMART</v>
      </c>
      <c r="D62" s="253"/>
      <c r="E62" s="154">
        <f t="shared" si="6"/>
        <v>0</v>
      </c>
      <c r="G62" s="254">
        <f t="shared" si="9"/>
        <v>0</v>
      </c>
      <c r="I62" s="154">
        <f t="shared" si="7"/>
        <v>2607.1419582084254</v>
      </c>
      <c r="J62" s="254">
        <f t="shared" si="10"/>
        <v>3.6705311380606453E-2</v>
      </c>
      <c r="L62" s="154">
        <f t="shared" si="8"/>
        <v>2607.1419582084254</v>
      </c>
      <c r="N62" s="254">
        <f t="shared" si="11"/>
        <v>3.6705311380606453E-2</v>
      </c>
    </row>
    <row r="63" spans="1:14" ht="14" x14ac:dyDescent="0.3">
      <c r="A63" s="151">
        <f>IF(B63&lt;&gt;"",COUNTA($B$13:B63),"")</f>
        <v>46</v>
      </c>
      <c r="B63" s="130" t="str">
        <f>+'G1 CAMB'!B63</f>
        <v>Tax Act Credit Factor</v>
      </c>
      <c r="C63" s="253" t="str">
        <f>+'G1 CAMB'!C63</f>
        <v>TACF</v>
      </c>
      <c r="D63" s="253"/>
      <c r="E63" s="154">
        <f t="shared" si="6"/>
        <v>0</v>
      </c>
      <c r="G63" s="254">
        <f t="shared" si="9"/>
        <v>0</v>
      </c>
      <c r="I63" s="154">
        <f t="shared" si="7"/>
        <v>-3946.7773800000009</v>
      </c>
      <c r="J63" s="254">
        <f t="shared" si="10"/>
        <v>-5.5565709502977831E-2</v>
      </c>
      <c r="L63" s="154">
        <f t="shared" si="8"/>
        <v>-3946.7773800000009</v>
      </c>
      <c r="N63" s="254">
        <f t="shared" si="11"/>
        <v>-5.5565709502977831E-2</v>
      </c>
    </row>
    <row r="64" spans="1:14" ht="14" x14ac:dyDescent="0.3">
      <c r="A64" s="151">
        <f>IF(B64&lt;&gt;"",COUNTA($B$13:B64),"")</f>
        <v>47</v>
      </c>
      <c r="B64" s="130" t="str">
        <f>+'G1 CAMB'!B64</f>
        <v>Transition</v>
      </c>
      <c r="C64" s="253" t="str">
        <f>+'G1 CAMB'!C64</f>
        <v>TRNSN</v>
      </c>
      <c r="D64" s="253"/>
      <c r="E64" s="154">
        <f t="shared" si="6"/>
        <v>-4332.7696583645311</v>
      </c>
      <c r="G64" s="254">
        <f t="shared" si="9"/>
        <v>-6.0999999999999999E-2</v>
      </c>
      <c r="I64" s="154">
        <f t="shared" si="7"/>
        <v>-3701.2735523827537</v>
      </c>
      <c r="J64" s="254">
        <f t="shared" si="10"/>
        <v>-5.2109321403568713E-2</v>
      </c>
      <c r="L64" s="154">
        <f t="shared" si="8"/>
        <v>631.49610598177742</v>
      </c>
      <c r="N64" s="254">
        <f t="shared" si="11"/>
        <v>8.8906785964312837E-3</v>
      </c>
    </row>
    <row r="65" spans="1:14" ht="14" x14ac:dyDescent="0.3">
      <c r="A65" s="151">
        <f>IF(B65&lt;&gt;"",COUNTA($B$13:B65),"")</f>
        <v>48</v>
      </c>
      <c r="B65" s="130" t="str">
        <f>+'G1 CAMB'!B65</f>
        <v>Transmission</v>
      </c>
      <c r="C65" s="253" t="str">
        <f>+'G1 CAMB'!C65</f>
        <v>TRNSM</v>
      </c>
      <c r="D65" s="253"/>
      <c r="E65" s="154">
        <f>SUM(SUMIF($C$13:$C$40,{"TMKW","TMKWH"},$I$13:$I$40))</f>
        <v>221796.51361889028</v>
      </c>
      <c r="G65" s="254">
        <f t="shared" si="9"/>
        <v>3.1226186475510107</v>
      </c>
      <c r="I65" s="154">
        <f>SUM(SUMIF($C$13:$C$40,{"TMKW","TMKWH"},$N$13:$N$40))</f>
        <v>186855.55838561361</v>
      </c>
      <c r="J65" s="254">
        <f t="shared" si="10"/>
        <v>2.630693519448446</v>
      </c>
      <c r="L65" s="154">
        <f t="shared" si="8"/>
        <v>-34940.955233276676</v>
      </c>
      <c r="N65" s="254">
        <f t="shared" si="11"/>
        <v>-0.49192512810256456</v>
      </c>
    </row>
    <row r="66" spans="1:14" ht="14" x14ac:dyDescent="0.3">
      <c r="A66" s="151">
        <f>IF(B66&lt;&gt;"",COUNTA($B$13:B66),"")</f>
        <v>49</v>
      </c>
      <c r="B66" s="130" t="str">
        <f>+'G1 CAMB'!B66</f>
        <v>Energy Efficiency Reconciliation Factor</v>
      </c>
      <c r="C66" s="253" t="str">
        <f>+'G1 CAMB'!C66</f>
        <v>EERF</v>
      </c>
      <c r="D66" s="253"/>
      <c r="E66" s="154">
        <f>SUMIF($C$13:$C$40,$C66,$I$13:$I$40)</f>
        <v>60090.543130760554</v>
      </c>
      <c r="G66" s="254">
        <f t="shared" si="9"/>
        <v>0.84600000000000009</v>
      </c>
      <c r="I66" s="154">
        <f>SUMIF($C$13:$C$40,$C66,$N$13:$N$40)</f>
        <v>60090.543130760554</v>
      </c>
      <c r="J66" s="254">
        <f t="shared" si="10"/>
        <v>0.84600000000000009</v>
      </c>
      <c r="L66" s="154">
        <f t="shared" si="8"/>
        <v>0</v>
      </c>
      <c r="N66" s="254">
        <f t="shared" si="11"/>
        <v>0</v>
      </c>
    </row>
    <row r="67" spans="1:14" ht="14" x14ac:dyDescent="0.3">
      <c r="A67" s="151">
        <f>IF(B67&lt;&gt;"",COUNTA($B$13:B67),"")</f>
        <v>50</v>
      </c>
      <c r="B67" s="130" t="str">
        <f>+'G1 CAMB'!B67</f>
        <v>System Benefits Charge</v>
      </c>
      <c r="C67" s="253" t="str">
        <f>+'G1 CAMB'!C67</f>
        <v>SBC</v>
      </c>
      <c r="D67" s="253"/>
      <c r="E67" s="154">
        <f>SUMIF($C$13:$C$40,$C67,$I$13:$I$40)</f>
        <v>17757.252698215292</v>
      </c>
      <c r="G67" s="254">
        <f t="shared" si="9"/>
        <v>0.25</v>
      </c>
      <c r="I67" s="154">
        <f>SUMIF($C$13:$C$40,$C67,$N$13:$N$40)</f>
        <v>17757.252698215292</v>
      </c>
      <c r="J67" s="254">
        <f t="shared" si="10"/>
        <v>0.25</v>
      </c>
      <c r="L67" s="154">
        <f t="shared" si="8"/>
        <v>0</v>
      </c>
      <c r="N67" s="254">
        <f t="shared" si="11"/>
        <v>0</v>
      </c>
    </row>
    <row r="68" spans="1:14" ht="14" x14ac:dyDescent="0.3">
      <c r="A68" s="151">
        <f>IF(B68&lt;&gt;"",COUNTA($B$13:B68),"")</f>
        <v>51</v>
      </c>
      <c r="B68" s="130" t="str">
        <f>+'G1 CAMB'!B68</f>
        <v>Renewable Energy Charge</v>
      </c>
      <c r="C68" s="253" t="str">
        <f>+'G1 CAMB'!C68</f>
        <v>RNEW</v>
      </c>
      <c r="D68" s="253"/>
      <c r="E68" s="154">
        <f>SUMIF($C$13:$C$40,$C68,$I$13:$I$40)</f>
        <v>3551.4505396430586</v>
      </c>
      <c r="G68" s="254">
        <f t="shared" si="9"/>
        <v>0.05</v>
      </c>
      <c r="I68" s="154">
        <f>SUMIF($C$13:$C$40,$C68,$N$13:$N$40)</f>
        <v>3551.4505396430586</v>
      </c>
      <c r="J68" s="254">
        <f t="shared" si="10"/>
        <v>0.05</v>
      </c>
      <c r="L68" s="154">
        <f>I68-E68</f>
        <v>0</v>
      </c>
      <c r="N68" s="254">
        <f t="shared" si="11"/>
        <v>0</v>
      </c>
    </row>
    <row r="69" spans="1:14" ht="14" x14ac:dyDescent="0.3">
      <c r="A69" s="151">
        <f>IF(B69&lt;&gt;"",COUNTA($B$13:B69),"")</f>
        <v>52</v>
      </c>
      <c r="B69" s="130" t="str">
        <f>+'G1 CAMB'!B69</f>
        <v>Basic Service Charge</v>
      </c>
      <c r="C69" s="253" t="str">
        <f>+'G1 CAMB'!C69</f>
        <v>BS</v>
      </c>
      <c r="D69" s="253"/>
      <c r="E69" s="255">
        <f>SUMIF($C$13:$C$40,$C69,$I$13:$I$40)</f>
        <v>809943.81007099594</v>
      </c>
      <c r="F69" s="256"/>
      <c r="G69" s="257">
        <f t="shared" si="9"/>
        <v>11.403</v>
      </c>
      <c r="H69" s="258"/>
      <c r="I69" s="255">
        <f>SUMIF($C$13:$C$40,$C69,$N$13:$N$40)</f>
        <v>936517.50730387471</v>
      </c>
      <c r="J69" s="257">
        <f t="shared" si="10"/>
        <v>13.185000000000002</v>
      </c>
      <c r="K69" s="255"/>
      <c r="L69" s="255">
        <f t="shared" si="8"/>
        <v>126573.69723287877</v>
      </c>
      <c r="M69" s="259"/>
      <c r="N69" s="257">
        <f t="shared" si="11"/>
        <v>1.7820000000000022</v>
      </c>
    </row>
    <row r="70" spans="1:14" ht="14" x14ac:dyDescent="0.3">
      <c r="A70" s="151">
        <f>IF(B70&lt;&gt;"",COUNTA($B$13:B70),"")</f>
        <v>53</v>
      </c>
      <c r="B70" s="130" t="str">
        <f>+'G1 CAMB'!B70</f>
        <v>Total</v>
      </c>
      <c r="C70" s="130"/>
      <c r="D70" s="130"/>
      <c r="E70" s="154">
        <f>SUM(E49:E69)</f>
        <v>1326276.2215043129</v>
      </c>
      <c r="G70" s="254">
        <f t="shared" si="9"/>
        <v>18.672317222213255</v>
      </c>
      <c r="I70" s="154">
        <f>SUM(I49:I69)</f>
        <v>1438251.3279295007</v>
      </c>
      <c r="J70" s="254">
        <f t="shared" si="10"/>
        <v>20.248787247281406</v>
      </c>
      <c r="L70" s="154">
        <f>SUM(L49:L69)</f>
        <v>111975.1064251877</v>
      </c>
      <c r="N70" s="254">
        <f t="shared" si="11"/>
        <v>1.5764700250681492</v>
      </c>
    </row>
    <row r="71" spans="1:14" ht="14" x14ac:dyDescent="0.3">
      <c r="A71" s="151" t="str">
        <f>IF(B71&lt;&gt;"",COUNTA($B$10:B71),"")</f>
        <v/>
      </c>
    </row>
    <row r="72" spans="1:14" ht="14" x14ac:dyDescent="0.3">
      <c r="A72" s="151"/>
      <c r="B72" s="256" t="s">
        <v>164</v>
      </c>
      <c r="E72" s="188"/>
      <c r="G72" s="188"/>
      <c r="H72" s="188"/>
      <c r="I72" s="188"/>
      <c r="J72" s="188"/>
      <c r="K72" s="188"/>
      <c r="L72" s="188"/>
      <c r="M72" s="188"/>
      <c r="N72" s="188"/>
    </row>
    <row r="73" spans="1:14" ht="14" x14ac:dyDescent="0.3">
      <c r="A73" s="151"/>
      <c r="B73" s="130" t="str">
        <f>+'G1 CAMB'!B73</f>
        <v>Col. (a): Company's forecast</v>
      </c>
    </row>
    <row r="74" spans="1:14" ht="14" x14ac:dyDescent="0.3">
      <c r="A74" s="151"/>
      <c r="B74" s="130" t="str">
        <f>+'G1 CAMB'!B74</f>
        <v>Col. (b): Current rates</v>
      </c>
    </row>
    <row r="75" spans="1:14" ht="14" x14ac:dyDescent="0.3">
      <c r="A75" s="151"/>
      <c r="B75" s="130" t="str">
        <f>+'G1 CAMB'!B75</f>
        <v>Col. (c): Col. (a) x Col. (b)</v>
      </c>
    </row>
    <row r="76" spans="1:14" ht="14" x14ac:dyDescent="0.3">
      <c r="A76" s="151"/>
      <c r="B76" s="130" t="str">
        <f>+'G1 CAMB'!B76</f>
        <v>Col. (e): Proposed rates</v>
      </c>
    </row>
    <row r="77" spans="1:14" ht="14" x14ac:dyDescent="0.3">
      <c r="A77" s="151"/>
      <c r="B77" s="130" t="s">
        <v>447</v>
      </c>
    </row>
  </sheetData>
  <mergeCells count="6">
    <mergeCell ref="A4:N4"/>
    <mergeCell ref="A5:N5"/>
    <mergeCell ref="A7:N7"/>
    <mergeCell ref="A8:N8"/>
    <mergeCell ref="G10:I10"/>
    <mergeCell ref="L10:N10"/>
  </mergeCells>
  <pageMargins left="0.7" right="0.7" top="0.75" bottom="0.75" header="0.3" footer="0.3"/>
  <pageSetup scale="64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AA8A0-533B-4F4F-AB3F-BDA2C015D8A5}">
  <sheetPr>
    <tabColor theme="9" tint="0.59999389629810485"/>
    <pageSetUpPr fitToPage="1"/>
  </sheetPr>
  <dimension ref="A3:N77"/>
  <sheetViews>
    <sheetView workbookViewId="0"/>
  </sheetViews>
  <sheetFormatPr defaultRowHeight="12.5" x14ac:dyDescent="0.25"/>
  <cols>
    <col min="1" max="1" width="3.26953125" bestFit="1" customWidth="1"/>
    <col min="2" max="2" width="41.1796875" customWidth="1"/>
    <col min="3" max="3" width="8.81640625" bestFit="1" customWidth="1"/>
    <col min="4" max="4" width="1.26953125" customWidth="1"/>
    <col min="5" max="5" width="13.7265625" bestFit="1" customWidth="1"/>
    <col min="6" max="6" width="1.26953125" customWidth="1"/>
    <col min="7" max="7" width="12.7265625" customWidth="1"/>
    <col min="8" max="8" width="1.26953125" customWidth="1"/>
    <col min="9" max="9" width="9.26953125" bestFit="1" customWidth="1"/>
    <col min="10" max="10" width="10.81640625" customWidth="1"/>
    <col min="11" max="11" width="1.26953125" customWidth="1"/>
    <col min="12" max="12" width="12.7265625" customWidth="1"/>
    <col min="13" max="13" width="1.26953125" customWidth="1"/>
    <col min="14" max="14" width="11" bestFit="1" customWidth="1"/>
  </cols>
  <sheetData>
    <row r="3" spans="1:14" ht="14" x14ac:dyDescent="0.3">
      <c r="A3" s="268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</row>
    <row r="4" spans="1:14" ht="14" x14ac:dyDescent="0.3">
      <c r="A4" s="748" t="str">
        <f>'R1 EMA'!A4:N4</f>
        <v>Eastern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4" ht="14" x14ac:dyDescent="0.3">
      <c r="A5" s="748" t="str">
        <f>'R1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4" ht="14" x14ac:dyDescent="0.3">
      <c r="A6" s="205"/>
      <c r="C6" s="205"/>
      <c r="D6" s="205"/>
      <c r="E6" s="206"/>
      <c r="F6" s="207"/>
      <c r="G6" s="208"/>
      <c r="H6" s="209"/>
      <c r="I6" s="210"/>
      <c r="J6" s="210"/>
      <c r="K6" s="210"/>
      <c r="L6" s="211"/>
      <c r="M6" s="211"/>
      <c r="N6" s="212"/>
    </row>
    <row r="7" spans="1:14" ht="14" x14ac:dyDescent="0.3">
      <c r="A7" s="748" t="s">
        <v>424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4" ht="14" x14ac:dyDescent="0.3">
      <c r="A8" s="748" t="s">
        <v>448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4" ht="14" x14ac:dyDescent="0.3">
      <c r="B9" s="207"/>
      <c r="C9" s="207"/>
      <c r="D9" s="207"/>
      <c r="E9" s="213"/>
      <c r="F9" s="207"/>
      <c r="I9" s="210"/>
      <c r="J9" s="210"/>
      <c r="K9" s="210"/>
      <c r="L9" s="214"/>
      <c r="M9" s="214"/>
      <c r="N9" s="215"/>
    </row>
    <row r="10" spans="1:14" ht="14.5" thickBot="1" x14ac:dyDescent="0.35">
      <c r="A10" s="151"/>
      <c r="B10" s="216" t="s">
        <v>46</v>
      </c>
      <c r="C10" s="216"/>
      <c r="D10" s="216"/>
      <c r="E10" s="217" t="s">
        <v>144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4" ht="14" x14ac:dyDescent="0.3">
      <c r="A11" s="151"/>
      <c r="B11" s="219" t="s">
        <v>293</v>
      </c>
      <c r="C11" s="220" t="s">
        <v>294</v>
      </c>
      <c r="D11" s="220"/>
      <c r="E11" s="221" t="s">
        <v>295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4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4" ht="14" x14ac:dyDescent="0.3">
      <c r="A13" s="151">
        <f>IF(B13&lt;&gt;"",COUNTA($B$13:B13),"")</f>
        <v>1</v>
      </c>
      <c r="B13" s="232" t="s">
        <v>296</v>
      </c>
      <c r="C13" s="233" t="s">
        <v>297</v>
      </c>
      <c r="D13" s="233"/>
      <c r="E13" s="234">
        <v>37.932619074644421</v>
      </c>
      <c r="F13" s="207"/>
      <c r="G13" s="209">
        <v>8.2200000000000006</v>
      </c>
      <c r="H13" s="209"/>
      <c r="I13" s="210">
        <f>G13*E13</f>
        <v>311.80612879357716</v>
      </c>
      <c r="J13" s="235"/>
      <c r="K13" s="210"/>
      <c r="L13" s="209">
        <v>8.4994685535392271</v>
      </c>
      <c r="M13" s="211"/>
      <c r="N13" s="210">
        <f>L13*E13</f>
        <v>322.40710297832254</v>
      </c>
    </row>
    <row r="14" spans="1:14" ht="14" x14ac:dyDescent="0.3">
      <c r="A14" s="151">
        <f>IF(B14&lt;&gt;"",COUNTA($B$13:B14),"")</f>
        <v>2</v>
      </c>
      <c r="B14" s="207" t="s">
        <v>449</v>
      </c>
      <c r="C14" s="233" t="s">
        <v>442</v>
      </c>
      <c r="D14" s="233"/>
      <c r="E14" s="234">
        <v>10.230856707354228</v>
      </c>
      <c r="F14" s="207"/>
      <c r="G14" s="236">
        <v>6.3460000000000003E-2</v>
      </c>
      <c r="H14" s="209"/>
      <c r="I14" s="210">
        <f t="shared" ref="I14:I15" si="0">G14*E14</f>
        <v>0.64925016664869928</v>
      </c>
      <c r="J14" s="235"/>
      <c r="K14" s="210"/>
      <c r="L14" s="236">
        <v>6.3460000000000003E-2</v>
      </c>
      <c r="M14" s="211"/>
      <c r="N14" s="210">
        <f t="shared" ref="N14:N15" si="1">L14*E14</f>
        <v>0.64925016664869928</v>
      </c>
    </row>
    <row r="15" spans="1:14" ht="14" x14ac:dyDescent="0.3">
      <c r="A15" s="151">
        <f>IF(B15&lt;&gt;"",COUNTA($B$13:B15),"")</f>
        <v>3</v>
      </c>
      <c r="B15" s="207" t="s">
        <v>450</v>
      </c>
      <c r="C15" s="233" t="s">
        <v>444</v>
      </c>
      <c r="D15" s="233"/>
      <c r="E15" s="234">
        <v>0</v>
      </c>
      <c r="F15" s="207"/>
      <c r="G15" s="236">
        <v>2.3380000000000001E-2</v>
      </c>
      <c r="H15" s="209"/>
      <c r="I15" s="210">
        <f t="shared" si="0"/>
        <v>0</v>
      </c>
      <c r="J15" s="235"/>
      <c r="K15" s="210"/>
      <c r="L15" s="236">
        <v>2.3380000000000001E-2</v>
      </c>
      <c r="M15" s="211"/>
      <c r="N15" s="210">
        <f t="shared" si="1"/>
        <v>0</v>
      </c>
    </row>
    <row r="16" spans="1:14" ht="14" x14ac:dyDescent="0.3">
      <c r="A16" s="151">
        <f>IF(B16&lt;&gt;"",COUNTA($B$13:B16),"")</f>
        <v>4</v>
      </c>
      <c r="B16" s="207" t="s">
        <v>352</v>
      </c>
      <c r="C16" s="233" t="s">
        <v>299</v>
      </c>
      <c r="D16" s="233"/>
      <c r="E16" s="234">
        <v>10.230856707354228</v>
      </c>
      <c r="F16" s="207"/>
      <c r="G16" s="236"/>
      <c r="H16" s="209"/>
      <c r="I16" s="237"/>
      <c r="J16" s="235"/>
      <c r="K16" s="210"/>
      <c r="L16" s="281"/>
      <c r="M16" s="211"/>
      <c r="N16" s="237"/>
    </row>
    <row r="17" spans="1:14" ht="14" x14ac:dyDescent="0.3">
      <c r="A17" s="151">
        <f>IF(B17&lt;&gt;"",COUNTA($B$13:B17),"")</f>
        <v>5</v>
      </c>
      <c r="B17" s="207" t="s">
        <v>300</v>
      </c>
      <c r="C17" s="233" t="s">
        <v>301</v>
      </c>
      <c r="D17" s="233"/>
      <c r="E17" s="234"/>
      <c r="F17" s="207"/>
      <c r="G17" s="209"/>
      <c r="H17" s="209"/>
      <c r="I17" s="210">
        <f>SUM(I13:I16)</f>
        <v>312.45537896022586</v>
      </c>
      <c r="J17" s="235"/>
      <c r="K17" s="210"/>
      <c r="L17" s="238"/>
      <c r="M17" s="211"/>
      <c r="N17" s="210">
        <f>SUM(N13:N16)</f>
        <v>323.05635314497124</v>
      </c>
    </row>
    <row r="18" spans="1:14" ht="14" x14ac:dyDescent="0.3">
      <c r="A18" s="151" t="str">
        <f>IF(B18&lt;&gt;"",COUNTA($B$13:B18),"")</f>
        <v/>
      </c>
      <c r="B18" s="207"/>
      <c r="C18" s="233"/>
      <c r="D18" s="233"/>
      <c r="E18" s="234"/>
      <c r="F18" s="207"/>
      <c r="G18" s="209"/>
      <c r="H18" s="209"/>
      <c r="I18" s="210"/>
      <c r="J18" s="235"/>
      <c r="K18" s="210"/>
      <c r="L18" s="238"/>
      <c r="M18" s="211"/>
      <c r="N18" s="210"/>
    </row>
    <row r="19" spans="1:14" ht="14" x14ac:dyDescent="0.3">
      <c r="A19" s="151">
        <f>IF(B19&lt;&gt;"",COUNTA($B$13:B19),"")</f>
        <v>6</v>
      </c>
      <c r="B19" s="228" t="s">
        <v>302</v>
      </c>
      <c r="F19" s="239"/>
      <c r="G19" s="240"/>
      <c r="H19" s="211"/>
      <c r="I19" s="210"/>
      <c r="K19" s="210"/>
      <c r="L19" s="241"/>
      <c r="M19" s="211"/>
      <c r="N19" s="210"/>
    </row>
    <row r="20" spans="1:14" ht="14" x14ac:dyDescent="0.3">
      <c r="A20" s="151">
        <f>IF(B20&lt;&gt;"",COUNTA($B$13:B20),"")</f>
        <v>7</v>
      </c>
      <c r="B20" s="207" t="str">
        <f>+'G1 CAMB'!B21</f>
        <v>Revenue Decoupling</v>
      </c>
      <c r="C20" s="233" t="str">
        <f>+'G1 CAMB'!C21</f>
        <v>RDAF</v>
      </c>
      <c r="D20" s="233"/>
      <c r="E20" s="242"/>
      <c r="F20" s="239"/>
      <c r="G20" s="236">
        <v>0</v>
      </c>
      <c r="H20" s="211"/>
      <c r="I20" s="210">
        <f>G20*$E$16</f>
        <v>0</v>
      </c>
      <c r="K20" s="210"/>
      <c r="L20" s="236">
        <v>-3.2348376541786153E-4</v>
      </c>
      <c r="M20" s="211"/>
      <c r="N20" s="210">
        <f>L20*$E$16</f>
        <v>-3.3095160511455303E-3</v>
      </c>
    </row>
    <row r="21" spans="1:14" ht="14" x14ac:dyDescent="0.3">
      <c r="A21" s="151">
        <f>IF(B21&lt;&gt;"",COUNTA($B$13:B21),"")</f>
        <v>8</v>
      </c>
      <c r="B21" s="207" t="str">
        <f>+'G1 CAMB'!B22</f>
        <v>Residential Assistance Adjustment Factor</v>
      </c>
      <c r="C21" s="233" t="str">
        <f>+'G1 CAMB'!C22</f>
        <v>RAAF</v>
      </c>
      <c r="D21" s="243"/>
      <c r="E21" s="206"/>
      <c r="F21" s="239"/>
      <c r="G21" s="236">
        <v>2.0899999999999998E-3</v>
      </c>
      <c r="H21" s="211"/>
      <c r="I21" s="210">
        <f t="shared" ref="I21:I34" si="2">G21*$E$16</f>
        <v>2.1382490518370333E-2</v>
      </c>
      <c r="K21" s="210"/>
      <c r="L21" s="236">
        <v>2.7328778489833509E-3</v>
      </c>
      <c r="M21" s="211"/>
      <c r="N21" s="210">
        <f t="shared" ref="N21:N34" si="3">L21*$E$16</f>
        <v>2.795968167165111E-2</v>
      </c>
    </row>
    <row r="22" spans="1:14" ht="14" x14ac:dyDescent="0.3">
      <c r="A22" s="151">
        <f>IF(B22&lt;&gt;"",COUNTA($B$13:B22),"")</f>
        <v>9</v>
      </c>
      <c r="B22" s="207" t="str">
        <f>+'G1 CAMB'!B23</f>
        <v>Pension Adjustment Factor</v>
      </c>
      <c r="C22" s="233" t="str">
        <f>+'G1 CAMB'!C23</f>
        <v>PAF</v>
      </c>
      <c r="D22" s="243"/>
      <c r="E22" s="206"/>
      <c r="F22" s="239"/>
      <c r="G22" s="236">
        <v>-6.0000000000000002E-5</v>
      </c>
      <c r="H22" s="211"/>
      <c r="I22" s="210">
        <f t="shared" si="2"/>
        <v>-6.1385140244125372E-4</v>
      </c>
      <c r="K22" s="210"/>
      <c r="L22" s="236">
        <v>5.4374321409868449E-4</v>
      </c>
      <c r="M22" s="211"/>
      <c r="N22" s="210">
        <f t="shared" si="3"/>
        <v>5.5629589090398718E-3</v>
      </c>
    </row>
    <row r="23" spans="1:14" ht="14" x14ac:dyDescent="0.3">
      <c r="A23" s="151">
        <f>IF(B23&lt;&gt;"",COUNTA($B$13:B23),"")</f>
        <v>10</v>
      </c>
      <c r="B23" s="207" t="str">
        <f>+'G1 CAMB'!B24</f>
        <v>Net Metering Recovery Surcharge</v>
      </c>
      <c r="C23" s="233" t="str">
        <f>+'G1 CAMB'!C24</f>
        <v>NMRS</v>
      </c>
      <c r="D23" s="243"/>
      <c r="E23" s="206"/>
      <c r="F23" s="239"/>
      <c r="G23" s="236">
        <v>4.1099999999999999E-3</v>
      </c>
      <c r="H23" s="211"/>
      <c r="I23" s="210">
        <f t="shared" si="2"/>
        <v>4.2048821067225878E-2</v>
      </c>
      <c r="K23" s="210"/>
      <c r="L23" s="236">
        <v>3.5634535002407389E-3</v>
      </c>
      <c r="M23" s="211"/>
      <c r="N23" s="210">
        <f t="shared" si="3"/>
        <v>3.6457182144282861E-2</v>
      </c>
    </row>
    <row r="24" spans="1:14" ht="14" x14ac:dyDescent="0.3">
      <c r="A24" s="151">
        <f>IF(B24&lt;&gt;"",COUNTA($B$13:B24),"")</f>
        <v>11</v>
      </c>
      <c r="B24" s="207" t="str">
        <f>+'G1 CAMB'!B25</f>
        <v>Long Term Renewable Contract Adjustment</v>
      </c>
      <c r="C24" s="233" t="str">
        <f>+'G1 CAMB'!C25</f>
        <v>LTRCA</v>
      </c>
      <c r="D24" s="243"/>
      <c r="E24" s="206"/>
      <c r="F24" s="239"/>
      <c r="G24" s="236">
        <v>2.3600000000000001E-3</v>
      </c>
      <c r="H24" s="211"/>
      <c r="I24" s="210">
        <f t="shared" si="2"/>
        <v>2.414482182935598E-2</v>
      </c>
      <c r="K24" s="210"/>
      <c r="L24" s="236">
        <v>1.7357128782064517E-3</v>
      </c>
      <c r="M24" s="211"/>
      <c r="N24" s="210">
        <f t="shared" si="3"/>
        <v>1.7757829742039589E-2</v>
      </c>
    </row>
    <row r="25" spans="1:14" ht="14" x14ac:dyDescent="0.3">
      <c r="A25" s="151">
        <f>IF(B25&lt;&gt;"",COUNTA($B$13:B25),"")</f>
        <v>12</v>
      </c>
      <c r="B25" s="207" t="str">
        <f>+'G1 CAMB'!B26</f>
        <v>AG Consulting Expense</v>
      </c>
      <c r="C25" s="233" t="str">
        <f>+'G1 CAMB'!C26</f>
        <v>AGCE</v>
      </c>
      <c r="D25" s="243"/>
      <c r="E25" s="206"/>
      <c r="F25" s="239"/>
      <c r="G25" s="236">
        <v>2.0000000000000002E-5</v>
      </c>
      <c r="H25" s="211"/>
      <c r="I25" s="210">
        <f t="shared" si="2"/>
        <v>2.0461713414708456E-4</v>
      </c>
      <c r="K25" s="210"/>
      <c r="L25" s="236">
        <v>5.7380240337673214E-6</v>
      </c>
      <c r="M25" s="211"/>
      <c r="N25" s="210">
        <f t="shared" si="3"/>
        <v>5.8704901672828164E-5</v>
      </c>
    </row>
    <row r="26" spans="1:14" ht="14" x14ac:dyDescent="0.3">
      <c r="A26" s="151">
        <f>IF(B26&lt;&gt;"",COUNTA($B$13:B26),"")</f>
        <v>13</v>
      </c>
      <c r="B26" s="207" t="str">
        <f>+'G1 CAMB'!B27</f>
        <v>Storm Cost Recovery Adjustment Factor</v>
      </c>
      <c r="C26" s="233" t="str">
        <f>+'G1 CAMB'!C27</f>
        <v>SCRA</v>
      </c>
      <c r="D26" s="243"/>
      <c r="E26" s="206"/>
      <c r="F26" s="239"/>
      <c r="G26" s="236">
        <v>1.2899999999999999E-3</v>
      </c>
      <c r="H26" s="211"/>
      <c r="I26" s="210">
        <f t="shared" si="2"/>
        <v>1.3197805152486954E-2</v>
      </c>
      <c r="K26" s="210"/>
      <c r="L26" s="236">
        <v>2.0707669364920995E-3</v>
      </c>
      <c r="M26" s="211"/>
      <c r="N26" s="210">
        <f t="shared" si="3"/>
        <v>2.1185719801577563E-2</v>
      </c>
    </row>
    <row r="27" spans="1:14" ht="14" x14ac:dyDescent="0.3">
      <c r="A27" s="151">
        <f>IF(B27&lt;&gt;"",COUNTA($B$13:B27),"")</f>
        <v>14</v>
      </c>
      <c r="B27" s="207" t="str">
        <f>+'G1 CAMB'!B28</f>
        <v>Storm Reserve Adjustment</v>
      </c>
      <c r="C27" s="233" t="str">
        <f>+'G1 CAMB'!C28</f>
        <v>SRA</v>
      </c>
      <c r="D27" s="243"/>
      <c r="E27" s="206"/>
      <c r="F27" s="239"/>
      <c r="G27" s="236">
        <v>0</v>
      </c>
      <c r="H27" s="211"/>
      <c r="I27" s="210">
        <f t="shared" si="2"/>
        <v>0</v>
      </c>
      <c r="K27" s="210"/>
      <c r="L27" s="236">
        <v>0</v>
      </c>
      <c r="M27" s="211"/>
      <c r="N27" s="210">
        <f t="shared" si="3"/>
        <v>0</v>
      </c>
    </row>
    <row r="28" spans="1:14" ht="14" x14ac:dyDescent="0.3">
      <c r="A28" s="151">
        <f>IF(B28&lt;&gt;"",COUNTA($B$13:B28),"")</f>
        <v>15</v>
      </c>
      <c r="B28" s="207" t="str">
        <f>+'G1 CAMB'!B29</f>
        <v>Basic Service Cost True Up Factor</v>
      </c>
      <c r="C28" s="233" t="str">
        <f>+'G1 CAMB'!C29</f>
        <v>BSTF</v>
      </c>
      <c r="D28" s="243"/>
      <c r="E28" s="206"/>
      <c r="F28" s="239"/>
      <c r="G28" s="236">
        <v>1.1100000000000001E-3</v>
      </c>
      <c r="H28" s="211"/>
      <c r="I28" s="210">
        <f t="shared" si="2"/>
        <v>1.1356250945163194E-2</v>
      </c>
      <c r="K28" s="210"/>
      <c r="L28" s="236">
        <v>-1.3561209566344785E-4</v>
      </c>
      <c r="M28" s="211"/>
      <c r="N28" s="210">
        <f t="shared" si="3"/>
        <v>-1.3874279185167487E-3</v>
      </c>
    </row>
    <row r="29" spans="1:14" ht="14" x14ac:dyDescent="0.3">
      <c r="A29" s="151">
        <f>IF(B29&lt;&gt;"",COUNTA($B$13:B29),"")</f>
        <v>16</v>
      </c>
      <c r="B29" s="207" t="str">
        <f>+'G1 CAMB'!B30</f>
        <v>Solar Program Cost Adjustment Factor</v>
      </c>
      <c r="C29" s="233" t="str">
        <f>+'G1 CAMB'!C30</f>
        <v>SPCA</v>
      </c>
      <c r="D29" s="233"/>
      <c r="E29" s="206"/>
      <c r="F29" s="239"/>
      <c r="G29" s="236">
        <v>0</v>
      </c>
      <c r="H29" s="211"/>
      <c r="I29" s="210">
        <f t="shared" si="2"/>
        <v>0</v>
      </c>
      <c r="K29" s="210"/>
      <c r="L29" s="236">
        <v>2.4134141187452967E-5</v>
      </c>
      <c r="M29" s="211"/>
      <c r="N29" s="210">
        <f t="shared" si="3"/>
        <v>2.469129402438871E-4</v>
      </c>
    </row>
    <row r="30" spans="1:14" ht="14" x14ac:dyDescent="0.3">
      <c r="A30" s="151">
        <f>IF(B30&lt;&gt;"",COUNTA($B$13:B30),"")</f>
        <v>17</v>
      </c>
      <c r="B30" s="207" t="str">
        <f>+'G1 CAMB'!B31</f>
        <v>Solar Expansion Cost Recovery Factor</v>
      </c>
      <c r="C30" s="233" t="str">
        <f>+'G1 CAMB'!C31</f>
        <v>SECRF</v>
      </c>
      <c r="D30" s="233"/>
      <c r="E30" s="206"/>
      <c r="F30" s="239"/>
      <c r="G30" s="236">
        <v>0</v>
      </c>
      <c r="H30" s="211"/>
      <c r="I30" s="210">
        <f t="shared" si="2"/>
        <v>0</v>
      </c>
      <c r="K30" s="210"/>
      <c r="L30" s="236">
        <v>4.2567103824713107E-4</v>
      </c>
      <c r="M30" s="211"/>
      <c r="N30" s="210">
        <f t="shared" si="3"/>
        <v>4.3549793967770992E-3</v>
      </c>
    </row>
    <row r="31" spans="1:14" ht="14" x14ac:dyDescent="0.3">
      <c r="A31" s="151">
        <f>IF(B31&lt;&gt;"",COUNTA($B$13:B31),"")</f>
        <v>18</v>
      </c>
      <c r="B31" s="207" t="str">
        <f>+'G1 CAMB'!B32</f>
        <v>Vegetation Management</v>
      </c>
      <c r="C31" s="233" t="str">
        <f>+'G1 CAMB'!C32</f>
        <v>RTWF</v>
      </c>
      <c r="D31" s="233"/>
      <c r="E31" s="206"/>
      <c r="F31" s="239"/>
      <c r="G31" s="236">
        <v>0</v>
      </c>
      <c r="H31" s="211"/>
      <c r="I31" s="210">
        <f t="shared" si="2"/>
        <v>0</v>
      </c>
      <c r="K31" s="210"/>
      <c r="L31" s="236">
        <v>9.7348412987279833E-4</v>
      </c>
      <c r="M31" s="211"/>
      <c r="N31" s="210">
        <f t="shared" si="3"/>
        <v>9.9595766396120122E-3</v>
      </c>
    </row>
    <row r="32" spans="1:14" ht="14" x14ac:dyDescent="0.3">
      <c r="A32" s="151">
        <f>IF(B32&lt;&gt;"",COUNTA($B$13:B32),"")</f>
        <v>19</v>
      </c>
      <c r="B32" s="207" t="str">
        <f>+'G1 CAMB'!B33</f>
        <v>Solar Massachusetts Renewable Target</v>
      </c>
      <c r="C32" s="233" t="str">
        <f>+'G1 CAMB'!C33</f>
        <v>SMART</v>
      </c>
      <c r="D32" s="233"/>
      <c r="E32" s="206"/>
      <c r="F32" s="239"/>
      <c r="G32" s="236">
        <v>0</v>
      </c>
      <c r="H32" s="211"/>
      <c r="I32" s="210">
        <f t="shared" si="2"/>
        <v>0</v>
      </c>
      <c r="K32" s="210"/>
      <c r="L32" s="236">
        <v>4.9873335506864778E-4</v>
      </c>
      <c r="M32" s="211"/>
      <c r="N32" s="210">
        <f t="shared" si="3"/>
        <v>5.1024694908853524E-3</v>
      </c>
    </row>
    <row r="33" spans="1:14" ht="14" x14ac:dyDescent="0.3">
      <c r="A33" s="151">
        <f>IF(B33&lt;&gt;"",COUNTA($B$13:B33),"")</f>
        <v>20</v>
      </c>
      <c r="B33" s="207" t="str">
        <f>+'G1 CAMB'!B34</f>
        <v>Tax Act Credit Factor</v>
      </c>
      <c r="C33" s="233" t="str">
        <f>+'G1 CAMB'!C34</f>
        <v>TACF</v>
      </c>
      <c r="D33" s="233"/>
      <c r="E33" s="206"/>
      <c r="F33" s="239"/>
      <c r="G33" s="236">
        <v>0</v>
      </c>
      <c r="H33" s="211"/>
      <c r="I33" s="210">
        <f t="shared" si="2"/>
        <v>0</v>
      </c>
      <c r="K33" s="210"/>
      <c r="L33" s="236">
        <v>-7.5499898202286016E-4</v>
      </c>
      <c r="M33" s="211"/>
      <c r="N33" s="210">
        <f t="shared" si="3"/>
        <v>-7.724286399274193E-3</v>
      </c>
    </row>
    <row r="34" spans="1:14" ht="14" x14ac:dyDescent="0.3">
      <c r="A34" s="151">
        <f>IF(B34&lt;&gt;"",COUNTA($B$13:B34),"")</f>
        <v>21</v>
      </c>
      <c r="B34" s="207" t="str">
        <f>+'G1 CAMB'!B35</f>
        <v>Transition</v>
      </c>
      <c r="C34" s="233" t="str">
        <f>+'G1 CAMB'!C35</f>
        <v>TRNSN</v>
      </c>
      <c r="D34" s="233"/>
      <c r="E34" s="206"/>
      <c r="F34" s="239"/>
      <c r="G34" s="236">
        <v>-6.0999999999999997E-4</v>
      </c>
      <c r="H34" s="211"/>
      <c r="I34" s="210">
        <f t="shared" si="2"/>
        <v>-6.2408225914860789E-3</v>
      </c>
      <c r="K34" s="210"/>
      <c r="L34" s="236">
        <v>-5.210932140356871E-4</v>
      </c>
      <c r="M34" s="211"/>
      <c r="N34" s="210">
        <f t="shared" si="3"/>
        <v>-5.3312300039737815E-3</v>
      </c>
    </row>
    <row r="35" spans="1:14" ht="14" x14ac:dyDescent="0.3">
      <c r="A35" s="151">
        <f>IF(B35&lt;&gt;"",COUNTA($B$13:B35),"")</f>
        <v>22</v>
      </c>
      <c r="B35" s="207" t="s">
        <v>451</v>
      </c>
      <c r="C35" s="233" t="s">
        <v>316</v>
      </c>
      <c r="D35" s="233"/>
      <c r="E35" s="206"/>
      <c r="F35" s="239"/>
      <c r="G35" s="241">
        <v>2.7109999999999999E-2</v>
      </c>
      <c r="H35" s="211"/>
      <c r="I35" s="210">
        <f>G35*$E$14</f>
        <v>0.27735852533637312</v>
      </c>
      <c r="K35" s="210"/>
      <c r="L35" s="241">
        <v>2.3278331427341821E-2</v>
      </c>
      <c r="M35" s="211"/>
      <c r="N35" s="210">
        <f>L35*$E$14</f>
        <v>0.23815727321943478</v>
      </c>
    </row>
    <row r="36" spans="1:14" ht="14" x14ac:dyDescent="0.3">
      <c r="A36" s="151">
        <f>IF(B36&lt;&gt;"",COUNTA($B$13:B36),"")</f>
        <v>23</v>
      </c>
      <c r="B36" s="207" t="s">
        <v>452</v>
      </c>
      <c r="C36" s="233" t="s">
        <v>316</v>
      </c>
      <c r="D36" s="233"/>
      <c r="E36" s="206"/>
      <c r="F36" s="239"/>
      <c r="G36" s="241">
        <v>0</v>
      </c>
      <c r="H36" s="211"/>
      <c r="I36" s="210">
        <f>G36*$E$15</f>
        <v>0</v>
      </c>
      <c r="K36" s="210"/>
      <c r="L36" s="241">
        <v>0</v>
      </c>
      <c r="M36" s="211"/>
      <c r="N36" s="210">
        <f>L36*$E$15</f>
        <v>0</v>
      </c>
    </row>
    <row r="37" spans="1:14" ht="14" x14ac:dyDescent="0.3">
      <c r="A37" s="151">
        <f>IF(B37&lt;&gt;"",COUNTA($B$13:B37),"")</f>
        <v>24</v>
      </c>
      <c r="B37" s="207" t="str">
        <f>+'G1 CAMB'!B37</f>
        <v>Energy Efficiency Reconciliation Factor</v>
      </c>
      <c r="C37" s="233" t="str">
        <f>+'G1 CAMB'!C37</f>
        <v>EERF</v>
      </c>
      <c r="D37" s="233"/>
      <c r="E37" s="206"/>
      <c r="F37" s="239"/>
      <c r="G37" s="241">
        <v>8.4600000000000005E-3</v>
      </c>
      <c r="H37" s="211"/>
      <c r="I37" s="210">
        <f t="shared" ref="I37:I40" si="4">G37*$E$16</f>
        <v>8.6553047744216766E-2</v>
      </c>
      <c r="K37" s="210"/>
      <c r="L37" s="281">
        <v>8.4600000000000005E-3</v>
      </c>
      <c r="M37" s="211"/>
      <c r="N37" s="210">
        <f t="shared" ref="N37:N40" si="5">L37*$E$16</f>
        <v>8.6553047744216766E-2</v>
      </c>
    </row>
    <row r="38" spans="1:14" ht="14" x14ac:dyDescent="0.3">
      <c r="A38" s="151">
        <f>IF(B38&lt;&gt;"",COUNTA($B$13:B38),"")</f>
        <v>25</v>
      </c>
      <c r="B38" s="207" t="str">
        <f>+'G1 CAMB'!B38</f>
        <v>System Benefits Charge</v>
      </c>
      <c r="C38" s="233" t="str">
        <f>+'G1 CAMB'!C38</f>
        <v>SBC</v>
      </c>
      <c r="D38" s="233"/>
      <c r="E38" s="206"/>
      <c r="F38" s="239"/>
      <c r="G38" s="241">
        <v>2.5000000000000001E-3</v>
      </c>
      <c r="H38" s="211"/>
      <c r="I38" s="210">
        <f t="shared" si="4"/>
        <v>2.5577141768385572E-2</v>
      </c>
      <c r="K38" s="210"/>
      <c r="L38" s="281">
        <f>+G38</f>
        <v>2.5000000000000001E-3</v>
      </c>
      <c r="M38" s="211"/>
      <c r="N38" s="210">
        <f t="shared" si="5"/>
        <v>2.5577141768385572E-2</v>
      </c>
    </row>
    <row r="39" spans="1:14" ht="14" x14ac:dyDescent="0.3">
      <c r="A39" s="151">
        <f>IF(B39&lt;&gt;"",COUNTA($B$13:B39),"")</f>
        <v>26</v>
      </c>
      <c r="B39" s="207" t="str">
        <f>+'G1 CAMB'!B39</f>
        <v>Renewable Energy Charge</v>
      </c>
      <c r="C39" s="233" t="str">
        <f>+'G1 CAMB'!C39</f>
        <v>RNEW</v>
      </c>
      <c r="D39" s="233"/>
      <c r="E39" s="206"/>
      <c r="F39" s="239"/>
      <c r="G39" s="241">
        <v>5.0000000000000001E-4</v>
      </c>
      <c r="H39" s="211"/>
      <c r="I39" s="210">
        <f t="shared" si="4"/>
        <v>5.1154283536771136E-3</v>
      </c>
      <c r="K39" s="210"/>
      <c r="L39" s="281">
        <f>+G39</f>
        <v>5.0000000000000001E-4</v>
      </c>
      <c r="M39" s="211"/>
      <c r="N39" s="210">
        <f t="shared" si="5"/>
        <v>5.1154283536771136E-3</v>
      </c>
    </row>
    <row r="40" spans="1:14" ht="14" x14ac:dyDescent="0.3">
      <c r="A40" s="151">
        <f>IF(B40&lt;&gt;"",COUNTA($B$13:B40),"")</f>
        <v>27</v>
      </c>
      <c r="B40" s="207" t="str">
        <f>+'G1 CAMB'!B40</f>
        <v>Basic Service Charge</v>
      </c>
      <c r="C40" s="233" t="str">
        <f>+'G1 CAMB'!C40</f>
        <v>BS</v>
      </c>
      <c r="D40" s="233"/>
      <c r="E40" s="206"/>
      <c r="F40" s="239"/>
      <c r="G40" s="236">
        <v>0.11403000000000001</v>
      </c>
      <c r="H40" s="211"/>
      <c r="I40" s="237">
        <f t="shared" si="4"/>
        <v>1.1666245903396026</v>
      </c>
      <c r="K40" s="210"/>
      <c r="L40" s="281">
        <v>0.13185000000000002</v>
      </c>
      <c r="M40" s="211"/>
      <c r="N40" s="237">
        <f t="shared" si="5"/>
        <v>1.3489384568646552</v>
      </c>
    </row>
    <row r="41" spans="1:14" ht="14" x14ac:dyDescent="0.3">
      <c r="A41" s="151" t="str">
        <f>IF(B41&lt;&gt;"",COUNTA($B$13:B41),"")</f>
        <v/>
      </c>
      <c r="B41" s="207"/>
      <c r="E41" s="206"/>
      <c r="F41" s="239"/>
      <c r="G41" s="241"/>
      <c r="H41" s="211"/>
      <c r="I41" s="244"/>
      <c r="K41" s="210"/>
      <c r="L41" s="241"/>
      <c r="M41" s="211"/>
      <c r="N41" s="244"/>
    </row>
    <row r="42" spans="1:14" ht="14" x14ac:dyDescent="0.3">
      <c r="A42" s="151">
        <f>IF(B42&lt;&gt;"",COUNTA($B$13:B42),"")</f>
        <v>28</v>
      </c>
      <c r="B42" s="188" t="s">
        <v>46</v>
      </c>
      <c r="E42" s="188"/>
      <c r="G42" s="245" t="s">
        <v>324</v>
      </c>
      <c r="H42" s="246"/>
      <c r="I42" s="154">
        <f>SUM(I17:I41)</f>
        <v>314.12208782642091</v>
      </c>
      <c r="K42" s="247"/>
      <c r="L42" s="245"/>
      <c r="N42" s="154">
        <f>SUM(N17:N41)</f>
        <v>324.87158804818648</v>
      </c>
    </row>
    <row r="43" spans="1:14" ht="14" x14ac:dyDescent="0.3">
      <c r="A43" s="151" t="str">
        <f>IF(B43&lt;&gt;"",COUNTA($B$13:B43),"")</f>
        <v/>
      </c>
      <c r="E43" s="188"/>
      <c r="H43" s="188"/>
      <c r="I43" s="154"/>
      <c r="K43" s="265"/>
      <c r="L43" s="278"/>
      <c r="N43" s="265"/>
    </row>
    <row r="44" spans="1:14" ht="14" x14ac:dyDescent="0.3">
      <c r="A44" s="151">
        <f>IF(B44&lt;&gt;"",COUNTA($B$13:B44),"")</f>
        <v>29</v>
      </c>
      <c r="B44" s="188" t="s">
        <v>46</v>
      </c>
      <c r="E44" s="188"/>
      <c r="G44" s="188"/>
      <c r="H44" s="188"/>
      <c r="I44" s="188"/>
      <c r="J44" s="188"/>
      <c r="L44" s="248" t="s">
        <v>325</v>
      </c>
      <c r="N44" s="160">
        <f>+N42/I42-1</f>
        <v>3.4220771599180244E-2</v>
      </c>
    </row>
    <row r="45" spans="1:14" ht="14" x14ac:dyDescent="0.3">
      <c r="A45" s="151" t="str">
        <f>IF(B45&lt;&gt;"",COUNTA($B$13:B45),"")</f>
        <v/>
      </c>
      <c r="E45" s="188"/>
      <c r="G45" s="188"/>
      <c r="H45" s="188"/>
      <c r="I45" s="188"/>
      <c r="J45" s="188"/>
      <c r="L45" s="248"/>
      <c r="N45" s="160"/>
    </row>
    <row r="46" spans="1:14" ht="14" x14ac:dyDescent="0.3">
      <c r="A46" s="151" t="str">
        <f>IF(B46&lt;&gt;"",COUNTA($B$13:B46),"")</f>
        <v/>
      </c>
      <c r="E46" s="188"/>
      <c r="G46" s="186"/>
      <c r="H46" s="188"/>
      <c r="I46" s="188"/>
      <c r="L46" s="248"/>
      <c r="N46" s="160"/>
    </row>
    <row r="47" spans="1:14" ht="14.5" thickBot="1" x14ac:dyDescent="0.35">
      <c r="A47" s="151">
        <f>IF(B47&lt;&gt;"",COUNTA($B$13:B47),"")</f>
        <v>30</v>
      </c>
      <c r="B47" s="188" t="s">
        <v>46</v>
      </c>
      <c r="E47" s="279" t="s">
        <v>326</v>
      </c>
      <c r="F47" s="135"/>
      <c r="G47" s="280"/>
      <c r="I47" s="279" t="s">
        <v>327</v>
      </c>
      <c r="J47" s="135"/>
      <c r="L47" s="279" t="s">
        <v>328</v>
      </c>
      <c r="M47" s="135"/>
      <c r="N47" s="137"/>
    </row>
    <row r="48" spans="1:14" ht="14" x14ac:dyDescent="0.3">
      <c r="A48" s="151">
        <f>IF(B48&lt;&gt;"",COUNTA($B$13:B48),"")</f>
        <v>31</v>
      </c>
      <c r="B48" s="144" t="s">
        <v>329</v>
      </c>
      <c r="C48" s="144"/>
      <c r="D48" s="144"/>
      <c r="E48" s="249" t="s">
        <v>148</v>
      </c>
      <c r="F48" s="250"/>
      <c r="G48" s="251" t="s">
        <v>330</v>
      </c>
      <c r="I48" s="249" t="s">
        <v>148</v>
      </c>
      <c r="J48" s="251" t="s">
        <v>330</v>
      </c>
      <c r="K48" s="212"/>
      <c r="L48" s="249" t="s">
        <v>148</v>
      </c>
      <c r="M48" s="252"/>
      <c r="N48" s="251" t="s">
        <v>330</v>
      </c>
    </row>
    <row r="49" spans="1:14" ht="14" x14ac:dyDescent="0.3">
      <c r="A49" s="151">
        <f>IF(B49&lt;&gt;"",COUNTA($B$13:B49),"")</f>
        <v>32</v>
      </c>
      <c r="B49" s="130" t="str">
        <f>+'G1 CAMB'!B49</f>
        <v>Distribution</v>
      </c>
      <c r="C49" s="253" t="str">
        <f>+'G1 CAMB'!C49</f>
        <v>DIST</v>
      </c>
      <c r="D49" s="253"/>
      <c r="E49" s="154">
        <f t="shared" ref="E49:N64" si="6">SUMIF($C$13:$C$40,$C49,$I$13:$I$40)</f>
        <v>312.45537896022586</v>
      </c>
      <c r="G49" s="254">
        <f>+E49/$E$16*100</f>
        <v>3054.0490195276034</v>
      </c>
      <c r="I49" s="154">
        <f t="shared" ref="I49:I64" si="7">SUMIF($C$13:$C$40,$C49,$N$13:$N$40)</f>
        <v>323.05635314497124</v>
      </c>
      <c r="J49" s="254">
        <f>+I49/$E$16*100</f>
        <v>3157.6666782240168</v>
      </c>
      <c r="L49" s="154">
        <f t="shared" ref="L49:L69" si="8">I49-E49</f>
        <v>10.600974184745382</v>
      </c>
      <c r="N49" s="254">
        <f>+L49/$E$16*100</f>
        <v>103.61765869641302</v>
      </c>
    </row>
    <row r="50" spans="1:14" ht="14" x14ac:dyDescent="0.3">
      <c r="A50" s="151">
        <f>IF(B50&lt;&gt;"",COUNTA($B$13:B50),"")</f>
        <v>33</v>
      </c>
      <c r="B50" s="130" t="str">
        <f>+'G1 CAMB'!B50</f>
        <v>Revenue Decoupling</v>
      </c>
      <c r="C50" s="253" t="str">
        <f>+'G1 CAMB'!C50</f>
        <v>RDAF</v>
      </c>
      <c r="D50" s="253"/>
      <c r="E50" s="154">
        <f t="shared" si="6"/>
        <v>0</v>
      </c>
      <c r="G50" s="254">
        <f t="shared" ref="G50:G70" si="9">+E50/$E$16*100</f>
        <v>0</v>
      </c>
      <c r="I50" s="154">
        <f t="shared" si="7"/>
        <v>-3.3095160511455303E-3</v>
      </c>
      <c r="J50" s="254">
        <f t="shared" ref="J50:J70" si="10">+I50/$E$16*100</f>
        <v>-3.2348376541786156E-2</v>
      </c>
      <c r="L50" s="154">
        <f>I50-E50</f>
        <v>-3.3095160511455303E-3</v>
      </c>
      <c r="N50" s="254">
        <f t="shared" ref="N50:N70" si="11">+L50/$E$16*100</f>
        <v>-3.2348376541786156E-2</v>
      </c>
    </row>
    <row r="51" spans="1:14" ht="14" x14ac:dyDescent="0.3">
      <c r="A51" s="151">
        <f>IF(B51&lt;&gt;"",COUNTA($B$13:B51),"")</f>
        <v>34</v>
      </c>
      <c r="B51" s="130" t="str">
        <f>+'G1 CAMB'!B51</f>
        <v>Residential Assistance Adjustment Factor</v>
      </c>
      <c r="C51" s="253" t="str">
        <f>+'G1 CAMB'!C51</f>
        <v>RAAF</v>
      </c>
      <c r="D51" s="253"/>
      <c r="E51" s="154">
        <f t="shared" si="6"/>
        <v>2.1382490518370333E-2</v>
      </c>
      <c r="G51" s="254">
        <f t="shared" si="9"/>
        <v>0.20899999999999999</v>
      </c>
      <c r="I51" s="154">
        <f t="shared" si="7"/>
        <v>2.795968167165111E-2</v>
      </c>
      <c r="J51" s="254">
        <f t="shared" si="10"/>
        <v>0.27328778489833511</v>
      </c>
      <c r="L51" s="154">
        <f t="shared" si="8"/>
        <v>6.5771911532807766E-3</v>
      </c>
      <c r="N51" s="254">
        <f t="shared" si="11"/>
        <v>6.4287784898335115E-2</v>
      </c>
    </row>
    <row r="52" spans="1:14" ht="14" x14ac:dyDescent="0.3">
      <c r="A52" s="151">
        <f>IF(B52&lt;&gt;"",COUNTA($B$13:B52),"")</f>
        <v>35</v>
      </c>
      <c r="B52" s="130" t="str">
        <f>+'G1 CAMB'!B52</f>
        <v>Pension Adjustment Factor</v>
      </c>
      <c r="C52" s="253" t="str">
        <f>+'G1 CAMB'!C52</f>
        <v>PAF</v>
      </c>
      <c r="D52" s="253"/>
      <c r="E52" s="154">
        <f t="shared" si="6"/>
        <v>-6.1385140244125372E-4</v>
      </c>
      <c r="G52" s="254">
        <f t="shared" si="9"/>
        <v>-6.0000000000000001E-3</v>
      </c>
      <c r="I52" s="154">
        <f t="shared" si="7"/>
        <v>5.5629589090398718E-3</v>
      </c>
      <c r="J52" s="254">
        <f t="shared" si="10"/>
        <v>5.4374321409868448E-2</v>
      </c>
      <c r="L52" s="154">
        <f t="shared" si="8"/>
        <v>6.1768103114811252E-3</v>
      </c>
      <c r="N52" s="254">
        <f t="shared" si="11"/>
        <v>6.0374321409868439E-2</v>
      </c>
    </row>
    <row r="53" spans="1:14" ht="14" x14ac:dyDescent="0.3">
      <c r="A53" s="151">
        <f>IF(B53&lt;&gt;"",COUNTA($B$13:B53),"")</f>
        <v>36</v>
      </c>
      <c r="B53" s="130" t="str">
        <f>+'G1 CAMB'!B53</f>
        <v>Net Metering Recovery Surcharge</v>
      </c>
      <c r="C53" s="253" t="str">
        <f>+'G1 CAMB'!C53</f>
        <v>NMRS</v>
      </c>
      <c r="D53" s="253"/>
      <c r="E53" s="154">
        <f t="shared" si="6"/>
        <v>4.2048821067225878E-2</v>
      </c>
      <c r="G53" s="254">
        <f t="shared" si="9"/>
        <v>0.41099999999999998</v>
      </c>
      <c r="I53" s="154">
        <f>SUMIF($C$13:$C$40,$C53,$N$13:$N$40)</f>
        <v>3.6457182144282861E-2</v>
      </c>
      <c r="J53" s="254">
        <f t="shared" si="10"/>
        <v>0.35634535002407386</v>
      </c>
      <c r="L53" s="154">
        <f t="shared" si="8"/>
        <v>-5.5916389229430166E-3</v>
      </c>
      <c r="N53" s="254">
        <f t="shared" si="11"/>
        <v>-5.4654649975926152E-2</v>
      </c>
    </row>
    <row r="54" spans="1:14" ht="14" x14ac:dyDescent="0.3">
      <c r="A54" s="151">
        <f>IF(B54&lt;&gt;"",COUNTA($B$13:B54),"")</f>
        <v>37</v>
      </c>
      <c r="B54" s="130" t="str">
        <f>+'G1 CAMB'!B54</f>
        <v>Long Term Renewable Contract Adjustment</v>
      </c>
      <c r="C54" s="253" t="str">
        <f>+'G1 CAMB'!C54</f>
        <v>LTRCA</v>
      </c>
      <c r="D54" s="253"/>
      <c r="E54" s="154">
        <f t="shared" si="6"/>
        <v>2.414482182935598E-2</v>
      </c>
      <c r="G54" s="254">
        <f t="shared" si="9"/>
        <v>0.23600000000000002</v>
      </c>
      <c r="I54" s="154">
        <f t="shared" si="7"/>
        <v>1.7757829742039589E-2</v>
      </c>
      <c r="J54" s="254">
        <f t="shared" si="10"/>
        <v>0.17357128782064518</v>
      </c>
      <c r="L54" s="154">
        <f t="shared" si="8"/>
        <v>-6.3869920873163913E-3</v>
      </c>
      <c r="N54" s="254">
        <f t="shared" si="11"/>
        <v>-6.2428712179354848E-2</v>
      </c>
    </row>
    <row r="55" spans="1:14" ht="14" x14ac:dyDescent="0.3">
      <c r="A55" s="151">
        <f>IF(B55&lt;&gt;"",COUNTA($B$13:B55),"")</f>
        <v>38</v>
      </c>
      <c r="B55" s="130" t="str">
        <f>+'G1 CAMB'!B55</f>
        <v>AG Consulting Expense</v>
      </c>
      <c r="C55" s="253" t="str">
        <f>+'G1 CAMB'!C55</f>
        <v>AGCE</v>
      </c>
      <c r="D55" s="253"/>
      <c r="E55" s="154">
        <f t="shared" si="6"/>
        <v>2.0461713414708456E-4</v>
      </c>
      <c r="G55" s="254">
        <f t="shared" si="9"/>
        <v>2E-3</v>
      </c>
      <c r="I55" s="154">
        <f t="shared" si="7"/>
        <v>5.8704901672828164E-5</v>
      </c>
      <c r="J55" s="254">
        <f t="shared" si="10"/>
        <v>5.7380240337673218E-4</v>
      </c>
      <c r="L55" s="154">
        <f t="shared" si="8"/>
        <v>-1.4591223247425639E-4</v>
      </c>
      <c r="N55" s="254">
        <f t="shared" si="11"/>
        <v>-1.4261975966232679E-3</v>
      </c>
    </row>
    <row r="56" spans="1:14" ht="14" x14ac:dyDescent="0.3">
      <c r="A56" s="151">
        <f>IF(B56&lt;&gt;"",COUNTA($B$13:B56),"")</f>
        <v>39</v>
      </c>
      <c r="B56" s="130" t="str">
        <f>+'G1 CAMB'!B56</f>
        <v>Storm Cost Recovery Adjustment Factor</v>
      </c>
      <c r="C56" s="253" t="str">
        <f>+'G1 CAMB'!C56</f>
        <v>SCRA</v>
      </c>
      <c r="D56" s="253"/>
      <c r="E56" s="154">
        <f t="shared" si="6"/>
        <v>1.3197805152486954E-2</v>
      </c>
      <c r="F56" s="154">
        <f t="shared" si="6"/>
        <v>1.3197805152486954E-2</v>
      </c>
      <c r="G56" s="254">
        <f t="shared" si="9"/>
        <v>0.129</v>
      </c>
      <c r="H56" s="154">
        <f t="shared" si="6"/>
        <v>1.3197805152486954E-2</v>
      </c>
      <c r="I56" s="154">
        <f t="shared" si="7"/>
        <v>2.1185719801577563E-2</v>
      </c>
      <c r="J56" s="254">
        <f t="shared" si="10"/>
        <v>0.20707669364920994</v>
      </c>
      <c r="K56" s="154">
        <f t="shared" si="6"/>
        <v>1.3197805152486954E-2</v>
      </c>
      <c r="L56" s="154">
        <f t="shared" si="6"/>
        <v>1.3197805152486954E-2</v>
      </c>
      <c r="M56" s="154">
        <f t="shared" si="6"/>
        <v>1.3197805152486954E-2</v>
      </c>
      <c r="N56" s="154">
        <f t="shared" si="6"/>
        <v>1.3197805152486954E-2</v>
      </c>
    </row>
    <row r="57" spans="1:14" ht="14" x14ac:dyDescent="0.3">
      <c r="A57" s="151">
        <f>IF(B57&lt;&gt;"",COUNTA($B$13:B57),"")</f>
        <v>40</v>
      </c>
      <c r="B57" s="130" t="str">
        <f>+'G1 CAMB'!B57</f>
        <v>Storm Reserve Adjustment</v>
      </c>
      <c r="C57" s="253" t="str">
        <f>+'G1 CAMB'!C57</f>
        <v>SRA</v>
      </c>
      <c r="D57" s="253"/>
      <c r="E57" s="154">
        <f t="shared" si="6"/>
        <v>0</v>
      </c>
      <c r="F57" s="154">
        <f t="shared" si="6"/>
        <v>0</v>
      </c>
      <c r="G57" s="254">
        <f t="shared" si="9"/>
        <v>0</v>
      </c>
      <c r="H57" s="154">
        <f t="shared" si="6"/>
        <v>0</v>
      </c>
      <c r="I57" s="154">
        <f t="shared" si="7"/>
        <v>0</v>
      </c>
      <c r="J57" s="254">
        <f t="shared" si="10"/>
        <v>0</v>
      </c>
      <c r="K57" s="154">
        <f t="shared" si="6"/>
        <v>0</v>
      </c>
      <c r="L57" s="154">
        <f t="shared" si="6"/>
        <v>0</v>
      </c>
      <c r="M57" s="154">
        <f t="shared" si="6"/>
        <v>0</v>
      </c>
      <c r="N57" s="154">
        <f t="shared" si="6"/>
        <v>0</v>
      </c>
    </row>
    <row r="58" spans="1:14" ht="14" x14ac:dyDescent="0.3">
      <c r="A58" s="151">
        <f>IF(B58&lt;&gt;"",COUNTA($B$13:B58),"")</f>
        <v>41</v>
      </c>
      <c r="B58" s="130" t="str">
        <f>+'G1 CAMB'!B58</f>
        <v>Basic Service Cost True Up Factor</v>
      </c>
      <c r="C58" s="253" t="str">
        <f>+'G1 CAMB'!C58</f>
        <v>BSTF</v>
      </c>
      <c r="D58" s="253"/>
      <c r="E58" s="154">
        <f t="shared" si="6"/>
        <v>1.1356250945163194E-2</v>
      </c>
      <c r="G58" s="254">
        <f t="shared" si="9"/>
        <v>0.11100000000000002</v>
      </c>
      <c r="I58" s="154">
        <f t="shared" si="7"/>
        <v>-1.3874279185167487E-3</v>
      </c>
      <c r="J58" s="254">
        <f t="shared" si="10"/>
        <v>-1.3561209566344785E-2</v>
      </c>
      <c r="L58" s="154">
        <f>I58-E58</f>
        <v>-1.2743678863679943E-2</v>
      </c>
      <c r="N58" s="254">
        <f t="shared" si="11"/>
        <v>-0.1245612095663448</v>
      </c>
    </row>
    <row r="59" spans="1:14" ht="14" x14ac:dyDescent="0.3">
      <c r="A59" s="151">
        <f>IF(B59&lt;&gt;"",COUNTA($B$13:B59),"")</f>
        <v>42</v>
      </c>
      <c r="B59" s="130" t="str">
        <f>+'G1 CAMB'!B59</f>
        <v>Solar Program Cost Adjustment Factor</v>
      </c>
      <c r="C59" s="253" t="str">
        <f>+'G1 CAMB'!C59</f>
        <v>SPCA</v>
      </c>
      <c r="D59" s="253"/>
      <c r="E59" s="154">
        <f t="shared" si="6"/>
        <v>0</v>
      </c>
      <c r="G59" s="254">
        <f t="shared" si="9"/>
        <v>0</v>
      </c>
      <c r="I59" s="154">
        <f t="shared" si="7"/>
        <v>2.469129402438871E-4</v>
      </c>
      <c r="J59" s="254">
        <f t="shared" si="10"/>
        <v>2.4134141187452966E-3</v>
      </c>
      <c r="L59" s="154">
        <f t="shared" ref="L59:L64" si="12">I59-E59</f>
        <v>2.469129402438871E-4</v>
      </c>
      <c r="N59" s="254">
        <f t="shared" si="11"/>
        <v>2.4134141187452966E-3</v>
      </c>
    </row>
    <row r="60" spans="1:14" ht="14" x14ac:dyDescent="0.3">
      <c r="A60" s="151">
        <f>IF(B60&lt;&gt;"",COUNTA($B$13:B60),"")</f>
        <v>43</v>
      </c>
      <c r="B60" s="130" t="str">
        <f>+'G1 CAMB'!B60</f>
        <v>Solar Expansion Cost Recovery Factor</v>
      </c>
      <c r="C60" s="253" t="str">
        <f>+'G1 CAMB'!C60</f>
        <v>SECRF</v>
      </c>
      <c r="D60" s="253"/>
      <c r="E60" s="154">
        <f t="shared" si="6"/>
        <v>0</v>
      </c>
      <c r="G60" s="254">
        <f t="shared" si="9"/>
        <v>0</v>
      </c>
      <c r="I60" s="154">
        <f t="shared" si="7"/>
        <v>4.3549793967770992E-3</v>
      </c>
      <c r="J60" s="254">
        <f t="shared" si="10"/>
        <v>4.2567103824713105E-2</v>
      </c>
      <c r="L60" s="154">
        <f t="shared" si="12"/>
        <v>4.3549793967770992E-3</v>
      </c>
      <c r="N60" s="254">
        <f t="shared" si="11"/>
        <v>4.2567103824713105E-2</v>
      </c>
    </row>
    <row r="61" spans="1:14" ht="14" x14ac:dyDescent="0.3">
      <c r="A61" s="151">
        <f>IF(B61&lt;&gt;"",COUNTA($B$13:B61),"")</f>
        <v>44</v>
      </c>
      <c r="B61" s="130" t="str">
        <f>+'G1 CAMB'!B61</f>
        <v>Vegetation Management</v>
      </c>
      <c r="C61" s="253" t="str">
        <f>+'G1 CAMB'!C61</f>
        <v>RTWF</v>
      </c>
      <c r="D61" s="253"/>
      <c r="E61" s="154">
        <f t="shared" si="6"/>
        <v>0</v>
      </c>
      <c r="G61" s="254">
        <f t="shared" si="9"/>
        <v>0</v>
      </c>
      <c r="I61" s="154">
        <f t="shared" si="7"/>
        <v>9.9595766396120122E-3</v>
      </c>
      <c r="J61" s="254">
        <f t="shared" si="10"/>
        <v>9.7348412987279823E-2</v>
      </c>
      <c r="L61" s="154">
        <f t="shared" si="12"/>
        <v>9.9595766396120122E-3</v>
      </c>
      <c r="N61" s="254">
        <f t="shared" si="11"/>
        <v>9.7348412987279823E-2</v>
      </c>
    </row>
    <row r="62" spans="1:14" ht="14" x14ac:dyDescent="0.3">
      <c r="A62" s="151">
        <f>IF(B62&lt;&gt;"",COUNTA($B$13:B62),"")</f>
        <v>45</v>
      </c>
      <c r="B62" s="130" t="str">
        <f>+'G1 CAMB'!B62</f>
        <v>Solar Massachusetts Renewable Target</v>
      </c>
      <c r="C62" s="253" t="str">
        <f>+'G1 CAMB'!C62</f>
        <v>SMART</v>
      </c>
      <c r="D62" s="253"/>
      <c r="E62" s="154">
        <f t="shared" si="6"/>
        <v>0</v>
      </c>
      <c r="G62" s="254">
        <f t="shared" si="9"/>
        <v>0</v>
      </c>
      <c r="I62" s="154">
        <f t="shared" si="7"/>
        <v>5.1024694908853524E-3</v>
      </c>
      <c r="J62" s="254">
        <f t="shared" si="10"/>
        <v>4.9873335506864777E-2</v>
      </c>
      <c r="L62" s="154">
        <f t="shared" si="12"/>
        <v>5.1024694908853524E-3</v>
      </c>
      <c r="N62" s="254">
        <f t="shared" si="11"/>
        <v>4.9873335506864777E-2</v>
      </c>
    </row>
    <row r="63" spans="1:14" ht="14" x14ac:dyDescent="0.3">
      <c r="A63" s="151">
        <f>IF(B63&lt;&gt;"",COUNTA($B$13:B63),"")</f>
        <v>46</v>
      </c>
      <c r="B63" s="130" t="str">
        <f>+'G1 CAMB'!B63</f>
        <v>Tax Act Credit Factor</v>
      </c>
      <c r="C63" s="253" t="str">
        <f>+'G1 CAMB'!C63</f>
        <v>TACF</v>
      </c>
      <c r="D63" s="253"/>
      <c r="E63" s="154">
        <f t="shared" si="6"/>
        <v>0</v>
      </c>
      <c r="G63" s="254">
        <f t="shared" si="9"/>
        <v>0</v>
      </c>
      <c r="I63" s="154">
        <f t="shared" si="7"/>
        <v>-7.724286399274193E-3</v>
      </c>
      <c r="J63" s="254">
        <f t="shared" si="10"/>
        <v>-7.5499898202286017E-2</v>
      </c>
      <c r="L63" s="154">
        <f t="shared" si="12"/>
        <v>-7.724286399274193E-3</v>
      </c>
      <c r="N63" s="254">
        <f t="shared" si="11"/>
        <v>-7.5499898202286017E-2</v>
      </c>
    </row>
    <row r="64" spans="1:14" ht="14" x14ac:dyDescent="0.3">
      <c r="A64" s="151">
        <f>IF(B64&lt;&gt;"",COUNTA($B$13:B64),"")</f>
        <v>47</v>
      </c>
      <c r="B64" s="130" t="str">
        <f>+'G1 CAMB'!B64</f>
        <v>Transition</v>
      </c>
      <c r="C64" s="253" t="str">
        <f>+'G1 CAMB'!C64</f>
        <v>TRNSN</v>
      </c>
      <c r="D64" s="253"/>
      <c r="E64" s="154">
        <f t="shared" si="6"/>
        <v>-6.2408225914860789E-3</v>
      </c>
      <c r="G64" s="254">
        <f t="shared" si="9"/>
        <v>-6.0999999999999999E-2</v>
      </c>
      <c r="I64" s="154">
        <f t="shared" si="7"/>
        <v>-5.3312300039737815E-3</v>
      </c>
      <c r="J64" s="254">
        <f t="shared" si="10"/>
        <v>-5.2109321403568713E-2</v>
      </c>
      <c r="L64" s="154">
        <f t="shared" si="12"/>
        <v>9.0959258751229736E-4</v>
      </c>
      <c r="N64" s="254">
        <f t="shared" si="11"/>
        <v>8.8906785964312906E-3</v>
      </c>
    </row>
    <row r="65" spans="1:14" ht="14" x14ac:dyDescent="0.3">
      <c r="A65" s="151">
        <f>IF(B65&lt;&gt;"",COUNTA($B$13:B65),"")</f>
        <v>48</v>
      </c>
      <c r="B65" s="130" t="str">
        <f>+'G1 CAMB'!B65</f>
        <v>Transmission</v>
      </c>
      <c r="C65" s="253" t="str">
        <f>+'G1 CAMB'!C65</f>
        <v>TRNSM</v>
      </c>
      <c r="D65" s="253"/>
      <c r="E65" s="154">
        <f>SUM(SUMIF($C$13:$C$40,{"TMKW","TMKWH"},$I$13:$I$40))</f>
        <v>0.27735852533637312</v>
      </c>
      <c r="G65" s="254">
        <f t="shared" si="9"/>
        <v>2.7109999999999999</v>
      </c>
      <c r="I65" s="154">
        <f>SUM(SUMIF($C$13:$C$40,{"TMKW","TMKWH"},$N$13:$N$40))</f>
        <v>0.23815727321943478</v>
      </c>
      <c r="J65" s="254">
        <f t="shared" si="10"/>
        <v>2.3278331427341823</v>
      </c>
      <c r="L65" s="154">
        <f t="shared" si="8"/>
        <v>-3.920125211693834E-2</v>
      </c>
      <c r="N65" s="254">
        <f t="shared" si="11"/>
        <v>-0.38316685726581801</v>
      </c>
    </row>
    <row r="66" spans="1:14" ht="14" x14ac:dyDescent="0.3">
      <c r="A66" s="151">
        <f>IF(B66&lt;&gt;"",COUNTA($B$13:B66),"")</f>
        <v>49</v>
      </c>
      <c r="B66" s="130" t="str">
        <f>+'G1 CAMB'!B66</f>
        <v>Energy Efficiency Reconciliation Factor</v>
      </c>
      <c r="C66" s="253" t="str">
        <f>+'G1 CAMB'!C66</f>
        <v>EERF</v>
      </c>
      <c r="D66" s="253"/>
      <c r="E66" s="154">
        <f>SUMIF($C$13:$C$40,$C66,$I$13:$I$40)</f>
        <v>8.6553047744216766E-2</v>
      </c>
      <c r="G66" s="254">
        <f t="shared" si="9"/>
        <v>0.84600000000000009</v>
      </c>
      <c r="I66" s="154">
        <f>SUMIF($C$13:$C$40,$C66,$N$13:$N$40)</f>
        <v>8.6553047744216766E-2</v>
      </c>
      <c r="J66" s="254">
        <f t="shared" si="10"/>
        <v>0.84600000000000009</v>
      </c>
      <c r="L66" s="154">
        <f t="shared" si="8"/>
        <v>0</v>
      </c>
      <c r="N66" s="254">
        <f t="shared" si="11"/>
        <v>0</v>
      </c>
    </row>
    <row r="67" spans="1:14" ht="14" x14ac:dyDescent="0.3">
      <c r="A67" s="151">
        <f>IF(B67&lt;&gt;"",COUNTA($B$13:B67),"")</f>
        <v>50</v>
      </c>
      <c r="B67" s="130" t="str">
        <f>+'G1 CAMB'!B67</f>
        <v>System Benefits Charge</v>
      </c>
      <c r="C67" s="253" t="str">
        <f>+'G1 CAMB'!C67</f>
        <v>SBC</v>
      </c>
      <c r="D67" s="253"/>
      <c r="E67" s="154">
        <f>SUMIF($C$13:$C$40,$C67,$I$13:$I$40)</f>
        <v>2.5577141768385572E-2</v>
      </c>
      <c r="G67" s="254">
        <f t="shared" si="9"/>
        <v>0.25</v>
      </c>
      <c r="I67" s="154">
        <f>SUMIF($C$13:$C$40,$C67,$N$13:$N$40)</f>
        <v>2.5577141768385572E-2</v>
      </c>
      <c r="J67" s="254">
        <f t="shared" si="10"/>
        <v>0.25</v>
      </c>
      <c r="L67" s="154">
        <f t="shared" si="8"/>
        <v>0</v>
      </c>
      <c r="N67" s="254">
        <f t="shared" si="11"/>
        <v>0</v>
      </c>
    </row>
    <row r="68" spans="1:14" ht="14" x14ac:dyDescent="0.3">
      <c r="A68" s="151">
        <f>IF(B68&lt;&gt;"",COUNTA($B$13:B68),"")</f>
        <v>51</v>
      </c>
      <c r="B68" s="130" t="str">
        <f>+'G1 CAMB'!B68</f>
        <v>Renewable Energy Charge</v>
      </c>
      <c r="C68" s="253" t="str">
        <f>+'G1 CAMB'!C68</f>
        <v>RNEW</v>
      </c>
      <c r="D68" s="253"/>
      <c r="E68" s="154">
        <f>SUMIF($C$13:$C$40,$C68,$I$13:$I$40)</f>
        <v>5.1154283536771136E-3</v>
      </c>
      <c r="G68" s="254">
        <f t="shared" si="9"/>
        <v>0.05</v>
      </c>
      <c r="I68" s="154">
        <f>SUMIF($C$13:$C$40,$C68,$N$13:$N$40)</f>
        <v>5.1154283536771136E-3</v>
      </c>
      <c r="J68" s="254">
        <f t="shared" si="10"/>
        <v>0.05</v>
      </c>
      <c r="L68" s="154">
        <f>I68-E68</f>
        <v>0</v>
      </c>
      <c r="N68" s="254">
        <f t="shared" si="11"/>
        <v>0</v>
      </c>
    </row>
    <row r="69" spans="1:14" ht="14" x14ac:dyDescent="0.3">
      <c r="A69" s="151">
        <f>IF(B69&lt;&gt;"",COUNTA($B$13:B69),"")</f>
        <v>52</v>
      </c>
      <c r="B69" s="130" t="str">
        <f>+'G1 CAMB'!B69</f>
        <v>Basic Service Charge</v>
      </c>
      <c r="C69" s="253" t="str">
        <f>+'G1 CAMB'!C69</f>
        <v>BS</v>
      </c>
      <c r="D69" s="253"/>
      <c r="E69" s="255">
        <f>SUMIF($C$13:$C$40,$C69,$I$13:$I$40)</f>
        <v>1.1666245903396026</v>
      </c>
      <c r="F69" s="256"/>
      <c r="G69" s="257">
        <f t="shared" si="9"/>
        <v>11.403</v>
      </c>
      <c r="H69" s="258"/>
      <c r="I69" s="255">
        <f>SUMIF($C$13:$C$40,$C69,$N$13:$N$40)</f>
        <v>1.3489384568646552</v>
      </c>
      <c r="J69" s="257">
        <f t="shared" si="10"/>
        <v>13.185000000000002</v>
      </c>
      <c r="K69" s="255"/>
      <c r="L69" s="255">
        <f t="shared" si="8"/>
        <v>0.18231386652505255</v>
      </c>
      <c r="M69" s="259"/>
      <c r="N69" s="257">
        <f t="shared" si="11"/>
        <v>1.782000000000002</v>
      </c>
    </row>
    <row r="70" spans="1:14" ht="14" x14ac:dyDescent="0.3">
      <c r="A70" s="151">
        <f>IF(B70&lt;&gt;"",COUNTA($B$13:B70),"")</f>
        <v>53</v>
      </c>
      <c r="B70" s="130" t="str">
        <f>+'G1 CAMB'!B70</f>
        <v>Total</v>
      </c>
      <c r="C70" s="130"/>
      <c r="D70" s="130"/>
      <c r="E70" s="154">
        <f>SUM(E49:E69)</f>
        <v>314.12208782642091</v>
      </c>
      <c r="G70" s="254">
        <f t="shared" si="9"/>
        <v>3070.3400195276031</v>
      </c>
      <c r="I70" s="154">
        <f>SUM(I49:I69)</f>
        <v>324.87158804818648</v>
      </c>
      <c r="J70" s="254">
        <f t="shared" si="10"/>
        <v>3175.40942406768</v>
      </c>
      <c r="L70" s="154">
        <f>SUM(L49:L69)</f>
        <v>10.754710112268942</v>
      </c>
      <c r="N70" s="254">
        <f t="shared" si="11"/>
        <v>105.1203278464271</v>
      </c>
    </row>
    <row r="71" spans="1:14" ht="14" x14ac:dyDescent="0.3">
      <c r="A71" s="151" t="str">
        <f>IF(B71&lt;&gt;"",COUNTA($B$10:B71),"")</f>
        <v/>
      </c>
    </row>
    <row r="72" spans="1:14" ht="14" x14ac:dyDescent="0.3">
      <c r="A72" s="151"/>
      <c r="B72" s="256" t="s">
        <v>164</v>
      </c>
      <c r="E72" s="188"/>
      <c r="G72" s="188"/>
      <c r="H72" s="188"/>
      <c r="I72" s="188"/>
      <c r="J72" s="188"/>
      <c r="K72" s="188"/>
      <c r="L72" s="188"/>
      <c r="M72" s="188"/>
      <c r="N72" s="188"/>
    </row>
    <row r="73" spans="1:14" ht="14" x14ac:dyDescent="0.3">
      <c r="A73" s="151"/>
      <c r="B73" s="130" t="str">
        <f>+'G1 CAMB'!B73</f>
        <v>Col. (a): Company's forecast</v>
      </c>
    </row>
    <row r="74" spans="1:14" ht="14" x14ac:dyDescent="0.3">
      <c r="A74" s="151"/>
      <c r="B74" s="130" t="str">
        <f>+'G1 CAMB'!B74</f>
        <v>Col. (b): Current rates</v>
      </c>
    </row>
    <row r="75" spans="1:14" ht="14" x14ac:dyDescent="0.3">
      <c r="A75" s="151"/>
      <c r="B75" s="130" t="str">
        <f>+'G1 CAMB'!B75</f>
        <v>Col. (c): Col. (a) x Col. (b)</v>
      </c>
    </row>
    <row r="76" spans="1:14" ht="14" x14ac:dyDescent="0.3">
      <c r="A76" s="151"/>
      <c r="B76" s="130" t="str">
        <f>+'G1 CAMB'!B76</f>
        <v>Col. (e): Proposed rates</v>
      </c>
    </row>
    <row r="77" spans="1:14" ht="14" x14ac:dyDescent="0.3">
      <c r="A77" s="151"/>
      <c r="B77" s="130" t="str">
        <f>'G5 CAMB'!B77</f>
        <v>Col. (f): Col. (a), Line 1 through Line 4 (as appropriate) x Col. (e)</v>
      </c>
    </row>
  </sheetData>
  <mergeCells count="6">
    <mergeCell ref="A4:N4"/>
    <mergeCell ref="A5:N5"/>
    <mergeCell ref="A7:N7"/>
    <mergeCell ref="A8:N8"/>
    <mergeCell ref="G10:I10"/>
    <mergeCell ref="L10:N10"/>
  </mergeCells>
  <pageMargins left="0.7" right="0.7" top="0.75" bottom="0.75" header="0.3" footer="0.3"/>
  <pageSetup scale="64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5BBAC-3D08-4598-A520-B285C7D8AC21}">
  <sheetPr>
    <tabColor theme="9" tint="0.59999389629810485"/>
    <pageSetUpPr fitToPage="1"/>
  </sheetPr>
  <dimension ref="A3:N87"/>
  <sheetViews>
    <sheetView workbookViewId="0"/>
  </sheetViews>
  <sheetFormatPr defaultRowHeight="12.5" x14ac:dyDescent="0.25"/>
  <cols>
    <col min="1" max="1" width="3.26953125" bestFit="1" customWidth="1"/>
    <col min="2" max="2" width="41.1796875" customWidth="1"/>
    <col min="3" max="3" width="8.7265625" bestFit="1" customWidth="1"/>
    <col min="4" max="4" width="1.26953125" customWidth="1"/>
    <col min="5" max="5" width="13.7265625" bestFit="1" customWidth="1"/>
    <col min="6" max="6" width="1.26953125" customWidth="1"/>
    <col min="7" max="7" width="12.7265625" customWidth="1"/>
    <col min="8" max="8" width="1.26953125" customWidth="1"/>
    <col min="9" max="9" width="13.26953125" bestFit="1" customWidth="1"/>
    <col min="11" max="11" width="1.26953125" customWidth="1"/>
    <col min="12" max="12" width="12.7265625" customWidth="1"/>
    <col min="13" max="13" width="1.26953125" customWidth="1"/>
    <col min="14" max="14" width="13.26953125" bestFit="1" customWidth="1"/>
  </cols>
  <sheetData>
    <row r="3" spans="1:14" ht="14" x14ac:dyDescent="0.3">
      <c r="A3" s="268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</row>
    <row r="4" spans="1:14" ht="14" x14ac:dyDescent="0.3">
      <c r="A4" s="748" t="str">
        <f>'R1 EMA'!A4:N4</f>
        <v>Eastern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4" ht="14" x14ac:dyDescent="0.3">
      <c r="A5" s="748" t="str">
        <f>'R1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4" ht="14" x14ac:dyDescent="0.3">
      <c r="A6" s="205"/>
      <c r="C6" s="205"/>
      <c r="D6" s="205"/>
      <c r="E6" s="206"/>
      <c r="F6" s="207"/>
      <c r="G6" s="208"/>
      <c r="H6" s="209"/>
      <c r="I6" s="210"/>
      <c r="J6" s="210"/>
      <c r="K6" s="210"/>
      <c r="L6" s="211"/>
      <c r="M6" s="211"/>
      <c r="N6" s="212"/>
    </row>
    <row r="7" spans="1:14" ht="14" x14ac:dyDescent="0.3">
      <c r="A7" s="748" t="s">
        <v>424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4" ht="14" x14ac:dyDescent="0.3">
      <c r="A8" s="748" t="s">
        <v>453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4" ht="14" x14ac:dyDescent="0.3">
      <c r="B9" s="207"/>
      <c r="C9" s="207"/>
      <c r="D9" s="207"/>
      <c r="E9" s="213"/>
      <c r="F9" s="207"/>
      <c r="I9" s="210"/>
      <c r="J9" s="210"/>
      <c r="K9" s="210"/>
      <c r="L9" s="214"/>
      <c r="M9" s="214"/>
      <c r="N9" s="215"/>
    </row>
    <row r="10" spans="1:14" ht="14.5" thickBot="1" x14ac:dyDescent="0.35">
      <c r="A10" s="151"/>
      <c r="B10" s="216" t="s">
        <v>46</v>
      </c>
      <c r="C10" s="216"/>
      <c r="D10" s="216"/>
      <c r="E10" s="217" t="s">
        <v>144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4" ht="14" x14ac:dyDescent="0.3">
      <c r="A11" s="151"/>
      <c r="B11" s="219" t="s">
        <v>293</v>
      </c>
      <c r="C11" s="220" t="s">
        <v>294</v>
      </c>
      <c r="D11" s="220"/>
      <c r="E11" s="221" t="s">
        <v>295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4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4" ht="14" x14ac:dyDescent="0.3">
      <c r="A13" s="151">
        <f>IF(B13&lt;&gt;"",COUNTA($B$13:B13),"")</f>
        <v>1</v>
      </c>
      <c r="B13" s="232" t="s">
        <v>296</v>
      </c>
      <c r="C13" s="233" t="s">
        <v>297</v>
      </c>
      <c r="D13" s="233"/>
      <c r="E13" s="234">
        <v>24</v>
      </c>
      <c r="F13" s="207"/>
      <c r="G13" s="209">
        <v>781</v>
      </c>
      <c r="H13" s="209"/>
      <c r="I13" s="210">
        <f>G13*E13</f>
        <v>18744</v>
      </c>
      <c r="J13" s="235"/>
      <c r="K13" s="210"/>
      <c r="L13" s="209">
        <v>781</v>
      </c>
      <c r="M13" s="211"/>
      <c r="N13" s="210">
        <f>L13*E13</f>
        <v>18744</v>
      </c>
    </row>
    <row r="14" spans="1:14" ht="14" x14ac:dyDescent="0.3">
      <c r="A14" s="151">
        <f>IF(B14&lt;&gt;"",COUNTA($B$13:B14),"")</f>
        <v>2</v>
      </c>
      <c r="B14" s="232" t="s">
        <v>454</v>
      </c>
      <c r="C14" s="233" t="s">
        <v>455</v>
      </c>
      <c r="D14" s="233"/>
      <c r="E14" s="288">
        <v>229053.71488812831</v>
      </c>
      <c r="F14" s="207"/>
      <c r="G14" s="209">
        <v>4.37</v>
      </c>
      <c r="H14" s="209"/>
      <c r="I14" s="286">
        <f t="shared" ref="I14:I20" si="0">G14*E14</f>
        <v>1000964.7340611208</v>
      </c>
      <c r="J14" s="235"/>
      <c r="K14" s="210"/>
      <c r="L14" s="209">
        <v>4.59</v>
      </c>
      <c r="M14" s="211"/>
      <c r="N14" s="210">
        <f t="shared" ref="N14:N15" si="1">L14*E14</f>
        <v>1051356.5513365089</v>
      </c>
    </row>
    <row r="15" spans="1:14" ht="14" x14ac:dyDescent="0.3">
      <c r="A15" s="151">
        <f>IF(B15&lt;&gt;"",COUNTA($B$13:B15),"")</f>
        <v>3</v>
      </c>
      <c r="B15" s="232" t="s">
        <v>456</v>
      </c>
      <c r="C15" s="233" t="s">
        <v>457</v>
      </c>
      <c r="D15" s="233"/>
      <c r="E15" s="288">
        <v>51204</v>
      </c>
      <c r="F15" s="207"/>
      <c r="G15" s="209">
        <f>+G14</f>
        <v>4.37</v>
      </c>
      <c r="H15" s="209"/>
      <c r="I15" s="286">
        <f t="shared" si="0"/>
        <v>223761.48</v>
      </c>
      <c r="J15" s="235"/>
      <c r="K15" s="210"/>
      <c r="L15" s="209">
        <v>0</v>
      </c>
      <c r="M15" s="211"/>
      <c r="N15" s="210">
        <f t="shared" si="1"/>
        <v>0</v>
      </c>
    </row>
    <row r="16" spans="1:14" ht="14" x14ac:dyDescent="0.3">
      <c r="A16" s="151">
        <f>IF(B16&lt;&gt;"",COUNTA($B$13:B16),"")</f>
        <v>4</v>
      </c>
      <c r="B16" s="232" t="s">
        <v>458</v>
      </c>
      <c r="C16" s="233" t="s">
        <v>459</v>
      </c>
      <c r="D16" s="233"/>
      <c r="E16" s="288">
        <v>1200</v>
      </c>
      <c r="F16" s="207"/>
      <c r="G16" s="209">
        <v>0</v>
      </c>
      <c r="H16" s="209"/>
      <c r="I16" s="210">
        <f t="shared" si="0"/>
        <v>0</v>
      </c>
      <c r="J16" s="235"/>
      <c r="K16" s="210"/>
      <c r="L16" s="209">
        <v>4.3</v>
      </c>
      <c r="M16" s="211"/>
      <c r="N16" s="210">
        <f>L16*E16</f>
        <v>5160</v>
      </c>
    </row>
    <row r="17" spans="1:14" ht="14" x14ac:dyDescent="0.3">
      <c r="A17" s="151">
        <f>IF(B17&lt;&gt;"",COUNTA($B$13:B17),"")</f>
        <v>5</v>
      </c>
      <c r="B17" s="232" t="s">
        <v>460</v>
      </c>
      <c r="C17" s="233" t="s">
        <v>461</v>
      </c>
      <c r="D17" s="233"/>
      <c r="E17" s="288">
        <v>109694.58</v>
      </c>
      <c r="F17" s="207"/>
      <c r="G17" s="209">
        <v>4.3099999999999996</v>
      </c>
      <c r="H17" s="209"/>
      <c r="I17" s="210">
        <f t="shared" si="0"/>
        <v>472783.63979999995</v>
      </c>
      <c r="J17" s="235"/>
      <c r="K17" s="210"/>
      <c r="L17" s="209">
        <v>0</v>
      </c>
      <c r="M17" s="211"/>
      <c r="N17" s="210">
        <f>L17*E17</f>
        <v>0</v>
      </c>
    </row>
    <row r="18" spans="1:14" ht="14" x14ac:dyDescent="0.3">
      <c r="A18" s="151">
        <f>IF(B18&lt;&gt;"",COUNTA($B$13:B18),"")</f>
        <v>6</v>
      </c>
      <c r="B18" s="232" t="s">
        <v>462</v>
      </c>
      <c r="C18" s="233" t="s">
        <v>463</v>
      </c>
      <c r="D18" s="233"/>
      <c r="E18" s="288">
        <f>SUM(E16:E17)</f>
        <v>110894.58</v>
      </c>
      <c r="F18" s="207"/>
      <c r="G18" s="209"/>
      <c r="H18" s="209"/>
      <c r="I18" s="210"/>
      <c r="J18" s="235"/>
      <c r="K18" s="210"/>
      <c r="L18" s="209"/>
      <c r="M18" s="211"/>
      <c r="N18" s="210"/>
    </row>
    <row r="19" spans="1:14" ht="14" x14ac:dyDescent="0.3">
      <c r="A19" s="151">
        <f>IF(B19&lt;&gt;"",COUNTA($B$13:B19),"")</f>
        <v>7</v>
      </c>
      <c r="B19" s="232" t="s">
        <v>464</v>
      </c>
      <c r="C19" s="233" t="s">
        <v>442</v>
      </c>
      <c r="D19" s="233"/>
      <c r="E19" s="288">
        <v>86406342.042588592</v>
      </c>
      <c r="F19" s="207"/>
      <c r="G19" s="236">
        <v>0</v>
      </c>
      <c r="H19" s="209"/>
      <c r="I19" s="210">
        <f t="shared" si="0"/>
        <v>0</v>
      </c>
      <c r="J19" s="235"/>
      <c r="K19" s="210"/>
      <c r="L19" s="236">
        <v>0</v>
      </c>
      <c r="M19" s="211"/>
      <c r="N19" s="210">
        <f>L19*E19</f>
        <v>0</v>
      </c>
    </row>
    <row r="20" spans="1:14" ht="14" x14ac:dyDescent="0.3">
      <c r="A20" s="151">
        <f>IF(B20&lt;&gt;"",COUNTA($B$13:B20),"")</f>
        <v>8</v>
      </c>
      <c r="B20" s="207" t="s">
        <v>465</v>
      </c>
      <c r="C20" s="233" t="s">
        <v>444</v>
      </c>
      <c r="D20" s="233"/>
      <c r="E20" s="288">
        <v>44675113.931337953</v>
      </c>
      <c r="F20" s="207"/>
      <c r="G20" s="236">
        <v>3.29E-3</v>
      </c>
      <c r="H20" s="209"/>
      <c r="I20" s="210">
        <f t="shared" si="0"/>
        <v>146981.12483410185</v>
      </c>
      <c r="J20" s="235"/>
      <c r="K20" s="210"/>
      <c r="L20" s="236">
        <v>3.6800000000000001E-3</v>
      </c>
      <c r="M20" s="211"/>
      <c r="N20" s="210">
        <f>L20*E20</f>
        <v>164404.41926732368</v>
      </c>
    </row>
    <row r="21" spans="1:14" ht="14" x14ac:dyDescent="0.3">
      <c r="A21" s="151">
        <f>IF(B21&lt;&gt;"",COUNTA($B$13:B21),"")</f>
        <v>9</v>
      </c>
      <c r="B21" s="207" t="s">
        <v>352</v>
      </c>
      <c r="C21" s="233" t="s">
        <v>299</v>
      </c>
      <c r="D21" s="233"/>
      <c r="E21" s="288">
        <f>SUM(E19:E20)</f>
        <v>131081455.97392654</v>
      </c>
      <c r="F21" s="207"/>
      <c r="G21" s="236"/>
      <c r="H21" s="209"/>
      <c r="I21" s="237"/>
      <c r="J21" s="235"/>
      <c r="K21" s="210"/>
      <c r="L21" s="209"/>
      <c r="M21" s="211"/>
      <c r="N21" s="237"/>
    </row>
    <row r="22" spans="1:14" ht="14" x14ac:dyDescent="0.3">
      <c r="A22" s="151">
        <f>IF(B22&lt;&gt;"",COUNTA($B$13:B22),"")</f>
        <v>10</v>
      </c>
      <c r="B22" s="207" t="s">
        <v>300</v>
      </c>
      <c r="C22" s="233" t="s">
        <v>301</v>
      </c>
      <c r="D22" s="233"/>
      <c r="E22" s="294"/>
      <c r="F22" s="207"/>
      <c r="G22" s="209"/>
      <c r="H22" s="209"/>
      <c r="I22" s="210">
        <f>SUM(I13:I21)</f>
        <v>1863234.9786952226</v>
      </c>
      <c r="J22" s="235"/>
      <c r="K22" s="210"/>
      <c r="L22" s="238"/>
      <c r="M22" s="211"/>
      <c r="N22" s="210">
        <f>SUM(N13:N21)</f>
        <v>1239664.9706038325</v>
      </c>
    </row>
    <row r="23" spans="1:14" ht="14" x14ac:dyDescent="0.3">
      <c r="A23" s="151" t="str">
        <f>IF(B23&lt;&gt;"",COUNTA($B$13:B23),"")</f>
        <v/>
      </c>
      <c r="B23" s="207"/>
      <c r="C23" s="233"/>
      <c r="D23" s="233"/>
      <c r="E23" s="234"/>
      <c r="F23" s="207"/>
      <c r="G23" s="209"/>
      <c r="H23" s="209"/>
      <c r="I23" s="210"/>
      <c r="J23" s="235"/>
      <c r="K23" s="210"/>
      <c r="L23" s="283"/>
      <c r="M23" s="211"/>
      <c r="N23" s="210"/>
    </row>
    <row r="24" spans="1:14" ht="14" x14ac:dyDescent="0.3">
      <c r="A24" s="151">
        <f>IF(B24&lt;&gt;"",COUNTA($B$13:B24),"")</f>
        <v>11</v>
      </c>
      <c r="B24" s="207" t="s">
        <v>377</v>
      </c>
      <c r="C24" s="233" t="s">
        <v>378</v>
      </c>
      <c r="D24" s="233"/>
      <c r="E24" s="234"/>
      <c r="F24" s="207"/>
      <c r="G24" s="209"/>
      <c r="H24" s="209"/>
      <c r="I24" s="295"/>
      <c r="J24" s="235"/>
      <c r="K24" s="210"/>
      <c r="L24" s="283"/>
      <c r="M24" s="211"/>
      <c r="N24" s="210"/>
    </row>
    <row r="25" spans="1:14" ht="14" x14ac:dyDescent="0.3">
      <c r="A25" s="151">
        <f>IF(B25&lt;&gt;"",COUNTA($B$13:B25),"")</f>
        <v>12</v>
      </c>
      <c r="B25" s="207" t="s">
        <v>379</v>
      </c>
      <c r="C25" s="233" t="s">
        <v>380</v>
      </c>
      <c r="D25" s="233"/>
      <c r="E25" s="234"/>
      <c r="F25" s="207"/>
      <c r="G25" s="209"/>
      <c r="H25" s="209"/>
      <c r="I25" s="210"/>
      <c r="J25" s="235"/>
      <c r="K25" s="210"/>
      <c r="L25" s="283"/>
      <c r="M25" s="211"/>
      <c r="N25" s="210"/>
    </row>
    <row r="26" spans="1:14" ht="14" x14ac:dyDescent="0.3">
      <c r="A26" s="151" t="str">
        <f>IF(B26&lt;&gt;"",COUNTA($B$13:B26),"")</f>
        <v/>
      </c>
      <c r="B26" s="207"/>
      <c r="C26" s="233"/>
      <c r="D26" s="233"/>
      <c r="E26" s="234"/>
      <c r="F26" s="207"/>
      <c r="G26" s="209"/>
      <c r="H26" s="209"/>
      <c r="I26" s="210"/>
      <c r="J26" s="235"/>
      <c r="K26" s="210"/>
      <c r="L26" s="283"/>
      <c r="M26" s="211"/>
      <c r="N26" s="210"/>
    </row>
    <row r="27" spans="1:14" ht="14" x14ac:dyDescent="0.3">
      <c r="A27" s="151">
        <f>IF(B27&lt;&gt;"",COUNTA($B$13:B27),"")</f>
        <v>13</v>
      </c>
      <c r="B27" s="228" t="s">
        <v>302</v>
      </c>
      <c r="F27" s="239"/>
      <c r="G27" s="240"/>
      <c r="H27" s="211"/>
      <c r="I27" s="210"/>
      <c r="K27" s="210"/>
      <c r="L27" s="241"/>
      <c r="M27" s="211"/>
      <c r="N27" s="210"/>
    </row>
    <row r="28" spans="1:14" ht="14" x14ac:dyDescent="0.3">
      <c r="A28" s="151">
        <f>IF(B28&lt;&gt;"",COUNTA($B$13:B28),"")</f>
        <v>14</v>
      </c>
      <c r="B28" s="207" t="str">
        <f>'G3 CAMB'!B21</f>
        <v>Revenue Decoupling</v>
      </c>
      <c r="C28" s="233" t="str">
        <f>'G3 CAMB'!C21</f>
        <v>RDAF</v>
      </c>
      <c r="D28" s="233"/>
      <c r="E28" s="242"/>
      <c r="F28" s="239"/>
      <c r="G28" s="236">
        <v>0</v>
      </c>
      <c r="H28" s="211"/>
      <c r="I28" s="210">
        <f>G28*$E$21</f>
        <v>0</v>
      </c>
      <c r="K28" s="210"/>
      <c r="L28" s="236">
        <v>-1.2064154453692992E-4</v>
      </c>
      <c r="M28" s="211"/>
      <c r="N28" s="210">
        <f t="shared" ref="N28:N42" si="2">L28*($E$21+$E$25)</f>
        <v>-15813.869308844078</v>
      </c>
    </row>
    <row r="29" spans="1:14" ht="14" x14ac:dyDescent="0.3">
      <c r="A29" s="151">
        <f>IF(B29&lt;&gt;"",COUNTA($B$13:B29),"")</f>
        <v>15</v>
      </c>
      <c r="B29" s="207" t="str">
        <f>'G3 CAMB'!B22</f>
        <v>Residential Assistance Adjustment Factor</v>
      </c>
      <c r="C29" s="233" t="str">
        <f>'G3 CAMB'!C22</f>
        <v>RAAF</v>
      </c>
      <c r="D29" s="243"/>
      <c r="E29" s="206"/>
      <c r="F29" s="239"/>
      <c r="G29" s="236">
        <f>HLOOKUP(($C29&amp;"C"),'Exh 7_Recon Rates p1-2'!$J$6:$CC$34,'Exh 7_Recon Rates p1-2'!$D$20,FALSE)</f>
        <v>7.9000000000000001E-4</v>
      </c>
      <c r="H29" s="211"/>
      <c r="I29" s="210">
        <f t="shared" ref="I29:I42" si="3">G29*$E$21</f>
        <v>103554.35021940197</v>
      </c>
      <c r="K29" s="210"/>
      <c r="L29" s="236">
        <v>1.0192122139614168E-3</v>
      </c>
      <c r="M29" s="211"/>
      <c r="N29" s="210">
        <f t="shared" si="2"/>
        <v>133599.82095247164</v>
      </c>
    </row>
    <row r="30" spans="1:14" ht="14" x14ac:dyDescent="0.3">
      <c r="A30" s="151">
        <f>IF(B30&lt;&gt;"",COUNTA($B$13:B30),"")</f>
        <v>16</v>
      </c>
      <c r="B30" s="207" t="str">
        <f>'G3 CAMB'!B23</f>
        <v>Pension Adjustment Factor</v>
      </c>
      <c r="C30" s="233" t="str">
        <f>'G3 CAMB'!C23</f>
        <v>PAF</v>
      </c>
      <c r="D30" s="243"/>
      <c r="E30" s="206"/>
      <c r="F30" s="239"/>
      <c r="G30" s="236">
        <f>HLOOKUP(($C30&amp;"C"),'Exh 7_Recon Rates p1-2'!$J$6:$CC$34,'Exh 7_Recon Rates p1-2'!$D$20,FALSE)</f>
        <v>-3.0000000000000001E-5</v>
      </c>
      <c r="H30" s="211"/>
      <c r="I30" s="210">
        <f t="shared" si="3"/>
        <v>-3932.4436792177962</v>
      </c>
      <c r="K30" s="210"/>
      <c r="L30" s="236">
        <v>3.0549530563213188E-4</v>
      </c>
      <c r="M30" s="211"/>
      <c r="N30" s="210">
        <f t="shared" si="2"/>
        <v>40044.769455459529</v>
      </c>
    </row>
    <row r="31" spans="1:14" ht="14" x14ac:dyDescent="0.3">
      <c r="A31" s="151">
        <f>IF(B31&lt;&gt;"",COUNTA($B$13:B31),"")</f>
        <v>17</v>
      </c>
      <c r="B31" s="207" t="str">
        <f>'G3 CAMB'!B24</f>
        <v>Net Metering Recovery Surcharge</v>
      </c>
      <c r="C31" s="233" t="str">
        <f>'G3 CAMB'!C24</f>
        <v>NMRS</v>
      </c>
      <c r="D31" s="243"/>
      <c r="E31" s="206"/>
      <c r="F31" s="239"/>
      <c r="G31" s="236">
        <f>HLOOKUP(($C31&amp;"C"),'Exh 7_Recon Rates p1-2'!$J$6:$CC$34,'Exh 7_Recon Rates p1-2'!$D$20,FALSE)</f>
        <v>1.56E-3</v>
      </c>
      <c r="H31" s="211"/>
      <c r="I31" s="210">
        <f t="shared" si="3"/>
        <v>204487.07131932542</v>
      </c>
      <c r="K31" s="210"/>
      <c r="L31" s="236">
        <v>1.3289709720030187E-3</v>
      </c>
      <c r="M31" s="211"/>
      <c r="N31" s="210">
        <f t="shared" si="2"/>
        <v>174203.44995724005</v>
      </c>
    </row>
    <row r="32" spans="1:14" ht="14" x14ac:dyDescent="0.3">
      <c r="A32" s="151">
        <f>IF(B32&lt;&gt;"",COUNTA($B$13:B32),"")</f>
        <v>18</v>
      </c>
      <c r="B32" s="207" t="str">
        <f>'G3 CAMB'!B25</f>
        <v>Long Term Renewable Contract Adjustment</v>
      </c>
      <c r="C32" s="233" t="str">
        <f>'G3 CAMB'!C25</f>
        <v>LTRCA</v>
      </c>
      <c r="D32" s="243"/>
      <c r="E32" s="206"/>
      <c r="F32" s="239"/>
      <c r="G32" s="236">
        <f>HLOOKUP(($C32&amp;"C"),'Exh 7_Recon Rates p1-2'!$J$6:$CC$34,'Exh 7_Recon Rates p1-2'!$D$20,FALSE)</f>
        <v>2.3600000000000001E-3</v>
      </c>
      <c r="H32" s="211"/>
      <c r="I32" s="210">
        <f t="shared" si="3"/>
        <v>309352.23609846667</v>
      </c>
      <c r="K32" s="210"/>
      <c r="L32" s="236">
        <v>1.7357128782064517E-3</v>
      </c>
      <c r="M32" s="211"/>
      <c r="N32" s="210">
        <f t="shared" si="2"/>
        <v>227519.77122799633</v>
      </c>
    </row>
    <row r="33" spans="1:14" ht="14" x14ac:dyDescent="0.3">
      <c r="A33" s="151">
        <f>IF(B33&lt;&gt;"",COUNTA($B$13:B33),"")</f>
        <v>19</v>
      </c>
      <c r="B33" s="207" t="str">
        <f>'G3 CAMB'!B26</f>
        <v>AG Consulting Expense</v>
      </c>
      <c r="C33" s="233" t="str">
        <f>'G3 CAMB'!C26</f>
        <v>AGCE</v>
      </c>
      <c r="D33" s="243"/>
      <c r="E33" s="206"/>
      <c r="F33" s="239"/>
      <c r="G33" s="236">
        <f>HLOOKUP(($C33&amp;"C"),'Exh 7_Recon Rates p1-2'!$J$6:$CC$34,'Exh 7_Recon Rates p1-2'!$D$20,FALSE)</f>
        <v>1.0000000000000001E-5</v>
      </c>
      <c r="H33" s="211"/>
      <c r="I33" s="210">
        <f t="shared" si="3"/>
        <v>1310.8145597392656</v>
      </c>
      <c r="K33" s="210"/>
      <c r="L33" s="236">
        <v>2.1399654512167108E-6</v>
      </c>
      <c r="M33" s="211"/>
      <c r="N33" s="210">
        <f t="shared" si="2"/>
        <v>280.50978707938714</v>
      </c>
    </row>
    <row r="34" spans="1:14" ht="14" x14ac:dyDescent="0.3">
      <c r="A34" s="151">
        <f>IF(B34&lt;&gt;"",COUNTA($B$13:B34),"")</f>
        <v>20</v>
      </c>
      <c r="B34" s="207" t="str">
        <f>'G3 CAMB'!B27</f>
        <v>Storm Cost Recovery Adjustment Factor</v>
      </c>
      <c r="C34" s="233" t="str">
        <f>'G3 CAMB'!C27</f>
        <v>SCRA</v>
      </c>
      <c r="D34" s="243"/>
      <c r="E34" s="206"/>
      <c r="F34" s="239"/>
      <c r="G34" s="236">
        <f>HLOOKUP(($C34&amp;"C"),'Exh 7_Recon Rates p1-2'!$J$6:$CC$34,'Exh 7_Recon Rates p1-2'!$D$20,FALSE)</f>
        <v>4.8999999999999998E-4</v>
      </c>
      <c r="H34" s="211"/>
      <c r="I34" s="210">
        <f t="shared" si="3"/>
        <v>64229.913427224004</v>
      </c>
      <c r="K34" s="210"/>
      <c r="L34" s="236">
        <v>7.7269338573246493E-4</v>
      </c>
      <c r="M34" s="211"/>
      <c r="N34" s="210">
        <f t="shared" si="2"/>
        <v>101285.77402323435</v>
      </c>
    </row>
    <row r="35" spans="1:14" ht="14" x14ac:dyDescent="0.3">
      <c r="A35" s="151">
        <f>IF(B35&lt;&gt;"",COUNTA($B$13:B35),"")</f>
        <v>21</v>
      </c>
      <c r="B35" s="207" t="str">
        <f>'G3 CAMB'!B28</f>
        <v>Storm Reserve Adjustment</v>
      </c>
      <c r="C35" s="233" t="str">
        <f>'G3 CAMB'!C28</f>
        <v>SRA</v>
      </c>
      <c r="D35" s="243"/>
      <c r="E35" s="206"/>
      <c r="F35" s="239"/>
      <c r="G35" s="236">
        <f>HLOOKUP(($C35&amp;"C"),'Exh 7_Recon Rates p1-2'!$J$6:$CC$34,'Exh 7_Recon Rates p1-2'!$D$20,FALSE)</f>
        <v>0</v>
      </c>
      <c r="H35" s="211"/>
      <c r="I35" s="210">
        <f t="shared" si="3"/>
        <v>0</v>
      </c>
      <c r="K35" s="210"/>
      <c r="L35" s="236">
        <v>0</v>
      </c>
      <c r="M35" s="211"/>
      <c r="N35" s="210">
        <f t="shared" si="2"/>
        <v>0</v>
      </c>
    </row>
    <row r="36" spans="1:14" ht="14" x14ac:dyDescent="0.3">
      <c r="A36" s="151">
        <f>IF(B36&lt;&gt;"",COUNTA($B$13:B36),"")</f>
        <v>22</v>
      </c>
      <c r="B36" s="207" t="str">
        <f>'G3 CAMB'!B29</f>
        <v>Basic Service Cost True Up Factor</v>
      </c>
      <c r="C36" s="233" t="str">
        <f>'G3 CAMB'!C29</f>
        <v>BSTF</v>
      </c>
      <c r="D36" s="243"/>
      <c r="E36" s="206"/>
      <c r="F36" s="239"/>
      <c r="G36" s="236">
        <f>HLOOKUP(($C36&amp;"C"),'Exh 7_Recon Rates p1-2'!$J$6:$CC$34,'Exh 7_Recon Rates p1-2'!$D$20,FALSE)</f>
        <v>4.2000000000000002E-4</v>
      </c>
      <c r="H36" s="211"/>
      <c r="I36" s="210">
        <f t="shared" si="3"/>
        <v>55054.21150904915</v>
      </c>
      <c r="K36" s="210"/>
      <c r="L36" s="236">
        <v>-5.0575807591439905E-5</v>
      </c>
      <c r="M36" s="211"/>
      <c r="N36" s="210">
        <f t="shared" si="2"/>
        <v>-6629.5504961431097</v>
      </c>
    </row>
    <row r="37" spans="1:14" ht="14" x14ac:dyDescent="0.3">
      <c r="A37" s="151">
        <f>IF(B37&lt;&gt;"",COUNTA($B$13:B37),"")</f>
        <v>23</v>
      </c>
      <c r="B37" s="207" t="str">
        <f>'G3 CAMB'!B30</f>
        <v>Solar Program Cost Adjustment Factor</v>
      </c>
      <c r="C37" s="233" t="str">
        <f>'G3 CAMB'!C30</f>
        <v>SPCA</v>
      </c>
      <c r="D37" s="233"/>
      <c r="E37" s="206"/>
      <c r="F37" s="239"/>
      <c r="G37" s="236">
        <f>HLOOKUP(($C37&amp;"C"),'Exh 7_Recon Rates p1-2'!$J$6:$CC$34,'Exh 7_Recon Rates p1-2'!$D$20,FALSE)</f>
        <v>0</v>
      </c>
      <c r="H37" s="211"/>
      <c r="I37" s="210">
        <f t="shared" si="3"/>
        <v>0</v>
      </c>
      <c r="K37" s="210"/>
      <c r="L37" s="236">
        <v>9.0006992009803514E-6</v>
      </c>
      <c r="M37" s="211"/>
      <c r="N37" s="210">
        <f t="shared" si="2"/>
        <v>1179.8247560478617</v>
      </c>
    </row>
    <row r="38" spans="1:14" ht="14" x14ac:dyDescent="0.3">
      <c r="A38" s="151">
        <f>IF(B38&lt;&gt;"",COUNTA($B$13:B38),"")</f>
        <v>24</v>
      </c>
      <c r="B38" s="207" t="str">
        <f>'G3 CAMB'!B31</f>
        <v>Solar Expansion Cost Recovery Factor</v>
      </c>
      <c r="C38" s="233" t="str">
        <f>'G3 CAMB'!C31</f>
        <v>SECRF</v>
      </c>
      <c r="D38" s="233"/>
      <c r="E38" s="206"/>
      <c r="F38" s="239"/>
      <c r="G38" s="236">
        <f>HLOOKUP(($C38&amp;"C"),'Exh 7_Recon Rates p1-2'!$J$6:$CC$34,'Exh 7_Recon Rates p1-2'!$D$20,FALSE)</f>
        <v>0</v>
      </c>
      <c r="H38" s="211"/>
      <c r="I38" s="210">
        <f t="shared" si="3"/>
        <v>0</v>
      </c>
      <c r="K38" s="210"/>
      <c r="L38" s="236">
        <v>1.5875174277273614E-4</v>
      </c>
      <c r="M38" s="211"/>
      <c r="N38" s="210">
        <f t="shared" si="2"/>
        <v>20809.409581048523</v>
      </c>
    </row>
    <row r="39" spans="1:14" ht="14" x14ac:dyDescent="0.3">
      <c r="A39" s="151">
        <f>IF(B39&lt;&gt;"",COUNTA($B$13:B39),"")</f>
        <v>25</v>
      </c>
      <c r="B39" s="207" t="str">
        <f>'G3 CAMB'!B32</f>
        <v>Vegetation Management</v>
      </c>
      <c r="C39" s="233" t="str">
        <f>'G3 CAMB'!C32</f>
        <v>RTWF</v>
      </c>
      <c r="D39" s="233"/>
      <c r="E39" s="206"/>
      <c r="F39" s="239"/>
      <c r="G39" s="236">
        <f>HLOOKUP(($C39&amp;"C"),'Exh 7_Recon Rates p1-2'!$J$6:$CC$34,'Exh 7_Recon Rates p1-2'!$D$20,FALSE)</f>
        <v>0</v>
      </c>
      <c r="H39" s="211"/>
      <c r="I39" s="210">
        <f t="shared" si="3"/>
        <v>0</v>
      </c>
      <c r="K39" s="210"/>
      <c r="L39" s="236">
        <v>5.4693984967975351E-4</v>
      </c>
      <c r="M39" s="211"/>
      <c r="N39" s="210">
        <f t="shared" si="2"/>
        <v>71693.671826182617</v>
      </c>
    </row>
    <row r="40" spans="1:14" ht="14" x14ac:dyDescent="0.3">
      <c r="A40" s="151">
        <f>IF(B40&lt;&gt;"",COUNTA($B$13:B40),"")</f>
        <v>26</v>
      </c>
      <c r="B40" s="207" t="str">
        <f>'G3 CAMB'!B33</f>
        <v>Solar Massachusetts Renewable Target</v>
      </c>
      <c r="C40" s="233" t="str">
        <f>'G3 CAMB'!C33</f>
        <v>SMART</v>
      </c>
      <c r="D40" s="233"/>
      <c r="E40" s="206"/>
      <c r="F40" s="239"/>
      <c r="G40" s="236">
        <f>HLOOKUP(($C40&amp;"C"),'Exh 7_Recon Rates p1-2'!$J$6:$CC$34,'Exh 7_Recon Rates p1-2'!$D$20,FALSE)</f>
        <v>0</v>
      </c>
      <c r="H40" s="211"/>
      <c r="I40" s="210">
        <f t="shared" si="3"/>
        <v>0</v>
      </c>
      <c r="K40" s="210"/>
      <c r="L40" s="236">
        <v>1.859999440461704E-4</v>
      </c>
      <c r="M40" s="211"/>
      <c r="N40" s="210">
        <f t="shared" si="2"/>
        <v>24381.143476640886</v>
      </c>
    </row>
    <row r="41" spans="1:14" ht="14" x14ac:dyDescent="0.3">
      <c r="A41" s="151">
        <f>IF(B41&lt;&gt;"",COUNTA($B$13:B41),"")</f>
        <v>27</v>
      </c>
      <c r="B41" s="207" t="str">
        <f>'G3 CAMB'!B34</f>
        <v>Tax Act Credit Factor</v>
      </c>
      <c r="C41" s="233" t="str">
        <f>'G3 CAMB'!C34</f>
        <v>TACF</v>
      </c>
      <c r="D41" s="233"/>
      <c r="E41" s="206"/>
      <c r="F41" s="239"/>
      <c r="G41" s="236">
        <f>HLOOKUP(($C41&amp;"C"),'Exh 7_Recon Rates p1-2'!$J$6:$CC$34,'Exh 7_Recon Rates p1-2'!$D$20,FALSE)</f>
        <v>0</v>
      </c>
      <c r="H41" s="211"/>
      <c r="I41" s="210">
        <f t="shared" si="3"/>
        <v>0</v>
      </c>
      <c r="K41" s="210"/>
      <c r="L41" s="236">
        <v>-2.8157284244972598E-4</v>
      </c>
      <c r="M41" s="211"/>
      <c r="N41" s="210">
        <f t="shared" si="2"/>
        <v>-36908.978151027113</v>
      </c>
    </row>
    <row r="42" spans="1:14" ht="14" x14ac:dyDescent="0.3">
      <c r="A42" s="151">
        <f>IF(B42&lt;&gt;"",COUNTA($B$13:B42),"")</f>
        <v>28</v>
      </c>
      <c r="B42" s="207" t="str">
        <f>'G3 CAMB'!B35</f>
        <v>Transition</v>
      </c>
      <c r="C42" s="233" t="str">
        <f>'G3 CAMB'!C35</f>
        <v>TRNSN</v>
      </c>
      <c r="D42" s="233"/>
      <c r="E42" s="206"/>
      <c r="F42" s="239"/>
      <c r="G42" s="236">
        <v>-6.0999999999999997E-4</v>
      </c>
      <c r="H42" s="211"/>
      <c r="I42" s="210">
        <f t="shared" si="3"/>
        <v>-79959.688144095184</v>
      </c>
      <c r="K42" s="210"/>
      <c r="L42" s="236">
        <v>-5.210932140356871E-4</v>
      </c>
      <c r="M42" s="211"/>
      <c r="N42" s="210">
        <f t="shared" si="2"/>
        <v>-68305.657193930805</v>
      </c>
    </row>
    <row r="43" spans="1:14" ht="14" x14ac:dyDescent="0.3">
      <c r="A43" s="151">
        <f>IF(B43&lt;&gt;"",COUNTA($B$13:B43),"")</f>
        <v>29</v>
      </c>
      <c r="B43" s="207" t="s">
        <v>466</v>
      </c>
      <c r="C43" s="233" t="s">
        <v>382</v>
      </c>
      <c r="D43" s="233"/>
      <c r="E43" s="206"/>
      <c r="F43" s="239"/>
      <c r="G43" s="283">
        <v>0.61</v>
      </c>
      <c r="H43" s="211"/>
      <c r="I43" s="210">
        <f>G43*E15</f>
        <v>31234.44</v>
      </c>
      <c r="K43" s="210"/>
      <c r="L43" s="283">
        <v>0.60090838302763827</v>
      </c>
      <c r="M43" s="211"/>
      <c r="N43" s="210">
        <f>L43*E15</f>
        <v>30768.912844547191</v>
      </c>
    </row>
    <row r="44" spans="1:14" ht="14" x14ac:dyDescent="0.3">
      <c r="A44" s="151">
        <f>IF(B44&lt;&gt;"",COUNTA($B$13:B44),"")</f>
        <v>30</v>
      </c>
      <c r="B44" s="207" t="s">
        <v>467</v>
      </c>
      <c r="C44" s="233" t="s">
        <v>382</v>
      </c>
      <c r="D44" s="233"/>
      <c r="E44" s="206"/>
      <c r="F44" s="239"/>
      <c r="G44" s="283">
        <v>7.99</v>
      </c>
      <c r="H44" s="211"/>
      <c r="I44" s="210">
        <f>G44*E14</f>
        <v>1830139.1819561452</v>
      </c>
      <c r="K44" s="210"/>
      <c r="L44" s="283">
        <v>7.8709147219521798</v>
      </c>
      <c r="M44" s="211"/>
      <c r="N44" s="210">
        <f>L44*E14</f>
        <v>1802862.2566308063</v>
      </c>
    </row>
    <row r="45" spans="1:14" ht="14" x14ac:dyDescent="0.3">
      <c r="A45" s="151">
        <f>IF(B45&lt;&gt;"",COUNTA($B$13:B45),"")</f>
        <v>31</v>
      </c>
      <c r="B45" s="207" t="s">
        <v>468</v>
      </c>
      <c r="C45" s="233" t="s">
        <v>382</v>
      </c>
      <c r="D45" s="233"/>
      <c r="E45" s="206"/>
      <c r="F45" s="239"/>
      <c r="G45" s="283">
        <f>'G3 CAMB'!G36</f>
        <v>477.65</v>
      </c>
      <c r="H45" s="211"/>
      <c r="I45" s="210">
        <f>G45*E13</f>
        <v>11463.599999999999</v>
      </c>
      <c r="K45" s="210"/>
      <c r="L45" s="209">
        <f>'G3 CAMB'!L36</f>
        <v>470.53096582483835</v>
      </c>
      <c r="M45" s="211"/>
      <c r="N45" s="210">
        <f>L45*E13</f>
        <v>11292.74317979612</v>
      </c>
    </row>
    <row r="46" spans="1:14" ht="14" x14ac:dyDescent="0.3">
      <c r="A46" s="151">
        <f>IF(B46&lt;&gt;"",COUNTA($B$13:B46),"")</f>
        <v>32</v>
      </c>
      <c r="B46" s="207" t="s">
        <v>469</v>
      </c>
      <c r="C46" s="233" t="s">
        <v>382</v>
      </c>
      <c r="D46" s="233"/>
      <c r="E46" s="206"/>
      <c r="F46" s="239"/>
      <c r="G46" s="283">
        <f>'G3 CAMB'!G37</f>
        <v>8.48</v>
      </c>
      <c r="H46" s="211"/>
      <c r="I46" s="210">
        <f>G46*E17</f>
        <v>930210.03840000008</v>
      </c>
      <c r="K46" s="210"/>
      <c r="L46" s="209">
        <f>'G3 CAMB'!L37</f>
        <v>8.3536116197940533</v>
      </c>
      <c r="M46" s="211"/>
      <c r="N46" s="210">
        <f>L46*E17</f>
        <v>916345.91811642842</v>
      </c>
    </row>
    <row r="47" spans="1:14" ht="14" x14ac:dyDescent="0.3">
      <c r="A47" s="151">
        <f>IF(B47&lt;&gt;"",COUNTA($B$13:B47),"")</f>
        <v>33</v>
      </c>
      <c r="B47" s="207" t="str">
        <f>'G3 CAMB'!B38</f>
        <v>Energy Efficiency Reconciliation Factor</v>
      </c>
      <c r="C47" s="233" t="str">
        <f>'G3 CAMB'!C38</f>
        <v>EERF</v>
      </c>
      <c r="D47" s="233"/>
      <c r="E47" s="206"/>
      <c r="F47" s="239"/>
      <c r="G47" s="241">
        <v>8.4600000000000005E-3</v>
      </c>
      <c r="H47" s="211"/>
      <c r="I47" s="210">
        <f t="shared" ref="I47:I50" si="4">G47*$E$21</f>
        <v>1108949.1175394186</v>
      </c>
      <c r="K47" s="210"/>
      <c r="L47" s="281">
        <v>8.4600000000000005E-3</v>
      </c>
      <c r="M47" s="211"/>
      <c r="N47" s="210">
        <f>L47*($E$21+$E$25)</f>
        <v>1108949.1175394186</v>
      </c>
    </row>
    <row r="48" spans="1:14" ht="14" x14ac:dyDescent="0.3">
      <c r="A48" s="151">
        <f>IF(B48&lt;&gt;"",COUNTA($B$13:B48),"")</f>
        <v>34</v>
      </c>
      <c r="B48" s="207" t="str">
        <f>'G3 CAMB'!B39</f>
        <v>System Benefits Charge</v>
      </c>
      <c r="C48" s="233" t="str">
        <f>'G3 CAMB'!C39</f>
        <v>SBC</v>
      </c>
      <c r="D48" s="233"/>
      <c r="E48" s="206"/>
      <c r="F48" s="239"/>
      <c r="G48" s="241">
        <v>2.5000000000000001E-3</v>
      </c>
      <c r="H48" s="211"/>
      <c r="I48" s="210">
        <f t="shared" si="4"/>
        <v>327703.63993481634</v>
      </c>
      <c r="K48" s="210"/>
      <c r="L48" s="281">
        <f>+G48</f>
        <v>2.5000000000000001E-3</v>
      </c>
      <c r="M48" s="211"/>
      <c r="N48" s="210">
        <f>L48*($E$21+$E$25)</f>
        <v>327703.63993481634</v>
      </c>
    </row>
    <row r="49" spans="1:14" ht="14" x14ac:dyDescent="0.3">
      <c r="A49" s="151">
        <f>IF(B49&lt;&gt;"",COUNTA($B$13:B49),"")</f>
        <v>35</v>
      </c>
      <c r="B49" s="207" t="str">
        <f>'G3 CAMB'!B40</f>
        <v>Renewable Energy Charge</v>
      </c>
      <c r="C49" s="233" t="str">
        <f>'G3 CAMB'!C40</f>
        <v>RNEW</v>
      </c>
      <c r="D49" s="233"/>
      <c r="E49" s="206"/>
      <c r="F49" s="239"/>
      <c r="G49" s="241">
        <v>5.0000000000000001E-4</v>
      </c>
      <c r="H49" s="211"/>
      <c r="I49" s="210">
        <f t="shared" si="4"/>
        <v>65540.727986963277</v>
      </c>
      <c r="K49" s="210"/>
      <c r="L49" s="281">
        <f>+G49</f>
        <v>5.0000000000000001E-4</v>
      </c>
      <c r="M49" s="211"/>
      <c r="N49" s="210">
        <f>L49*($E$21+$E$25)</f>
        <v>65540.727986963277</v>
      </c>
    </row>
    <row r="50" spans="1:14" ht="14" x14ac:dyDescent="0.3">
      <c r="A50" s="151">
        <f>IF(B50&lt;&gt;"",COUNTA($B$13:B50),"")</f>
        <v>36</v>
      </c>
      <c r="B50" s="207" t="str">
        <f>'G3 CAMB'!B41</f>
        <v>Basic Service Charge</v>
      </c>
      <c r="C50" s="233" t="str">
        <f>'G3 CAMB'!C41</f>
        <v>BS</v>
      </c>
      <c r="D50" s="233"/>
      <c r="E50" s="206"/>
      <c r="F50" s="239"/>
      <c r="G50" s="241">
        <v>0.1326</v>
      </c>
      <c r="H50" s="211"/>
      <c r="I50" s="237">
        <f t="shared" si="4"/>
        <v>17381401.062142659</v>
      </c>
      <c r="K50" s="210"/>
      <c r="L50" s="281">
        <v>0.17265000000000003</v>
      </c>
      <c r="M50" s="211"/>
      <c r="N50" s="237">
        <f>L50*($E$21+$E$25)</f>
        <v>22631213.37389842</v>
      </c>
    </row>
    <row r="51" spans="1:14" ht="14" x14ac:dyDescent="0.3">
      <c r="A51" s="151" t="str">
        <f>IF(B51&lt;&gt;"",COUNTA($B$13:B51),"")</f>
        <v/>
      </c>
      <c r="B51" s="207"/>
      <c r="E51" s="206"/>
      <c r="F51" s="239"/>
      <c r="G51" s="241"/>
      <c r="H51" s="211"/>
      <c r="I51" s="244"/>
      <c r="K51" s="210"/>
      <c r="L51" s="241"/>
      <c r="M51" s="211"/>
      <c r="N51" s="244"/>
    </row>
    <row r="52" spans="1:14" ht="14" x14ac:dyDescent="0.3">
      <c r="A52" s="151">
        <f>IF(B52&lt;&gt;"",COUNTA($B$13:B52),"")</f>
        <v>37</v>
      </c>
      <c r="B52" s="188" t="s">
        <v>46</v>
      </c>
      <c r="E52" s="188"/>
      <c r="G52" s="245" t="s">
        <v>324</v>
      </c>
      <c r="H52" s="246"/>
      <c r="I52" s="154">
        <f>SUM(I22:I51)</f>
        <v>24203973.251965117</v>
      </c>
      <c r="K52" s="247"/>
      <c r="L52" s="245"/>
      <c r="N52" s="154">
        <f>SUM(N22:N51)</f>
        <v>28801681.750628486</v>
      </c>
    </row>
    <row r="53" spans="1:14" ht="14" x14ac:dyDescent="0.3">
      <c r="A53" s="151" t="str">
        <f>IF(B53&lt;&gt;"",COUNTA($B$13:B53),"")</f>
        <v/>
      </c>
      <c r="E53" s="188"/>
      <c r="H53" s="188"/>
      <c r="I53" s="154"/>
      <c r="K53" s="265"/>
      <c r="L53" s="278"/>
      <c r="N53" s="265"/>
    </row>
    <row r="54" spans="1:14" ht="14" x14ac:dyDescent="0.3">
      <c r="A54" s="151">
        <f>IF(B54&lt;&gt;"",COUNTA($B$13:B54),"")</f>
        <v>38</v>
      </c>
      <c r="B54" s="188" t="s">
        <v>46</v>
      </c>
      <c r="E54" s="188"/>
      <c r="G54" s="188"/>
      <c r="H54" s="188"/>
      <c r="I54" s="188"/>
      <c r="J54" s="188"/>
      <c r="L54" s="248" t="s">
        <v>325</v>
      </c>
      <c r="N54" s="160">
        <f>+N52/I52-1</f>
        <v>0.18995676663500216</v>
      </c>
    </row>
    <row r="55" spans="1:14" ht="14" x14ac:dyDescent="0.3">
      <c r="A55" s="151" t="str">
        <f>IF(B55&lt;&gt;"",COUNTA($B$13:B55),"")</f>
        <v/>
      </c>
      <c r="E55" s="188"/>
      <c r="G55" s="188"/>
      <c r="H55" s="188"/>
      <c r="I55" s="188"/>
      <c r="J55" s="188"/>
      <c r="L55" s="248"/>
      <c r="N55" s="160"/>
    </row>
    <row r="56" spans="1:14" ht="14" x14ac:dyDescent="0.3">
      <c r="A56" s="151" t="str">
        <f>IF(B56&lt;&gt;"",COUNTA($B$13:B56),"")</f>
        <v/>
      </c>
      <c r="E56" s="188"/>
      <c r="G56" s="186"/>
      <c r="H56" s="188"/>
      <c r="I56" s="188"/>
      <c r="L56" s="248"/>
      <c r="N56" s="160"/>
    </row>
    <row r="57" spans="1:14" ht="14.5" thickBot="1" x14ac:dyDescent="0.35">
      <c r="A57" s="151">
        <f>IF(B57&lt;&gt;"",COUNTA($B$13:B57),"")</f>
        <v>39</v>
      </c>
      <c r="B57" s="188" t="s">
        <v>46</v>
      </c>
      <c r="E57" s="279" t="s">
        <v>326</v>
      </c>
      <c r="F57" s="135"/>
      <c r="G57" s="280"/>
      <c r="I57" s="279" t="s">
        <v>327</v>
      </c>
      <c r="J57" s="135"/>
      <c r="L57" s="279" t="s">
        <v>328</v>
      </c>
      <c r="M57" s="135"/>
      <c r="N57" s="137"/>
    </row>
    <row r="58" spans="1:14" ht="14" x14ac:dyDescent="0.3">
      <c r="A58" s="151">
        <f>IF(B58&lt;&gt;"",COUNTA($B$13:B58),"")</f>
        <v>40</v>
      </c>
      <c r="B58" s="144" t="s">
        <v>329</v>
      </c>
      <c r="C58" s="144"/>
      <c r="D58" s="144"/>
      <c r="E58" s="249" t="s">
        <v>148</v>
      </c>
      <c r="F58" s="250"/>
      <c r="G58" s="251" t="s">
        <v>330</v>
      </c>
      <c r="I58" s="249" t="s">
        <v>148</v>
      </c>
      <c r="J58" s="251" t="s">
        <v>330</v>
      </c>
      <c r="K58" s="212"/>
      <c r="L58" s="249" t="s">
        <v>148</v>
      </c>
      <c r="M58" s="252"/>
      <c r="N58" s="251" t="s">
        <v>330</v>
      </c>
    </row>
    <row r="59" spans="1:14" ht="14" x14ac:dyDescent="0.3">
      <c r="A59" s="151">
        <f>IF(B59&lt;&gt;"",COUNTA($B$13:B59),"")</f>
        <v>41</v>
      </c>
      <c r="B59" s="130" t="str">
        <f>'G3 CAMB'!B50</f>
        <v>Distribution</v>
      </c>
      <c r="C59" s="253" t="str">
        <f>'G3 CAMB'!C50</f>
        <v>DIST</v>
      </c>
      <c r="D59" s="253"/>
      <c r="E59" s="154">
        <f t="shared" ref="E59:E74" si="5">SUMIF($C$13:$C$50,$C59,$I$13:$I$50)</f>
        <v>1863234.9786952226</v>
      </c>
      <c r="G59" s="254">
        <f>+E59/$E$21*100</f>
        <v>1.4214329287476326</v>
      </c>
      <c r="I59" s="154">
        <f t="shared" ref="I59:I74" si="6">SUMIF($C$13:$C$50,$C59,$N$13:$N$50)</f>
        <v>1239664.9706038325</v>
      </c>
      <c r="J59" s="254">
        <f>+I59/$E$21*100</f>
        <v>0.94572108723785819</v>
      </c>
      <c r="L59" s="154">
        <f t="shared" ref="L59:L79" si="7">I59-E59</f>
        <v>-623570.00809139013</v>
      </c>
      <c r="N59" s="254">
        <f>+L59/$E$21*100</f>
        <v>-0.47571184150977436</v>
      </c>
    </row>
    <row r="60" spans="1:14" ht="14" x14ac:dyDescent="0.3">
      <c r="A60" s="151">
        <f>IF(B60&lt;&gt;"",COUNTA($B$13:B60),"")</f>
        <v>42</v>
      </c>
      <c r="B60" s="130" t="str">
        <f>'G3 CAMB'!B51</f>
        <v>Revenue Decoupling</v>
      </c>
      <c r="C60" s="253" t="str">
        <f>'G3 CAMB'!C51</f>
        <v>RDAF</v>
      </c>
      <c r="D60" s="253"/>
      <c r="E60" s="154">
        <f t="shared" si="5"/>
        <v>0</v>
      </c>
      <c r="G60" s="254">
        <f t="shared" ref="G60:G80" si="8">+E60/$E$21*100</f>
        <v>0</v>
      </c>
      <c r="I60" s="154">
        <f t="shared" si="6"/>
        <v>-15813.869308844078</v>
      </c>
      <c r="J60" s="254">
        <f t="shared" ref="J60:J80" si="9">+I60/$E$21*100</f>
        <v>-1.2064154453692992E-2</v>
      </c>
      <c r="L60" s="154">
        <f>I60-E60</f>
        <v>-15813.869308844078</v>
      </c>
      <c r="N60" s="254">
        <f t="shared" ref="N60:N80" si="10">+L60/$E$21*100</f>
        <v>-1.2064154453692992E-2</v>
      </c>
    </row>
    <row r="61" spans="1:14" ht="14" x14ac:dyDescent="0.3">
      <c r="A61" s="151">
        <f>IF(B61&lt;&gt;"",COUNTA($B$13:B61),"")</f>
        <v>43</v>
      </c>
      <c r="B61" s="130" t="str">
        <f>'G3 CAMB'!B52</f>
        <v>Residential Assistance Adjustment Factor</v>
      </c>
      <c r="C61" s="253" t="str">
        <f>'G3 CAMB'!C52</f>
        <v>RAAF</v>
      </c>
      <c r="D61" s="253"/>
      <c r="E61" s="154">
        <f t="shared" si="5"/>
        <v>103554.35021940197</v>
      </c>
      <c r="G61" s="254">
        <f t="shared" si="8"/>
        <v>7.9000000000000001E-2</v>
      </c>
      <c r="I61" s="154">
        <f t="shared" si="6"/>
        <v>133599.82095247164</v>
      </c>
      <c r="J61" s="254">
        <f t="shared" si="9"/>
        <v>0.10192122139614165</v>
      </c>
      <c r="L61" s="154">
        <f t="shared" si="7"/>
        <v>30045.470733069669</v>
      </c>
      <c r="N61" s="254">
        <f t="shared" si="10"/>
        <v>2.2921221396141667E-2</v>
      </c>
    </row>
    <row r="62" spans="1:14" ht="14" x14ac:dyDescent="0.3">
      <c r="A62" s="151">
        <f>IF(B62&lt;&gt;"",COUNTA($B$13:B62),"")</f>
        <v>44</v>
      </c>
      <c r="B62" s="130" t="str">
        <f>'G3 CAMB'!B53</f>
        <v>Pension Adjustment Factor</v>
      </c>
      <c r="C62" s="253" t="str">
        <f>'G3 CAMB'!C53</f>
        <v>PAF</v>
      </c>
      <c r="D62" s="253"/>
      <c r="E62" s="154">
        <f t="shared" si="5"/>
        <v>-3932.4436792177962</v>
      </c>
      <c r="G62" s="254">
        <f t="shared" si="8"/>
        <v>-3.0000000000000001E-3</v>
      </c>
      <c r="I62" s="154">
        <f t="shared" si="6"/>
        <v>40044.769455459529</v>
      </c>
      <c r="J62" s="254">
        <f t="shared" si="9"/>
        <v>3.054953056321319E-2</v>
      </c>
      <c r="L62" s="154">
        <f t="shared" si="7"/>
        <v>43977.213134677324</v>
      </c>
      <c r="N62" s="254">
        <f t="shared" si="10"/>
        <v>3.3549530563213185E-2</v>
      </c>
    </row>
    <row r="63" spans="1:14" ht="14" x14ac:dyDescent="0.3">
      <c r="A63" s="151">
        <f>IF(B63&lt;&gt;"",COUNTA($B$13:B63),"")</f>
        <v>45</v>
      </c>
      <c r="B63" s="130" t="str">
        <f>'G3 CAMB'!B54</f>
        <v>Net Metering Recovery Surcharge</v>
      </c>
      <c r="C63" s="253" t="str">
        <f>'G3 CAMB'!C54</f>
        <v>NMRS</v>
      </c>
      <c r="D63" s="253"/>
      <c r="E63" s="154">
        <f t="shared" si="5"/>
        <v>204487.07131932542</v>
      </c>
      <c r="G63" s="254">
        <f t="shared" si="8"/>
        <v>0.15600000000000003</v>
      </c>
      <c r="I63" s="154">
        <f t="shared" si="6"/>
        <v>174203.44995724005</v>
      </c>
      <c r="J63" s="254">
        <f t="shared" si="9"/>
        <v>0.13289709720030188</v>
      </c>
      <c r="L63" s="154">
        <f t="shared" si="7"/>
        <v>-30283.621362085367</v>
      </c>
      <c r="N63" s="254">
        <f t="shared" si="10"/>
        <v>-2.3102902799698143E-2</v>
      </c>
    </row>
    <row r="64" spans="1:14" ht="14" x14ac:dyDescent="0.3">
      <c r="A64" s="151">
        <f>IF(B64&lt;&gt;"",COUNTA($B$13:B64),"")</f>
        <v>46</v>
      </c>
      <c r="B64" s="130" t="str">
        <f>'G3 CAMB'!B55</f>
        <v>Long Term Renewable Contract Adjustment</v>
      </c>
      <c r="C64" s="253" t="str">
        <f>'G3 CAMB'!C55</f>
        <v>LTRCA</v>
      </c>
      <c r="D64" s="253"/>
      <c r="E64" s="154">
        <f t="shared" si="5"/>
        <v>309352.23609846667</v>
      </c>
      <c r="G64" s="254">
        <f t="shared" si="8"/>
        <v>0.23600000000000002</v>
      </c>
      <c r="I64" s="154">
        <f t="shared" si="6"/>
        <v>227519.77122799633</v>
      </c>
      <c r="J64" s="254">
        <f t="shared" si="9"/>
        <v>0.17357128782064518</v>
      </c>
      <c r="L64" s="154">
        <f t="shared" si="7"/>
        <v>-81832.464870470343</v>
      </c>
      <c r="N64" s="254">
        <f t="shared" si="10"/>
        <v>-6.2428712179354848E-2</v>
      </c>
    </row>
    <row r="65" spans="1:14" ht="14" x14ac:dyDescent="0.3">
      <c r="A65" s="151">
        <f>IF(B65&lt;&gt;"",COUNTA($B$13:B65),"")</f>
        <v>47</v>
      </c>
      <c r="B65" s="130" t="str">
        <f>'G3 CAMB'!B56</f>
        <v>AG Consulting Expense</v>
      </c>
      <c r="C65" s="253" t="str">
        <f>'G3 CAMB'!C56</f>
        <v>AGCE</v>
      </c>
      <c r="D65" s="253"/>
      <c r="E65" s="154">
        <f t="shared" si="5"/>
        <v>1310.8145597392656</v>
      </c>
      <c r="G65" s="254">
        <f t="shared" si="8"/>
        <v>1E-3</v>
      </c>
      <c r="I65" s="154">
        <f t="shared" si="6"/>
        <v>280.50978707938714</v>
      </c>
      <c r="J65" s="254">
        <f t="shared" si="9"/>
        <v>2.1399654512167107E-4</v>
      </c>
      <c r="L65" s="154">
        <f t="shared" si="7"/>
        <v>-1030.3047726598784</v>
      </c>
      <c r="N65" s="254">
        <f t="shared" si="10"/>
        <v>-7.8600345487832887E-4</v>
      </c>
    </row>
    <row r="66" spans="1:14" ht="14" x14ac:dyDescent="0.3">
      <c r="A66" s="151">
        <f>IF(B66&lt;&gt;"",COUNTA($B$13:B66),"")</f>
        <v>48</v>
      </c>
      <c r="B66" s="130" t="str">
        <f>'G3 CAMB'!B57</f>
        <v>Storm Cost Recovery Adjustment Factor</v>
      </c>
      <c r="C66" s="253" t="str">
        <f>'G3 CAMB'!C57</f>
        <v>SCRA</v>
      </c>
      <c r="D66" s="253"/>
      <c r="E66" s="154">
        <f t="shared" si="5"/>
        <v>64229.913427224004</v>
      </c>
      <c r="G66" s="254">
        <f t="shared" si="8"/>
        <v>4.9000000000000002E-2</v>
      </c>
      <c r="I66" s="154">
        <f t="shared" si="6"/>
        <v>101285.77402323435</v>
      </c>
      <c r="J66" s="254">
        <f t="shared" si="9"/>
        <v>7.7269338573246499E-2</v>
      </c>
      <c r="L66" s="154">
        <f>I66-E66</f>
        <v>37055.860596010345</v>
      </c>
      <c r="N66" s="254">
        <f t="shared" si="10"/>
        <v>2.82693385732465E-2</v>
      </c>
    </row>
    <row r="67" spans="1:14" ht="14" x14ac:dyDescent="0.3">
      <c r="A67" s="151">
        <f>IF(B67&lt;&gt;"",COUNTA($B$13:B67),"")</f>
        <v>49</v>
      </c>
      <c r="B67" s="130" t="str">
        <f>'G3 CAMB'!B58</f>
        <v>Storm Reserve Adjustment</v>
      </c>
      <c r="C67" s="253" t="str">
        <f>'G3 CAMB'!C58</f>
        <v>SRA</v>
      </c>
      <c r="D67" s="253"/>
      <c r="E67" s="154">
        <f t="shared" si="5"/>
        <v>0</v>
      </c>
      <c r="G67" s="254">
        <f t="shared" si="8"/>
        <v>0</v>
      </c>
      <c r="I67" s="154">
        <f t="shared" si="6"/>
        <v>0</v>
      </c>
      <c r="J67" s="254">
        <f t="shared" si="9"/>
        <v>0</v>
      </c>
      <c r="L67" s="154">
        <f>I67-E67</f>
        <v>0</v>
      </c>
      <c r="N67" s="254">
        <f t="shared" si="10"/>
        <v>0</v>
      </c>
    </row>
    <row r="68" spans="1:14" ht="14" x14ac:dyDescent="0.3">
      <c r="A68" s="151">
        <f>IF(B68&lt;&gt;"",COUNTA($B$13:B68),"")</f>
        <v>50</v>
      </c>
      <c r="B68" s="130" t="str">
        <f>'G3 CAMB'!B59</f>
        <v>Basic Service Cost True Up Factor</v>
      </c>
      <c r="C68" s="253" t="str">
        <f>'G3 CAMB'!C59</f>
        <v>BSTF</v>
      </c>
      <c r="D68" s="253"/>
      <c r="E68" s="154">
        <f t="shared" si="5"/>
        <v>55054.21150904915</v>
      </c>
      <c r="G68" s="254">
        <f t="shared" si="8"/>
        <v>4.2000000000000003E-2</v>
      </c>
      <c r="I68" s="154">
        <f t="shared" si="6"/>
        <v>-6629.5504961431097</v>
      </c>
      <c r="J68" s="254">
        <f t="shared" si="9"/>
        <v>-5.0575807591439906E-3</v>
      </c>
      <c r="L68" s="154">
        <f>I68-E68</f>
        <v>-61683.762005192257</v>
      </c>
      <c r="N68" s="254">
        <f t="shared" si="10"/>
        <v>-4.7057580759143985E-2</v>
      </c>
    </row>
    <row r="69" spans="1:14" ht="14" x14ac:dyDescent="0.3">
      <c r="A69" s="151">
        <f>IF(B69&lt;&gt;"",COUNTA($B$13:B69),"")</f>
        <v>51</v>
      </c>
      <c r="B69" s="130" t="str">
        <f>'G3 CAMB'!B60</f>
        <v>Solar Program Cost Adjustment Factor</v>
      </c>
      <c r="C69" s="253" t="str">
        <f>'G3 CAMB'!C60</f>
        <v>SPCA</v>
      </c>
      <c r="D69" s="253"/>
      <c r="E69" s="154">
        <f t="shared" si="5"/>
        <v>0</v>
      </c>
      <c r="G69" s="254">
        <f t="shared" si="8"/>
        <v>0</v>
      </c>
      <c r="I69" s="154">
        <f t="shared" si="6"/>
        <v>1179.8247560478617</v>
      </c>
      <c r="J69" s="254">
        <f t="shared" si="9"/>
        <v>9.0006992009803517E-4</v>
      </c>
      <c r="L69" s="154">
        <f t="shared" si="7"/>
        <v>1179.8247560478617</v>
      </c>
      <c r="N69" s="254">
        <f t="shared" si="10"/>
        <v>9.0006992009803517E-4</v>
      </c>
    </row>
    <row r="70" spans="1:14" ht="14" x14ac:dyDescent="0.3">
      <c r="A70" s="151">
        <f>IF(B70&lt;&gt;"",COUNTA($B$13:B70),"")</f>
        <v>52</v>
      </c>
      <c r="B70" s="130" t="str">
        <f>'G3 CAMB'!B61</f>
        <v>Solar Expansion Cost Recovery Factor</v>
      </c>
      <c r="C70" s="253" t="str">
        <f>'G3 CAMB'!C61</f>
        <v>SECRF</v>
      </c>
      <c r="D70" s="253"/>
      <c r="E70" s="154">
        <f t="shared" si="5"/>
        <v>0</v>
      </c>
      <c r="G70" s="254">
        <f t="shared" si="8"/>
        <v>0</v>
      </c>
      <c r="I70" s="154">
        <f t="shared" si="6"/>
        <v>20809.409581048523</v>
      </c>
      <c r="J70" s="254">
        <f t="shared" si="9"/>
        <v>1.5875174277273613E-2</v>
      </c>
      <c r="L70" s="154">
        <f t="shared" si="7"/>
        <v>20809.409581048523</v>
      </c>
      <c r="N70" s="254">
        <f t="shared" si="10"/>
        <v>1.5875174277273613E-2</v>
      </c>
    </row>
    <row r="71" spans="1:14" ht="14" x14ac:dyDescent="0.3">
      <c r="A71" s="151">
        <f>IF(B71&lt;&gt;"",COUNTA($B$13:B71),"")</f>
        <v>53</v>
      </c>
      <c r="B71" s="130" t="str">
        <f>'G3 CAMB'!B62</f>
        <v>Vegetation Management</v>
      </c>
      <c r="C71" s="253" t="str">
        <f>'G3 CAMB'!C62</f>
        <v>RTWF</v>
      </c>
      <c r="D71" s="253"/>
      <c r="E71" s="154">
        <f t="shared" si="5"/>
        <v>0</v>
      </c>
      <c r="G71" s="254">
        <f t="shared" si="8"/>
        <v>0</v>
      </c>
      <c r="I71" s="154">
        <f t="shared" si="6"/>
        <v>71693.671826182617</v>
      </c>
      <c r="J71" s="254">
        <f t="shared" si="9"/>
        <v>5.4693984967975354E-2</v>
      </c>
      <c r="L71" s="154">
        <f t="shared" si="7"/>
        <v>71693.671826182617</v>
      </c>
      <c r="N71" s="254">
        <f t="shared" si="10"/>
        <v>5.4693984967975354E-2</v>
      </c>
    </row>
    <row r="72" spans="1:14" ht="14" x14ac:dyDescent="0.3">
      <c r="A72" s="151">
        <f>IF(B72&lt;&gt;"",COUNTA($B$13:B72),"")</f>
        <v>54</v>
      </c>
      <c r="B72" s="130" t="str">
        <f>'G3 CAMB'!B63</f>
        <v>Solar Massachusetts Renewable Target</v>
      </c>
      <c r="C72" s="253" t="str">
        <f>'G3 CAMB'!C63</f>
        <v>SMART</v>
      </c>
      <c r="D72" s="253"/>
      <c r="E72" s="154">
        <f t="shared" si="5"/>
        <v>0</v>
      </c>
      <c r="G72" s="254">
        <f t="shared" si="8"/>
        <v>0</v>
      </c>
      <c r="I72" s="154">
        <f t="shared" si="6"/>
        <v>24381.143476640886</v>
      </c>
      <c r="J72" s="254">
        <f t="shared" si="9"/>
        <v>1.8599994404617039E-2</v>
      </c>
      <c r="L72" s="154">
        <f t="shared" si="7"/>
        <v>24381.143476640886</v>
      </c>
      <c r="N72" s="254">
        <f t="shared" si="10"/>
        <v>1.8599994404617039E-2</v>
      </c>
    </row>
    <row r="73" spans="1:14" ht="14" x14ac:dyDescent="0.3">
      <c r="A73" s="151">
        <f>IF(B73&lt;&gt;"",COUNTA($B$13:B73),"")</f>
        <v>55</v>
      </c>
      <c r="B73" s="130" t="str">
        <f>'G3 CAMB'!B64</f>
        <v>Tax Act Credit Factor</v>
      </c>
      <c r="C73" s="253" t="str">
        <f>'G3 CAMB'!C64</f>
        <v>TACF</v>
      </c>
      <c r="D73" s="253"/>
      <c r="E73" s="154">
        <f t="shared" si="5"/>
        <v>0</v>
      </c>
      <c r="G73" s="254">
        <f t="shared" si="8"/>
        <v>0</v>
      </c>
      <c r="I73" s="154">
        <f t="shared" si="6"/>
        <v>-36908.978151027113</v>
      </c>
      <c r="J73" s="254">
        <f t="shared" si="9"/>
        <v>-2.8157284244972599E-2</v>
      </c>
      <c r="L73" s="154">
        <f t="shared" si="7"/>
        <v>-36908.978151027113</v>
      </c>
      <c r="N73" s="254">
        <f t="shared" si="10"/>
        <v>-2.8157284244972599E-2</v>
      </c>
    </row>
    <row r="74" spans="1:14" ht="14" x14ac:dyDescent="0.3">
      <c r="A74" s="151">
        <f>IF(B74&lt;&gt;"",COUNTA($B$13:B74),"")</f>
        <v>56</v>
      </c>
      <c r="B74" s="130" t="str">
        <f>'G3 CAMB'!B65</f>
        <v>Transition</v>
      </c>
      <c r="C74" s="253" t="str">
        <f>'G3 CAMB'!C65</f>
        <v>TRNSN</v>
      </c>
      <c r="D74" s="253"/>
      <c r="E74" s="154">
        <f t="shared" si="5"/>
        <v>-79959.688144095184</v>
      </c>
      <c r="G74" s="254">
        <f t="shared" si="8"/>
        <v>-6.0999999999999999E-2</v>
      </c>
      <c r="I74" s="154">
        <f t="shared" si="6"/>
        <v>-68305.657193930805</v>
      </c>
      <c r="J74" s="254">
        <f t="shared" si="9"/>
        <v>-5.2109321403568713E-2</v>
      </c>
      <c r="L74" s="154">
        <f t="shared" si="7"/>
        <v>11654.030950164379</v>
      </c>
      <c r="N74" s="254">
        <f t="shared" si="10"/>
        <v>8.8906785964312802E-3</v>
      </c>
    </row>
    <row r="75" spans="1:14" ht="14" x14ac:dyDescent="0.3">
      <c r="A75" s="151">
        <f>IF(B75&lt;&gt;"",COUNTA($B$13:B75),"")</f>
        <v>57</v>
      </c>
      <c r="B75" s="130" t="str">
        <f>'G3 CAMB'!B66</f>
        <v>Transmission</v>
      </c>
      <c r="C75" s="253" t="str">
        <f>'G3 CAMB'!C66</f>
        <v>TRNSM</v>
      </c>
      <c r="D75" s="253"/>
      <c r="E75" s="154">
        <f>SUMIF($C$13:$C$50,{"TMKW","TMKWH"},$I$13:$I$50)</f>
        <v>2803047.2603561454</v>
      </c>
      <c r="G75" s="254">
        <f t="shared" si="8"/>
        <v>2.1384010724703124</v>
      </c>
      <c r="I75" s="154">
        <f>SUMIF($C$13:$C$50,{"TMKW","TMKWH"},$N$13:$N$50)</f>
        <v>2761269.830771578</v>
      </c>
      <c r="J75" s="254">
        <f t="shared" si="9"/>
        <v>2.106529722496234</v>
      </c>
      <c r="L75" s="154">
        <f t="shared" si="7"/>
        <v>-41777.429584567435</v>
      </c>
      <c r="N75" s="254">
        <f t="shared" si="10"/>
        <v>-3.1871349974078256E-2</v>
      </c>
    </row>
    <row r="76" spans="1:14" ht="14" x14ac:dyDescent="0.3">
      <c r="A76" s="151">
        <f>IF(B76&lt;&gt;"",COUNTA($B$13:B76),"")</f>
        <v>58</v>
      </c>
      <c r="B76" s="130" t="str">
        <f>'G3 CAMB'!B67</f>
        <v>Energy Efficiency Reconciliation Factor</v>
      </c>
      <c r="C76" s="253" t="str">
        <f>'G3 CAMB'!C67</f>
        <v>EERF</v>
      </c>
      <c r="D76" s="253"/>
      <c r="E76" s="154">
        <f>SUMIF($C$13:$C$50,$C76,$I$13:$I$50)</f>
        <v>1108949.1175394186</v>
      </c>
      <c r="G76" s="254">
        <f t="shared" si="8"/>
        <v>0.84600000000000009</v>
      </c>
      <c r="I76" s="154">
        <f>SUMIF($C$13:$C$50,$C76,$N$13:$N$50)</f>
        <v>1108949.1175394186</v>
      </c>
      <c r="J76" s="254">
        <f t="shared" si="9"/>
        <v>0.84600000000000009</v>
      </c>
      <c r="L76" s="154">
        <f t="shared" si="7"/>
        <v>0</v>
      </c>
      <c r="N76" s="254">
        <f t="shared" si="10"/>
        <v>0</v>
      </c>
    </row>
    <row r="77" spans="1:14" ht="14" x14ac:dyDescent="0.3">
      <c r="A77" s="151">
        <f>IF(B77&lt;&gt;"",COUNTA($B$13:B77),"")</f>
        <v>59</v>
      </c>
      <c r="B77" s="130" t="str">
        <f>'G3 CAMB'!B68</f>
        <v>System Benefits Charge</v>
      </c>
      <c r="C77" s="253" t="str">
        <f>'G3 CAMB'!C68</f>
        <v>SBC</v>
      </c>
      <c r="D77" s="253"/>
      <c r="E77" s="154">
        <f>SUMIF($C$13:$C$50,$C77,$I$13:$I$50)</f>
        <v>327703.63993481634</v>
      </c>
      <c r="G77" s="254">
        <f t="shared" si="8"/>
        <v>0.25</v>
      </c>
      <c r="I77" s="154">
        <f>SUMIF($C$13:$C$50,$C77,$N$13:$N$50)</f>
        <v>327703.63993481634</v>
      </c>
      <c r="J77" s="254">
        <f t="shared" si="9"/>
        <v>0.25</v>
      </c>
      <c r="L77" s="154">
        <f t="shared" si="7"/>
        <v>0</v>
      </c>
      <c r="N77" s="254">
        <f t="shared" si="10"/>
        <v>0</v>
      </c>
    </row>
    <row r="78" spans="1:14" ht="14" x14ac:dyDescent="0.3">
      <c r="A78" s="151">
        <f>IF(B78&lt;&gt;"",COUNTA($B$13:B78),"")</f>
        <v>60</v>
      </c>
      <c r="B78" s="130" t="str">
        <f>'G3 CAMB'!B69</f>
        <v>Renewable Energy Charge</v>
      </c>
      <c r="C78" s="253" t="str">
        <f>'G3 CAMB'!C69</f>
        <v>RNEW</v>
      </c>
      <c r="D78" s="253"/>
      <c r="E78" s="154">
        <f>SUMIF($C$13:$C$50,$C78,$I$13:$I$50)</f>
        <v>65540.727986963277</v>
      </c>
      <c r="G78" s="254">
        <f t="shared" si="8"/>
        <v>0.05</v>
      </c>
      <c r="I78" s="154">
        <f>SUMIF($C$13:$C$50,$C78,$N$13:$N$50)</f>
        <v>65540.727986963277</v>
      </c>
      <c r="J78" s="254">
        <f t="shared" si="9"/>
        <v>0.05</v>
      </c>
      <c r="L78" s="154">
        <f>I78-E78</f>
        <v>0</v>
      </c>
      <c r="N78" s="254">
        <f t="shared" si="10"/>
        <v>0</v>
      </c>
    </row>
    <row r="79" spans="1:14" ht="14" x14ac:dyDescent="0.3">
      <c r="A79" s="151">
        <f>IF(B79&lt;&gt;"",COUNTA($B$13:B79),"")</f>
        <v>61</v>
      </c>
      <c r="B79" s="130" t="str">
        <f>'G3 CAMB'!B70</f>
        <v>Basic Service Charge</v>
      </c>
      <c r="C79" s="253" t="str">
        <f>'G3 CAMB'!C70</f>
        <v>BS</v>
      </c>
      <c r="D79" s="253"/>
      <c r="E79" s="255">
        <f>SUMIF($C$13:$C$50,$C79,$I$13:$I$50)</f>
        <v>17381401.062142659</v>
      </c>
      <c r="F79" s="256"/>
      <c r="G79" s="257">
        <f t="shared" si="8"/>
        <v>13.26</v>
      </c>
      <c r="H79" s="258"/>
      <c r="I79" s="255">
        <f>SUMIF($C$13:$C$50,$C79,$N$13:$N$50)</f>
        <v>22631213.37389842</v>
      </c>
      <c r="J79" s="257">
        <f t="shared" si="9"/>
        <v>17.265000000000004</v>
      </c>
      <c r="K79" s="255"/>
      <c r="L79" s="255">
        <f t="shared" si="7"/>
        <v>5249812.3117557615</v>
      </c>
      <c r="M79" s="259"/>
      <c r="N79" s="257">
        <f t="shared" si="10"/>
        <v>4.0050000000000026</v>
      </c>
    </row>
    <row r="80" spans="1:14" ht="14" x14ac:dyDescent="0.3">
      <c r="A80" s="151">
        <f>IF(B80&lt;&gt;"",COUNTA($B$13:B80),"")</f>
        <v>62</v>
      </c>
      <c r="B80" s="130" t="str">
        <f>'G3 CAMB'!B71</f>
        <v>Total</v>
      </c>
      <c r="C80" s="130"/>
      <c r="D80" s="130"/>
      <c r="E80" s="154">
        <f>SUM(E59:E79)</f>
        <v>24203973.25196512</v>
      </c>
      <c r="G80" s="254">
        <f t="shared" si="8"/>
        <v>18.464834001217945</v>
      </c>
      <c r="I80" s="154">
        <f>SUM(I59:I79)</f>
        <v>28801681.750628486</v>
      </c>
      <c r="J80" s="254">
        <f t="shared" si="9"/>
        <v>21.97235416454135</v>
      </c>
      <c r="L80" s="154">
        <f>SUM(L59:L79)</f>
        <v>4597708.4986633668</v>
      </c>
      <c r="N80" s="254">
        <f t="shared" si="10"/>
        <v>3.5075201633234063</v>
      </c>
    </row>
    <row r="82" spans="2:14" ht="14" x14ac:dyDescent="0.3">
      <c r="B82" s="256" t="s">
        <v>164</v>
      </c>
      <c r="E82" s="188"/>
      <c r="G82" s="188"/>
      <c r="H82" s="188"/>
      <c r="I82" s="188"/>
      <c r="J82" s="188"/>
      <c r="K82" s="188"/>
      <c r="L82" s="188"/>
      <c r="M82" s="188"/>
      <c r="N82" s="188"/>
    </row>
    <row r="83" spans="2:14" ht="14" x14ac:dyDescent="0.3">
      <c r="B83" s="130" t="str">
        <f>'G3 CAMB'!B74</f>
        <v>Col. (a): Company's forecast</v>
      </c>
    </row>
    <row r="84" spans="2:14" ht="14" x14ac:dyDescent="0.3">
      <c r="B84" s="130" t="str">
        <f>'G3 CAMB'!B75</f>
        <v>Col. (b): Current rates</v>
      </c>
    </row>
    <row r="85" spans="2:14" ht="14" x14ac:dyDescent="0.3">
      <c r="B85" s="130" t="str">
        <f>'G3 CAMB'!B76</f>
        <v>Col. (c): Col. (a) x Col. (b)</v>
      </c>
    </row>
    <row r="86" spans="2:14" ht="14" x14ac:dyDescent="0.3">
      <c r="B86" s="130" t="str">
        <f>'G3 CAMB'!B77</f>
        <v>Col. (e): Proposed rates</v>
      </c>
    </row>
    <row r="87" spans="2:14" ht="14" x14ac:dyDescent="0.3">
      <c r="B87" s="130" t="s">
        <v>470</v>
      </c>
    </row>
  </sheetData>
  <mergeCells count="6">
    <mergeCell ref="A4:N4"/>
    <mergeCell ref="A5:N5"/>
    <mergeCell ref="A7:N7"/>
    <mergeCell ref="A8:N8"/>
    <mergeCell ref="G10:I10"/>
    <mergeCell ref="L10:N10"/>
  </mergeCells>
  <pageMargins left="0.7" right="0.7" top="0.75" bottom="0.75" header="0.3" footer="0.3"/>
  <pageSetup scale="56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BDB36-4CA8-4581-B0E1-5F863F1E7DD9}">
  <sheetPr>
    <tabColor theme="9" tint="0.59999389629810485"/>
    <pageSetUpPr fitToPage="1"/>
  </sheetPr>
  <dimension ref="A4:N77"/>
  <sheetViews>
    <sheetView workbookViewId="0"/>
  </sheetViews>
  <sheetFormatPr defaultRowHeight="12.5" x14ac:dyDescent="0.25"/>
  <cols>
    <col min="1" max="1" width="3.26953125" bestFit="1" customWidth="1"/>
    <col min="2" max="2" width="41.7265625" customWidth="1"/>
    <col min="3" max="3" width="8.7265625" customWidth="1"/>
    <col min="4" max="4" width="1.26953125" customWidth="1"/>
    <col min="5" max="5" width="13.7265625" bestFit="1" customWidth="1"/>
    <col min="6" max="6" width="1.26953125" customWidth="1"/>
    <col min="7" max="7" width="13.7265625" customWidth="1"/>
    <col min="8" max="8" width="1.26953125" customWidth="1"/>
    <col min="9" max="9" width="13.7265625" customWidth="1"/>
    <col min="10" max="10" width="11" bestFit="1" customWidth="1"/>
    <col min="11" max="11" width="1.26953125" customWidth="1"/>
    <col min="12" max="12" width="11.81640625" customWidth="1"/>
    <col min="13" max="13" width="1.26953125" customWidth="1"/>
    <col min="14" max="14" width="13.26953125" customWidth="1"/>
  </cols>
  <sheetData>
    <row r="4" spans="1:14" ht="14" x14ac:dyDescent="0.3">
      <c r="A4" s="748" t="str">
        <f>'R1 EMA'!A4:N4</f>
        <v>Eastern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4" ht="14" x14ac:dyDescent="0.3">
      <c r="A5" s="748" t="str">
        <f>'R1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4" ht="14" x14ac:dyDescent="0.3">
      <c r="A6" s="205"/>
      <c r="C6" s="205"/>
      <c r="D6" s="205"/>
      <c r="E6" s="206"/>
      <c r="F6" s="207"/>
      <c r="G6" s="208"/>
      <c r="H6" s="209"/>
      <c r="I6" s="210"/>
      <c r="J6" s="210"/>
      <c r="K6" s="210"/>
      <c r="L6" s="211"/>
      <c r="M6" s="211"/>
      <c r="N6" s="212"/>
    </row>
    <row r="7" spans="1:14" ht="14" x14ac:dyDescent="0.3">
      <c r="A7" s="748" t="s">
        <v>424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4" ht="14" x14ac:dyDescent="0.3">
      <c r="A8" s="748" t="s">
        <v>471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4" ht="14" x14ac:dyDescent="0.3">
      <c r="B9" s="207"/>
      <c r="C9" s="207"/>
      <c r="D9" s="207"/>
      <c r="E9" s="213"/>
      <c r="F9" s="207"/>
      <c r="G9" s="214"/>
      <c r="H9" s="214"/>
      <c r="I9" s="215"/>
    </row>
    <row r="10" spans="1:14" ht="14.5" thickBot="1" x14ac:dyDescent="0.35">
      <c r="A10" s="151"/>
      <c r="B10" s="216" t="s">
        <v>46</v>
      </c>
      <c r="C10" s="216"/>
      <c r="D10" s="216"/>
      <c r="E10" s="217" t="s">
        <v>144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4" ht="14" x14ac:dyDescent="0.3">
      <c r="A11" s="151"/>
      <c r="B11" s="219" t="s">
        <v>293</v>
      </c>
      <c r="C11" s="220" t="s">
        <v>294</v>
      </c>
      <c r="D11" s="220"/>
      <c r="E11" s="221" t="s">
        <v>295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4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4" ht="14" x14ac:dyDescent="0.3">
      <c r="A13" s="151">
        <f>IF(B13&lt;&gt;"",COUNTA($B$13:B13),"")</f>
        <v>1</v>
      </c>
      <c r="B13" s="232" t="s">
        <v>296</v>
      </c>
      <c r="C13" s="233" t="s">
        <v>297</v>
      </c>
      <c r="D13" s="233"/>
      <c r="E13" s="234">
        <v>12</v>
      </c>
      <c r="F13" s="207"/>
      <c r="L13" s="296"/>
      <c r="M13" s="297"/>
      <c r="N13" s="244"/>
    </row>
    <row r="14" spans="1:14" ht="14" x14ac:dyDescent="0.3">
      <c r="A14" s="151">
        <f>IF(B14&lt;&gt;"",COUNTA($B$13:B14),"")</f>
        <v>2</v>
      </c>
      <c r="B14" s="232" t="s">
        <v>472</v>
      </c>
      <c r="C14" s="233" t="s">
        <v>364</v>
      </c>
      <c r="D14" s="233"/>
      <c r="E14" s="234">
        <v>1780</v>
      </c>
      <c r="F14" s="207"/>
      <c r="L14" s="296"/>
      <c r="M14" s="297"/>
      <c r="N14" s="244"/>
    </row>
    <row r="15" spans="1:14" ht="14" x14ac:dyDescent="0.3">
      <c r="A15" s="151">
        <f>IF(B15&lt;&gt;"",COUNTA($B$13:B15),"")</f>
        <v>3</v>
      </c>
      <c r="B15" s="232" t="s">
        <v>473</v>
      </c>
      <c r="C15" s="233" t="s">
        <v>364</v>
      </c>
      <c r="D15" s="233"/>
      <c r="E15" s="234">
        <v>60000</v>
      </c>
      <c r="F15" s="207"/>
      <c r="L15" s="296"/>
      <c r="M15" s="297"/>
      <c r="N15" s="244"/>
    </row>
    <row r="16" spans="1:14" ht="14" x14ac:dyDescent="0.3">
      <c r="A16" s="151">
        <f>IF(B16&lt;&gt;"",COUNTA($B$13:B16),"")</f>
        <v>4</v>
      </c>
      <c r="B16" s="207" t="s">
        <v>298</v>
      </c>
      <c r="C16" s="233" t="s">
        <v>299</v>
      </c>
      <c r="D16" s="233"/>
      <c r="E16" s="234">
        <v>1707272.3867975136</v>
      </c>
      <c r="F16" s="207"/>
      <c r="L16" s="298"/>
      <c r="M16" s="297"/>
      <c r="N16" s="244"/>
    </row>
    <row r="17" spans="1:14" ht="14" x14ac:dyDescent="0.3">
      <c r="A17" s="151"/>
      <c r="B17" s="207" t="s">
        <v>300</v>
      </c>
      <c r="C17" s="233" t="s">
        <v>301</v>
      </c>
      <c r="D17" s="233"/>
      <c r="E17" s="234"/>
      <c r="F17" s="207"/>
      <c r="L17" s="298"/>
      <c r="M17" s="297"/>
      <c r="N17" s="244"/>
    </row>
    <row r="18" spans="1:14" ht="14" x14ac:dyDescent="0.3">
      <c r="A18" s="151" t="str">
        <f>IF(B18&lt;&gt;"",COUNTA($B$13:B18),"")</f>
        <v/>
      </c>
      <c r="B18" s="207"/>
      <c r="C18" s="233"/>
      <c r="D18" s="233"/>
      <c r="E18" s="234"/>
      <c r="F18" s="207"/>
      <c r="L18" s="238"/>
      <c r="M18" s="211"/>
      <c r="N18" s="210"/>
    </row>
    <row r="19" spans="1:14" ht="14" x14ac:dyDescent="0.3">
      <c r="A19" s="151">
        <f>IF(B19&lt;&gt;"",COUNTA($B$13:B19),"")</f>
        <v>6</v>
      </c>
      <c r="B19" s="228" t="s">
        <v>302</v>
      </c>
      <c r="F19" s="239"/>
      <c r="L19" s="241"/>
      <c r="M19" s="211"/>
      <c r="N19" s="210"/>
    </row>
    <row r="20" spans="1:14" ht="14" x14ac:dyDescent="0.3">
      <c r="A20" s="151">
        <f>IF(B20&lt;&gt;"",COUNTA($B$13:B20),"")</f>
        <v>7</v>
      </c>
      <c r="B20" s="207" t="str">
        <f>+'G3 CAMB'!B21</f>
        <v>Revenue Decoupling</v>
      </c>
      <c r="C20" s="233" t="str">
        <f>+'G3 CAMB'!C21</f>
        <v>RDAF</v>
      </c>
      <c r="D20" s="233"/>
      <c r="E20" s="242"/>
      <c r="F20" s="239"/>
      <c r="G20" s="236">
        <f>+'G3 CAMB'!G21</f>
        <v>0</v>
      </c>
      <c r="I20" s="210">
        <f>+G20*$E$16</f>
        <v>0</v>
      </c>
      <c r="L20" s="236">
        <v>-1.2064154453692992E-4</v>
      </c>
      <c r="M20" s="211"/>
      <c r="N20" s="210">
        <f t="shared" ref="N20:N34" si="0">$E$16*L20</f>
        <v>-205.96797768850288</v>
      </c>
    </row>
    <row r="21" spans="1:14" ht="14" x14ac:dyDescent="0.3">
      <c r="A21" s="151">
        <f>IF(B21&lt;&gt;"",COUNTA($B$13:B21),"")</f>
        <v>8</v>
      </c>
      <c r="B21" s="207" t="str">
        <f>+'G3 CAMB'!B22</f>
        <v>Residential Assistance Adjustment Factor</v>
      </c>
      <c r="C21" s="233" t="str">
        <f>+'G3 CAMB'!C22</f>
        <v>RAAF</v>
      </c>
      <c r="D21" s="243"/>
      <c r="E21" s="206"/>
      <c r="F21" s="239"/>
      <c r="G21" s="236">
        <f>+'G3 CAMB'!G22</f>
        <v>7.9000000000000001E-4</v>
      </c>
      <c r="I21" s="210">
        <f t="shared" ref="I21:I34" si="1">+G21*$E$16</f>
        <v>1348.7451855700358</v>
      </c>
      <c r="L21" s="236">
        <v>1.0192122139614168E-3</v>
      </c>
      <c r="M21" s="211"/>
      <c r="N21" s="210">
        <f t="shared" si="0"/>
        <v>1740.0728691830861</v>
      </c>
    </row>
    <row r="22" spans="1:14" ht="14" x14ac:dyDescent="0.3">
      <c r="A22" s="151">
        <f>IF(B22&lt;&gt;"",COUNTA($B$13:B22),"")</f>
        <v>9</v>
      </c>
      <c r="B22" s="207" t="str">
        <f>+'G3 CAMB'!B23</f>
        <v>Pension Adjustment Factor</v>
      </c>
      <c r="C22" s="233" t="str">
        <f>+'G3 CAMB'!C23</f>
        <v>PAF</v>
      </c>
      <c r="D22" s="243"/>
      <c r="E22" s="206"/>
      <c r="F22" s="239"/>
      <c r="G22" s="236">
        <f>+'G3 CAMB'!G23</f>
        <v>-3.0000000000000001E-5</v>
      </c>
      <c r="I22" s="210">
        <f t="shared" si="1"/>
        <v>-51.218171603925406</v>
      </c>
      <c r="L22" s="236">
        <v>3.0549530563213188E-4</v>
      </c>
      <c r="M22" s="211"/>
      <c r="N22" s="210">
        <f t="shared" si="0"/>
        <v>521.56369960200573</v>
      </c>
    </row>
    <row r="23" spans="1:14" ht="14" x14ac:dyDescent="0.3">
      <c r="A23" s="151">
        <f>IF(B23&lt;&gt;"",COUNTA($B$13:B23),"")</f>
        <v>10</v>
      </c>
      <c r="B23" s="207" t="str">
        <f>+'G3 CAMB'!B24</f>
        <v>Net Metering Recovery Surcharge</v>
      </c>
      <c r="C23" s="233" t="str">
        <f>+'G3 CAMB'!C24</f>
        <v>NMRS</v>
      </c>
      <c r="D23" s="243"/>
      <c r="E23" s="206"/>
      <c r="F23" s="239"/>
      <c r="G23" s="236">
        <f>+'G3 CAMB'!G24</f>
        <v>1.56E-3</v>
      </c>
      <c r="I23" s="210">
        <f t="shared" si="1"/>
        <v>2663.3449234041213</v>
      </c>
      <c r="L23" s="236">
        <v>1.3289709720030187E-3</v>
      </c>
      <c r="M23" s="211"/>
      <c r="N23" s="210">
        <f t="shared" si="0"/>
        <v>2268.9154433562053</v>
      </c>
    </row>
    <row r="24" spans="1:14" ht="14" x14ac:dyDescent="0.3">
      <c r="A24" s="151">
        <f>IF(B24&lt;&gt;"",COUNTA($B$13:B24),"")</f>
        <v>11</v>
      </c>
      <c r="B24" s="207" t="str">
        <f>+'G3 CAMB'!B25</f>
        <v>Long Term Renewable Contract Adjustment</v>
      </c>
      <c r="C24" s="233" t="str">
        <f>+'G3 CAMB'!C25</f>
        <v>LTRCA</v>
      </c>
      <c r="D24" s="243"/>
      <c r="E24" s="206"/>
      <c r="F24" s="239"/>
      <c r="G24" s="236">
        <f>+'G3 CAMB'!G25</f>
        <v>2.3600000000000001E-3</v>
      </c>
      <c r="I24" s="210">
        <f t="shared" si="1"/>
        <v>4029.162832842132</v>
      </c>
      <c r="L24" s="236">
        <v>1.7357128782064517E-3</v>
      </c>
      <c r="M24" s="211"/>
      <c r="N24" s="210">
        <f t="shared" si="0"/>
        <v>2963.3346683707109</v>
      </c>
    </row>
    <row r="25" spans="1:14" ht="14" x14ac:dyDescent="0.3">
      <c r="A25" s="151">
        <f>IF(B25&lt;&gt;"",COUNTA($B$13:B25),"")</f>
        <v>12</v>
      </c>
      <c r="B25" s="207" t="str">
        <f>+'G3 CAMB'!B26</f>
        <v>AG Consulting Expense</v>
      </c>
      <c r="C25" s="233" t="str">
        <f>+'G3 CAMB'!C26</f>
        <v>AGCE</v>
      </c>
      <c r="D25" s="243"/>
      <c r="E25" s="206"/>
      <c r="F25" s="239"/>
      <c r="G25" s="236">
        <f>+'G3 CAMB'!G26</f>
        <v>1.0000000000000001E-5</v>
      </c>
      <c r="I25" s="210">
        <f t="shared" si="1"/>
        <v>17.072723867975139</v>
      </c>
      <c r="L25" s="236">
        <v>2.1399654512167108E-6</v>
      </c>
      <c r="M25" s="211"/>
      <c r="N25" s="210">
        <f t="shared" si="0"/>
        <v>3.653503923562972</v>
      </c>
    </row>
    <row r="26" spans="1:14" ht="14" x14ac:dyDescent="0.3">
      <c r="A26" s="151">
        <f>IF(B26&lt;&gt;"",COUNTA($B$13:B26),"")</f>
        <v>13</v>
      </c>
      <c r="B26" s="207" t="str">
        <f>+'G3 CAMB'!B27</f>
        <v>Storm Cost Recovery Adjustment Factor</v>
      </c>
      <c r="C26" s="233" t="str">
        <f>+'G3 CAMB'!C27</f>
        <v>SCRA</v>
      </c>
      <c r="D26" s="243"/>
      <c r="E26" s="206"/>
      <c r="F26" s="239"/>
      <c r="G26" s="236">
        <f>+'G3 CAMB'!G27</f>
        <v>4.8999999999999998E-4</v>
      </c>
      <c r="I26" s="210">
        <f t="shared" si="1"/>
        <v>836.56346953078162</v>
      </c>
      <c r="L26" s="236">
        <v>7.7269338573246493E-4</v>
      </c>
      <c r="M26" s="211"/>
      <c r="N26" s="210">
        <f t="shared" si="0"/>
        <v>1319.1980809221172</v>
      </c>
    </row>
    <row r="27" spans="1:14" ht="14" x14ac:dyDescent="0.3">
      <c r="A27" s="151">
        <f>IF(B27&lt;&gt;"",COUNTA($B$13:B27),"")</f>
        <v>14</v>
      </c>
      <c r="B27" s="207" t="str">
        <f>+'G3 CAMB'!B28</f>
        <v>Storm Reserve Adjustment</v>
      </c>
      <c r="C27" s="233" t="str">
        <f>+'G3 CAMB'!C28</f>
        <v>SRA</v>
      </c>
      <c r="D27" s="243"/>
      <c r="E27" s="206"/>
      <c r="F27" s="239"/>
      <c r="G27" s="236">
        <f>+'G3 CAMB'!G28</f>
        <v>0</v>
      </c>
      <c r="I27" s="210">
        <f t="shared" si="1"/>
        <v>0</v>
      </c>
      <c r="L27" s="236">
        <v>0</v>
      </c>
      <c r="M27" s="211"/>
      <c r="N27" s="210">
        <f t="shared" si="0"/>
        <v>0</v>
      </c>
    </row>
    <row r="28" spans="1:14" ht="14" x14ac:dyDescent="0.3">
      <c r="A28" s="151">
        <f>IF(B28&lt;&gt;"",COUNTA($B$13:B28),"")</f>
        <v>15</v>
      </c>
      <c r="B28" s="207" t="str">
        <f>+'G3 CAMB'!B29</f>
        <v>Basic Service Cost True Up Factor</v>
      </c>
      <c r="C28" s="233" t="str">
        <f>+'G3 CAMB'!C29</f>
        <v>BSTF</v>
      </c>
      <c r="D28" s="233"/>
      <c r="E28" s="206"/>
      <c r="F28" s="239"/>
      <c r="G28" s="236">
        <f>+'G3 CAMB'!G29</f>
        <v>4.2000000000000002E-4</v>
      </c>
      <c r="I28" s="210">
        <f t="shared" si="1"/>
        <v>717.05440245495572</v>
      </c>
      <c r="L28" s="236">
        <v>-5.0575807591439905E-5</v>
      </c>
      <c r="M28" s="211"/>
      <c r="N28" s="210">
        <f t="shared" si="0"/>
        <v>-86.34667974084941</v>
      </c>
    </row>
    <row r="29" spans="1:14" ht="14" x14ac:dyDescent="0.3">
      <c r="A29" s="151">
        <f>IF(B29&lt;&gt;"",COUNTA($B$13:B29),"")</f>
        <v>16</v>
      </c>
      <c r="B29" s="207" t="str">
        <f>+'G3 CAMB'!B30</f>
        <v>Solar Program Cost Adjustment Factor</v>
      </c>
      <c r="C29" s="233" t="str">
        <f>+'G3 CAMB'!C30</f>
        <v>SPCA</v>
      </c>
      <c r="D29" s="243"/>
      <c r="E29" s="206"/>
      <c r="F29" s="239"/>
      <c r="G29" s="236">
        <f>+'G3 CAMB'!G30</f>
        <v>0</v>
      </c>
      <c r="I29" s="210">
        <f t="shared" si="1"/>
        <v>0</v>
      </c>
      <c r="L29" s="236">
        <v>9.0006992009803514E-6</v>
      </c>
      <c r="M29" s="211"/>
      <c r="N29" s="210">
        <f t="shared" si="0"/>
        <v>15.366645207704197</v>
      </c>
    </row>
    <row r="30" spans="1:14" ht="14" x14ac:dyDescent="0.3">
      <c r="A30" s="151">
        <f>IF(B30&lt;&gt;"",COUNTA($B$13:B30),"")</f>
        <v>17</v>
      </c>
      <c r="B30" s="207" t="str">
        <f>+'G3 CAMB'!B31</f>
        <v>Solar Expansion Cost Recovery Factor</v>
      </c>
      <c r="C30" s="233" t="str">
        <f>+'G3 CAMB'!C31</f>
        <v>SECRF</v>
      </c>
      <c r="D30" s="243"/>
      <c r="E30" s="206"/>
      <c r="F30" s="239"/>
      <c r="G30" s="236">
        <f>+'G3 CAMB'!G31</f>
        <v>0</v>
      </c>
      <c r="I30" s="210">
        <f t="shared" si="1"/>
        <v>0</v>
      </c>
      <c r="L30" s="236">
        <v>1.5875174277273614E-4</v>
      </c>
      <c r="M30" s="211"/>
      <c r="N30" s="210">
        <f t="shared" si="0"/>
        <v>271.03246679187413</v>
      </c>
    </row>
    <row r="31" spans="1:14" ht="14" x14ac:dyDescent="0.3">
      <c r="A31" s="151">
        <f>IF(B31&lt;&gt;"",COUNTA($B$13:B31),"")</f>
        <v>18</v>
      </c>
      <c r="B31" s="207" t="str">
        <f>+'G3 CAMB'!B32</f>
        <v>Vegetation Management</v>
      </c>
      <c r="C31" s="233" t="str">
        <f>+'G3 CAMB'!C32</f>
        <v>RTWF</v>
      </c>
      <c r="D31" s="243"/>
      <c r="E31" s="206"/>
      <c r="F31" s="239"/>
      <c r="G31" s="236">
        <f>+'G3 CAMB'!G32</f>
        <v>0</v>
      </c>
      <c r="I31" s="210">
        <f t="shared" si="1"/>
        <v>0</v>
      </c>
      <c r="L31" s="236">
        <v>5.4693984967975351E-4</v>
      </c>
      <c r="M31" s="211"/>
      <c r="N31" s="210">
        <f t="shared" si="0"/>
        <v>933.77530259742605</v>
      </c>
    </row>
    <row r="32" spans="1:14" ht="14" x14ac:dyDescent="0.3">
      <c r="A32" s="151">
        <f>IF(B32&lt;&gt;"",COUNTA($B$13:B32),"")</f>
        <v>19</v>
      </c>
      <c r="B32" s="207" t="str">
        <f>+'G3 CAMB'!B33</f>
        <v>Solar Massachusetts Renewable Target</v>
      </c>
      <c r="C32" s="233" t="str">
        <f>+'G3 CAMB'!C33</f>
        <v>SMART</v>
      </c>
      <c r="D32" s="243"/>
      <c r="E32" s="206"/>
      <c r="F32" s="239"/>
      <c r="G32" s="236">
        <f>+'G3 CAMB'!G33</f>
        <v>0</v>
      </c>
      <c r="I32" s="210">
        <f t="shared" si="1"/>
        <v>0</v>
      </c>
      <c r="L32" s="236">
        <v>1.859999440461704E-4</v>
      </c>
      <c r="M32" s="211"/>
      <c r="N32" s="210">
        <f t="shared" si="0"/>
        <v>317.55256841590932</v>
      </c>
    </row>
    <row r="33" spans="1:14" ht="14" x14ac:dyDescent="0.3">
      <c r="A33" s="151">
        <f>IF(B33&lt;&gt;"",COUNTA($B$13:B33),"")</f>
        <v>20</v>
      </c>
      <c r="B33" s="207" t="str">
        <f>+'G3 CAMB'!B34</f>
        <v>Tax Act Credit Factor</v>
      </c>
      <c r="C33" s="233" t="str">
        <f>+'G3 CAMB'!C34</f>
        <v>TACF</v>
      </c>
      <c r="D33" s="243"/>
      <c r="E33" s="206"/>
      <c r="F33" s="239"/>
      <c r="G33" s="236">
        <f>+'G3 CAMB'!G34</f>
        <v>0</v>
      </c>
      <c r="I33" s="210">
        <f t="shared" si="1"/>
        <v>0</v>
      </c>
      <c r="L33" s="236">
        <v>-2.8157284244972598E-4</v>
      </c>
      <c r="M33" s="211"/>
      <c r="N33" s="210">
        <f t="shared" si="0"/>
        <v>-480.72153878650391</v>
      </c>
    </row>
    <row r="34" spans="1:14" ht="14" x14ac:dyDescent="0.3">
      <c r="A34" s="151">
        <f>IF(B34&lt;&gt;"",COUNTA($B$13:B34),"")</f>
        <v>21</v>
      </c>
      <c r="B34" s="207" t="str">
        <f>+'G3 CAMB'!B35</f>
        <v>Transition</v>
      </c>
      <c r="C34" s="233" t="str">
        <f>+'G3 CAMB'!C35</f>
        <v>TRNSN</v>
      </c>
      <c r="D34" s="233"/>
      <c r="E34" s="206"/>
      <c r="F34" s="239"/>
      <c r="G34" s="236">
        <f>+'G3 CAMB'!G35</f>
        <v>-6.0999999999999997E-4</v>
      </c>
      <c r="I34" s="210">
        <f t="shared" si="1"/>
        <v>-1041.4361559464833</v>
      </c>
      <c r="L34" s="236">
        <v>-5.210932140356871E-4</v>
      </c>
      <c r="M34" s="211"/>
      <c r="N34" s="210">
        <f t="shared" si="0"/>
        <v>-889.64805527069507</v>
      </c>
    </row>
    <row r="35" spans="1:14" ht="14" x14ac:dyDescent="0.3">
      <c r="A35" s="151">
        <f>IF(B35&lt;&gt;"",COUNTA($B$13:B35),"")</f>
        <v>22</v>
      </c>
      <c r="B35" s="232" t="s">
        <v>474</v>
      </c>
      <c r="C35" s="253" t="str">
        <f>+'G3 CAMB'!C36</f>
        <v>TMKW</v>
      </c>
      <c r="D35" s="233"/>
      <c r="E35" s="206"/>
      <c r="F35" s="239"/>
      <c r="G35" s="209">
        <v>2.31</v>
      </c>
      <c r="I35" s="210">
        <f>+G35*E14</f>
        <v>4111.8</v>
      </c>
      <c r="L35" s="209">
        <v>2.2444243558079275</v>
      </c>
      <c r="M35" s="211"/>
      <c r="N35" s="210">
        <f>$E$14*L35</f>
        <v>3995.0753533381112</v>
      </c>
    </row>
    <row r="36" spans="1:14" ht="14" x14ac:dyDescent="0.3">
      <c r="A36" s="151">
        <f>IF(B36&lt;&gt;"",COUNTA($B$13:B36),"")</f>
        <v>23</v>
      </c>
      <c r="B36" s="232" t="s">
        <v>475</v>
      </c>
      <c r="C36" s="253" t="str">
        <f>+'G3 CAMB'!C37</f>
        <v>TMKW</v>
      </c>
      <c r="D36" s="233"/>
      <c r="E36" s="206"/>
      <c r="F36" s="239"/>
      <c r="G36" s="209">
        <v>0.3</v>
      </c>
      <c r="I36" s="210">
        <f>+G36*E15</f>
        <v>18000</v>
      </c>
      <c r="L36" s="209">
        <v>0.29799145223911572</v>
      </c>
      <c r="M36" s="211"/>
      <c r="N36" s="210">
        <f>$E$15*L36</f>
        <v>17879.487134346942</v>
      </c>
    </row>
    <row r="37" spans="1:14" ht="14" x14ac:dyDescent="0.3">
      <c r="A37" s="151">
        <f>IF(B37&lt;&gt;"",COUNTA($B$13:B37),"")</f>
        <v>24</v>
      </c>
      <c r="B37" s="207" t="str">
        <f>+'G3 CAMB'!B38</f>
        <v>Energy Efficiency Reconciliation Factor</v>
      </c>
      <c r="C37" s="233" t="str">
        <f>+'G3 CAMB'!C38</f>
        <v>EERF</v>
      </c>
      <c r="D37" s="233"/>
      <c r="E37" s="206"/>
      <c r="F37" s="239"/>
      <c r="G37" s="236">
        <f>+'G3 CAMB'!G38</f>
        <v>8.4600000000000005E-3</v>
      </c>
      <c r="I37" s="210">
        <f t="shared" ref="I37:I40" si="2">+G37*$E$16</f>
        <v>14443.524392306967</v>
      </c>
      <c r="L37" s="236">
        <v>8.4600000000000005E-3</v>
      </c>
      <c r="M37" s="211"/>
      <c r="N37" s="210">
        <f>$E$16*L37</f>
        <v>14443.524392306967</v>
      </c>
    </row>
    <row r="38" spans="1:14" ht="14" x14ac:dyDescent="0.3">
      <c r="A38" s="151">
        <f>IF(B38&lt;&gt;"",COUNTA($B$13:B38),"")</f>
        <v>25</v>
      </c>
      <c r="B38" s="207" t="str">
        <f>+'G3 CAMB'!B39</f>
        <v>System Benefits Charge</v>
      </c>
      <c r="C38" s="233" t="str">
        <f>+'G3 CAMB'!C39</f>
        <v>SBC</v>
      </c>
      <c r="D38" s="233"/>
      <c r="E38" s="206"/>
      <c r="F38" s="239"/>
      <c r="G38" s="236">
        <f>+'G3 CAMB'!G39</f>
        <v>2.5000000000000001E-3</v>
      </c>
      <c r="I38" s="210">
        <f t="shared" si="2"/>
        <v>4268.1809669937838</v>
      </c>
      <c r="L38" s="236">
        <f>+G38</f>
        <v>2.5000000000000001E-3</v>
      </c>
      <c r="M38" s="211"/>
      <c r="N38" s="210">
        <f>$E$16*L38</f>
        <v>4268.1809669937838</v>
      </c>
    </row>
    <row r="39" spans="1:14" ht="14" x14ac:dyDescent="0.3">
      <c r="A39" s="151">
        <f>IF(B39&lt;&gt;"",COUNTA($B$13:B39),"")</f>
        <v>26</v>
      </c>
      <c r="B39" s="207" t="str">
        <f>+'G3 CAMB'!B40</f>
        <v>Renewable Energy Charge</v>
      </c>
      <c r="C39" s="233" t="str">
        <f>+'G3 CAMB'!C40</f>
        <v>RNEW</v>
      </c>
      <c r="D39" s="233"/>
      <c r="E39" s="206"/>
      <c r="F39" s="239"/>
      <c r="G39" s="236">
        <f>+'G3 CAMB'!G40</f>
        <v>5.0000000000000001E-4</v>
      </c>
      <c r="I39" s="210">
        <f t="shared" si="2"/>
        <v>853.63619339875686</v>
      </c>
      <c r="L39" s="236">
        <f>+G39</f>
        <v>5.0000000000000001E-4</v>
      </c>
      <c r="M39" s="211"/>
      <c r="N39" s="210">
        <f>$E$16*L39</f>
        <v>853.63619339875686</v>
      </c>
    </row>
    <row r="40" spans="1:14" ht="14" x14ac:dyDescent="0.3">
      <c r="A40" s="151">
        <f>IF(B40&lt;&gt;"",COUNTA($B$13:B40),"")</f>
        <v>27</v>
      </c>
      <c r="B40" s="207" t="str">
        <f>+'G3 CAMB'!B41</f>
        <v>Basic Service Charge</v>
      </c>
      <c r="C40" s="233" t="str">
        <f>+'G3 CAMB'!C41</f>
        <v>BS</v>
      </c>
      <c r="G40" s="236">
        <f>+'G3 CAMB'!G41</f>
        <v>0.1326</v>
      </c>
      <c r="I40" s="237">
        <f t="shared" si="2"/>
        <v>226384.31848935029</v>
      </c>
      <c r="L40" s="281">
        <v>0.17265000000000003</v>
      </c>
      <c r="N40" s="237">
        <f>$E$16*L40</f>
        <v>294760.57758059079</v>
      </c>
    </row>
    <row r="42" spans="1:14" ht="14" x14ac:dyDescent="0.3">
      <c r="A42" s="151">
        <f>IF(B42&lt;&gt;"",COUNTA($B$13:B42),"")</f>
        <v>28</v>
      </c>
      <c r="B42" s="188" t="s">
        <v>46</v>
      </c>
      <c r="E42" s="188"/>
      <c r="G42" s="245" t="s">
        <v>324</v>
      </c>
      <c r="H42" s="246"/>
      <c r="I42" s="154">
        <f>SUM(I17:I41)</f>
        <v>276580.74925216939</v>
      </c>
      <c r="K42" s="247"/>
      <c r="L42" s="245"/>
      <c r="N42" s="154">
        <f>SUM(N17:N41)</f>
        <v>344892.26261785941</v>
      </c>
    </row>
    <row r="43" spans="1:14" ht="14" x14ac:dyDescent="0.3">
      <c r="A43" s="151" t="str">
        <f>IF(B43&lt;&gt;"",COUNTA($B$13:B43),"")</f>
        <v/>
      </c>
      <c r="E43" s="188"/>
      <c r="H43" s="188"/>
      <c r="I43" s="154"/>
      <c r="K43" s="265"/>
      <c r="L43" s="278"/>
      <c r="N43" s="265"/>
    </row>
    <row r="44" spans="1:14" ht="14" x14ac:dyDescent="0.3">
      <c r="A44" s="151">
        <f>IF(B44&lt;&gt;"",COUNTA($B$13:B44),"")</f>
        <v>29</v>
      </c>
      <c r="B44" s="188" t="s">
        <v>46</v>
      </c>
      <c r="E44" s="188"/>
      <c r="G44" s="188"/>
      <c r="H44" s="188"/>
      <c r="I44" s="188"/>
      <c r="J44" s="188"/>
      <c r="L44" s="248" t="s">
        <v>325</v>
      </c>
      <c r="N44" s="160">
        <f>+N42/I42-1</f>
        <v>0.24698578462309295</v>
      </c>
    </row>
    <row r="45" spans="1:14" ht="14" x14ac:dyDescent="0.3">
      <c r="A45" s="151" t="str">
        <f>IF(B45&lt;&gt;"",COUNTA($B$13:B45),"")</f>
        <v/>
      </c>
      <c r="E45" s="188"/>
      <c r="G45" s="188"/>
      <c r="H45" s="188"/>
      <c r="I45" s="188"/>
      <c r="J45" s="188"/>
      <c r="L45" s="248"/>
      <c r="N45" s="160"/>
    </row>
    <row r="46" spans="1:14" ht="14" x14ac:dyDescent="0.3">
      <c r="A46" s="151" t="str">
        <f>IF(B46&lt;&gt;"",COUNTA($B$13:B46),"")</f>
        <v/>
      </c>
      <c r="E46" s="188"/>
      <c r="G46" s="186"/>
      <c r="H46" s="188"/>
      <c r="I46" s="188"/>
      <c r="L46" s="248"/>
      <c r="N46" s="160"/>
    </row>
    <row r="47" spans="1:14" ht="14.5" thickBot="1" x14ac:dyDescent="0.35">
      <c r="A47" s="151">
        <f>IF(B47&lt;&gt;"",COUNTA($B$13:B47),"")</f>
        <v>30</v>
      </c>
      <c r="B47" s="188" t="s">
        <v>46</v>
      </c>
      <c r="E47" s="279" t="s">
        <v>326</v>
      </c>
      <c r="F47" s="135"/>
      <c r="G47" s="280"/>
      <c r="I47" s="279" t="s">
        <v>327</v>
      </c>
      <c r="J47" s="135"/>
      <c r="L47" s="279" t="s">
        <v>328</v>
      </c>
      <c r="M47" s="135"/>
      <c r="N47" s="137"/>
    </row>
    <row r="48" spans="1:14" ht="14" x14ac:dyDescent="0.3">
      <c r="A48" s="151">
        <f>IF(B48&lt;&gt;"",COUNTA($B$13:B48),"")</f>
        <v>31</v>
      </c>
      <c r="B48" s="144" t="s">
        <v>329</v>
      </c>
      <c r="C48" s="144"/>
      <c r="D48" s="144"/>
      <c r="E48" s="249" t="s">
        <v>148</v>
      </c>
      <c r="F48" s="250"/>
      <c r="G48" s="251" t="s">
        <v>330</v>
      </c>
      <c r="I48" s="249" t="s">
        <v>148</v>
      </c>
      <c r="J48" s="251" t="s">
        <v>330</v>
      </c>
      <c r="K48" s="212"/>
      <c r="L48" s="249" t="s">
        <v>148</v>
      </c>
      <c r="M48" s="252"/>
      <c r="N48" s="251" t="s">
        <v>330</v>
      </c>
    </row>
    <row r="49" spans="1:14" ht="14" x14ac:dyDescent="0.3">
      <c r="A49" s="151">
        <f>IF(B49&lt;&gt;"",COUNTA($B$13:B49),"")</f>
        <v>32</v>
      </c>
      <c r="B49" s="130" t="str">
        <f>+'G3 CAMB'!B50</f>
        <v>Distribution</v>
      </c>
      <c r="C49" s="253" t="str">
        <f>+'G3 CAMB'!C50</f>
        <v>DIST</v>
      </c>
      <c r="D49" s="253"/>
      <c r="E49" s="154">
        <f t="shared" ref="E49:E64" si="3">SUMIF($C$13:$C$41,$C49,$I$13:$I$41)</f>
        <v>0</v>
      </c>
      <c r="G49" s="254">
        <f>+E49/$E$16*100</f>
        <v>0</v>
      </c>
      <c r="I49" s="154">
        <f t="shared" ref="I49:I64" si="4">SUMIF($C$13:$C$41,$C49,$N$13:$N$41)</f>
        <v>0</v>
      </c>
      <c r="J49" s="254">
        <f>+I49/$E$16*100</f>
        <v>0</v>
      </c>
      <c r="L49" s="154">
        <f t="shared" ref="L49:L69" si="5">I49-E49</f>
        <v>0</v>
      </c>
      <c r="N49" s="254">
        <f>+L49/$E$16*100</f>
        <v>0</v>
      </c>
    </row>
    <row r="50" spans="1:14" ht="14" x14ac:dyDescent="0.3">
      <c r="A50" s="151">
        <f>IF(B50&lt;&gt;"",COUNTA($B$13:B50),"")</f>
        <v>33</v>
      </c>
      <c r="B50" s="130" t="str">
        <f>+'G3 CAMB'!B51</f>
        <v>Revenue Decoupling</v>
      </c>
      <c r="C50" s="253" t="str">
        <f>+'G3 CAMB'!C51</f>
        <v>RDAF</v>
      </c>
      <c r="D50" s="253"/>
      <c r="E50" s="154">
        <f t="shared" si="3"/>
        <v>0</v>
      </c>
      <c r="G50" s="254">
        <f t="shared" ref="G50:G69" si="6">+E50/$E$16*100</f>
        <v>0</v>
      </c>
      <c r="I50" s="154">
        <f t="shared" si="4"/>
        <v>-205.96797768850288</v>
      </c>
      <c r="J50" s="254">
        <f t="shared" ref="J50:J70" si="7">+I50/$E$16*100</f>
        <v>-1.2064154453692992E-2</v>
      </c>
      <c r="L50" s="154">
        <f>I50-E50</f>
        <v>-205.96797768850288</v>
      </c>
      <c r="N50" s="254">
        <f t="shared" ref="N50:N70" si="8">+L50/$E$16*100</f>
        <v>-1.2064154453692992E-2</v>
      </c>
    </row>
    <row r="51" spans="1:14" ht="14" x14ac:dyDescent="0.3">
      <c r="A51" s="151">
        <f>IF(B51&lt;&gt;"",COUNTA($B$13:B51),"")</f>
        <v>34</v>
      </c>
      <c r="B51" s="130" t="str">
        <f>+'G3 CAMB'!B52</f>
        <v>Residential Assistance Adjustment Factor</v>
      </c>
      <c r="C51" s="253" t="str">
        <f>+'G3 CAMB'!C52</f>
        <v>RAAF</v>
      </c>
      <c r="D51" s="253"/>
      <c r="E51" s="154">
        <f t="shared" si="3"/>
        <v>1348.7451855700358</v>
      </c>
      <c r="G51" s="254">
        <f t="shared" si="6"/>
        <v>7.9000000000000001E-2</v>
      </c>
      <c r="I51" s="154">
        <f t="shared" si="4"/>
        <v>1740.0728691830861</v>
      </c>
      <c r="J51" s="254">
        <f t="shared" si="7"/>
        <v>0.10192122139614168</v>
      </c>
      <c r="L51" s="154">
        <f t="shared" si="5"/>
        <v>391.32768361305034</v>
      </c>
      <c r="N51" s="254">
        <f t="shared" si="8"/>
        <v>2.2921221396141674E-2</v>
      </c>
    </row>
    <row r="52" spans="1:14" ht="14" x14ac:dyDescent="0.3">
      <c r="A52" s="151">
        <f>IF(B52&lt;&gt;"",COUNTA($B$13:B52),"")</f>
        <v>35</v>
      </c>
      <c r="B52" s="130" t="str">
        <f>+'G3 CAMB'!B53</f>
        <v>Pension Adjustment Factor</v>
      </c>
      <c r="C52" s="253" t="str">
        <f>+'G3 CAMB'!C53</f>
        <v>PAF</v>
      </c>
      <c r="D52" s="253"/>
      <c r="E52" s="154">
        <f t="shared" si="3"/>
        <v>-51.218171603925406</v>
      </c>
      <c r="G52" s="254">
        <f t="shared" si="6"/>
        <v>-2.9999999999999996E-3</v>
      </c>
      <c r="I52" s="154">
        <f t="shared" si="4"/>
        <v>521.56369960200573</v>
      </c>
      <c r="J52" s="254">
        <f t="shared" si="7"/>
        <v>3.054953056321319E-2</v>
      </c>
      <c r="L52" s="154">
        <f t="shared" si="5"/>
        <v>572.78187120593111</v>
      </c>
      <c r="N52" s="254">
        <f t="shared" si="8"/>
        <v>3.3549530563213192E-2</v>
      </c>
    </row>
    <row r="53" spans="1:14" ht="14" x14ac:dyDescent="0.3">
      <c r="A53" s="151">
        <f>IF(B53&lt;&gt;"",COUNTA($B$13:B53),"")</f>
        <v>36</v>
      </c>
      <c r="B53" s="130" t="str">
        <f>+'G3 CAMB'!B54</f>
        <v>Net Metering Recovery Surcharge</v>
      </c>
      <c r="C53" s="253" t="str">
        <f>+'G3 CAMB'!C54</f>
        <v>NMRS</v>
      </c>
      <c r="D53" s="253"/>
      <c r="E53" s="154">
        <f t="shared" si="3"/>
        <v>2663.3449234041213</v>
      </c>
      <c r="G53" s="254">
        <f t="shared" si="6"/>
        <v>0.15600000000000003</v>
      </c>
      <c r="I53" s="154">
        <f t="shared" si="4"/>
        <v>2268.9154433562053</v>
      </c>
      <c r="J53" s="254">
        <f t="shared" si="7"/>
        <v>0.13289709720030188</v>
      </c>
      <c r="L53" s="154">
        <f t="shared" si="5"/>
        <v>-394.42948004791606</v>
      </c>
      <c r="N53" s="254">
        <f t="shared" si="8"/>
        <v>-2.3102902799698143E-2</v>
      </c>
    </row>
    <row r="54" spans="1:14" ht="14" x14ac:dyDescent="0.3">
      <c r="A54" s="151">
        <f>IF(B54&lt;&gt;"",COUNTA($B$13:B54),"")</f>
        <v>37</v>
      </c>
      <c r="B54" s="130" t="str">
        <f>+'G3 CAMB'!B55</f>
        <v>Long Term Renewable Contract Adjustment</v>
      </c>
      <c r="C54" s="253" t="str">
        <f>+'G3 CAMB'!C55</f>
        <v>LTRCA</v>
      </c>
      <c r="D54" s="253"/>
      <c r="E54" s="154">
        <f t="shared" si="3"/>
        <v>4029.162832842132</v>
      </c>
      <c r="G54" s="254">
        <f t="shared" si="6"/>
        <v>0.23600000000000002</v>
      </c>
      <c r="I54" s="154">
        <f t="shared" si="4"/>
        <v>2963.3346683707109</v>
      </c>
      <c r="J54" s="254">
        <f t="shared" si="7"/>
        <v>0.17357128782064518</v>
      </c>
      <c r="L54" s="154">
        <f t="shared" si="5"/>
        <v>-1065.8281644714211</v>
      </c>
      <c r="N54" s="254">
        <f t="shared" si="8"/>
        <v>-6.242871217935482E-2</v>
      </c>
    </row>
    <row r="55" spans="1:14" ht="14" x14ac:dyDescent="0.3">
      <c r="A55" s="151">
        <f>IF(B55&lt;&gt;"",COUNTA($B$13:B55),"")</f>
        <v>38</v>
      </c>
      <c r="B55" s="130" t="str">
        <f>+'G3 CAMB'!B56</f>
        <v>AG Consulting Expense</v>
      </c>
      <c r="C55" s="253" t="str">
        <f>+'G3 CAMB'!C56</f>
        <v>AGCE</v>
      </c>
      <c r="D55" s="253"/>
      <c r="E55" s="154">
        <f t="shared" si="3"/>
        <v>17.072723867975139</v>
      </c>
      <c r="G55" s="254">
        <f t="shared" si="6"/>
        <v>1.0000000000000002E-3</v>
      </c>
      <c r="I55" s="154">
        <f t="shared" si="4"/>
        <v>3.653503923562972</v>
      </c>
      <c r="J55" s="254">
        <f t="shared" si="7"/>
        <v>2.1399654512167107E-4</v>
      </c>
      <c r="L55" s="154">
        <f t="shared" si="5"/>
        <v>-13.419219944412166</v>
      </c>
      <c r="N55" s="254">
        <f t="shared" si="8"/>
        <v>-7.8600345487832908E-4</v>
      </c>
    </row>
    <row r="56" spans="1:14" ht="14" x14ac:dyDescent="0.3">
      <c r="A56" s="151">
        <f>IF(B56&lt;&gt;"",COUNTA($B$13:B56),"")</f>
        <v>39</v>
      </c>
      <c r="B56" s="130" t="str">
        <f>+'G3 CAMB'!B57</f>
        <v>Storm Cost Recovery Adjustment Factor</v>
      </c>
      <c r="C56" s="253" t="str">
        <f>+'G3 CAMB'!C57</f>
        <v>SCRA</v>
      </c>
      <c r="D56" s="253"/>
      <c r="E56" s="154">
        <f t="shared" si="3"/>
        <v>836.56346953078162</v>
      </c>
      <c r="G56" s="254">
        <f t="shared" si="6"/>
        <v>4.9000000000000002E-2</v>
      </c>
      <c r="I56" s="154">
        <f t="shared" si="4"/>
        <v>1319.1980809221172</v>
      </c>
      <c r="J56" s="254">
        <f t="shared" si="7"/>
        <v>7.7269338573246499E-2</v>
      </c>
      <c r="L56" s="154">
        <f>I56-E56</f>
        <v>482.63461139133562</v>
      </c>
      <c r="N56" s="254">
        <f t="shared" si="8"/>
        <v>2.8269338573246493E-2</v>
      </c>
    </row>
    <row r="57" spans="1:14" ht="14" x14ac:dyDescent="0.3">
      <c r="A57" s="151">
        <f>IF(B57&lt;&gt;"",COUNTA($B$13:B57),"")</f>
        <v>40</v>
      </c>
      <c r="B57" s="130" t="str">
        <f>+'G3 CAMB'!B58</f>
        <v>Storm Reserve Adjustment</v>
      </c>
      <c r="C57" s="253" t="str">
        <f>+'G3 CAMB'!C58</f>
        <v>SRA</v>
      </c>
      <c r="D57" s="253"/>
      <c r="E57" s="154">
        <f t="shared" si="3"/>
        <v>0</v>
      </c>
      <c r="G57" s="254">
        <f t="shared" si="6"/>
        <v>0</v>
      </c>
      <c r="I57" s="154">
        <f t="shared" si="4"/>
        <v>0</v>
      </c>
      <c r="J57" s="254">
        <f t="shared" si="7"/>
        <v>0</v>
      </c>
      <c r="L57" s="154">
        <f>I57-E57</f>
        <v>0</v>
      </c>
      <c r="N57" s="254">
        <f t="shared" si="8"/>
        <v>0</v>
      </c>
    </row>
    <row r="58" spans="1:14" ht="14" x14ac:dyDescent="0.3">
      <c r="A58" s="151">
        <f>IF(B58&lt;&gt;"",COUNTA($B$13:B58),"")</f>
        <v>41</v>
      </c>
      <c r="B58" s="130" t="str">
        <f>+'G3 CAMB'!B59</f>
        <v>Basic Service Cost True Up Factor</v>
      </c>
      <c r="C58" s="253" t="str">
        <f>+'G3 CAMB'!C59</f>
        <v>BSTF</v>
      </c>
      <c r="D58" s="253"/>
      <c r="E58" s="154">
        <f t="shared" si="3"/>
        <v>717.05440245495572</v>
      </c>
      <c r="G58" s="254">
        <f t="shared" si="6"/>
        <v>4.2000000000000003E-2</v>
      </c>
      <c r="I58" s="154">
        <f t="shared" si="4"/>
        <v>-86.34667974084941</v>
      </c>
      <c r="J58" s="254">
        <f t="shared" si="7"/>
        <v>-5.0575807591439906E-3</v>
      </c>
      <c r="L58" s="154">
        <f t="shared" ref="L58:L64" si="9">I58-E58</f>
        <v>-803.40108219580509</v>
      </c>
      <c r="N58" s="254">
        <f t="shared" si="8"/>
        <v>-4.7057580759143985E-2</v>
      </c>
    </row>
    <row r="59" spans="1:14" ht="14" x14ac:dyDescent="0.3">
      <c r="A59" s="151">
        <f>IF(B59&lt;&gt;"",COUNTA($B$13:B59),"")</f>
        <v>42</v>
      </c>
      <c r="B59" s="130" t="str">
        <f>+'G3 CAMB'!B60</f>
        <v>Solar Program Cost Adjustment Factor</v>
      </c>
      <c r="C59" s="253" t="str">
        <f>+'G3 CAMB'!C60</f>
        <v>SPCA</v>
      </c>
      <c r="D59" s="253"/>
      <c r="E59" s="154">
        <f t="shared" si="3"/>
        <v>0</v>
      </c>
      <c r="G59" s="254">
        <f t="shared" si="6"/>
        <v>0</v>
      </c>
      <c r="I59" s="154">
        <f t="shared" si="4"/>
        <v>15.366645207704197</v>
      </c>
      <c r="J59" s="254">
        <f t="shared" si="7"/>
        <v>9.0006992009803517E-4</v>
      </c>
      <c r="L59" s="154">
        <f t="shared" si="9"/>
        <v>15.366645207704197</v>
      </c>
      <c r="N59" s="254">
        <f t="shared" si="8"/>
        <v>9.0006992009803517E-4</v>
      </c>
    </row>
    <row r="60" spans="1:14" ht="14" x14ac:dyDescent="0.3">
      <c r="A60" s="151">
        <f>IF(B60&lt;&gt;"",COUNTA($B$13:B60),"")</f>
        <v>43</v>
      </c>
      <c r="B60" s="130" t="str">
        <f>+'G3 CAMB'!B61</f>
        <v>Solar Expansion Cost Recovery Factor</v>
      </c>
      <c r="C60" s="253" t="str">
        <f>+'G3 CAMB'!C61</f>
        <v>SECRF</v>
      </c>
      <c r="D60" s="253"/>
      <c r="E60" s="154">
        <f t="shared" si="3"/>
        <v>0</v>
      </c>
      <c r="G60" s="254">
        <f t="shared" si="6"/>
        <v>0</v>
      </c>
      <c r="I60" s="154">
        <f t="shared" si="4"/>
        <v>271.03246679187413</v>
      </c>
      <c r="J60" s="254">
        <f t="shared" si="7"/>
        <v>1.5875174277273613E-2</v>
      </c>
      <c r="L60" s="154">
        <f t="shared" si="9"/>
        <v>271.03246679187413</v>
      </c>
      <c r="N60" s="254">
        <f t="shared" si="8"/>
        <v>1.5875174277273613E-2</v>
      </c>
    </row>
    <row r="61" spans="1:14" ht="14" x14ac:dyDescent="0.3">
      <c r="A61" s="151">
        <f>IF(B61&lt;&gt;"",COUNTA($B$13:B61),"")</f>
        <v>44</v>
      </c>
      <c r="B61" s="130" t="str">
        <f>+'G3 CAMB'!B62</f>
        <v>Vegetation Management</v>
      </c>
      <c r="C61" s="253" t="str">
        <f>+'G3 CAMB'!C62</f>
        <v>RTWF</v>
      </c>
      <c r="D61" s="253"/>
      <c r="E61" s="154">
        <f t="shared" si="3"/>
        <v>0</v>
      </c>
      <c r="G61" s="254">
        <f t="shared" si="6"/>
        <v>0</v>
      </c>
      <c r="I61" s="154">
        <f t="shared" si="4"/>
        <v>933.77530259742605</v>
      </c>
      <c r="J61" s="254">
        <f t="shared" si="7"/>
        <v>5.4693984967975354E-2</v>
      </c>
      <c r="L61" s="154">
        <f t="shared" si="9"/>
        <v>933.77530259742605</v>
      </c>
      <c r="N61" s="254">
        <f t="shared" si="8"/>
        <v>5.4693984967975354E-2</v>
      </c>
    </row>
    <row r="62" spans="1:14" ht="14" x14ac:dyDescent="0.3">
      <c r="A62" s="151">
        <f>IF(B62&lt;&gt;"",COUNTA($B$13:B62),"")</f>
        <v>45</v>
      </c>
      <c r="B62" s="130" t="str">
        <f>+'G3 CAMB'!B63</f>
        <v>Solar Massachusetts Renewable Target</v>
      </c>
      <c r="C62" s="253" t="str">
        <f>+'G3 CAMB'!C63</f>
        <v>SMART</v>
      </c>
      <c r="D62" s="253"/>
      <c r="E62" s="154">
        <f t="shared" si="3"/>
        <v>0</v>
      </c>
      <c r="G62" s="254">
        <f t="shared" si="6"/>
        <v>0</v>
      </c>
      <c r="I62" s="154">
        <f t="shared" si="4"/>
        <v>317.55256841590932</v>
      </c>
      <c r="J62" s="254">
        <f t="shared" si="7"/>
        <v>1.8599994404617039E-2</v>
      </c>
      <c r="L62" s="154">
        <f t="shared" si="9"/>
        <v>317.55256841590932</v>
      </c>
      <c r="N62" s="254">
        <f t="shared" si="8"/>
        <v>1.8599994404617039E-2</v>
      </c>
    </row>
    <row r="63" spans="1:14" ht="14" x14ac:dyDescent="0.3">
      <c r="A63" s="151">
        <f>IF(B63&lt;&gt;"",COUNTA($B$13:B63),"")</f>
        <v>46</v>
      </c>
      <c r="B63" s="130" t="str">
        <f>+'G3 CAMB'!B64</f>
        <v>Tax Act Credit Factor</v>
      </c>
      <c r="C63" s="253" t="str">
        <f>+'G3 CAMB'!C64</f>
        <v>TACF</v>
      </c>
      <c r="D63" s="253"/>
      <c r="E63" s="154">
        <f t="shared" si="3"/>
        <v>0</v>
      </c>
      <c r="G63" s="254">
        <f t="shared" si="6"/>
        <v>0</v>
      </c>
      <c r="I63" s="154">
        <f t="shared" si="4"/>
        <v>-480.72153878650391</v>
      </c>
      <c r="J63" s="254">
        <f t="shared" si="7"/>
        <v>-2.8157284244972599E-2</v>
      </c>
      <c r="L63" s="154">
        <f t="shared" si="9"/>
        <v>-480.72153878650391</v>
      </c>
      <c r="N63" s="254">
        <f t="shared" si="8"/>
        <v>-2.8157284244972599E-2</v>
      </c>
    </row>
    <row r="64" spans="1:14" ht="14" x14ac:dyDescent="0.3">
      <c r="A64" s="151">
        <f>IF(B64&lt;&gt;"",COUNTA($B$13:B64),"")</f>
        <v>47</v>
      </c>
      <c r="B64" s="130" t="str">
        <f>+'G3 CAMB'!B65</f>
        <v>Transition</v>
      </c>
      <c r="C64" s="253" t="str">
        <f>+'G3 CAMB'!C65</f>
        <v>TRNSN</v>
      </c>
      <c r="D64" s="253"/>
      <c r="E64" s="154">
        <f t="shared" si="3"/>
        <v>-1041.4361559464833</v>
      </c>
      <c r="G64" s="254">
        <f t="shared" si="6"/>
        <v>-6.0999999999999999E-2</v>
      </c>
      <c r="I64" s="154">
        <f t="shared" si="4"/>
        <v>-889.64805527069507</v>
      </c>
      <c r="J64" s="254">
        <f t="shared" si="7"/>
        <v>-5.2109321403568713E-2</v>
      </c>
      <c r="L64" s="154">
        <f t="shared" si="9"/>
        <v>151.7881006757882</v>
      </c>
      <c r="N64" s="254">
        <f t="shared" si="8"/>
        <v>8.8906785964312923E-3</v>
      </c>
    </row>
    <row r="65" spans="1:14" ht="14" x14ac:dyDescent="0.3">
      <c r="A65" s="151">
        <f>IF(B65&lt;&gt;"",COUNTA($B$13:B65),"")</f>
        <v>48</v>
      </c>
      <c r="B65" s="130" t="str">
        <f>+'G3 CAMB'!B66</f>
        <v>Transmission</v>
      </c>
      <c r="C65" s="253" t="str">
        <f>+'G3 CAMB'!C66</f>
        <v>TRNSM</v>
      </c>
      <c r="D65" s="253"/>
      <c r="E65" s="154">
        <f>SUM(SUMIF($C$13:$C$41,{"TMKW","TMKWH"},$I$13:$I$41))</f>
        <v>22111.8</v>
      </c>
      <c r="G65" s="254">
        <f t="shared" si="6"/>
        <v>1.2951536129203798</v>
      </c>
      <c r="I65" s="154">
        <f>SUM(SUMIF($C$13:$C$41,{"TMKW","TMKWH"},$N$13:$N$41))</f>
        <v>21874.562487685052</v>
      </c>
      <c r="J65" s="254">
        <f t="shared" si="7"/>
        <v>1.2812579092148948</v>
      </c>
      <c r="L65" s="154">
        <f t="shared" si="5"/>
        <v>-237.2375123149468</v>
      </c>
      <c r="N65" s="254">
        <f t="shared" si="8"/>
        <v>-1.3895703705485148E-2</v>
      </c>
    </row>
    <row r="66" spans="1:14" ht="14" x14ac:dyDescent="0.3">
      <c r="A66" s="151">
        <f>IF(B66&lt;&gt;"",COUNTA($B$13:B66),"")</f>
        <v>49</v>
      </c>
      <c r="B66" s="130" t="str">
        <f>+'G3 CAMB'!B67</f>
        <v>Energy Efficiency Reconciliation Factor</v>
      </c>
      <c r="C66" s="253" t="str">
        <f>+'G3 CAMB'!C67</f>
        <v>EERF</v>
      </c>
      <c r="D66" s="253"/>
      <c r="E66" s="154">
        <f>SUMIF($C$13:$C$41,$C66,$I$13:$I$41)</f>
        <v>14443.524392306967</v>
      </c>
      <c r="G66" s="254">
        <f t="shared" si="6"/>
        <v>0.84600000000000009</v>
      </c>
      <c r="I66" s="154">
        <f>SUMIF($C$13:$C$41,$C66,$N$13:$N$41)</f>
        <v>14443.524392306967</v>
      </c>
      <c r="J66" s="254">
        <f t="shared" si="7"/>
        <v>0.84600000000000009</v>
      </c>
      <c r="L66" s="154">
        <f t="shared" si="5"/>
        <v>0</v>
      </c>
      <c r="N66" s="254">
        <f t="shared" si="8"/>
        <v>0</v>
      </c>
    </row>
    <row r="67" spans="1:14" ht="14" x14ac:dyDescent="0.3">
      <c r="A67" s="151">
        <f>IF(B67&lt;&gt;"",COUNTA($B$13:B67),"")</f>
        <v>50</v>
      </c>
      <c r="B67" s="130" t="str">
        <f>+'G3 CAMB'!B68</f>
        <v>System Benefits Charge</v>
      </c>
      <c r="C67" s="253" t="str">
        <f>+'G3 CAMB'!C68</f>
        <v>SBC</v>
      </c>
      <c r="D67" s="253"/>
      <c r="E67" s="154">
        <f>SUMIF($C$13:$C$41,$C67,$I$13:$I$41)</f>
        <v>4268.1809669937838</v>
      </c>
      <c r="G67" s="254">
        <f t="shared" si="6"/>
        <v>0.25</v>
      </c>
      <c r="I67" s="154">
        <f>SUMIF($C$13:$C$41,$C67,$N$13:$N$41)</f>
        <v>4268.1809669937838</v>
      </c>
      <c r="J67" s="254">
        <f t="shared" si="7"/>
        <v>0.25</v>
      </c>
      <c r="L67" s="154">
        <f t="shared" si="5"/>
        <v>0</v>
      </c>
      <c r="N67" s="254">
        <f t="shared" si="8"/>
        <v>0</v>
      </c>
    </row>
    <row r="68" spans="1:14" ht="14" x14ac:dyDescent="0.3">
      <c r="A68" s="151">
        <f>IF(B68&lt;&gt;"",COUNTA($B$13:B68),"")</f>
        <v>51</v>
      </c>
      <c r="B68" s="130" t="str">
        <f>+'G3 CAMB'!B69</f>
        <v>Renewable Energy Charge</v>
      </c>
      <c r="C68" s="253" t="str">
        <f>+'G3 CAMB'!C69</f>
        <v>RNEW</v>
      </c>
      <c r="D68" s="253"/>
      <c r="E68" s="154">
        <f>SUMIF($C$13:$C$41,$C68,$I$13:$I$41)</f>
        <v>853.63619339875686</v>
      </c>
      <c r="G68" s="254">
        <f t="shared" si="6"/>
        <v>0.05</v>
      </c>
      <c r="I68" s="154">
        <f>SUMIF($C$13:$C$41,$C68,$N$13:$N$41)</f>
        <v>853.63619339875686</v>
      </c>
      <c r="J68" s="254">
        <f t="shared" si="7"/>
        <v>0.05</v>
      </c>
      <c r="L68" s="154">
        <f>I68-E68</f>
        <v>0</v>
      </c>
      <c r="N68" s="254">
        <f t="shared" si="8"/>
        <v>0</v>
      </c>
    </row>
    <row r="69" spans="1:14" ht="14" x14ac:dyDescent="0.3">
      <c r="A69" s="151">
        <f>IF(B69&lt;&gt;"",COUNTA($B$13:B69),"")</f>
        <v>52</v>
      </c>
      <c r="B69" s="130" t="str">
        <f>+'G3 CAMB'!B70</f>
        <v>Basic Service Charge</v>
      </c>
      <c r="C69" s="253" t="str">
        <f>+'G3 CAMB'!C70</f>
        <v>BS</v>
      </c>
      <c r="D69" s="253"/>
      <c r="E69" s="255">
        <f>SUMIF($C$13:$C$41,$C69,$I$13:$I$41)</f>
        <v>226384.31848935029</v>
      </c>
      <c r="F69" s="256"/>
      <c r="G69" s="257">
        <f t="shared" si="6"/>
        <v>13.26</v>
      </c>
      <c r="H69" s="258"/>
      <c r="I69" s="255">
        <f>SUMIF($C$13:$C$41,$C69,$N$13:$N$41)</f>
        <v>294760.57758059079</v>
      </c>
      <c r="J69" s="257">
        <f t="shared" si="7"/>
        <v>17.265000000000004</v>
      </c>
      <c r="K69" s="255"/>
      <c r="L69" s="255">
        <f t="shared" si="5"/>
        <v>68376.259091240499</v>
      </c>
      <c r="M69" s="259"/>
      <c r="N69" s="257">
        <f t="shared" si="8"/>
        <v>4.0050000000000043</v>
      </c>
    </row>
    <row r="70" spans="1:14" ht="14" x14ac:dyDescent="0.3">
      <c r="A70" s="151">
        <f>IF(B70&lt;&gt;"",COUNTA($B$13:B70),"")</f>
        <v>53</v>
      </c>
      <c r="B70" s="130" t="str">
        <f>+'G3 CAMB'!B71</f>
        <v>Total</v>
      </c>
      <c r="C70" s="253">
        <f>+'G3 CAMB'!C71</f>
        <v>0</v>
      </c>
      <c r="D70" s="130"/>
      <c r="E70" s="154">
        <f>SUM(E49:E69)</f>
        <v>276580.74925216939</v>
      </c>
      <c r="G70" s="254">
        <f>+E70/$E$16*100</f>
        <v>16.200153612920378</v>
      </c>
      <c r="I70" s="154">
        <f>SUM(I49:I69)</f>
        <v>344892.26261785941</v>
      </c>
      <c r="J70" s="254">
        <f t="shared" si="7"/>
        <v>20.201361264022154</v>
      </c>
      <c r="L70" s="154">
        <f>SUM(L49:L69)</f>
        <v>68311.513365690014</v>
      </c>
      <c r="N70" s="254">
        <f t="shared" si="8"/>
        <v>4.001207651101776</v>
      </c>
    </row>
    <row r="71" spans="1:14" ht="14" x14ac:dyDescent="0.3">
      <c r="A71" s="151" t="str">
        <f>IF(B71&lt;&gt;"",COUNTA($B$10:B71),"")</f>
        <v/>
      </c>
    </row>
    <row r="72" spans="1:14" ht="14" x14ac:dyDescent="0.3">
      <c r="A72" s="151"/>
      <c r="B72" s="256"/>
      <c r="E72" s="188"/>
      <c r="G72" s="188"/>
      <c r="H72" s="188"/>
      <c r="I72" s="188"/>
      <c r="J72" s="188"/>
      <c r="K72" s="188"/>
      <c r="L72" s="188"/>
      <c r="M72" s="188"/>
      <c r="N72" s="188"/>
    </row>
    <row r="73" spans="1:14" ht="14" x14ac:dyDescent="0.3">
      <c r="A73" s="151"/>
      <c r="B73" s="130" t="str">
        <f>+'G2 CAMB'!B73</f>
        <v>Notes:</v>
      </c>
    </row>
    <row r="74" spans="1:14" ht="14" x14ac:dyDescent="0.3">
      <c r="A74" s="151"/>
      <c r="B74" s="130" t="str">
        <f>+'G2 CAMB'!B74</f>
        <v>Col. (a): Company's forecast</v>
      </c>
    </row>
    <row r="75" spans="1:14" ht="14" x14ac:dyDescent="0.3">
      <c r="A75" s="151"/>
      <c r="B75" s="130" t="str">
        <f>+'G2 CAMB'!B75</f>
        <v>Col. (b): Current rates</v>
      </c>
    </row>
    <row r="76" spans="1:14" ht="14" x14ac:dyDescent="0.3">
      <c r="A76" s="151"/>
      <c r="B76" s="130" t="str">
        <f>+'G2 CAMB'!B76</f>
        <v>Col. (c): Col. (a) x Col. (b)</v>
      </c>
    </row>
    <row r="77" spans="1:14" ht="14" x14ac:dyDescent="0.3">
      <c r="A77" s="151"/>
      <c r="B77" s="130" t="str">
        <f>+'G2 CAMB'!B77</f>
        <v>Col. (e): Proposed rates</v>
      </c>
    </row>
  </sheetData>
  <mergeCells count="6">
    <mergeCell ref="A4:N4"/>
    <mergeCell ref="A5:N5"/>
    <mergeCell ref="A7:N7"/>
    <mergeCell ref="A8:N8"/>
    <mergeCell ref="G10:I10"/>
    <mergeCell ref="L10:N10"/>
  </mergeCells>
  <pageMargins left="0.7" right="0.7" top="0.75" bottom="0.75" header="0.3" footer="0.3"/>
  <pageSetup scale="64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CDBFE-1B68-4674-A5CA-2681F83C6789}">
  <sheetPr>
    <tabColor theme="8" tint="0.59999389629810485"/>
    <pageSetUpPr fitToPage="1"/>
  </sheetPr>
  <dimension ref="A4:T72"/>
  <sheetViews>
    <sheetView zoomScaleNormal="100" workbookViewId="0">
      <pane xSplit="3" ySplit="11" topLeftCell="D12" activePane="bottomRight" state="frozen"/>
      <selection activeCell="J15" sqref="J15"/>
      <selection pane="topRight" activeCell="J15" sqref="J15"/>
      <selection pane="bottomLeft" activeCell="J15" sqref="J15"/>
      <selection pane="bottomRight"/>
    </sheetView>
  </sheetViews>
  <sheetFormatPr defaultRowHeight="12.5" x14ac:dyDescent="0.25"/>
  <cols>
    <col min="1" max="1" width="3.81640625" customWidth="1"/>
    <col min="2" max="2" width="14.54296875" customWidth="1"/>
    <col min="3" max="3" width="12.26953125" bestFit="1" customWidth="1"/>
    <col min="4" max="4" width="15" bestFit="1" customWidth="1"/>
    <col min="5" max="5" width="1.7265625" customWidth="1"/>
    <col min="6" max="6" width="10.26953125" bestFit="1" customWidth="1"/>
    <col min="7" max="7" width="13" customWidth="1"/>
    <col min="8" max="8" width="9.1796875" style="3" customWidth="1"/>
    <col min="9" max="9" width="1.7265625" style="3" customWidth="1"/>
    <col min="10" max="10" width="9.1796875" style="3" customWidth="1"/>
    <col min="11" max="11" width="13.26953125" style="32" customWidth="1"/>
    <col min="12" max="12" width="9.1796875" style="3" customWidth="1"/>
    <col min="13" max="13" width="1.7265625" style="3" customWidth="1"/>
    <col min="14" max="14" width="10.26953125" style="32" bestFit="1" customWidth="1"/>
    <col min="15" max="15" width="14.453125" style="32" bestFit="1" customWidth="1"/>
    <col min="16" max="16" width="10" style="32" bestFit="1" customWidth="1"/>
    <col min="17" max="17" width="1.7265625" style="3" customWidth="1"/>
    <col min="18" max="18" width="10" bestFit="1" customWidth="1"/>
    <col min="20" max="20" width="3" style="3" bestFit="1" customWidth="1"/>
  </cols>
  <sheetData>
    <row r="4" spans="1:20" ht="13" x14ac:dyDescent="0.3">
      <c r="A4" s="742" t="str">
        <f>'Exh 7_Recon Rates p1-2'!A4:AL4</f>
        <v>Eastern and Western Massachusetts</v>
      </c>
      <c r="B4" s="742"/>
      <c r="C4" s="742"/>
      <c r="D4" s="742"/>
      <c r="E4" s="742"/>
      <c r="F4" s="742"/>
      <c r="G4" s="742"/>
      <c r="H4" s="742"/>
      <c r="I4" s="742"/>
      <c r="J4" s="742"/>
      <c r="K4" s="742"/>
      <c r="L4" s="742"/>
      <c r="M4" s="742"/>
      <c r="N4" s="742"/>
      <c r="O4" s="742"/>
      <c r="P4" s="742"/>
      <c r="Q4" s="742"/>
      <c r="R4" s="742"/>
    </row>
    <row r="5" spans="1:20" ht="13" x14ac:dyDescent="0.3">
      <c r="A5" s="742" t="s">
        <v>207</v>
      </c>
      <c r="B5" s="742"/>
      <c r="C5" s="742"/>
      <c r="D5" s="742"/>
      <c r="E5" s="742"/>
      <c r="F5" s="742"/>
      <c r="G5" s="742"/>
      <c r="H5" s="742"/>
      <c r="I5" s="742"/>
      <c r="J5" s="742"/>
      <c r="K5" s="742"/>
      <c r="L5" s="742"/>
      <c r="M5" s="742"/>
      <c r="N5" s="742"/>
      <c r="O5" s="742"/>
      <c r="P5" s="742"/>
      <c r="Q5" s="742"/>
      <c r="R5" s="742"/>
    </row>
    <row r="6" spans="1:20" ht="13" x14ac:dyDescent="0.3">
      <c r="C6" s="1"/>
      <c r="D6" s="1"/>
      <c r="E6" s="1"/>
      <c r="F6" s="1"/>
      <c r="G6" s="1"/>
      <c r="H6" s="112"/>
      <c r="I6" s="112"/>
      <c r="J6" s="112"/>
      <c r="K6" s="1"/>
      <c r="L6" s="112"/>
      <c r="M6" s="112"/>
      <c r="N6" s="1"/>
      <c r="O6" s="1"/>
      <c r="P6" s="1"/>
      <c r="Q6" s="112"/>
      <c r="R6" s="1"/>
    </row>
    <row r="7" spans="1:20" x14ac:dyDescent="0.25">
      <c r="F7" s="736" t="s">
        <v>111</v>
      </c>
      <c r="G7" s="736"/>
      <c r="H7" s="736"/>
      <c r="I7" s="113"/>
      <c r="J7" s="736" t="s">
        <v>114</v>
      </c>
      <c r="K7" s="736"/>
      <c r="L7" s="736"/>
      <c r="M7"/>
      <c r="N7" s="736" t="s">
        <v>208</v>
      </c>
      <c r="O7" s="736"/>
      <c r="P7" s="736"/>
      <c r="Q7" s="113"/>
      <c r="R7" s="7"/>
    </row>
    <row r="8" spans="1:20" ht="13" x14ac:dyDescent="0.3">
      <c r="C8" s="2" t="s">
        <v>46</v>
      </c>
      <c r="D8" s="2"/>
      <c r="E8" s="2"/>
      <c r="F8" s="738" t="s">
        <v>209</v>
      </c>
      <c r="G8" s="738"/>
      <c r="H8" s="738"/>
      <c r="I8" s="113"/>
      <c r="J8" s="738" t="s">
        <v>209</v>
      </c>
      <c r="K8" s="738"/>
      <c r="L8" s="738"/>
      <c r="M8"/>
      <c r="N8" s="738" t="s">
        <v>210</v>
      </c>
      <c r="O8" s="738"/>
      <c r="P8" s="738"/>
      <c r="Q8" s="113"/>
      <c r="R8" s="71" t="s">
        <v>47</v>
      </c>
    </row>
    <row r="9" spans="1:20" x14ac:dyDescent="0.25">
      <c r="A9" s="7" t="s">
        <v>44</v>
      </c>
      <c r="B9" s="10" t="s">
        <v>45</v>
      </c>
      <c r="C9" s="69"/>
      <c r="D9" s="7" t="s">
        <v>144</v>
      </c>
      <c r="E9" s="63"/>
      <c r="F9" s="63" t="s">
        <v>142</v>
      </c>
      <c r="G9" s="70" t="s">
        <v>145</v>
      </c>
      <c r="H9" s="70" t="s">
        <v>64</v>
      </c>
      <c r="J9" s="63" t="s">
        <v>142</v>
      </c>
      <c r="K9" s="70" t="s">
        <v>145</v>
      </c>
      <c r="L9" s="70" t="s">
        <v>64</v>
      </c>
      <c r="M9"/>
      <c r="N9" s="63" t="s">
        <v>142</v>
      </c>
      <c r="O9" s="70" t="s">
        <v>145</v>
      </c>
      <c r="P9" s="70" t="s">
        <v>64</v>
      </c>
      <c r="R9" s="71" t="s">
        <v>64</v>
      </c>
    </row>
    <row r="10" spans="1:20" x14ac:dyDescent="0.25">
      <c r="A10" s="11" t="s">
        <v>60</v>
      </c>
      <c r="B10" s="12" t="s">
        <v>61</v>
      </c>
      <c r="C10" s="13" t="s">
        <v>62</v>
      </c>
      <c r="D10" s="11" t="s">
        <v>147</v>
      </c>
      <c r="E10" s="114"/>
      <c r="F10" s="114" t="s">
        <v>146</v>
      </c>
      <c r="G10" s="75" t="s">
        <v>148</v>
      </c>
      <c r="H10" s="75" t="s">
        <v>211</v>
      </c>
      <c r="J10" s="114" t="s">
        <v>146</v>
      </c>
      <c r="K10" s="75" t="s">
        <v>148</v>
      </c>
      <c r="L10" s="75" t="s">
        <v>211</v>
      </c>
      <c r="M10"/>
      <c r="N10" s="114" t="s">
        <v>146</v>
      </c>
      <c r="O10" s="75" t="s">
        <v>148</v>
      </c>
      <c r="P10" s="75" t="s">
        <v>211</v>
      </c>
      <c r="R10" s="76" t="s">
        <v>212</v>
      </c>
      <c r="T10" s="3">
        <v>1</v>
      </c>
    </row>
    <row r="11" spans="1:20" x14ac:dyDescent="0.25">
      <c r="A11" s="11"/>
      <c r="B11" s="12"/>
      <c r="C11" s="13"/>
      <c r="D11" s="7" t="s">
        <v>66</v>
      </c>
      <c r="E11" s="7"/>
      <c r="F11" s="7" t="s">
        <v>67</v>
      </c>
      <c r="G11" s="17" t="s">
        <v>68</v>
      </c>
      <c r="H11" s="17" t="s">
        <v>69</v>
      </c>
      <c r="J11" s="7" t="s">
        <v>70</v>
      </c>
      <c r="K11" s="17" t="s">
        <v>71</v>
      </c>
      <c r="L11" s="17" t="s">
        <v>72</v>
      </c>
      <c r="M11"/>
      <c r="N11" s="7" t="s">
        <v>73</v>
      </c>
      <c r="O11" s="17" t="s">
        <v>74</v>
      </c>
      <c r="P11" s="17" t="s">
        <v>75</v>
      </c>
      <c r="R11" s="17" t="s">
        <v>76</v>
      </c>
      <c r="T11" s="3">
        <f>+T10+1</f>
        <v>2</v>
      </c>
    </row>
    <row r="12" spans="1:20" x14ac:dyDescent="0.25">
      <c r="A12" s="7">
        <f>IF(C12&lt;&gt;"",COUNTA($C$12:C12),"")</f>
        <v>1</v>
      </c>
      <c r="B12" s="19" t="s">
        <v>111</v>
      </c>
      <c r="C12" s="20" t="s">
        <v>112</v>
      </c>
      <c r="D12" s="82">
        <v>5735134701.1636696</v>
      </c>
      <c r="E12" s="82"/>
      <c r="F12" s="80">
        <v>0.40078999999999998</v>
      </c>
      <c r="G12" s="115">
        <f>+F12*$G$40</f>
        <v>13240414.379952531</v>
      </c>
      <c r="H12" s="21">
        <f>+G12/D12</f>
        <v>2.3086492418854655E-3</v>
      </c>
      <c r="P12" s="21">
        <f>+P14</f>
        <v>1.336751515597042E-3</v>
      </c>
      <c r="R12" s="21">
        <f>+H12+L12+P12</f>
        <v>3.6454007574825073E-3</v>
      </c>
      <c r="T12" s="3">
        <f t="shared" ref="T12:T40" si="0">+T11+1</f>
        <v>3</v>
      </c>
    </row>
    <row r="13" spans="1:20" x14ac:dyDescent="0.25">
      <c r="A13" s="7">
        <f>IF(C13&lt;&gt;"",COUNTA($C$12:C13),"")</f>
        <v>2</v>
      </c>
      <c r="B13" s="19" t="s">
        <v>114</v>
      </c>
      <c r="C13" s="20" t="s">
        <v>112</v>
      </c>
      <c r="D13" s="116">
        <v>1037113474.1535469</v>
      </c>
      <c r="E13" s="82"/>
      <c r="J13" s="86">
        <v>0.48025000000000001</v>
      </c>
      <c r="K13" s="117">
        <f>+J13*$K$40</f>
        <v>2420879.2010876825</v>
      </c>
      <c r="L13" s="21">
        <f>+K13/D13</f>
        <v>2.3342471787511131E-3</v>
      </c>
      <c r="N13" s="90"/>
      <c r="O13" s="117"/>
      <c r="P13" s="21">
        <f>+P12</f>
        <v>1.336751515597042E-3</v>
      </c>
      <c r="R13" s="21">
        <f>+H13+L13+P13</f>
        <v>3.6709986943481553E-3</v>
      </c>
      <c r="T13" s="3">
        <f t="shared" si="0"/>
        <v>4</v>
      </c>
    </row>
    <row r="14" spans="1:20" x14ac:dyDescent="0.25">
      <c r="A14" s="7">
        <f>IF(C14&lt;&gt;"",COUNTA($C$12:C14),"")</f>
        <v>3</v>
      </c>
      <c r="B14" s="19" t="s">
        <v>163</v>
      </c>
      <c r="C14" s="20" t="s">
        <v>112</v>
      </c>
      <c r="D14" s="82">
        <f>SUM(D12:D13)</f>
        <v>6772248175.3172169</v>
      </c>
      <c r="E14" s="82"/>
      <c r="F14" s="80"/>
      <c r="N14" s="90">
        <v>0.41144999999999998</v>
      </c>
      <c r="O14" s="117">
        <f>+N14*$O$40</f>
        <v>9052813.0123545919</v>
      </c>
      <c r="P14" s="21">
        <f>+O14/D14</f>
        <v>1.336751515597042E-3</v>
      </c>
      <c r="R14" s="21"/>
      <c r="T14" s="3">
        <f t="shared" si="0"/>
        <v>5</v>
      </c>
    </row>
    <row r="15" spans="1:20" x14ac:dyDescent="0.25">
      <c r="A15" s="7" t="str">
        <f>IF(C15&lt;&gt;"",COUNTA($C$12:C15),"")</f>
        <v/>
      </c>
      <c r="B15" s="19"/>
      <c r="C15" s="20"/>
      <c r="D15" s="82"/>
      <c r="E15" s="82"/>
      <c r="F15" s="80"/>
      <c r="N15" s="90"/>
      <c r="P15" s="21"/>
      <c r="R15" s="21"/>
      <c r="T15" s="3">
        <f t="shared" si="0"/>
        <v>6</v>
      </c>
    </row>
    <row r="16" spans="1:20" x14ac:dyDescent="0.25">
      <c r="A16" s="7">
        <f>IF(C16&lt;&gt;"",COUNTA($C$12:C16),"")</f>
        <v>4</v>
      </c>
      <c r="B16" s="19" t="s">
        <v>111</v>
      </c>
      <c r="C16" s="20" t="s">
        <v>113</v>
      </c>
      <c r="D16" s="82">
        <v>708169283.62395215</v>
      </c>
      <c r="E16" s="82"/>
      <c r="F16" s="86">
        <v>4.0230000000000002E-2</v>
      </c>
      <c r="G16" s="115">
        <f>+F16*$G$40</f>
        <v>1329029.8423251337</v>
      </c>
      <c r="H16" s="21">
        <f>+G16/D16</f>
        <v>1.8767120702044842E-3</v>
      </c>
      <c r="N16" s="90"/>
      <c r="P16" s="21">
        <f>+P18</f>
        <v>1.0858697635396676E-3</v>
      </c>
      <c r="R16" s="21">
        <f t="shared" ref="R16:R17" si="1">+H16+L16+P16</f>
        <v>2.9625818337441516E-3</v>
      </c>
      <c r="T16" s="3">
        <f t="shared" si="0"/>
        <v>7</v>
      </c>
    </row>
    <row r="17" spans="1:20" x14ac:dyDescent="0.25">
      <c r="A17" s="7">
        <f>IF(C17&lt;&gt;"",COUNTA($C$12:C17),"")</f>
        <v>5</v>
      </c>
      <c r="B17" s="19" t="s">
        <v>114</v>
      </c>
      <c r="C17" s="20" t="s">
        <v>113</v>
      </c>
      <c r="D17" s="116">
        <v>218830945.66962367</v>
      </c>
      <c r="E17" s="82"/>
      <c r="J17" s="86">
        <v>8.1430000000000002E-2</v>
      </c>
      <c r="K17" s="117">
        <f>+J17*$K$40</f>
        <v>410478.27869769908</v>
      </c>
      <c r="L17" s="21">
        <f>+K17/D17</f>
        <v>1.8757780232664704E-3</v>
      </c>
      <c r="N17" s="90"/>
      <c r="O17" s="117"/>
      <c r="P17" s="21">
        <f>+P16</f>
        <v>1.0858697635396676E-3</v>
      </c>
      <c r="R17" s="21">
        <f t="shared" si="1"/>
        <v>2.961647786806138E-3</v>
      </c>
      <c r="T17" s="3">
        <f t="shared" si="0"/>
        <v>8</v>
      </c>
    </row>
    <row r="18" spans="1:20" x14ac:dyDescent="0.25">
      <c r="A18" s="7">
        <f>IF(C18&lt;&gt;"",COUNTA($C$12:C18),"")</f>
        <v>6</v>
      </c>
      <c r="B18" s="19" t="s">
        <v>163</v>
      </c>
      <c r="C18" s="20" t="s">
        <v>113</v>
      </c>
      <c r="D18" s="82">
        <f>SUM(D16:D17)</f>
        <v>927000229.29357576</v>
      </c>
      <c r="E18" s="82"/>
      <c r="F18" s="86"/>
      <c r="N18" s="90">
        <v>4.5749999999999999E-2</v>
      </c>
      <c r="O18" s="117">
        <f>+N18*$O$40</f>
        <v>1006601.5197842328</v>
      </c>
      <c r="P18" s="21">
        <f>+O18/D18</f>
        <v>1.0858697635396676E-3</v>
      </c>
      <c r="R18" s="21"/>
      <c r="T18" s="3">
        <f t="shared" si="0"/>
        <v>9</v>
      </c>
    </row>
    <row r="19" spans="1:20" x14ac:dyDescent="0.25">
      <c r="A19" s="7" t="str">
        <f>IF(C19&lt;&gt;"",COUNTA($C$12:C19),"")</f>
        <v/>
      </c>
      <c r="B19" s="19"/>
      <c r="C19" s="20"/>
      <c r="D19" s="82"/>
      <c r="E19" s="82"/>
      <c r="F19" s="86"/>
      <c r="N19" s="90"/>
      <c r="P19" s="21"/>
      <c r="R19" s="21"/>
      <c r="T19" s="3">
        <f t="shared" si="0"/>
        <v>10</v>
      </c>
    </row>
    <row r="20" spans="1:20" x14ac:dyDescent="0.25">
      <c r="A20" s="7">
        <f>IF(C20&lt;&gt;"",COUNTA($C$12:C20),"")</f>
        <v>7</v>
      </c>
      <c r="B20" s="19" t="s">
        <v>115</v>
      </c>
      <c r="C20" s="20" t="s">
        <v>116</v>
      </c>
      <c r="D20" s="82">
        <f>+'Exh 7_ Recon Rates_Alloc p3-4'!F14</f>
        <v>492195162.23694551</v>
      </c>
      <c r="E20" s="82"/>
      <c r="F20" s="86">
        <v>3.9800000000000002E-2</v>
      </c>
      <c r="G20" s="115">
        <f t="shared" ref="G20:G33" si="2">+F20*$G$40</f>
        <v>1314824.4525115667</v>
      </c>
      <c r="H20" s="21">
        <f t="shared" ref="H20:H33" si="3">+G20/D20</f>
        <v>2.671347777040122E-3</v>
      </c>
      <c r="N20" s="90">
        <v>3.4459999999999998E-2</v>
      </c>
      <c r="O20" s="117">
        <f t="shared" ref="O20:O39" si="4">+N20*$O$40</f>
        <v>758196.46714239696</v>
      </c>
      <c r="P20" s="21">
        <f t="shared" ref="P20:P40" si="5">+O20/D20</f>
        <v>1.5404386822830999E-3</v>
      </c>
      <c r="R20" s="21">
        <f t="shared" ref="R20:R39" si="6">+H20+L20+P20</f>
        <v>4.2117864593232222E-3</v>
      </c>
      <c r="T20" s="3">
        <f t="shared" si="0"/>
        <v>11</v>
      </c>
    </row>
    <row r="21" spans="1:20" x14ac:dyDescent="0.25">
      <c r="A21" s="7">
        <f>IF(C21&lt;&gt;"",COUNTA($C$12:C21),"")</f>
        <v>8</v>
      </c>
      <c r="B21" s="19" t="s">
        <v>115</v>
      </c>
      <c r="C21" s="20" t="s">
        <v>117</v>
      </c>
      <c r="D21" s="82">
        <f>+'Exh 7_ Recon Rates_Alloc p3-4'!F15</f>
        <v>6409920903.8018589</v>
      </c>
      <c r="E21" s="82"/>
      <c r="F21" s="86">
        <v>0.32225999999999999</v>
      </c>
      <c r="G21" s="115">
        <f t="shared" si="2"/>
        <v>10646113.770511996</v>
      </c>
      <c r="H21" s="21">
        <f t="shared" si="3"/>
        <v>1.660880677045104E-3</v>
      </c>
      <c r="N21" s="90">
        <v>0.27906999999999998</v>
      </c>
      <c r="O21" s="117">
        <f t="shared" si="4"/>
        <v>6140159.2595887613</v>
      </c>
      <c r="P21" s="21">
        <f t="shared" si="5"/>
        <v>9.5791498081464687E-4</v>
      </c>
      <c r="R21" s="21">
        <f t="shared" si="6"/>
        <v>2.6187956578597508E-3</v>
      </c>
      <c r="T21" s="3">
        <f t="shared" si="0"/>
        <v>12</v>
      </c>
    </row>
    <row r="22" spans="1:20" x14ac:dyDescent="0.25">
      <c r="A22" s="7">
        <f>IF(C22&lt;&gt;"",COUNTA($C$12:C22),"")</f>
        <v>9</v>
      </c>
      <c r="B22" s="19" t="s">
        <v>115</v>
      </c>
      <c r="C22" s="20" t="s">
        <v>118</v>
      </c>
      <c r="D22" s="82">
        <f>+'Exh 7_ Recon Rates_Alloc p3-4'!F16</f>
        <v>3130593767.4220433</v>
      </c>
      <c r="E22" s="82"/>
      <c r="F22" s="86">
        <v>9.2359999999999998E-2</v>
      </c>
      <c r="G22" s="115">
        <f t="shared" si="2"/>
        <v>3051185.588793173</v>
      </c>
      <c r="H22" s="21">
        <f t="shared" si="3"/>
        <v>9.7463478671195951E-4</v>
      </c>
      <c r="N22" s="90">
        <v>7.9979999999999996E-2</v>
      </c>
      <c r="O22" s="117">
        <f t="shared" si="4"/>
        <v>1759737.4765539439</v>
      </c>
      <c r="P22" s="21">
        <f t="shared" si="5"/>
        <v>5.621098127985601E-4</v>
      </c>
      <c r="R22" s="21">
        <f t="shared" si="6"/>
        <v>1.5367445995105196E-3</v>
      </c>
      <c r="T22" s="3">
        <f t="shared" si="0"/>
        <v>13</v>
      </c>
    </row>
    <row r="23" spans="1:20" x14ac:dyDescent="0.25">
      <c r="A23" s="7">
        <f>IF(C23&lt;&gt;"",COUNTA($C$12:C23),"")</f>
        <v>10</v>
      </c>
      <c r="B23" s="19" t="s">
        <v>119</v>
      </c>
      <c r="C23" s="20" t="s">
        <v>120</v>
      </c>
      <c r="D23" s="82">
        <f>+'Exh 7_ Recon Rates_Alloc p3-4'!F17</f>
        <v>240756648.97319856</v>
      </c>
      <c r="E23" s="82"/>
      <c r="F23" s="88">
        <v>9.5700000000000004E-3</v>
      </c>
      <c r="G23" s="115">
        <f t="shared" si="2"/>
        <v>316152.51282752998</v>
      </c>
      <c r="H23" s="21">
        <f t="shared" si="3"/>
        <v>1.3131621252243156E-3</v>
      </c>
      <c r="N23" s="90">
        <v>8.2900000000000005E-3</v>
      </c>
      <c r="O23" s="117">
        <f t="shared" si="4"/>
        <v>182398.39560680417</v>
      </c>
      <c r="P23" s="21">
        <f t="shared" si="5"/>
        <v>7.5760481126778379E-4</v>
      </c>
      <c r="R23" s="21">
        <f t="shared" si="6"/>
        <v>2.0707669364920995E-3</v>
      </c>
      <c r="T23" s="3">
        <f t="shared" si="0"/>
        <v>14</v>
      </c>
    </row>
    <row r="24" spans="1:20" x14ac:dyDescent="0.25">
      <c r="A24" s="7">
        <f>IF(C24&lt;&gt;"",COUNTA($C$12:C24),"")</f>
        <v>11</v>
      </c>
      <c r="B24" s="19" t="s">
        <v>119</v>
      </c>
      <c r="C24" s="20" t="s">
        <v>121</v>
      </c>
      <c r="D24" s="82">
        <f>+'Exh 7_ Recon Rates_Alloc p3-4'!F18</f>
        <v>561519934.63065052</v>
      </c>
      <c r="E24" s="82"/>
      <c r="F24" s="90">
        <v>1.5339999999999999E-2</v>
      </c>
      <c r="G24" s="115">
        <f t="shared" si="2"/>
        <v>506769.02265144297</v>
      </c>
      <c r="H24" s="21">
        <f t="shared" si="3"/>
        <v>9.0249515893817567E-4</v>
      </c>
      <c r="N24" s="90">
        <v>1.329E-2</v>
      </c>
      <c r="O24" s="117">
        <f t="shared" si="4"/>
        <v>292409.49066519027</v>
      </c>
      <c r="P24" s="21">
        <f t="shared" si="5"/>
        <v>5.2074641100235855E-4</v>
      </c>
      <c r="R24" s="21">
        <f t="shared" si="6"/>
        <v>1.4232415699405342E-3</v>
      </c>
      <c r="T24" s="3">
        <f t="shared" si="0"/>
        <v>15</v>
      </c>
    </row>
    <row r="25" spans="1:20" x14ac:dyDescent="0.25">
      <c r="A25" s="7">
        <f>IF(C25&lt;&gt;"",COUNTA($C$12:C25),"")</f>
        <v>12</v>
      </c>
      <c r="B25" s="19" t="s">
        <v>119</v>
      </c>
      <c r="C25" s="20" t="s">
        <v>122</v>
      </c>
      <c r="D25" s="82">
        <f>+'Exh 7_ Recon Rates_Alloc p3-4'!F19</f>
        <v>666581298.56224227</v>
      </c>
      <c r="E25" s="82"/>
      <c r="F25" s="90">
        <v>9.8899999999999995E-3</v>
      </c>
      <c r="G25" s="115">
        <f t="shared" si="2"/>
        <v>326723.96571204503</v>
      </c>
      <c r="H25" s="21">
        <f t="shared" si="3"/>
        <v>4.9014871316786139E-4</v>
      </c>
      <c r="N25" s="90">
        <v>8.5599999999999999E-3</v>
      </c>
      <c r="O25" s="117">
        <f t="shared" si="4"/>
        <v>188338.99473995701</v>
      </c>
      <c r="P25" s="21">
        <f t="shared" si="5"/>
        <v>2.8254467256460359E-4</v>
      </c>
      <c r="R25" s="21">
        <f t="shared" si="6"/>
        <v>7.7269338573246493E-4</v>
      </c>
      <c r="T25" s="3">
        <f t="shared" si="0"/>
        <v>16</v>
      </c>
    </row>
    <row r="26" spans="1:20" x14ac:dyDescent="0.25">
      <c r="A26" s="7">
        <f>IF(C26&lt;&gt;"",COUNTA($C$12:C26),"")</f>
        <v>13</v>
      </c>
      <c r="B26" s="19" t="s">
        <v>119</v>
      </c>
      <c r="C26" s="20" t="s">
        <v>123</v>
      </c>
      <c r="D26" s="82">
        <f>+'Exh 7_ Recon Rates_Alloc p3-4'!F20</f>
        <v>5468456.2095517535</v>
      </c>
      <c r="E26" s="82"/>
      <c r="F26" s="90">
        <v>1.3999999999999999E-4</v>
      </c>
      <c r="G26" s="115">
        <f t="shared" si="2"/>
        <v>4625.0106369753594</v>
      </c>
      <c r="H26" s="21">
        <f t="shared" si="3"/>
        <v>8.457616665004746E-4</v>
      </c>
      <c r="N26" s="90">
        <v>1.2E-4</v>
      </c>
      <c r="O26" s="117">
        <f t="shared" si="4"/>
        <v>2640.2662814012665</v>
      </c>
      <c r="P26" s="21">
        <f t="shared" si="5"/>
        <v>4.8281748636653848E-4</v>
      </c>
      <c r="R26" s="21">
        <f t="shared" si="6"/>
        <v>1.3285791528670132E-3</v>
      </c>
      <c r="T26" s="3">
        <f t="shared" si="0"/>
        <v>17</v>
      </c>
    </row>
    <row r="27" spans="1:20" x14ac:dyDescent="0.25">
      <c r="A27" s="7">
        <f>IF(C27&lt;&gt;"",COUNTA($C$12:C27),"")</f>
        <v>14</v>
      </c>
      <c r="B27" s="19" t="s">
        <v>119</v>
      </c>
      <c r="C27" s="20" t="s">
        <v>124</v>
      </c>
      <c r="D27" s="92">
        <f>+'Exh 7_ Recon Rates_Alloc p3-4'!F21</f>
        <v>7102901.0792861171</v>
      </c>
      <c r="E27" s="92"/>
      <c r="F27" s="90">
        <v>2.0000000000000001E-4</v>
      </c>
      <c r="G27" s="115">
        <f t="shared" si="2"/>
        <v>6607.1580528219429</v>
      </c>
      <c r="H27" s="21">
        <f t="shared" si="3"/>
        <v>9.3020555672528114E-4</v>
      </c>
      <c r="N27" s="90">
        <v>1.8000000000000001E-4</v>
      </c>
      <c r="O27" s="117">
        <f t="shared" si="4"/>
        <v>3960.3994221018997</v>
      </c>
      <c r="P27" s="21">
        <f t="shared" si="5"/>
        <v>5.5757490888496829E-4</v>
      </c>
      <c r="R27" s="21">
        <f t="shared" si="6"/>
        <v>1.4877804656102493E-3</v>
      </c>
      <c r="T27" s="3">
        <f t="shared" si="0"/>
        <v>18</v>
      </c>
    </row>
    <row r="28" spans="1:20" x14ac:dyDescent="0.25">
      <c r="A28" s="7">
        <f>IF(C28&lt;&gt;"",COUNTA($C$12:C28),"")</f>
        <v>15</v>
      </c>
      <c r="B28" s="19" t="s">
        <v>125</v>
      </c>
      <c r="C28" s="20" t="s">
        <v>126</v>
      </c>
      <c r="D28" s="92">
        <f>+'Exh 7_ Recon Rates_Alloc p3-4'!F22</f>
        <v>1035858819.670481</v>
      </c>
      <c r="E28" s="92"/>
      <c r="F28" s="90">
        <v>4.539E-2</v>
      </c>
      <c r="G28" s="115">
        <f t="shared" si="2"/>
        <v>1499494.5200879399</v>
      </c>
      <c r="H28" s="21">
        <f t="shared" si="3"/>
        <v>1.447585801861442E-3</v>
      </c>
      <c r="N28" s="90">
        <v>3.9300000000000002E-2</v>
      </c>
      <c r="O28" s="117">
        <f t="shared" si="4"/>
        <v>864687.20715891477</v>
      </c>
      <c r="P28" s="21">
        <f t="shared" si="5"/>
        <v>8.3475391698067708E-4</v>
      </c>
      <c r="R28" s="21">
        <f t="shared" si="6"/>
        <v>2.2823397188421191E-3</v>
      </c>
      <c r="T28" s="3">
        <f t="shared" si="0"/>
        <v>19</v>
      </c>
    </row>
    <row r="29" spans="1:20" x14ac:dyDescent="0.25">
      <c r="A29" s="7">
        <f>IF(C29&lt;&gt;"",COUNTA($C$12:C29),"")</f>
        <v>16</v>
      </c>
      <c r="B29" s="19" t="s">
        <v>125</v>
      </c>
      <c r="C29" s="20" t="s">
        <v>121</v>
      </c>
      <c r="D29" s="92">
        <f>+'Exh 7_ Recon Rates_Alloc p3-4'!F23</f>
        <v>470638348.86321914</v>
      </c>
      <c r="E29" s="92"/>
      <c r="F29" s="90">
        <v>1.257E-2</v>
      </c>
      <c r="G29" s="115">
        <f t="shared" si="2"/>
        <v>415259.88361985906</v>
      </c>
      <c r="H29" s="21">
        <f t="shared" si="3"/>
        <v>8.8233329184261898E-4</v>
      </c>
      <c r="N29" s="90">
        <v>1.0880000000000001E-2</v>
      </c>
      <c r="O29" s="117">
        <f t="shared" si="4"/>
        <v>239384.14284704818</v>
      </c>
      <c r="P29" s="21">
        <f t="shared" si="5"/>
        <v>5.0863713810244565E-4</v>
      </c>
      <c r="R29" s="21">
        <f t="shared" si="6"/>
        <v>1.3909704299450646E-3</v>
      </c>
      <c r="T29" s="3">
        <f t="shared" si="0"/>
        <v>20</v>
      </c>
    </row>
    <row r="30" spans="1:20" x14ac:dyDescent="0.25">
      <c r="A30" s="7">
        <f>IF(C30&lt;&gt;"",COUNTA($C$12:C30),"")</f>
        <v>17</v>
      </c>
      <c r="B30" s="19" t="s">
        <v>125</v>
      </c>
      <c r="C30" s="20" t="s">
        <v>127</v>
      </c>
      <c r="D30" s="92">
        <f>+'Exh 7_ Recon Rates_Alloc p3-4'!F24</f>
        <v>391859635.2980696</v>
      </c>
      <c r="E30" s="92"/>
      <c r="F30" s="90">
        <v>7.0400000000000003E-3</v>
      </c>
      <c r="G30" s="115">
        <f t="shared" si="2"/>
        <v>232571.96345933239</v>
      </c>
      <c r="H30" s="21">
        <f t="shared" si="3"/>
        <v>5.9350834459493535E-4</v>
      </c>
      <c r="N30" s="90">
        <v>6.1000000000000004E-3</v>
      </c>
      <c r="O30" s="117">
        <f t="shared" si="4"/>
        <v>134213.53597123106</v>
      </c>
      <c r="P30" s="21">
        <f t="shared" si="5"/>
        <v>3.4250411086393472E-4</v>
      </c>
      <c r="R30" s="21">
        <f t="shared" si="6"/>
        <v>9.3601245545887001E-4</v>
      </c>
      <c r="T30" s="3">
        <f t="shared" si="0"/>
        <v>21</v>
      </c>
    </row>
    <row r="31" spans="1:20" x14ac:dyDescent="0.25">
      <c r="A31" s="7">
        <f>IF(C31&lt;&gt;"",COUNTA($C$12:C31),"")</f>
        <v>18</v>
      </c>
      <c r="B31" s="19" t="s">
        <v>125</v>
      </c>
      <c r="C31" s="20" t="s">
        <v>123</v>
      </c>
      <c r="D31" s="92">
        <f>+'Exh 7_ Recon Rates_Alloc p3-4'!F25</f>
        <v>2200252.1870891177</v>
      </c>
      <c r="E31" s="92"/>
      <c r="F31" s="90">
        <v>9.0000000000000006E-5</v>
      </c>
      <c r="G31" s="115">
        <f t="shared" si="2"/>
        <v>2973.2211237698743</v>
      </c>
      <c r="H31" s="21">
        <f t="shared" si="3"/>
        <v>1.3513092459202945E-3</v>
      </c>
      <c r="N31" s="90">
        <v>8.0000000000000007E-5</v>
      </c>
      <c r="O31" s="117">
        <f t="shared" si="4"/>
        <v>1760.1775209341779</v>
      </c>
      <c r="P31" s="21">
        <f t="shared" si="5"/>
        <v>7.9998898819996246E-4</v>
      </c>
      <c r="R31" s="21">
        <f t="shared" si="6"/>
        <v>2.1512982341202569E-3</v>
      </c>
      <c r="T31" s="3">
        <f t="shared" si="0"/>
        <v>22</v>
      </c>
    </row>
    <row r="32" spans="1:20" x14ac:dyDescent="0.25">
      <c r="A32" s="7">
        <f>IF(C32&lt;&gt;"",COUNTA($C$12:C32),"")</f>
        <v>19</v>
      </c>
      <c r="B32" s="19" t="s">
        <v>125</v>
      </c>
      <c r="C32" s="20" t="s">
        <v>124</v>
      </c>
      <c r="D32" s="92">
        <f>+'Exh 7_ Recon Rates_Alloc p3-4'!F26</f>
        <v>12489479.78206725</v>
      </c>
      <c r="E32" s="92"/>
      <c r="F32" s="90">
        <v>6.0999999999999997E-4</v>
      </c>
      <c r="G32" s="115">
        <f t="shared" si="2"/>
        <v>20151.832061106925</v>
      </c>
      <c r="H32" s="21">
        <f t="shared" si="3"/>
        <v>1.613504518422096E-3</v>
      </c>
      <c r="N32" s="90">
        <v>5.2999999999999998E-4</v>
      </c>
      <c r="O32" s="117">
        <f t="shared" si="4"/>
        <v>11661.176076188927</v>
      </c>
      <c r="P32" s="21">
        <f t="shared" si="5"/>
        <v>9.3367988736667599E-4</v>
      </c>
      <c r="R32" s="21">
        <f t="shared" si="6"/>
        <v>2.547184405788772E-3</v>
      </c>
      <c r="T32" s="3">
        <f t="shared" si="0"/>
        <v>23</v>
      </c>
    </row>
    <row r="33" spans="1:20" x14ac:dyDescent="0.25">
      <c r="A33" s="7">
        <f>IF(C33&lt;&gt;"",COUNTA($C$12:C33),"")</f>
        <v>20</v>
      </c>
      <c r="B33" s="19" t="s">
        <v>125</v>
      </c>
      <c r="C33" s="20" t="s">
        <v>128</v>
      </c>
      <c r="D33" s="93">
        <f>+'Exh 7_ Recon Rates_Alloc p3-4'!F27</f>
        <v>4068827.6287779063</v>
      </c>
      <c r="E33" s="93"/>
      <c r="F33" s="90">
        <v>9.0000000000000006E-5</v>
      </c>
      <c r="G33" s="115">
        <f t="shared" si="2"/>
        <v>2973.2211237698743</v>
      </c>
      <c r="H33" s="21">
        <f t="shared" si="3"/>
        <v>7.3073164926942282E-4</v>
      </c>
      <c r="N33" s="90">
        <v>8.0000000000000007E-5</v>
      </c>
      <c r="O33" s="117">
        <f t="shared" si="4"/>
        <v>1760.1775209341779</v>
      </c>
      <c r="P33" s="21">
        <f t="shared" si="5"/>
        <v>4.3260066081070542E-4</v>
      </c>
      <c r="R33" s="21">
        <f t="shared" si="6"/>
        <v>1.1633323100801282E-3</v>
      </c>
      <c r="T33" s="3">
        <f t="shared" si="0"/>
        <v>24</v>
      </c>
    </row>
    <row r="34" spans="1:20" x14ac:dyDescent="0.25">
      <c r="A34" s="7">
        <f>IF(C34&lt;&gt;"",COUNTA($C$12:C34),"")</f>
        <v>21</v>
      </c>
      <c r="B34" s="19" t="s">
        <v>114</v>
      </c>
      <c r="C34" s="20" t="s">
        <v>129</v>
      </c>
      <c r="D34" s="93">
        <f>+'Exh 7_ Recon Rates_Alloc p3-4'!F28</f>
        <v>570236482.83797014</v>
      </c>
      <c r="E34" s="93"/>
      <c r="F34" s="32"/>
      <c r="G34" s="32"/>
      <c r="J34" s="90">
        <v>0.19597000000000001</v>
      </c>
      <c r="K34" s="117">
        <f t="shared" ref="K34:K37" si="7">+J34*$K$40</f>
        <v>987859.85848444165</v>
      </c>
      <c r="L34" s="21">
        <f t="shared" ref="L34:L37" si="8">+K34/D34</f>
        <v>1.7323687421191133E-3</v>
      </c>
      <c r="N34" s="90">
        <v>2.6259999999999999E-2</v>
      </c>
      <c r="O34" s="117">
        <f t="shared" si="4"/>
        <v>577778.27124664374</v>
      </c>
      <c r="P34" s="21">
        <f t="shared" si="5"/>
        <v>1.01322572061882E-3</v>
      </c>
      <c r="R34" s="21">
        <f t="shared" si="6"/>
        <v>2.7455944627379335E-3</v>
      </c>
      <c r="T34" s="3">
        <f t="shared" si="0"/>
        <v>25</v>
      </c>
    </row>
    <row r="35" spans="1:20" x14ac:dyDescent="0.25">
      <c r="A35" s="7">
        <f>IF(C35&lt;&gt;"",COUNTA($C$12:C35),"")</f>
        <v>22</v>
      </c>
      <c r="B35" s="19" t="s">
        <v>114</v>
      </c>
      <c r="C35" s="20" t="s">
        <v>130</v>
      </c>
      <c r="D35" s="93">
        <f>+'Exh 7_ Recon Rates_Alloc p3-4'!F29</f>
        <v>392742179.60318446</v>
      </c>
      <c r="E35" s="93"/>
      <c r="F35" s="32"/>
      <c r="G35" s="32"/>
      <c r="J35" s="90">
        <v>8.6499999999999994E-2</v>
      </c>
      <c r="K35" s="117">
        <f t="shared" si="7"/>
        <v>436035.50420423632</v>
      </c>
      <c r="L35" s="21">
        <f t="shared" si="8"/>
        <v>1.110233447919432E-3</v>
      </c>
      <c r="N35" s="90">
        <v>1.159E-2</v>
      </c>
      <c r="O35" s="117">
        <f t="shared" si="4"/>
        <v>255005.71834533897</v>
      </c>
      <c r="P35" s="21">
        <f t="shared" si="5"/>
        <v>6.4929547063926132E-4</v>
      </c>
      <c r="R35" s="21">
        <f t="shared" si="6"/>
        <v>1.7595289185586933E-3</v>
      </c>
      <c r="T35" s="3">
        <f t="shared" si="0"/>
        <v>26</v>
      </c>
    </row>
    <row r="36" spans="1:20" x14ac:dyDescent="0.25">
      <c r="A36" s="7">
        <f>IF(C36&lt;&gt;"",COUNTA($C$12:C36),"")</f>
        <v>23</v>
      </c>
      <c r="B36" s="19" t="s">
        <v>114</v>
      </c>
      <c r="C36" s="20" t="s">
        <v>131</v>
      </c>
      <c r="D36" s="93">
        <f>+'Exh 7_ Recon Rates_Alloc p3-4'!F30</f>
        <v>686733494.98012543</v>
      </c>
      <c r="E36" s="93"/>
      <c r="F36" s="32"/>
      <c r="G36" s="32"/>
      <c r="J36" s="90">
        <v>0.11156000000000001</v>
      </c>
      <c r="K36" s="117">
        <f t="shared" si="7"/>
        <v>562359.7786014406</v>
      </c>
      <c r="L36" s="21">
        <f t="shared" si="8"/>
        <v>8.1889085462143608E-4</v>
      </c>
      <c r="N36" s="90">
        <v>1.495E-2</v>
      </c>
      <c r="O36" s="117">
        <f t="shared" si="4"/>
        <v>328933.17422457447</v>
      </c>
      <c r="P36" s="21">
        <f t="shared" si="5"/>
        <v>4.7898227861172557E-4</v>
      </c>
      <c r="R36" s="21">
        <f t="shared" si="6"/>
        <v>1.2978731332331617E-3</v>
      </c>
      <c r="T36" s="3">
        <f t="shared" si="0"/>
        <v>27</v>
      </c>
    </row>
    <row r="37" spans="1:20" x14ac:dyDescent="0.25">
      <c r="A37" s="7">
        <f>IF(C37&lt;&gt;"",COUNTA($C$12:C37),"")</f>
        <v>24</v>
      </c>
      <c r="B37" s="19" t="s">
        <v>114</v>
      </c>
      <c r="C37" s="20" t="s">
        <v>132</v>
      </c>
      <c r="D37" s="93">
        <f>+'Exh 7_ Recon Rates_Alloc p3-4'!F31</f>
        <v>413636239.33642119</v>
      </c>
      <c r="E37" s="93"/>
      <c r="F37" s="32"/>
      <c r="G37" s="32"/>
      <c r="J37" s="90">
        <v>3.7190000000000001E-2</v>
      </c>
      <c r="K37" s="117">
        <f t="shared" si="7"/>
        <v>187470.06244341677</v>
      </c>
      <c r="L37" s="21">
        <f t="shared" si="8"/>
        <v>4.5322446298266063E-4</v>
      </c>
      <c r="N37" s="90">
        <v>4.9800000000000001E-3</v>
      </c>
      <c r="O37" s="117">
        <f t="shared" si="4"/>
        <v>109571.05067815256</v>
      </c>
      <c r="P37" s="21">
        <f t="shared" si="5"/>
        <v>2.6489712519853843E-4</v>
      </c>
      <c r="R37" s="21">
        <f t="shared" si="6"/>
        <v>7.1812158818119901E-4</v>
      </c>
      <c r="T37" s="3">
        <f t="shared" si="0"/>
        <v>28</v>
      </c>
    </row>
    <row r="38" spans="1:20" x14ac:dyDescent="0.25">
      <c r="A38" s="7">
        <f>IF(C38&lt;&gt;"",COUNTA($C$12:C38),"")</f>
        <v>25</v>
      </c>
      <c r="B38" s="19" t="s">
        <v>111</v>
      </c>
      <c r="C38" s="20" t="s">
        <v>133</v>
      </c>
      <c r="D38" s="93">
        <f>+'Exh 7_ Recon Rates_Alloc p3-4'!F32</f>
        <v>92440677.869065344</v>
      </c>
      <c r="E38" s="93"/>
      <c r="F38" s="90">
        <v>3.63E-3</v>
      </c>
      <c r="G38" s="115">
        <f>+F38*$G$40</f>
        <v>119919.91865871825</v>
      </c>
      <c r="H38" s="21">
        <f t="shared" ref="H38" si="9">+G38/D38</f>
        <v>1.2972635145382101E-3</v>
      </c>
      <c r="N38" s="90">
        <v>3.15E-3</v>
      </c>
      <c r="O38" s="117">
        <f t="shared" si="4"/>
        <v>69306.989886783238</v>
      </c>
      <c r="P38" s="21">
        <f t="shared" si="5"/>
        <v>7.4974558262057441E-4</v>
      </c>
      <c r="R38" s="21">
        <f>+H38+L38+P38</f>
        <v>2.0470090971587843E-3</v>
      </c>
      <c r="T38" s="3">
        <f t="shared" si="0"/>
        <v>29</v>
      </c>
    </row>
    <row r="39" spans="1:20" x14ac:dyDescent="0.25">
      <c r="A39" s="7">
        <f>IF(C39&lt;&gt;"",COUNTA($C$12:C39),"")</f>
        <v>26</v>
      </c>
      <c r="B39" s="19" t="s">
        <v>114</v>
      </c>
      <c r="C39" s="20" t="s">
        <v>133</v>
      </c>
      <c r="D39" s="116">
        <f>+'Exh 7_ Recon Rates_Alloc p3-4'!F33</f>
        <v>31271839.367078818</v>
      </c>
      <c r="E39" s="93"/>
      <c r="F39" s="118" t="s">
        <v>213</v>
      </c>
      <c r="G39" s="119" t="s">
        <v>214</v>
      </c>
      <c r="J39" s="94">
        <v>7.1000000000000004E-3</v>
      </c>
      <c r="K39" s="120">
        <f>+J39*$K$40</f>
        <v>35790.197454914203</v>
      </c>
      <c r="L39" s="21">
        <f>+K39/D39</f>
        <v>1.1444864830238305E-3</v>
      </c>
      <c r="N39" s="94">
        <v>9.5E-4</v>
      </c>
      <c r="O39" s="120">
        <f t="shared" si="4"/>
        <v>20902.10806109336</v>
      </c>
      <c r="P39" s="21">
        <f t="shared" si="5"/>
        <v>6.6840033986289562E-4</v>
      </c>
      <c r="R39" s="26">
        <f t="shared" si="6"/>
        <v>1.8128868228867261E-3</v>
      </c>
      <c r="T39" s="3">
        <f t="shared" si="0"/>
        <v>30</v>
      </c>
    </row>
    <row r="40" spans="1:20" x14ac:dyDescent="0.25">
      <c r="A40" s="7">
        <f>IF(C40&lt;&gt;"",COUNTA($C$12:C40),"")</f>
        <v>27</v>
      </c>
      <c r="B40" s="44"/>
      <c r="C40" s="37" t="s">
        <v>47</v>
      </c>
      <c r="D40" s="121">
        <f>SUM(D14,D18,D20:D39)</f>
        <v>23317563754.950115</v>
      </c>
      <c r="F40" s="122">
        <f>SUM(F12:F39)</f>
        <v>1</v>
      </c>
      <c r="G40" s="115">
        <v>33035790.264109712</v>
      </c>
      <c r="H40" s="21">
        <f>+G40/SUM(D12,D16,D20:D33,D38)</f>
        <v>1.6545195449906467E-3</v>
      </c>
      <c r="J40" s="122">
        <f>SUM(J12:J39)</f>
        <v>0.99999999999999989</v>
      </c>
      <c r="K40" s="117">
        <v>5040872.8809738308</v>
      </c>
      <c r="L40" s="21">
        <f>+K40/SUM(D13,D17,D34:D37,D39)</f>
        <v>1.5044845865084954E-3</v>
      </c>
      <c r="N40" s="90">
        <f>SUM(N12:N39)</f>
        <v>0.99999999999999978</v>
      </c>
      <c r="O40" s="117">
        <v>22002219.01167722</v>
      </c>
      <c r="P40" s="21">
        <f t="shared" si="5"/>
        <v>9.4358995832085333E-4</v>
      </c>
      <c r="R40" s="42">
        <f>+(G40+K40+O40)/D40</f>
        <v>2.5765505688391888E-3</v>
      </c>
      <c r="T40" s="3">
        <f t="shared" si="0"/>
        <v>31</v>
      </c>
    </row>
    <row r="41" spans="1:20" x14ac:dyDescent="0.25">
      <c r="A41" s="7"/>
      <c r="B41" s="44"/>
      <c r="C41" s="37"/>
      <c r="D41" s="121"/>
      <c r="G41" s="115"/>
      <c r="H41" s="21"/>
      <c r="J41"/>
      <c r="K41" s="117"/>
      <c r="L41" s="21"/>
      <c r="N41" s="90"/>
      <c r="O41" s="117"/>
      <c r="P41" s="21"/>
      <c r="R41" s="42"/>
    </row>
    <row r="42" spans="1:20" x14ac:dyDescent="0.25">
      <c r="B42" s="44" t="s">
        <v>164</v>
      </c>
      <c r="G42" s="123"/>
      <c r="P42" s="21"/>
    </row>
    <row r="43" spans="1:20" x14ac:dyDescent="0.25">
      <c r="B43" s="19" t="s">
        <v>215</v>
      </c>
      <c r="C43" s="50"/>
      <c r="D43" s="50"/>
      <c r="E43" s="50"/>
      <c r="F43" s="37"/>
      <c r="G43" s="37"/>
      <c r="H43" s="124"/>
      <c r="I43" s="124"/>
      <c r="J43" s="124"/>
      <c r="K43" s="37"/>
      <c r="L43" s="124"/>
      <c r="M43" s="124"/>
      <c r="N43" s="37"/>
      <c r="O43" s="37"/>
      <c r="P43" s="37"/>
      <c r="Q43" s="124"/>
    </row>
    <row r="44" spans="1:20" x14ac:dyDescent="0.25">
      <c r="A44" s="7"/>
      <c r="B44" s="19" t="s">
        <v>216</v>
      </c>
      <c r="C44" s="50"/>
      <c r="D44" s="50"/>
      <c r="E44" s="50"/>
      <c r="F44" s="37"/>
      <c r="G44" s="37"/>
      <c r="H44" s="124"/>
      <c r="I44" s="124"/>
      <c r="J44" s="124"/>
      <c r="K44" s="37"/>
      <c r="L44" s="124"/>
      <c r="M44" s="124"/>
      <c r="N44" s="37"/>
      <c r="O44" s="37"/>
      <c r="P44" s="37"/>
      <c r="Q44" s="124"/>
    </row>
    <row r="45" spans="1:20" x14ac:dyDescent="0.25">
      <c r="A45" s="7"/>
      <c r="B45" s="19" t="s">
        <v>217</v>
      </c>
      <c r="C45" s="50"/>
      <c r="D45" s="50"/>
      <c r="E45" s="50"/>
      <c r="F45" s="37"/>
      <c r="G45" s="37"/>
      <c r="H45" s="124"/>
      <c r="I45" s="124"/>
      <c r="J45" s="124"/>
      <c r="K45" s="37"/>
      <c r="L45" s="124"/>
      <c r="M45" s="124"/>
      <c r="N45" s="37"/>
      <c r="O45" s="37"/>
      <c r="P45" s="37"/>
      <c r="Q45" s="124"/>
    </row>
    <row r="46" spans="1:20" x14ac:dyDescent="0.25">
      <c r="A46" s="7"/>
      <c r="B46" s="19" t="s">
        <v>218</v>
      </c>
      <c r="C46" s="50"/>
      <c r="D46" s="50"/>
      <c r="E46" s="50"/>
      <c r="F46" s="37"/>
      <c r="G46" s="37"/>
      <c r="H46" s="124"/>
      <c r="I46" s="124"/>
      <c r="J46" s="124"/>
      <c r="K46" s="37"/>
      <c r="L46" s="124"/>
      <c r="M46" s="124"/>
      <c r="N46" s="37"/>
      <c r="O46" s="37"/>
      <c r="P46" s="37"/>
      <c r="Q46" s="124"/>
    </row>
    <row r="47" spans="1:20" x14ac:dyDescent="0.25">
      <c r="B47" s="44" t="s">
        <v>219</v>
      </c>
    </row>
    <row r="48" spans="1:20" x14ac:dyDescent="0.25">
      <c r="B48" s="19" t="s">
        <v>220</v>
      </c>
    </row>
    <row r="49" spans="1:15" x14ac:dyDescent="0.25">
      <c r="B49" s="19" t="s">
        <v>221</v>
      </c>
    </row>
    <row r="50" spans="1:15" x14ac:dyDescent="0.25">
      <c r="B50" s="19" t="s">
        <v>222</v>
      </c>
    </row>
    <row r="51" spans="1:15" x14ac:dyDescent="0.25">
      <c r="B51" s="44" t="s">
        <v>223</v>
      </c>
    </row>
    <row r="52" spans="1:15" x14ac:dyDescent="0.25">
      <c r="B52" s="19" t="s">
        <v>224</v>
      </c>
    </row>
    <row r="53" spans="1:15" x14ac:dyDescent="0.25">
      <c r="B53" s="19" t="s">
        <v>225</v>
      </c>
    </row>
    <row r="54" spans="1:15" x14ac:dyDescent="0.25">
      <c r="B54" s="19" t="s">
        <v>222</v>
      </c>
    </row>
    <row r="55" spans="1:15" x14ac:dyDescent="0.25">
      <c r="B55" s="44" t="s">
        <v>226</v>
      </c>
    </row>
    <row r="56" spans="1:15" x14ac:dyDescent="0.25">
      <c r="B56" s="44" t="s">
        <v>227</v>
      </c>
    </row>
    <row r="57" spans="1:15" x14ac:dyDescent="0.25">
      <c r="B57" s="44"/>
    </row>
    <row r="58" spans="1:15" x14ac:dyDescent="0.25">
      <c r="B58" s="44"/>
    </row>
    <row r="59" spans="1:15" x14ac:dyDescent="0.25">
      <c r="A59" s="7"/>
      <c r="B59" s="44"/>
    </row>
    <row r="60" spans="1:15" x14ac:dyDescent="0.25">
      <c r="A60" s="19" t="s">
        <v>206</v>
      </c>
      <c r="B60" s="19"/>
      <c r="C60" s="50"/>
      <c r="D60" s="50"/>
      <c r="E60" s="50"/>
      <c r="G60" s="37"/>
    </row>
    <row r="61" spans="1:15" x14ac:dyDescent="0.25">
      <c r="A61" s="19" t="s">
        <v>47</v>
      </c>
      <c r="B61" s="44"/>
      <c r="G61" s="115">
        <f>SUM(G12:G39)</f>
        <v>33035790.264109708</v>
      </c>
      <c r="K61" s="115">
        <f>SUM(K12:K39)</f>
        <v>5040872.8809738308</v>
      </c>
      <c r="O61" s="115">
        <f>SUM(O12:O39)</f>
        <v>22002219.01167722</v>
      </c>
    </row>
    <row r="62" spans="1:15" x14ac:dyDescent="0.25">
      <c r="A62" s="19" t="s">
        <v>228</v>
      </c>
      <c r="B62" s="44"/>
      <c r="G62" s="115">
        <f>+G40-G61</f>
        <v>0</v>
      </c>
      <c r="K62" s="115">
        <f>+K40-K61</f>
        <v>0</v>
      </c>
      <c r="O62" s="115">
        <f>+O40-O61</f>
        <v>0</v>
      </c>
    </row>
    <row r="63" spans="1:15" x14ac:dyDescent="0.25">
      <c r="A63" s="19"/>
      <c r="B63" s="19"/>
      <c r="C63" s="50"/>
      <c r="D63" s="50"/>
      <c r="E63" s="50"/>
      <c r="G63" s="106"/>
    </row>
    <row r="64" spans="1:15" x14ac:dyDescent="0.25">
      <c r="A64" s="19"/>
      <c r="B64" s="19"/>
      <c r="C64" s="50"/>
      <c r="D64" s="50"/>
      <c r="E64" s="50"/>
      <c r="G64" s="125"/>
    </row>
    <row r="65" spans="1:7" x14ac:dyDescent="0.25">
      <c r="A65" s="19"/>
      <c r="B65" s="44"/>
      <c r="G65" s="125"/>
    </row>
    <row r="66" spans="1:7" x14ac:dyDescent="0.25">
      <c r="A66" s="19"/>
      <c r="B66" s="19"/>
      <c r="G66" s="125"/>
    </row>
    <row r="67" spans="1:7" x14ac:dyDescent="0.25">
      <c r="A67" s="19"/>
      <c r="B67" s="19"/>
      <c r="C67" s="34"/>
      <c r="D67" s="34"/>
      <c r="E67" s="34"/>
    </row>
    <row r="68" spans="1:7" x14ac:dyDescent="0.25">
      <c r="A68" s="19"/>
      <c r="B68" s="19"/>
      <c r="C68" s="34"/>
      <c r="D68" s="34"/>
      <c r="E68" s="34"/>
    </row>
    <row r="69" spans="1:7" x14ac:dyDescent="0.25">
      <c r="A69" s="19"/>
      <c r="B69" s="19"/>
      <c r="C69" s="55"/>
      <c r="D69" s="55"/>
      <c r="E69" s="55"/>
    </row>
    <row r="70" spans="1:7" x14ac:dyDescent="0.25">
      <c r="B70" s="19"/>
      <c r="C70" s="34"/>
      <c r="D70" s="34"/>
      <c r="E70" s="34"/>
    </row>
    <row r="71" spans="1:7" x14ac:dyDescent="0.25">
      <c r="B71" s="44"/>
    </row>
    <row r="72" spans="1:7" x14ac:dyDescent="0.25">
      <c r="B72" s="19"/>
    </row>
  </sheetData>
  <mergeCells count="8">
    <mergeCell ref="F8:H8"/>
    <mergeCell ref="J8:L8"/>
    <mergeCell ref="N8:P8"/>
    <mergeCell ref="A4:R4"/>
    <mergeCell ref="A5:R5"/>
    <mergeCell ref="F7:H7"/>
    <mergeCell ref="J7:L7"/>
    <mergeCell ref="N7:P7"/>
  </mergeCells>
  <pageMargins left="0.7" right="0.7" top="0.75" bottom="0.75" header="0.3" footer="0.3"/>
  <pageSetup scale="72" orientation="landscape" r:id="rId1"/>
  <headerFooter>
    <oddHeader>&amp;RNSTAR Electric Company
d/b/a Eversource Energy
D.P.U. 18-120 (Dec. 26, 2018)
Exhibit ES-MQ-7 (Revised)
Page &amp;P of &amp;N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A1282-E88E-4C41-8475-B0910799763E}">
  <sheetPr>
    <tabColor theme="9" tint="0.59999389629810485"/>
    <pageSetUpPr fitToPage="1"/>
  </sheetPr>
  <dimension ref="A3:Q86"/>
  <sheetViews>
    <sheetView workbookViewId="0"/>
  </sheetViews>
  <sheetFormatPr defaultRowHeight="12.5" x14ac:dyDescent="0.25"/>
  <cols>
    <col min="1" max="1" width="3.26953125" bestFit="1" customWidth="1"/>
    <col min="2" max="2" width="41.1796875" customWidth="1"/>
    <col min="3" max="3" width="8.81640625" bestFit="1" customWidth="1"/>
    <col min="4" max="4" width="1.26953125" customWidth="1"/>
    <col min="5" max="5" width="14.453125" bestFit="1" customWidth="1"/>
    <col min="6" max="6" width="1.26953125" customWidth="1"/>
    <col min="7" max="7" width="12.7265625" customWidth="1"/>
    <col min="8" max="8" width="1.26953125" customWidth="1"/>
    <col min="9" max="9" width="14.453125" bestFit="1" customWidth="1"/>
    <col min="11" max="11" width="1.26953125" customWidth="1"/>
    <col min="12" max="12" width="13.7265625" customWidth="1"/>
    <col min="13" max="13" width="1.26953125" customWidth="1"/>
    <col min="14" max="14" width="14.453125" bestFit="1" customWidth="1"/>
  </cols>
  <sheetData>
    <row r="3" spans="1:17" ht="14" x14ac:dyDescent="0.3">
      <c r="A3" s="268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</row>
    <row r="4" spans="1:17" ht="14" x14ac:dyDescent="0.3">
      <c r="A4" s="748" t="str">
        <f>'R1 EMA'!A4:N4</f>
        <v>Eastern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7" ht="14" x14ac:dyDescent="0.3">
      <c r="A5" s="748" t="str">
        <f>'R1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7" ht="14" x14ac:dyDescent="0.3">
      <c r="A6" s="205"/>
      <c r="C6" s="205"/>
      <c r="D6" s="205"/>
      <c r="E6" s="206"/>
      <c r="F6" s="207"/>
      <c r="G6" s="208"/>
      <c r="H6" s="209"/>
      <c r="I6" s="210"/>
      <c r="J6" s="210"/>
      <c r="K6" s="210"/>
      <c r="L6" s="211"/>
      <c r="M6" s="211"/>
      <c r="N6" s="212"/>
    </row>
    <row r="7" spans="1:17" ht="14" x14ac:dyDescent="0.3">
      <c r="A7" s="748" t="s">
        <v>476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7" ht="14" x14ac:dyDescent="0.3">
      <c r="A8" s="748" t="s">
        <v>477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7" ht="14" x14ac:dyDescent="0.3">
      <c r="B9" s="207"/>
      <c r="C9" s="207"/>
      <c r="D9" s="207"/>
      <c r="E9" s="213"/>
      <c r="F9" s="207"/>
      <c r="I9" s="210"/>
      <c r="J9" s="210"/>
      <c r="K9" s="210"/>
      <c r="L9" s="214"/>
      <c r="M9" s="214"/>
      <c r="N9" s="215"/>
    </row>
    <row r="10" spans="1:17" ht="14.5" thickBot="1" x14ac:dyDescent="0.35">
      <c r="A10" s="151"/>
      <c r="B10" s="216" t="s">
        <v>46</v>
      </c>
      <c r="C10" s="216"/>
      <c r="D10" s="216"/>
      <c r="E10" s="217" t="s">
        <v>144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7" ht="14" x14ac:dyDescent="0.3">
      <c r="A11" s="151"/>
      <c r="B11" s="219" t="s">
        <v>293</v>
      </c>
      <c r="C11" s="220" t="s">
        <v>294</v>
      </c>
      <c r="D11" s="220"/>
      <c r="E11" s="221" t="s">
        <v>295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7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7" ht="14" x14ac:dyDescent="0.3">
      <c r="A13" s="151">
        <f>IF(B13&lt;&gt;"",COUNTA($B$13:B13),"")</f>
        <v>1</v>
      </c>
      <c r="B13" s="232" t="s">
        <v>296</v>
      </c>
      <c r="C13" s="233" t="s">
        <v>297</v>
      </c>
      <c r="D13" s="233"/>
      <c r="E13" s="234">
        <v>506707.88581628626</v>
      </c>
      <c r="F13" s="207"/>
      <c r="G13" s="209">
        <v>6</v>
      </c>
      <c r="H13" s="209"/>
      <c r="I13" s="210">
        <f>G13*E13</f>
        <v>3040247.3148977174</v>
      </c>
      <c r="J13" s="235"/>
      <c r="K13" s="210"/>
      <c r="L13" s="209">
        <v>6</v>
      </c>
      <c r="M13" s="211"/>
      <c r="N13" s="210">
        <f>L13*E13</f>
        <v>3040247.3148977174</v>
      </c>
      <c r="O13" s="272"/>
      <c r="P13" s="234"/>
      <c r="Q13" s="154"/>
    </row>
    <row r="14" spans="1:17" ht="14" x14ac:dyDescent="0.3">
      <c r="A14" s="151">
        <f>IF(B14&lt;&gt;"",COUNTA($B$13:B14),"")</f>
        <v>2</v>
      </c>
      <c r="B14" s="232" t="s">
        <v>428</v>
      </c>
      <c r="C14" s="233" t="s">
        <v>429</v>
      </c>
      <c r="D14" s="233"/>
      <c r="E14" s="234">
        <v>1306619.8640283397</v>
      </c>
      <c r="F14" s="207"/>
      <c r="G14" s="209">
        <v>0</v>
      </c>
      <c r="H14" s="209"/>
      <c r="I14" s="210">
        <f>G14*(E14+E22)</f>
        <v>0</v>
      </c>
      <c r="J14" s="235"/>
      <c r="K14" s="210"/>
      <c r="L14" s="209">
        <v>0</v>
      </c>
      <c r="M14" s="211"/>
      <c r="N14" s="210">
        <f t="shared" ref="N14:N18" si="0">L14*E14</f>
        <v>0</v>
      </c>
      <c r="O14" s="272"/>
      <c r="P14" s="234"/>
      <c r="Q14" s="154"/>
    </row>
    <row r="15" spans="1:17" ht="14" x14ac:dyDescent="0.3">
      <c r="A15" s="151">
        <f>IF(B15&lt;&gt;"",COUNTA($B$13:B15),"")</f>
        <v>3</v>
      </c>
      <c r="B15" s="232" t="s">
        <v>430</v>
      </c>
      <c r="C15" s="233" t="s">
        <v>431</v>
      </c>
      <c r="D15" s="233"/>
      <c r="E15" s="234">
        <v>1870456.6388244412</v>
      </c>
      <c r="F15" s="207"/>
      <c r="G15" s="209">
        <v>4.8499999999999996</v>
      </c>
      <c r="H15" s="209"/>
      <c r="I15" s="210">
        <f>G15*(E15)</f>
        <v>9071714.69829854</v>
      </c>
      <c r="J15" s="235"/>
      <c r="K15" s="210"/>
      <c r="L15" s="209">
        <v>5.03</v>
      </c>
      <c r="M15" s="211"/>
      <c r="N15" s="210">
        <f t="shared" si="0"/>
        <v>9408396.8932869397</v>
      </c>
      <c r="O15" s="299"/>
      <c r="P15" s="234"/>
      <c r="Q15" s="154"/>
    </row>
    <row r="16" spans="1:17" ht="14" x14ac:dyDescent="0.3">
      <c r="A16" s="151">
        <f>IF(B16&lt;&gt;"",COUNTA($B$13:B16),"")</f>
        <v>4</v>
      </c>
      <c r="B16" s="232" t="s">
        <v>363</v>
      </c>
      <c r="C16" s="233" t="s">
        <v>364</v>
      </c>
      <c r="D16" s="233"/>
      <c r="E16" s="234">
        <v>3177076.5028527812</v>
      </c>
      <c r="F16" s="207"/>
      <c r="G16" s="209"/>
      <c r="H16" s="209"/>
      <c r="I16" s="210"/>
      <c r="J16" s="235"/>
      <c r="K16" s="210"/>
      <c r="L16" s="209"/>
      <c r="M16" s="211"/>
      <c r="N16" s="210"/>
      <c r="O16" s="299"/>
      <c r="P16" s="234"/>
      <c r="Q16" s="154"/>
    </row>
    <row r="17" spans="1:17" ht="14" x14ac:dyDescent="0.3">
      <c r="A17" s="151">
        <f>IF(B17&lt;&gt;"",COUNTA($B$13:B17),"")</f>
        <v>5</v>
      </c>
      <c r="B17" s="207" t="s">
        <v>478</v>
      </c>
      <c r="C17" s="233" t="s">
        <v>442</v>
      </c>
      <c r="D17" s="233"/>
      <c r="E17" s="234">
        <v>387491772.24147856</v>
      </c>
      <c r="F17" s="207"/>
      <c r="G17" s="236">
        <v>4.0669999999999998E-2</v>
      </c>
      <c r="H17" s="209"/>
      <c r="I17" s="210">
        <f>G17*(E17)</f>
        <v>15759290.377060933</v>
      </c>
      <c r="J17" s="235"/>
      <c r="K17" s="210"/>
      <c r="L17" s="236">
        <v>4.2160000000000003E-2</v>
      </c>
      <c r="M17" s="211"/>
      <c r="N17" s="210">
        <f t="shared" si="0"/>
        <v>16336653.117700737</v>
      </c>
      <c r="O17" s="299"/>
      <c r="P17" s="234"/>
      <c r="Q17" s="154"/>
    </row>
    <row r="18" spans="1:17" ht="14" x14ac:dyDescent="0.3">
      <c r="A18" s="151">
        <f>IF(B18&lt;&gt;"",COUNTA($B$13:B18),"")</f>
        <v>6</v>
      </c>
      <c r="B18" s="207" t="s">
        <v>479</v>
      </c>
      <c r="C18" s="233" t="s">
        <v>444</v>
      </c>
      <c r="D18" s="233"/>
      <c r="E18" s="234">
        <v>569714465.3984288</v>
      </c>
      <c r="F18" s="207"/>
      <c r="G18" s="236">
        <v>1.102E-2</v>
      </c>
      <c r="H18" s="209"/>
      <c r="I18" s="210">
        <f>G18*(E18)</f>
        <v>6278253.4086906854</v>
      </c>
      <c r="J18" s="235"/>
      <c r="K18" s="210"/>
      <c r="L18" s="236">
        <v>1.142E-2</v>
      </c>
      <c r="M18" s="211"/>
      <c r="N18" s="210">
        <f t="shared" si="0"/>
        <v>6506139.1948500564</v>
      </c>
      <c r="O18" s="299"/>
      <c r="P18" s="234"/>
      <c r="Q18" s="154"/>
    </row>
    <row r="19" spans="1:17" ht="14" x14ac:dyDescent="0.3">
      <c r="A19" s="151">
        <f>IF(B19&lt;&gt;"",COUNTA($B$13:B19),"")</f>
        <v>7</v>
      </c>
      <c r="B19" s="207" t="s">
        <v>352</v>
      </c>
      <c r="C19" s="233" t="s">
        <v>299</v>
      </c>
      <c r="D19" s="233"/>
      <c r="E19" s="234">
        <v>957206237.63990748</v>
      </c>
      <c r="F19" s="207"/>
      <c r="G19" s="236"/>
      <c r="H19" s="209"/>
      <c r="I19" s="237"/>
      <c r="J19" s="235"/>
      <c r="K19" s="210"/>
      <c r="L19" s="281"/>
      <c r="M19" s="211"/>
      <c r="N19" s="300"/>
      <c r="O19" s="272"/>
      <c r="P19" s="273"/>
    </row>
    <row r="20" spans="1:17" ht="14" x14ac:dyDescent="0.3">
      <c r="A20" s="151">
        <f>IF(B20&lt;&gt;"",COUNTA($B$13:B20),"")</f>
        <v>8</v>
      </c>
      <c r="B20" s="207" t="s">
        <v>300</v>
      </c>
      <c r="C20" s="233" t="s">
        <v>301</v>
      </c>
      <c r="D20" s="233"/>
      <c r="E20" s="234"/>
      <c r="F20" s="207"/>
      <c r="G20" s="209"/>
      <c r="H20" s="209"/>
      <c r="I20" s="210">
        <f>SUM(I13:I19)</f>
        <v>34149505.798947878</v>
      </c>
      <c r="J20" s="235"/>
      <c r="K20" s="210"/>
      <c r="L20" s="238"/>
      <c r="M20" s="211"/>
      <c r="N20" s="210">
        <f>SUM(N13:N19)</f>
        <v>35291436.52073545</v>
      </c>
      <c r="O20" s="272"/>
      <c r="P20" s="210"/>
      <c r="Q20" s="154"/>
    </row>
    <row r="21" spans="1:17" ht="14" x14ac:dyDescent="0.3">
      <c r="A21" s="151" t="str">
        <f>IF(B21&lt;&gt;"",COUNTA($B$13:B21),"")</f>
        <v/>
      </c>
      <c r="B21" s="207"/>
      <c r="C21" s="233"/>
      <c r="D21" s="233"/>
      <c r="E21" s="234"/>
      <c r="F21" s="207"/>
      <c r="G21" s="209"/>
      <c r="H21" s="209"/>
      <c r="I21" s="210"/>
      <c r="J21" s="235"/>
      <c r="K21" s="210"/>
      <c r="L21" s="238"/>
      <c r="M21" s="211"/>
      <c r="N21" s="210"/>
      <c r="O21" s="272"/>
      <c r="P21" s="210"/>
      <c r="Q21" s="154"/>
    </row>
    <row r="22" spans="1:17" ht="14" x14ac:dyDescent="0.3">
      <c r="A22" s="151">
        <f>IF(B22&lt;&gt;"",COUNTA($B$13:B22),"")</f>
        <v>9</v>
      </c>
      <c r="B22" s="207" t="s">
        <v>480</v>
      </c>
      <c r="C22" s="233" t="s">
        <v>481</v>
      </c>
      <c r="D22" s="233"/>
      <c r="E22" s="234">
        <v>359.38680244179716</v>
      </c>
      <c r="F22" s="207"/>
      <c r="G22" s="209"/>
      <c r="H22" s="209"/>
      <c r="I22" s="210"/>
      <c r="J22" s="235"/>
      <c r="K22" s="210"/>
      <c r="L22" s="238"/>
      <c r="M22" s="211"/>
      <c r="N22" s="210"/>
      <c r="O22" s="272"/>
      <c r="P22" s="210"/>
      <c r="Q22" s="154"/>
    </row>
    <row r="23" spans="1:17" ht="14" x14ac:dyDescent="0.3">
      <c r="A23" s="151">
        <f>IF(B23&lt;&gt;"",COUNTA($B$13:B23),"")</f>
        <v>10</v>
      </c>
      <c r="B23" s="207" t="s">
        <v>482</v>
      </c>
      <c r="C23" s="233" t="s">
        <v>483</v>
      </c>
      <c r="D23" s="233"/>
      <c r="E23" s="234">
        <v>1427.5642430326943</v>
      </c>
      <c r="F23" s="207"/>
      <c r="G23" s="209"/>
      <c r="H23" s="209"/>
      <c r="I23" s="210"/>
      <c r="J23" s="235"/>
      <c r="K23" s="210"/>
      <c r="L23" s="238"/>
      <c r="M23" s="211"/>
      <c r="N23" s="210"/>
      <c r="O23" s="272"/>
      <c r="P23" s="210"/>
      <c r="Q23" s="154"/>
    </row>
    <row r="24" spans="1:17" ht="14" x14ac:dyDescent="0.3">
      <c r="A24" s="151">
        <f>IF(B24&lt;&gt;"",COUNTA($B$13:B24),"")</f>
        <v>11</v>
      </c>
      <c r="B24" s="207" t="s">
        <v>484</v>
      </c>
      <c r="C24" s="233" t="s">
        <v>378</v>
      </c>
      <c r="D24" s="233"/>
      <c r="E24" s="234">
        <f>SUM(E22:E23)</f>
        <v>1786.9510454744914</v>
      </c>
      <c r="F24" s="207"/>
      <c r="G24" s="209"/>
      <c r="H24" s="209"/>
      <c r="I24" s="210"/>
      <c r="J24" s="235"/>
      <c r="K24" s="210"/>
      <c r="L24" s="238"/>
      <c r="M24" s="211"/>
      <c r="N24" s="210"/>
      <c r="O24" s="272"/>
      <c r="P24" s="210"/>
      <c r="Q24" s="154"/>
    </row>
    <row r="25" spans="1:17" ht="14" x14ac:dyDescent="0.3">
      <c r="A25" s="151">
        <f>IF(B25&lt;&gt;"",COUNTA($B$13:B25),"")</f>
        <v>12</v>
      </c>
      <c r="B25" s="207" t="s">
        <v>485</v>
      </c>
      <c r="C25" s="233" t="s">
        <v>486</v>
      </c>
      <c r="D25" s="233"/>
      <c r="E25" s="234">
        <v>9184.3293957348178</v>
      </c>
      <c r="F25" s="207"/>
      <c r="G25" s="209"/>
      <c r="H25" s="209"/>
      <c r="I25" s="210"/>
      <c r="J25" s="235"/>
      <c r="K25" s="210"/>
      <c r="L25" s="238"/>
      <c r="M25" s="211"/>
      <c r="N25" s="210"/>
      <c r="O25" s="272"/>
      <c r="P25" s="210"/>
      <c r="Q25" s="154"/>
    </row>
    <row r="26" spans="1:17" ht="14" x14ac:dyDescent="0.3">
      <c r="A26" s="151">
        <f>IF(B26&lt;&gt;"",COUNTA($B$13:B26),"")</f>
        <v>13</v>
      </c>
      <c r="B26" s="207" t="s">
        <v>487</v>
      </c>
      <c r="C26" s="233" t="s">
        <v>488</v>
      </c>
      <c r="D26" s="233"/>
      <c r="E26" s="234">
        <v>7946.4415206575159</v>
      </c>
      <c r="F26" s="207"/>
      <c r="G26" s="209"/>
      <c r="H26" s="209"/>
      <c r="I26" s="210"/>
      <c r="J26" s="235"/>
      <c r="K26" s="210"/>
      <c r="L26" s="238"/>
      <c r="M26" s="211"/>
      <c r="N26" s="210"/>
      <c r="O26" s="272"/>
      <c r="P26" s="210"/>
      <c r="Q26" s="154"/>
    </row>
    <row r="27" spans="1:17" ht="14" x14ac:dyDescent="0.3">
      <c r="A27" s="151">
        <f>IF(B27&lt;&gt;"",COUNTA($B$13:B27),"")</f>
        <v>14</v>
      </c>
      <c r="B27" s="207" t="s">
        <v>489</v>
      </c>
      <c r="C27" s="233" t="s">
        <v>380</v>
      </c>
      <c r="D27" s="233"/>
      <c r="E27" s="234">
        <f>SUM(E25:E26)</f>
        <v>17130.770916392335</v>
      </c>
      <c r="F27" s="207"/>
      <c r="G27" s="209"/>
      <c r="H27" s="209"/>
      <c r="I27" s="210"/>
      <c r="J27" s="235"/>
      <c r="K27" s="210"/>
      <c r="L27" s="238"/>
      <c r="M27" s="211"/>
      <c r="N27" s="210"/>
      <c r="O27" s="272"/>
      <c r="P27" s="210"/>
      <c r="Q27" s="154"/>
    </row>
    <row r="28" spans="1:17" ht="14" x14ac:dyDescent="0.3">
      <c r="A28" s="151" t="str">
        <f>IF(B28&lt;&gt;"",COUNTA($B$13:B28),"")</f>
        <v/>
      </c>
      <c r="B28" s="207"/>
      <c r="C28" s="233"/>
      <c r="D28" s="233"/>
      <c r="E28" s="234"/>
      <c r="F28" s="207"/>
      <c r="G28" s="209"/>
      <c r="H28" s="209"/>
      <c r="I28" s="210"/>
      <c r="J28" s="235"/>
      <c r="K28" s="210"/>
      <c r="L28" s="238"/>
      <c r="M28" s="211"/>
      <c r="N28" s="210"/>
      <c r="O28" s="272"/>
      <c r="P28" s="210"/>
      <c r="Q28" s="154"/>
    </row>
    <row r="29" spans="1:17" ht="14" x14ac:dyDescent="0.3">
      <c r="A29" s="151">
        <f>IF(B29&lt;&gt;"",COUNTA($B$13:B29),"")</f>
        <v>15</v>
      </c>
      <c r="B29" s="228" t="s">
        <v>302</v>
      </c>
      <c r="F29" s="239"/>
      <c r="G29" s="240"/>
      <c r="H29" s="211"/>
      <c r="I29" s="210"/>
      <c r="K29" s="210"/>
      <c r="L29" s="241"/>
      <c r="M29" s="211"/>
      <c r="N29" s="210"/>
      <c r="O29" s="272"/>
    </row>
    <row r="30" spans="1:17" ht="14" x14ac:dyDescent="0.3">
      <c r="A30" s="151">
        <f>IF(B30&lt;&gt;"",COUNTA($B$13:B30),"")</f>
        <v>16</v>
      </c>
      <c r="B30" s="207" t="str">
        <f>'G0 CAMB'!B18</f>
        <v>Revenue Decoupling</v>
      </c>
      <c r="C30" s="233" t="str">
        <f>'G0 CAMB'!C18</f>
        <v>RDAF</v>
      </c>
      <c r="D30" s="233"/>
      <c r="E30" s="242"/>
      <c r="F30" s="239"/>
      <c r="G30" s="236">
        <v>0</v>
      </c>
      <c r="H30" s="211"/>
      <c r="I30" s="210">
        <f t="shared" ref="I30:I49" si="1">G30*($E$19+$E$27)</f>
        <v>0</v>
      </c>
      <c r="K30" s="210"/>
      <c r="L30" s="236">
        <v>-3.564250599337516E-4</v>
      </c>
      <c r="M30" s="211"/>
      <c r="N30" s="210">
        <f t="shared" ref="N30:N49" si="2">L30*($E$19+$E$27)</f>
        <v>-341178.39645581547</v>
      </c>
      <c r="O30" s="272"/>
      <c r="P30" s="234"/>
    </row>
    <row r="31" spans="1:17" ht="14" x14ac:dyDescent="0.3">
      <c r="A31" s="151">
        <f>IF(B31&lt;&gt;"",COUNTA($B$13:B31),"")</f>
        <v>17</v>
      </c>
      <c r="B31" s="207" t="str">
        <f>'G0 CAMB'!B19</f>
        <v>Residential Assistance Adjustment Factor</v>
      </c>
      <c r="C31" s="233" t="str">
        <f>'G0 CAMB'!C19</f>
        <v>RAAF</v>
      </c>
      <c r="D31" s="243"/>
      <c r="E31" s="206"/>
      <c r="F31" s="239"/>
      <c r="G31" s="236">
        <v>2.3E-3</v>
      </c>
      <c r="H31" s="211"/>
      <c r="I31" s="210">
        <f t="shared" si="1"/>
        <v>2201613.7473448948</v>
      </c>
      <c r="K31" s="210"/>
      <c r="L31" s="236">
        <v>3.0111747643881263E-3</v>
      </c>
      <c r="M31" s="211"/>
      <c r="N31" s="210">
        <f t="shared" si="2"/>
        <v>2882366.8508412712</v>
      </c>
      <c r="O31" s="272"/>
      <c r="P31" s="234"/>
      <c r="Q31" s="210"/>
    </row>
    <row r="32" spans="1:17" ht="14" x14ac:dyDescent="0.3">
      <c r="A32" s="151">
        <f>IF(B32&lt;&gt;"",COUNTA($B$13:B32),"")</f>
        <v>18</v>
      </c>
      <c r="B32" s="207" t="str">
        <f>'G0 CAMB'!B20</f>
        <v>Pension Adjustment Factor</v>
      </c>
      <c r="C32" s="233" t="str">
        <f>'G0 CAMB'!C20</f>
        <v>PAF</v>
      </c>
      <c r="D32" s="243"/>
      <c r="E32" s="206"/>
      <c r="F32" s="239"/>
      <c r="G32" s="236">
        <v>-8.0000000000000007E-5</v>
      </c>
      <c r="H32" s="211"/>
      <c r="I32" s="210">
        <f t="shared" si="1"/>
        <v>-76577.869472865917</v>
      </c>
      <c r="K32" s="210"/>
      <c r="L32" s="236">
        <v>7.0072348436568167E-4</v>
      </c>
      <c r="M32" s="211"/>
      <c r="N32" s="210">
        <f t="shared" si="2"/>
        <v>670748.89402908704</v>
      </c>
      <c r="O32" s="272"/>
      <c r="P32" s="274"/>
    </row>
    <row r="33" spans="1:16" ht="14" x14ac:dyDescent="0.3">
      <c r="A33" s="151">
        <f>IF(B33&lt;&gt;"",COUNTA($B$13:B33),"")</f>
        <v>19</v>
      </c>
      <c r="B33" s="207" t="str">
        <f>'G0 CAMB'!B21</f>
        <v>Net Metering Recovery Surcharge</v>
      </c>
      <c r="C33" s="233" t="str">
        <f>'G0 CAMB'!C21</f>
        <v>NMRS</v>
      </c>
      <c r="D33" s="243"/>
      <c r="E33" s="206"/>
      <c r="F33" s="239"/>
      <c r="G33" s="236">
        <v>4.5300000000000002E-3</v>
      </c>
      <c r="H33" s="211"/>
      <c r="I33" s="210">
        <f t="shared" si="1"/>
        <v>4336221.8589010322</v>
      </c>
      <c r="K33" s="210"/>
      <c r="L33" s="236">
        <v>3.926330354643238E-3</v>
      </c>
      <c r="M33" s="211"/>
      <c r="N33" s="210">
        <f t="shared" si="2"/>
        <v>3758375.1675652647</v>
      </c>
      <c r="O33" s="272"/>
      <c r="P33" s="274"/>
    </row>
    <row r="34" spans="1:16" ht="14" x14ac:dyDescent="0.3">
      <c r="A34" s="151">
        <f>IF(B34&lt;&gt;"",COUNTA($B$13:B34),"")</f>
        <v>20</v>
      </c>
      <c r="B34" s="207" t="str">
        <f>'G0 CAMB'!B22</f>
        <v>Long Term Renewable Contract Adjustment</v>
      </c>
      <c r="C34" s="233" t="str">
        <f>'G0 CAMB'!C22</f>
        <v>LTRCA</v>
      </c>
      <c r="D34" s="243"/>
      <c r="E34" s="206"/>
      <c r="F34" s="239"/>
      <c r="G34" s="236">
        <v>2.3600000000000001E-3</v>
      </c>
      <c r="H34" s="211"/>
      <c r="I34" s="210">
        <f t="shared" si="1"/>
        <v>2259047.1494495445</v>
      </c>
      <c r="K34" s="210"/>
      <c r="L34" s="236">
        <v>1.7357128782064517E-3</v>
      </c>
      <c r="M34" s="211"/>
      <c r="N34" s="210">
        <f t="shared" si="2"/>
        <v>1661464.9278708256</v>
      </c>
      <c r="O34" s="272"/>
      <c r="P34" s="275"/>
    </row>
    <row r="35" spans="1:16" ht="14" x14ac:dyDescent="0.3">
      <c r="A35" s="151">
        <f>IF(B35&lt;&gt;"",COUNTA($B$13:B35),"")</f>
        <v>21</v>
      </c>
      <c r="B35" s="207" t="str">
        <f>'G0 CAMB'!B23</f>
        <v>AG Consulting Expense</v>
      </c>
      <c r="C35" s="233" t="str">
        <f>'G0 CAMB'!C23</f>
        <v>AGCE</v>
      </c>
      <c r="D35" s="243"/>
      <c r="E35" s="206"/>
      <c r="F35" s="239"/>
      <c r="G35" s="236">
        <v>2.0000000000000002E-5</v>
      </c>
      <c r="H35" s="211"/>
      <c r="I35" s="210">
        <f t="shared" si="1"/>
        <v>19144.467368216479</v>
      </c>
      <c r="K35" s="210"/>
      <c r="L35" s="236">
        <v>6.3223437426448912E-6</v>
      </c>
      <c r="M35" s="211"/>
      <c r="N35" s="210">
        <f t="shared" si="2"/>
        <v>6051.8951735856372</v>
      </c>
      <c r="O35" s="272"/>
      <c r="P35" s="274"/>
    </row>
    <row r="36" spans="1:16" ht="14" x14ac:dyDescent="0.3">
      <c r="A36" s="151">
        <f>IF(B36&lt;&gt;"",COUNTA($B$13:B36),"")</f>
        <v>22</v>
      </c>
      <c r="B36" s="207" t="str">
        <f>'G0 CAMB'!B24</f>
        <v>Storm Cost Recovery Adjustment Factor</v>
      </c>
      <c r="C36" s="233" t="str">
        <f>'G0 CAMB'!C24</f>
        <v>SCRA</v>
      </c>
      <c r="D36" s="243"/>
      <c r="E36" s="206"/>
      <c r="F36" s="239"/>
      <c r="G36" s="236">
        <v>1.42E-3</v>
      </c>
      <c r="H36" s="211"/>
      <c r="I36" s="210">
        <f t="shared" si="1"/>
        <v>1359257.1831433699</v>
      </c>
      <c r="K36" s="210"/>
      <c r="L36" s="236">
        <v>2.2823397188421191E-3</v>
      </c>
      <c r="M36" s="211"/>
      <c r="N36" s="210">
        <f t="shared" si="2"/>
        <v>2184708.9135278659</v>
      </c>
      <c r="O36" s="272"/>
      <c r="P36" s="274"/>
    </row>
    <row r="37" spans="1:16" ht="14" x14ac:dyDescent="0.3">
      <c r="A37" s="151">
        <f>IF(B37&lt;&gt;"",COUNTA($B$13:B37),"")</f>
        <v>23</v>
      </c>
      <c r="B37" s="207" t="str">
        <f>'G0 CAMB'!B25</f>
        <v>Storm Reserve Adjustment</v>
      </c>
      <c r="C37" s="233" t="str">
        <f>'G0 CAMB'!C25</f>
        <v>SRA</v>
      </c>
      <c r="D37" s="243"/>
      <c r="E37" s="206"/>
      <c r="F37" s="239"/>
      <c r="G37" s="236">
        <v>0</v>
      </c>
      <c r="H37" s="211"/>
      <c r="I37" s="210">
        <f t="shared" si="1"/>
        <v>0</v>
      </c>
      <c r="K37" s="210"/>
      <c r="L37" s="236">
        <v>0</v>
      </c>
      <c r="M37" s="211"/>
      <c r="N37" s="210">
        <f t="shared" si="2"/>
        <v>0</v>
      </c>
      <c r="O37" s="272"/>
      <c r="P37" s="274"/>
    </row>
    <row r="38" spans="1:16" ht="14" x14ac:dyDescent="0.3">
      <c r="A38" s="151">
        <f>IF(B38&lt;&gt;"",COUNTA($B$13:B38),"")</f>
        <v>24</v>
      </c>
      <c r="B38" s="207" t="str">
        <f>'G0 CAMB'!B26</f>
        <v>Basic Service Cost True Up Factor</v>
      </c>
      <c r="C38" s="233" t="str">
        <f>'G0 CAMB'!C26</f>
        <v>BSTF</v>
      </c>
      <c r="D38" s="243"/>
      <c r="E38" s="206"/>
      <c r="F38" s="239"/>
      <c r="G38" s="236">
        <v>1.23E-3</v>
      </c>
      <c r="H38" s="211"/>
      <c r="I38" s="210">
        <f t="shared" si="1"/>
        <v>1177384.7431453133</v>
      </c>
      <c r="K38" s="210"/>
      <c r="L38" s="236">
        <v>-1.4942187056017604E-4</v>
      </c>
      <c r="M38" s="211"/>
      <c r="N38" s="210">
        <f t="shared" si="2"/>
        <v>-143030.10625185783</v>
      </c>
      <c r="O38" s="272"/>
      <c r="P38" s="274"/>
    </row>
    <row r="39" spans="1:16" ht="14" x14ac:dyDescent="0.3">
      <c r="A39" s="151">
        <f>IF(B39&lt;&gt;"",COUNTA($B$13:B39),"")</f>
        <v>25</v>
      </c>
      <c r="B39" s="207" t="str">
        <f>'G0 CAMB'!B27</f>
        <v>Solar Program Cost Adjustment Factor</v>
      </c>
      <c r="C39" s="233" t="str">
        <f>'G0 CAMB'!C27</f>
        <v>SPCA</v>
      </c>
      <c r="D39" s="233"/>
      <c r="E39" s="206"/>
      <c r="F39" s="239"/>
      <c r="G39" s="236">
        <v>0</v>
      </c>
      <c r="H39" s="211"/>
      <c r="I39" s="210">
        <f t="shared" si="1"/>
        <v>0</v>
      </c>
      <c r="K39" s="210"/>
      <c r="L39" s="236">
        <v>2.6591791115315666E-5</v>
      </c>
      <c r="M39" s="211"/>
      <c r="N39" s="210">
        <f t="shared" si="2"/>
        <v>25454.283863479479</v>
      </c>
      <c r="O39" s="272"/>
      <c r="P39" s="276"/>
    </row>
    <row r="40" spans="1:16" ht="14" x14ac:dyDescent="0.3">
      <c r="A40" s="151">
        <f>IF(B40&lt;&gt;"",COUNTA($B$13:B40),"")</f>
        <v>26</v>
      </c>
      <c r="B40" s="207" t="str">
        <f>'G0 CAMB'!B28</f>
        <v>Solar Expansion Cost Recovery Factor</v>
      </c>
      <c r="C40" s="233" t="str">
        <f>'G0 CAMB'!C28</f>
        <v>SECRF</v>
      </c>
      <c r="D40" s="233"/>
      <c r="E40" s="206"/>
      <c r="F40" s="239"/>
      <c r="G40" s="236">
        <v>0</v>
      </c>
      <c r="H40" s="211"/>
      <c r="I40" s="210">
        <f t="shared" si="1"/>
        <v>0</v>
      </c>
      <c r="K40" s="210"/>
      <c r="L40" s="236">
        <v>4.690183605452695E-4</v>
      </c>
      <c r="M40" s="211"/>
      <c r="N40" s="210">
        <f t="shared" si="2"/>
        <v>448955.33492766513</v>
      </c>
      <c r="O40" s="272"/>
      <c r="P40" s="276"/>
    </row>
    <row r="41" spans="1:16" ht="14" x14ac:dyDescent="0.3">
      <c r="A41" s="151">
        <f>IF(B41&lt;&gt;"",COUNTA($B$13:B41),"")</f>
        <v>27</v>
      </c>
      <c r="B41" s="207" t="str">
        <f>'G0 CAMB'!B29</f>
        <v>Vegetation Management</v>
      </c>
      <c r="C41" s="233" t="str">
        <f>'G0 CAMB'!C29</f>
        <v>RTWF</v>
      </c>
      <c r="D41" s="233"/>
      <c r="E41" s="206"/>
      <c r="F41" s="239"/>
      <c r="G41" s="236">
        <v>0</v>
      </c>
      <c r="H41" s="211"/>
      <c r="I41" s="210">
        <f t="shared" si="1"/>
        <v>0</v>
      </c>
      <c r="K41" s="210"/>
      <c r="L41" s="236">
        <v>1.2545318705078278E-3</v>
      </c>
      <c r="M41" s="211"/>
      <c r="N41" s="210">
        <f t="shared" si="2"/>
        <v>1200867.2228662344</v>
      </c>
      <c r="O41" s="272"/>
      <c r="P41" s="276"/>
    </row>
    <row r="42" spans="1:16" ht="14" x14ac:dyDescent="0.3">
      <c r="A42" s="151">
        <f>IF(B42&lt;&gt;"",COUNTA($B$13:B42),"")</f>
        <v>28</v>
      </c>
      <c r="B42" s="207" t="str">
        <f>'G0 CAMB'!B30</f>
        <v>Solar Massachusetts Renewable Target</v>
      </c>
      <c r="C42" s="233" t="str">
        <f>'G0 CAMB'!C30</f>
        <v>SMART</v>
      </c>
      <c r="D42" s="233"/>
      <c r="E42" s="206"/>
      <c r="F42" s="239"/>
      <c r="G42" s="236">
        <v>0</v>
      </c>
      <c r="H42" s="211"/>
      <c r="I42" s="210">
        <f t="shared" si="1"/>
        <v>0</v>
      </c>
      <c r="K42" s="210"/>
      <c r="L42" s="236">
        <v>5.4952082600398869E-4</v>
      </c>
      <c r="M42" s="211"/>
      <c r="N42" s="210">
        <f t="shared" si="2"/>
        <v>526014.17607943632</v>
      </c>
      <c r="O42" s="272"/>
      <c r="P42" s="276"/>
    </row>
    <row r="43" spans="1:16" ht="14" x14ac:dyDescent="0.3">
      <c r="A43" s="151">
        <f>IF(B43&lt;&gt;"",COUNTA($B$13:B43),"")</f>
        <v>29</v>
      </c>
      <c r="B43" s="207" t="str">
        <f>'G0 CAMB'!B31</f>
        <v>Tax Act Credit Factor</v>
      </c>
      <c r="C43" s="233" t="str">
        <f>'G0 CAMB'!C31</f>
        <v>TACF</v>
      </c>
      <c r="D43" s="233"/>
      <c r="E43" s="206"/>
      <c r="F43" s="239"/>
      <c r="G43" s="236">
        <v>0</v>
      </c>
      <c r="H43" s="211"/>
      <c r="I43" s="210">
        <f t="shared" si="1"/>
        <v>0</v>
      </c>
      <c r="K43" s="210"/>
      <c r="L43" s="236">
        <v>-8.3188272854994004E-4</v>
      </c>
      <c r="M43" s="211"/>
      <c r="N43" s="210">
        <f t="shared" si="2"/>
        <v>-796297.58754536055</v>
      </c>
      <c r="O43" s="272"/>
      <c r="P43" s="276"/>
    </row>
    <row r="44" spans="1:16" ht="14" x14ac:dyDescent="0.3">
      <c r="A44" s="151">
        <f>IF(B44&lt;&gt;"",COUNTA($B$13:B44),"")</f>
        <v>30</v>
      </c>
      <c r="B44" s="207" t="str">
        <f>'G0 CAMB'!B32</f>
        <v>Transition</v>
      </c>
      <c r="C44" s="233" t="str">
        <f>'G0 CAMB'!C32</f>
        <v>TRNSN</v>
      </c>
      <c r="D44" s="233"/>
      <c r="E44" s="206"/>
      <c r="F44" s="239"/>
      <c r="G44" s="236">
        <v>-6.0999999999999997E-4</v>
      </c>
      <c r="H44" s="211"/>
      <c r="I44" s="210">
        <f t="shared" si="1"/>
        <v>-583906.25473060249</v>
      </c>
      <c r="K44" s="210"/>
      <c r="L44" s="236">
        <v>-5.210932140356871E-4</v>
      </c>
      <c r="M44" s="211"/>
      <c r="N44" s="210">
        <f t="shared" si="2"/>
        <v>-498802.60159526276</v>
      </c>
      <c r="O44" s="272"/>
      <c r="P44" s="275"/>
    </row>
    <row r="45" spans="1:16" ht="14" x14ac:dyDescent="0.3">
      <c r="A45" s="151">
        <f>IF(B45&lt;&gt;"",COUNTA($B$13:B45),"")</f>
        <v>31</v>
      </c>
      <c r="B45" s="207" t="str">
        <f>'G0 CAMB'!B33</f>
        <v>Transmission Energy</v>
      </c>
      <c r="C45" s="233" t="str">
        <f>'G0 CAMB'!C33</f>
        <v>TMKWH</v>
      </c>
      <c r="D45" s="233"/>
      <c r="E45" s="206"/>
      <c r="F45" s="239"/>
      <c r="G45" s="236">
        <v>2.6360000000000001E-2</v>
      </c>
      <c r="H45" s="211"/>
      <c r="I45" s="210">
        <f t="shared" si="1"/>
        <v>25232407.991309319</v>
      </c>
      <c r="K45" s="210"/>
      <c r="L45" s="241">
        <v>2.2847836198309209E-2</v>
      </c>
      <c r="M45" s="211"/>
      <c r="N45" s="210">
        <f t="shared" si="2"/>
        <v>21870482.726644292</v>
      </c>
      <c r="O45" s="272"/>
      <c r="P45" s="275"/>
    </row>
    <row r="46" spans="1:16" ht="14" x14ac:dyDescent="0.3">
      <c r="A46" s="151">
        <f>IF(B46&lt;&gt;"",COUNTA($B$13:B46),"")</f>
        <v>32</v>
      </c>
      <c r="B46" s="207" t="str">
        <f>'G0 CAMB'!B34</f>
        <v>Energy Efficiency Reconciliation Factor</v>
      </c>
      <c r="C46" s="233" t="str">
        <f>'G0 CAMB'!C34</f>
        <v>EERF</v>
      </c>
      <c r="D46" s="233"/>
      <c r="E46" s="206"/>
      <c r="F46" s="239"/>
      <c r="G46" s="236">
        <v>8.4600000000000005E-3</v>
      </c>
      <c r="H46" s="211"/>
      <c r="I46" s="210">
        <f t="shared" si="1"/>
        <v>8098109.6967555704</v>
      </c>
      <c r="K46" s="210"/>
      <c r="L46" s="281">
        <v>8.4600000000000005E-3</v>
      </c>
      <c r="M46" s="211"/>
      <c r="N46" s="210">
        <f t="shared" si="2"/>
        <v>8098109.6967555704</v>
      </c>
      <c r="O46" s="272"/>
      <c r="P46" s="232"/>
    </row>
    <row r="47" spans="1:16" ht="14" x14ac:dyDescent="0.3">
      <c r="A47" s="151">
        <f>IF(B47&lt;&gt;"",COUNTA($B$13:B47),"")</f>
        <v>33</v>
      </c>
      <c r="B47" s="207" t="str">
        <f>'G0 CAMB'!B35</f>
        <v>System Benefits Charge</v>
      </c>
      <c r="C47" s="233" t="str">
        <f>'G0 CAMB'!C35</f>
        <v>SBC</v>
      </c>
      <c r="D47" s="233"/>
      <c r="E47" s="206"/>
      <c r="F47" s="239"/>
      <c r="G47" s="236">
        <v>2.5000000000000001E-3</v>
      </c>
      <c r="H47" s="211"/>
      <c r="I47" s="210">
        <f t="shared" si="1"/>
        <v>2393058.4210270597</v>
      </c>
      <c r="K47" s="210"/>
      <c r="L47" s="281">
        <f>+G47</f>
        <v>2.5000000000000001E-3</v>
      </c>
      <c r="M47" s="211"/>
      <c r="N47" s="210">
        <f t="shared" si="2"/>
        <v>2393058.4210270597</v>
      </c>
      <c r="O47" s="272"/>
      <c r="P47" s="275"/>
    </row>
    <row r="48" spans="1:16" ht="14" x14ac:dyDescent="0.3">
      <c r="A48" s="151">
        <f>IF(B48&lt;&gt;"",COUNTA($B$13:B48),"")</f>
        <v>34</v>
      </c>
      <c r="B48" s="207" t="str">
        <f>'G0 CAMB'!B36</f>
        <v>Renewable Energy Charge</v>
      </c>
      <c r="C48" s="233" t="str">
        <f>'G0 CAMB'!C36</f>
        <v>RNEW</v>
      </c>
      <c r="D48" s="233"/>
      <c r="E48" s="206"/>
      <c r="F48" s="239"/>
      <c r="G48" s="236">
        <v>5.0000000000000001E-4</v>
      </c>
      <c r="H48" s="211"/>
      <c r="I48" s="210">
        <f t="shared" si="1"/>
        <v>478611.68420541193</v>
      </c>
      <c r="K48" s="210"/>
      <c r="L48" s="281">
        <f>+G48</f>
        <v>5.0000000000000001E-4</v>
      </c>
      <c r="M48" s="211"/>
      <c r="N48" s="210">
        <f t="shared" si="2"/>
        <v>478611.68420541193</v>
      </c>
      <c r="O48" s="272"/>
      <c r="P48" s="275"/>
    </row>
    <row r="49" spans="1:17" ht="14" x14ac:dyDescent="0.3">
      <c r="A49" s="151">
        <f>IF(B49&lt;&gt;"",COUNTA($B$13:B49),"")</f>
        <v>35</v>
      </c>
      <c r="B49" s="207" t="str">
        <f>'G0 CAMB'!B37</f>
        <v>Basic Service Charge</v>
      </c>
      <c r="C49" s="233" t="str">
        <f>'G0 CAMB'!C37</f>
        <v>BS</v>
      </c>
      <c r="D49" s="233"/>
      <c r="E49" s="206"/>
      <c r="F49" s="239"/>
      <c r="G49" s="236">
        <v>0.11403000000000001</v>
      </c>
      <c r="H49" s="211"/>
      <c r="I49" s="237">
        <f t="shared" si="1"/>
        <v>109152180.69988625</v>
      </c>
      <c r="K49" s="210"/>
      <c r="L49" s="281">
        <v>0.13185000000000002</v>
      </c>
      <c r="M49" s="211"/>
      <c r="N49" s="237">
        <f t="shared" si="2"/>
        <v>126209901.12496714</v>
      </c>
      <c r="O49" s="272"/>
      <c r="P49" s="232"/>
    </row>
    <row r="50" spans="1:17" ht="14" x14ac:dyDescent="0.3">
      <c r="A50" s="151" t="str">
        <f>IF(B50&lt;&gt;"",COUNTA($B$13:B50),"")</f>
        <v/>
      </c>
      <c r="B50" s="207"/>
      <c r="E50" s="206"/>
      <c r="F50" s="239"/>
      <c r="G50" s="241"/>
      <c r="H50" s="211"/>
      <c r="I50" s="244"/>
      <c r="K50" s="210"/>
      <c r="L50" s="241"/>
      <c r="M50" s="211"/>
      <c r="N50" s="244"/>
      <c r="O50" s="272"/>
    </row>
    <row r="51" spans="1:17" ht="14" x14ac:dyDescent="0.3">
      <c r="A51" s="151">
        <f>IF(B51&lt;&gt;"",COUNTA($B$13:B51),"")</f>
        <v>36</v>
      </c>
      <c r="B51" s="188" t="s">
        <v>46</v>
      </c>
      <c r="E51" s="188"/>
      <c r="G51" s="245" t="s">
        <v>324</v>
      </c>
      <c r="H51" s="246"/>
      <c r="I51" s="154">
        <f>SUM(I20:I50)</f>
        <v>190196059.31728041</v>
      </c>
      <c r="K51" s="247"/>
      <c r="L51" s="245"/>
      <c r="N51" s="154">
        <f>SUM(N20:N50)</f>
        <v>205927299.14923137</v>
      </c>
      <c r="P51" s="154"/>
    </row>
    <row r="52" spans="1:17" ht="14" x14ac:dyDescent="0.3">
      <c r="A52" s="151" t="str">
        <f>IF(B52&lt;&gt;"",COUNTA($B$13:B52),"")</f>
        <v/>
      </c>
      <c r="E52" s="188"/>
      <c r="H52" s="188"/>
      <c r="I52" s="154"/>
      <c r="K52" s="265"/>
      <c r="L52" s="278"/>
      <c r="N52" s="265"/>
      <c r="P52" s="154"/>
    </row>
    <row r="53" spans="1:17" ht="14" x14ac:dyDescent="0.3">
      <c r="A53" s="151">
        <f>IF(B53&lt;&gt;"",COUNTA($B$13:B53),"")</f>
        <v>37</v>
      </c>
      <c r="B53" s="188" t="s">
        <v>46</v>
      </c>
      <c r="E53" s="188"/>
      <c r="G53" s="188"/>
      <c r="H53" s="188"/>
      <c r="I53" s="188"/>
      <c r="J53" s="188"/>
      <c r="L53" s="248" t="s">
        <v>325</v>
      </c>
      <c r="N53" s="160">
        <f>+N51/I51-1</f>
        <v>8.2710650727565671E-2</v>
      </c>
    </row>
    <row r="54" spans="1:17" ht="14" x14ac:dyDescent="0.3">
      <c r="A54" s="151" t="str">
        <f>IF(B54&lt;&gt;"",COUNTA($B$13:B54),"")</f>
        <v/>
      </c>
      <c r="E54" s="188"/>
      <c r="G54" s="188"/>
      <c r="H54" s="188"/>
      <c r="I54" s="188"/>
      <c r="J54" s="188"/>
      <c r="L54" s="248"/>
      <c r="N54" s="160"/>
    </row>
    <row r="55" spans="1:17" ht="14" x14ac:dyDescent="0.3">
      <c r="A55" s="151" t="str">
        <f>IF(B55&lt;&gt;"",COUNTA($B$13:B55),"")</f>
        <v/>
      </c>
      <c r="E55" s="188"/>
      <c r="G55" s="186"/>
      <c r="H55" s="188"/>
      <c r="I55" s="188"/>
      <c r="L55" s="248"/>
      <c r="N55" s="160"/>
    </row>
    <row r="56" spans="1:17" ht="14.5" thickBot="1" x14ac:dyDescent="0.35">
      <c r="A56" s="151">
        <f>IF(B56&lt;&gt;"",COUNTA($B$13:B56),"")</f>
        <v>38</v>
      </c>
      <c r="B56" s="188" t="s">
        <v>46</v>
      </c>
      <c r="E56" s="279" t="s">
        <v>326</v>
      </c>
      <c r="F56" s="135"/>
      <c r="G56" s="280"/>
      <c r="I56" s="279" t="s">
        <v>327</v>
      </c>
      <c r="J56" s="135"/>
      <c r="L56" s="279" t="s">
        <v>328</v>
      </c>
      <c r="M56" s="135"/>
      <c r="N56" s="137"/>
    </row>
    <row r="57" spans="1:17" ht="14" x14ac:dyDescent="0.3">
      <c r="A57" s="151">
        <f>IF(B57&lt;&gt;"",COUNTA($B$13:B57),"")</f>
        <v>39</v>
      </c>
      <c r="B57" s="144" t="s">
        <v>329</v>
      </c>
      <c r="C57" s="144"/>
      <c r="D57" s="144"/>
      <c r="E57" s="249" t="s">
        <v>148</v>
      </c>
      <c r="F57" s="250"/>
      <c r="G57" s="251" t="s">
        <v>330</v>
      </c>
      <c r="I57" s="249" t="s">
        <v>148</v>
      </c>
      <c r="J57" s="251" t="s">
        <v>330</v>
      </c>
      <c r="K57" s="212"/>
      <c r="L57" s="249" t="s">
        <v>148</v>
      </c>
      <c r="M57" s="252"/>
      <c r="N57" s="251" t="s">
        <v>330</v>
      </c>
    </row>
    <row r="58" spans="1:17" ht="14" x14ac:dyDescent="0.3">
      <c r="A58" s="151">
        <f>IF(B58&lt;&gt;"",COUNTA($B$13:B58),"")</f>
        <v>40</v>
      </c>
      <c r="B58" s="130" t="str">
        <f>'G0 CAMB'!B46</f>
        <v>Distribution</v>
      </c>
      <c r="C58" s="253" t="str">
        <f>'G0 CAMB'!C46</f>
        <v>DIST</v>
      </c>
      <c r="D58" s="253"/>
      <c r="E58" s="154">
        <f t="shared" ref="E58:E73" si="3">SUMIF($C$13:$C$49,$C58,$I$13:$I$49)</f>
        <v>34149505.798947878</v>
      </c>
      <c r="G58" s="254">
        <f t="shared" ref="G58:G79" si="4">+E58/($E$19+$E$27)*100</f>
        <v>3.5675587251534266</v>
      </c>
      <c r="I58" s="154">
        <f t="shared" ref="I58:I73" si="5">SUMIF($C$13:$C$49,$C58,$N$13:$N$49)</f>
        <v>35291436.52073545</v>
      </c>
      <c r="J58" s="254">
        <f>+I58/$E$19*100</f>
        <v>3.6869208675186025</v>
      </c>
      <c r="L58" s="154">
        <f t="shared" ref="L58:L78" si="6">I58-E58</f>
        <v>1141930.7217875719</v>
      </c>
      <c r="N58" s="254">
        <f>+J58-G58</f>
        <v>0.11936214236517584</v>
      </c>
      <c r="O58" s="272"/>
      <c r="Q58" s="154"/>
    </row>
    <row r="59" spans="1:17" ht="14" x14ac:dyDescent="0.3">
      <c r="A59" s="151">
        <f>IF(B59&lt;&gt;"",COUNTA($B$13:B59),"")</f>
        <v>41</v>
      </c>
      <c r="B59" s="130" t="str">
        <f>'G0 CAMB'!B47</f>
        <v>Revenue Decoupling</v>
      </c>
      <c r="C59" s="253" t="str">
        <f>'G0 CAMB'!C47</f>
        <v>RDAF</v>
      </c>
      <c r="D59" s="253"/>
      <c r="E59" s="154">
        <f t="shared" si="3"/>
        <v>0</v>
      </c>
      <c r="G59" s="254">
        <f t="shared" si="4"/>
        <v>0</v>
      </c>
      <c r="I59" s="154">
        <f t="shared" si="5"/>
        <v>-341178.39645581547</v>
      </c>
      <c r="J59" s="254">
        <f t="shared" ref="J59:J79" si="7">+I59/($E$19+$E$27)*100</f>
        <v>-3.5642505993375158E-2</v>
      </c>
      <c r="L59" s="154">
        <f>I59-E59</f>
        <v>-341178.39645581547</v>
      </c>
      <c r="N59" s="254">
        <f t="shared" ref="N59:N79" si="8">+L59/($E$19+$E$27)*100</f>
        <v>-3.5642505993375158E-2</v>
      </c>
      <c r="O59" s="272"/>
      <c r="Q59" s="154"/>
    </row>
    <row r="60" spans="1:17" ht="14" x14ac:dyDescent="0.3">
      <c r="A60" s="151">
        <f>IF(B60&lt;&gt;"",COUNTA($B$13:B60),"")</f>
        <v>42</v>
      </c>
      <c r="B60" s="130" t="str">
        <f>'G0 CAMB'!B48</f>
        <v>Residential Assistance Adjustment Factor</v>
      </c>
      <c r="C60" s="253" t="str">
        <f>'G0 CAMB'!C48</f>
        <v>RAAF</v>
      </c>
      <c r="D60" s="253"/>
      <c r="E60" s="154">
        <f t="shared" si="3"/>
        <v>2201613.7473448948</v>
      </c>
      <c r="G60" s="254">
        <f t="shared" si="4"/>
        <v>0.22999999999999998</v>
      </c>
      <c r="I60" s="154">
        <f t="shared" si="5"/>
        <v>2882366.8508412712</v>
      </c>
      <c r="J60" s="254">
        <f t="shared" si="7"/>
        <v>0.30111747643881265</v>
      </c>
      <c r="L60" s="154">
        <f t="shared" si="6"/>
        <v>680753.10349637643</v>
      </c>
      <c r="N60" s="254">
        <f t="shared" si="8"/>
        <v>7.1117476438812638E-2</v>
      </c>
      <c r="O60" s="272"/>
      <c r="Q60" s="154"/>
    </row>
    <row r="61" spans="1:17" ht="14" x14ac:dyDescent="0.3">
      <c r="A61" s="151">
        <f>IF(B61&lt;&gt;"",COUNTA($B$13:B61),"")</f>
        <v>43</v>
      </c>
      <c r="B61" s="130" t="str">
        <f>'G0 CAMB'!B49</f>
        <v>Pension Adjustment Factor</v>
      </c>
      <c r="C61" s="253" t="str">
        <f>'G0 CAMB'!C49</f>
        <v>PAF</v>
      </c>
      <c r="D61" s="253"/>
      <c r="E61" s="154">
        <f t="shared" si="3"/>
        <v>-76577.869472865917</v>
      </c>
      <c r="G61" s="254">
        <f t="shared" si="4"/>
        <v>-8.0000000000000002E-3</v>
      </c>
      <c r="I61" s="154">
        <f t="shared" si="5"/>
        <v>670748.89402908704</v>
      </c>
      <c r="J61" s="254">
        <f t="shared" si="7"/>
        <v>7.0072348436568163E-2</v>
      </c>
      <c r="L61" s="154">
        <f t="shared" si="6"/>
        <v>747326.76350195298</v>
      </c>
      <c r="N61" s="254">
        <f t="shared" si="8"/>
        <v>7.807234843656817E-2</v>
      </c>
      <c r="O61" s="272"/>
      <c r="Q61" s="154"/>
    </row>
    <row r="62" spans="1:17" ht="14" x14ac:dyDescent="0.3">
      <c r="A62" s="151">
        <f>IF(B62&lt;&gt;"",COUNTA($B$13:B62),"")</f>
        <v>44</v>
      </c>
      <c r="B62" s="130" t="str">
        <f>'G0 CAMB'!B50</f>
        <v>Net Metering Recovery Surcharge</v>
      </c>
      <c r="C62" s="253" t="str">
        <f>'G0 CAMB'!C50</f>
        <v>NMRS</v>
      </c>
      <c r="D62" s="253"/>
      <c r="E62" s="154">
        <f t="shared" si="3"/>
        <v>4336221.8589010322</v>
      </c>
      <c r="G62" s="254">
        <f t="shared" si="4"/>
        <v>0.45300000000000001</v>
      </c>
      <c r="I62" s="154">
        <f t="shared" si="5"/>
        <v>3758375.1675652647</v>
      </c>
      <c r="J62" s="254">
        <f t="shared" si="7"/>
        <v>0.39263303546432382</v>
      </c>
      <c r="L62" s="154">
        <f t="shared" si="6"/>
        <v>-577846.69133576751</v>
      </c>
      <c r="N62" s="254">
        <f t="shared" si="8"/>
        <v>-6.0366964535676235E-2</v>
      </c>
      <c r="O62" s="272"/>
      <c r="Q62" s="154"/>
    </row>
    <row r="63" spans="1:17" ht="14" x14ac:dyDescent="0.3">
      <c r="A63" s="151">
        <f>IF(B63&lt;&gt;"",COUNTA($B$13:B63),"")</f>
        <v>45</v>
      </c>
      <c r="B63" s="130" t="str">
        <f>'G0 CAMB'!B51</f>
        <v>Long Term Renewable Contract Adjustment</v>
      </c>
      <c r="C63" s="253" t="str">
        <f>'G0 CAMB'!C51</f>
        <v>LTRCA</v>
      </c>
      <c r="D63" s="253"/>
      <c r="E63" s="154">
        <f t="shared" si="3"/>
        <v>2259047.1494495445</v>
      </c>
      <c r="G63" s="254">
        <f t="shared" si="4"/>
        <v>0.23600000000000002</v>
      </c>
      <c r="I63" s="154">
        <f t="shared" si="5"/>
        <v>1661464.9278708256</v>
      </c>
      <c r="J63" s="254">
        <f t="shared" si="7"/>
        <v>0.17357128782064518</v>
      </c>
      <c r="L63" s="154">
        <f t="shared" si="6"/>
        <v>-597582.22157871886</v>
      </c>
      <c r="N63" s="254">
        <f t="shared" si="8"/>
        <v>-6.2428712179354862E-2</v>
      </c>
      <c r="O63" s="272"/>
      <c r="Q63" s="154"/>
    </row>
    <row r="64" spans="1:17" ht="14" x14ac:dyDescent="0.3">
      <c r="A64" s="151">
        <f>IF(B64&lt;&gt;"",COUNTA($B$13:B64),"")</f>
        <v>46</v>
      </c>
      <c r="B64" s="130" t="str">
        <f>'G0 CAMB'!B52</f>
        <v>AG Consulting Expense</v>
      </c>
      <c r="C64" s="253" t="str">
        <f>'G0 CAMB'!C52</f>
        <v>AGCE</v>
      </c>
      <c r="D64" s="253"/>
      <c r="E64" s="154">
        <f t="shared" si="3"/>
        <v>19144.467368216479</v>
      </c>
      <c r="G64" s="254">
        <f t="shared" si="4"/>
        <v>2E-3</v>
      </c>
      <c r="I64" s="154">
        <f t="shared" si="5"/>
        <v>6051.8951735856372</v>
      </c>
      <c r="J64" s="254">
        <f t="shared" si="7"/>
        <v>6.3223437426448916E-4</v>
      </c>
      <c r="L64" s="154">
        <f t="shared" si="6"/>
        <v>-13092.572194630842</v>
      </c>
      <c r="N64" s="254">
        <f t="shared" si="8"/>
        <v>-1.3677656257355113E-3</v>
      </c>
      <c r="O64" s="272"/>
      <c r="Q64" s="154"/>
    </row>
    <row r="65" spans="1:17" ht="14" x14ac:dyDescent="0.3">
      <c r="A65" s="151">
        <f>IF(B65&lt;&gt;"",COUNTA($B$13:B65),"")</f>
        <v>47</v>
      </c>
      <c r="B65" s="130" t="str">
        <f>'G0 CAMB'!B53</f>
        <v>Storm Cost Recovery Adjustment Factor</v>
      </c>
      <c r="C65" s="253" t="str">
        <f>'G0 CAMB'!C53</f>
        <v>SCRA</v>
      </c>
      <c r="D65" s="253"/>
      <c r="E65" s="154">
        <f t="shared" si="3"/>
        <v>1359257.1831433699</v>
      </c>
      <c r="G65" s="254">
        <f t="shared" si="4"/>
        <v>0.14200000000000002</v>
      </c>
      <c r="I65" s="154">
        <f t="shared" si="5"/>
        <v>2184708.9135278659</v>
      </c>
      <c r="J65" s="254">
        <f t="shared" si="7"/>
        <v>0.22823397188421191</v>
      </c>
      <c r="L65" s="154">
        <f>I65-E65</f>
        <v>825451.73038449604</v>
      </c>
      <c r="N65" s="254">
        <f t="shared" si="8"/>
        <v>8.6233971884211919E-2</v>
      </c>
      <c r="O65" s="272"/>
      <c r="Q65" s="154"/>
    </row>
    <row r="66" spans="1:17" ht="14" x14ac:dyDescent="0.3">
      <c r="A66" s="151">
        <f>IF(B66&lt;&gt;"",COUNTA($B$13:B66),"")</f>
        <v>48</v>
      </c>
      <c r="B66" s="130" t="str">
        <f>'G0 CAMB'!B54</f>
        <v>Storm Reserve Adjustment</v>
      </c>
      <c r="C66" s="253" t="str">
        <f>'G0 CAMB'!C54</f>
        <v>SRA</v>
      </c>
      <c r="D66" s="253"/>
      <c r="E66" s="154">
        <f t="shared" si="3"/>
        <v>0</v>
      </c>
      <c r="G66" s="254">
        <f t="shared" si="4"/>
        <v>0</v>
      </c>
      <c r="I66" s="154">
        <f t="shared" si="5"/>
        <v>0</v>
      </c>
      <c r="J66" s="254">
        <f t="shared" si="7"/>
        <v>0</v>
      </c>
      <c r="L66" s="154">
        <f>I66-E66</f>
        <v>0</v>
      </c>
      <c r="N66" s="254">
        <f t="shared" si="8"/>
        <v>0</v>
      </c>
      <c r="O66" s="272"/>
      <c r="Q66" s="154"/>
    </row>
    <row r="67" spans="1:17" ht="14" x14ac:dyDescent="0.3">
      <c r="A67" s="151">
        <f>IF(B67&lt;&gt;"",COUNTA($B$13:B67),"")</f>
        <v>49</v>
      </c>
      <c r="B67" s="130" t="str">
        <f>'G0 CAMB'!B55</f>
        <v>Basic Service Cost True Up Factor</v>
      </c>
      <c r="C67" s="253" t="str">
        <f>'G0 CAMB'!C55</f>
        <v>BSTF</v>
      </c>
      <c r="D67" s="253"/>
      <c r="E67" s="154">
        <f t="shared" si="3"/>
        <v>1177384.7431453133</v>
      </c>
      <c r="G67" s="254">
        <f t="shared" si="4"/>
        <v>0.123</v>
      </c>
      <c r="I67" s="154">
        <f t="shared" si="5"/>
        <v>-143030.10625185783</v>
      </c>
      <c r="J67" s="254">
        <f t="shared" si="7"/>
        <v>-1.4942187056017603E-2</v>
      </c>
      <c r="L67" s="154">
        <f>I67-E67</f>
        <v>-1320414.8493971713</v>
      </c>
      <c r="N67" s="254">
        <f t="shared" si="8"/>
        <v>-0.13794218705601763</v>
      </c>
      <c r="O67" s="272"/>
      <c r="Q67" s="154"/>
    </row>
    <row r="68" spans="1:17" ht="14" x14ac:dyDescent="0.3">
      <c r="A68" s="151">
        <f>IF(B68&lt;&gt;"",COUNTA($B$13:B68),"")</f>
        <v>50</v>
      </c>
      <c r="B68" s="130" t="str">
        <f>'G0 CAMB'!B56</f>
        <v>Solar Program Cost Adjustment Factor</v>
      </c>
      <c r="C68" s="253" t="str">
        <f>'G0 CAMB'!C56</f>
        <v>SPCA</v>
      </c>
      <c r="D68" s="253"/>
      <c r="E68" s="154">
        <f t="shared" si="3"/>
        <v>0</v>
      </c>
      <c r="G68" s="254">
        <f t="shared" si="4"/>
        <v>0</v>
      </c>
      <c r="I68" s="154">
        <f t="shared" si="5"/>
        <v>25454.283863479479</v>
      </c>
      <c r="J68" s="254">
        <f t="shared" si="7"/>
        <v>2.6591791115315668E-3</v>
      </c>
      <c r="L68" s="154">
        <f t="shared" si="6"/>
        <v>25454.283863479479</v>
      </c>
      <c r="N68" s="254">
        <f t="shared" si="8"/>
        <v>2.6591791115315668E-3</v>
      </c>
      <c r="Q68" s="154"/>
    </row>
    <row r="69" spans="1:17" ht="14" x14ac:dyDescent="0.3">
      <c r="A69" s="151">
        <f>IF(B69&lt;&gt;"",COUNTA($B$13:B69),"")</f>
        <v>51</v>
      </c>
      <c r="B69" s="130" t="str">
        <f>'G0 CAMB'!B57</f>
        <v>Solar Expansion Cost Recovery Factor</v>
      </c>
      <c r="C69" s="253" t="str">
        <f>'G0 CAMB'!C57</f>
        <v>SECRF</v>
      </c>
      <c r="D69" s="253"/>
      <c r="E69" s="154">
        <f t="shared" si="3"/>
        <v>0</v>
      </c>
      <c r="G69" s="254">
        <f t="shared" si="4"/>
        <v>0</v>
      </c>
      <c r="I69" s="154">
        <f t="shared" si="5"/>
        <v>448955.33492766513</v>
      </c>
      <c r="J69" s="254">
        <f t="shared" si="7"/>
        <v>4.6901836054526948E-2</v>
      </c>
      <c r="L69" s="154">
        <f t="shared" si="6"/>
        <v>448955.33492766513</v>
      </c>
      <c r="N69" s="254">
        <f t="shared" si="8"/>
        <v>4.6901836054526948E-2</v>
      </c>
      <c r="Q69" s="154"/>
    </row>
    <row r="70" spans="1:17" ht="14" x14ac:dyDescent="0.3">
      <c r="A70" s="151">
        <f>IF(B70&lt;&gt;"",COUNTA($B$13:B70),"")</f>
        <v>52</v>
      </c>
      <c r="B70" s="130" t="str">
        <f>'G0 CAMB'!B58</f>
        <v>Vegetation Management</v>
      </c>
      <c r="C70" s="253" t="str">
        <f>'G0 CAMB'!C58</f>
        <v>RTWF</v>
      </c>
      <c r="D70" s="253"/>
      <c r="E70" s="154">
        <f t="shared" si="3"/>
        <v>0</v>
      </c>
      <c r="G70" s="254">
        <f t="shared" si="4"/>
        <v>0</v>
      </c>
      <c r="I70" s="154">
        <f t="shared" si="5"/>
        <v>1200867.2228662344</v>
      </c>
      <c r="J70" s="254">
        <f t="shared" si="7"/>
        <v>0.12545318705078279</v>
      </c>
      <c r="L70" s="154">
        <f t="shared" si="6"/>
        <v>1200867.2228662344</v>
      </c>
      <c r="N70" s="254">
        <f t="shared" si="8"/>
        <v>0.12545318705078279</v>
      </c>
      <c r="Q70" s="154"/>
    </row>
    <row r="71" spans="1:17" ht="14" x14ac:dyDescent="0.3">
      <c r="A71" s="151">
        <f>IF(B71&lt;&gt;"",COUNTA($B$13:B71),"")</f>
        <v>53</v>
      </c>
      <c r="B71" s="130" t="str">
        <f>'G0 CAMB'!B59</f>
        <v>Solar Massachusetts Renewable Target</v>
      </c>
      <c r="C71" s="253" t="str">
        <f>'G0 CAMB'!C59</f>
        <v>SMART</v>
      </c>
      <c r="D71" s="253"/>
      <c r="E71" s="154">
        <f t="shared" si="3"/>
        <v>0</v>
      </c>
      <c r="G71" s="254">
        <f t="shared" si="4"/>
        <v>0</v>
      </c>
      <c r="I71" s="154">
        <f t="shared" si="5"/>
        <v>526014.17607943632</v>
      </c>
      <c r="J71" s="254">
        <f t="shared" si="7"/>
        <v>5.4952082600398869E-2</v>
      </c>
      <c r="L71" s="154">
        <f t="shared" si="6"/>
        <v>526014.17607943632</v>
      </c>
      <c r="N71" s="254">
        <f t="shared" si="8"/>
        <v>5.4952082600398869E-2</v>
      </c>
      <c r="Q71" s="154"/>
    </row>
    <row r="72" spans="1:17" ht="14" x14ac:dyDescent="0.3">
      <c r="A72" s="151">
        <f>IF(B72&lt;&gt;"",COUNTA($B$13:B72),"")</f>
        <v>54</v>
      </c>
      <c r="B72" s="130" t="str">
        <f>'G0 CAMB'!B60</f>
        <v>Tax Act Credit Factor</v>
      </c>
      <c r="C72" s="253" t="str">
        <f>'G0 CAMB'!C60</f>
        <v>TACF</v>
      </c>
      <c r="D72" s="253"/>
      <c r="E72" s="154">
        <f t="shared" si="3"/>
        <v>0</v>
      </c>
      <c r="G72" s="254">
        <f t="shared" si="4"/>
        <v>0</v>
      </c>
      <c r="I72" s="154">
        <f t="shared" si="5"/>
        <v>-796297.58754536055</v>
      </c>
      <c r="J72" s="254">
        <f t="shared" si="7"/>
        <v>-8.3188272854994E-2</v>
      </c>
      <c r="L72" s="154">
        <f t="shared" si="6"/>
        <v>-796297.58754536055</v>
      </c>
      <c r="N72" s="254">
        <f t="shared" si="8"/>
        <v>-8.3188272854994E-2</v>
      </c>
      <c r="Q72" s="154"/>
    </row>
    <row r="73" spans="1:17" ht="14" x14ac:dyDescent="0.3">
      <c r="A73" s="151">
        <f>IF(B73&lt;&gt;"",COUNTA($B$13:B73),"")</f>
        <v>55</v>
      </c>
      <c r="B73" s="130" t="str">
        <f>'G0 CAMB'!B61</f>
        <v>Transition</v>
      </c>
      <c r="C73" s="253" t="str">
        <f>'G0 CAMB'!C61</f>
        <v>TRNSN</v>
      </c>
      <c r="D73" s="253"/>
      <c r="E73" s="154">
        <f t="shared" si="3"/>
        <v>-583906.25473060249</v>
      </c>
      <c r="G73" s="254">
        <f t="shared" si="4"/>
        <v>-6.0999999999999999E-2</v>
      </c>
      <c r="I73" s="154">
        <f t="shared" si="5"/>
        <v>-498802.60159526276</v>
      </c>
      <c r="J73" s="254">
        <f t="shared" si="7"/>
        <v>-5.2109321403568713E-2</v>
      </c>
      <c r="L73" s="154">
        <f t="shared" si="6"/>
        <v>85103.653135339729</v>
      </c>
      <c r="N73" s="254">
        <f t="shared" si="8"/>
        <v>8.8906785964312889E-3</v>
      </c>
      <c r="Q73" s="154"/>
    </row>
    <row r="74" spans="1:17" ht="14" x14ac:dyDescent="0.3">
      <c r="A74" s="151">
        <f>IF(B74&lt;&gt;"",COUNTA($B$13:B74),"")</f>
        <v>56</v>
      </c>
      <c r="B74" s="130" t="str">
        <f>'G0 CAMB'!B62</f>
        <v>Transmission</v>
      </c>
      <c r="C74" s="253" t="str">
        <f>'G0 CAMB'!C62</f>
        <v>TRNSM</v>
      </c>
      <c r="D74" s="253"/>
      <c r="E74" s="154">
        <f>SUM(SUMIF($C$13:$C$49,{"TMKW","TMKWH"},$I$13:$I$49))</f>
        <v>25232407.991309319</v>
      </c>
      <c r="G74" s="254">
        <f t="shared" si="4"/>
        <v>2.6360000000000001</v>
      </c>
      <c r="I74" s="154">
        <f>SUM(SUMIF($C$13:$C$49,{"TMKW","TMKWH"},$N$13:$N$49))</f>
        <v>21870482.726644292</v>
      </c>
      <c r="J74" s="254">
        <f t="shared" si="7"/>
        <v>2.2847836198309208</v>
      </c>
      <c r="L74" s="154">
        <f t="shared" si="6"/>
        <v>-3361925.2646650262</v>
      </c>
      <c r="N74" s="254">
        <f t="shared" si="8"/>
        <v>-0.35121638016907936</v>
      </c>
      <c r="Q74" s="154"/>
    </row>
    <row r="75" spans="1:17" ht="14" x14ac:dyDescent="0.3">
      <c r="A75" s="151">
        <f>IF(B75&lt;&gt;"",COUNTA($B$13:B75),"")</f>
        <v>57</v>
      </c>
      <c r="B75" s="130" t="str">
        <f>'G0 CAMB'!B63</f>
        <v>Energy Efficiency Reconciliation Factor</v>
      </c>
      <c r="C75" s="253" t="str">
        <f>'G0 CAMB'!C63</f>
        <v>EERF</v>
      </c>
      <c r="D75" s="253"/>
      <c r="E75" s="154">
        <f>SUMIF($C$13:$C$49,$C75,$I$13:$I$49)</f>
        <v>8098109.6967555704</v>
      </c>
      <c r="G75" s="254">
        <f t="shared" si="4"/>
        <v>0.84600000000000009</v>
      </c>
      <c r="I75" s="154">
        <f>SUMIF($C$13:$C$49,$C75,$N$13:$N$49)</f>
        <v>8098109.6967555704</v>
      </c>
      <c r="J75" s="254">
        <f t="shared" si="7"/>
        <v>0.84600000000000009</v>
      </c>
      <c r="L75" s="154">
        <f t="shared" si="6"/>
        <v>0</v>
      </c>
      <c r="N75" s="254">
        <f t="shared" si="8"/>
        <v>0</v>
      </c>
      <c r="Q75" s="154"/>
    </row>
    <row r="76" spans="1:17" ht="14" x14ac:dyDescent="0.3">
      <c r="A76" s="151">
        <f>IF(B76&lt;&gt;"",COUNTA($B$13:B76),"")</f>
        <v>58</v>
      </c>
      <c r="B76" s="130" t="str">
        <f>'G0 CAMB'!B64</f>
        <v>System Benefits Charge</v>
      </c>
      <c r="C76" s="253" t="str">
        <f>'G0 CAMB'!C64</f>
        <v>SBC</v>
      </c>
      <c r="D76" s="253"/>
      <c r="E76" s="154">
        <f>SUMIF($C$13:$C$49,$C76,$I$13:$I$49)</f>
        <v>2393058.4210270597</v>
      </c>
      <c r="G76" s="254">
        <f t="shared" si="4"/>
        <v>0.25</v>
      </c>
      <c r="I76" s="154">
        <f>SUMIF($C$13:$C$49,$C76,$N$13:$N$49)</f>
        <v>2393058.4210270597</v>
      </c>
      <c r="J76" s="254">
        <f t="shared" si="7"/>
        <v>0.25</v>
      </c>
      <c r="L76" s="154">
        <f t="shared" si="6"/>
        <v>0</v>
      </c>
      <c r="N76" s="254">
        <f t="shared" si="8"/>
        <v>0</v>
      </c>
      <c r="Q76" s="154"/>
    </row>
    <row r="77" spans="1:17" ht="14" x14ac:dyDescent="0.3">
      <c r="A77" s="151">
        <f>IF(B77&lt;&gt;"",COUNTA($B$13:B77),"")</f>
        <v>59</v>
      </c>
      <c r="B77" s="130" t="str">
        <f>'G0 CAMB'!B65</f>
        <v>Renewable Energy Charge</v>
      </c>
      <c r="C77" s="253" t="str">
        <f>'G0 CAMB'!C65</f>
        <v>RNEW</v>
      </c>
      <c r="D77" s="253"/>
      <c r="E77" s="154">
        <f>SUMIF($C$13:$C$49,$C77,$I$13:$I$49)</f>
        <v>478611.68420541193</v>
      </c>
      <c r="G77" s="254">
        <f t="shared" si="4"/>
        <v>0.05</v>
      </c>
      <c r="I77" s="154">
        <f>SUMIF($C$13:$C$49,$C77,$N$13:$N$49)</f>
        <v>478611.68420541193</v>
      </c>
      <c r="J77" s="254">
        <f t="shared" si="7"/>
        <v>0.05</v>
      </c>
      <c r="L77" s="154">
        <f>I77-E77</f>
        <v>0</v>
      </c>
      <c r="N77" s="254">
        <f t="shared" si="8"/>
        <v>0</v>
      </c>
      <c r="Q77" s="154"/>
    </row>
    <row r="78" spans="1:17" ht="14" x14ac:dyDescent="0.3">
      <c r="A78" s="151">
        <f>IF(B78&lt;&gt;"",COUNTA($B$13:B78),"")</f>
        <v>60</v>
      </c>
      <c r="B78" s="130" t="str">
        <f>'G0 CAMB'!B66</f>
        <v>Basic Service Charge</v>
      </c>
      <c r="C78" s="253" t="str">
        <f>'G0 CAMB'!C66</f>
        <v>BS</v>
      </c>
      <c r="D78" s="253"/>
      <c r="E78" s="255">
        <f>SUMIF($C$13:$C$49,$C78,$I$13:$I$49)</f>
        <v>109152180.69988625</v>
      </c>
      <c r="F78" s="256"/>
      <c r="G78" s="257">
        <f t="shared" si="4"/>
        <v>11.403</v>
      </c>
      <c r="H78" s="258"/>
      <c r="I78" s="255">
        <f>SUMIF($C$13:$C$49,$C78,$N$13:$N$49)</f>
        <v>126209901.12496714</v>
      </c>
      <c r="J78" s="257">
        <f t="shared" si="7"/>
        <v>13.185000000000002</v>
      </c>
      <c r="K78" s="255"/>
      <c r="L78" s="255">
        <f t="shared" si="6"/>
        <v>17057720.425080895</v>
      </c>
      <c r="M78" s="259"/>
      <c r="N78" s="257">
        <f t="shared" si="8"/>
        <v>1.7820000000000016</v>
      </c>
      <c r="Q78" s="154"/>
    </row>
    <row r="79" spans="1:17" ht="14" x14ac:dyDescent="0.3">
      <c r="A79" s="151">
        <f>IF(B79&lt;&gt;"",COUNTA($B$13:B79),"")</f>
        <v>61</v>
      </c>
      <c r="B79" s="130" t="str">
        <f>'G0 CAMB'!B67</f>
        <v>Total</v>
      </c>
      <c r="C79" s="130"/>
      <c r="D79" s="130"/>
      <c r="E79" s="154">
        <f>SUM(E58:E78)</f>
        <v>190196059.31728041</v>
      </c>
      <c r="G79" s="254">
        <f t="shared" si="4"/>
        <v>19.869558725153428</v>
      </c>
      <c r="I79" s="154">
        <f>SUM(I58:I78)</f>
        <v>205927299.14923137</v>
      </c>
      <c r="J79" s="254">
        <f t="shared" si="7"/>
        <v>21.512982856980454</v>
      </c>
      <c r="L79" s="154">
        <f>SUM(L58:L78)</f>
        <v>15731239.831950957</v>
      </c>
      <c r="N79" s="254">
        <f t="shared" si="8"/>
        <v>1.6434241318270217</v>
      </c>
      <c r="Q79" s="154"/>
    </row>
    <row r="80" spans="1:17" ht="14" x14ac:dyDescent="0.3">
      <c r="A80" s="151" t="str">
        <f>IF(B80&lt;&gt;"",COUNTA($B$10:B80),"")</f>
        <v/>
      </c>
      <c r="Q80" s="154"/>
    </row>
    <row r="81" spans="1:17" ht="14" x14ac:dyDescent="0.3">
      <c r="A81" s="151"/>
      <c r="B81" s="256" t="s">
        <v>164</v>
      </c>
      <c r="E81" s="188"/>
      <c r="G81" s="188"/>
      <c r="H81" s="188"/>
      <c r="I81" s="188"/>
      <c r="J81" s="188"/>
      <c r="K81" s="188"/>
      <c r="L81" s="188"/>
      <c r="M81" s="188"/>
      <c r="N81" s="188"/>
      <c r="Q81" s="154"/>
    </row>
    <row r="82" spans="1:17" ht="14" x14ac:dyDescent="0.3">
      <c r="A82" s="151"/>
      <c r="B82" s="188" t="s">
        <v>490</v>
      </c>
      <c r="Q82" s="154"/>
    </row>
    <row r="83" spans="1:17" ht="14" x14ac:dyDescent="0.3">
      <c r="A83" s="151"/>
      <c r="B83" s="188" t="s">
        <v>332</v>
      </c>
      <c r="Q83" s="154"/>
    </row>
    <row r="84" spans="1:17" ht="14" x14ac:dyDescent="0.3">
      <c r="A84" s="151"/>
      <c r="B84" s="188" t="s">
        <v>333</v>
      </c>
    </row>
    <row r="85" spans="1:17" ht="14" x14ac:dyDescent="0.3">
      <c r="A85" s="151"/>
      <c r="B85" s="188" t="s">
        <v>491</v>
      </c>
    </row>
    <row r="86" spans="1:17" ht="14" x14ac:dyDescent="0.3">
      <c r="A86" s="151"/>
      <c r="B86" s="188" t="s">
        <v>492</v>
      </c>
    </row>
  </sheetData>
  <mergeCells count="6">
    <mergeCell ref="A4:N4"/>
    <mergeCell ref="A5:N5"/>
    <mergeCell ref="A7:N7"/>
    <mergeCell ref="A8:N8"/>
    <mergeCell ref="G10:I10"/>
    <mergeCell ref="L10:N10"/>
  </mergeCells>
  <pageMargins left="0.7" right="0.7" top="0.75" bottom="0.75" header="0.3" footer="0.3"/>
  <pageSetup scale="57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AD359-08E4-42A1-8F3D-139A508C0BEF}">
  <sheetPr>
    <tabColor theme="9" tint="0.59999389629810485"/>
    <pageSetUpPr fitToPage="1"/>
  </sheetPr>
  <dimension ref="A3:Q79"/>
  <sheetViews>
    <sheetView workbookViewId="0"/>
  </sheetViews>
  <sheetFormatPr defaultRowHeight="12.5" x14ac:dyDescent="0.25"/>
  <cols>
    <col min="1" max="1" width="3.26953125" bestFit="1" customWidth="1"/>
    <col min="2" max="2" width="41.1796875" customWidth="1"/>
    <col min="3" max="3" width="8.81640625" bestFit="1" customWidth="1"/>
    <col min="4" max="4" width="1.26953125" customWidth="1"/>
    <col min="5" max="5" width="13.7265625" bestFit="1" customWidth="1"/>
    <col min="6" max="6" width="1.26953125" customWidth="1"/>
    <col min="7" max="7" width="12.7265625" customWidth="1"/>
    <col min="8" max="8" width="1.26953125" customWidth="1"/>
    <col min="9" max="9" width="12" bestFit="1" customWidth="1"/>
    <col min="11" max="11" width="1.26953125" customWidth="1"/>
    <col min="12" max="12" width="12.7265625" customWidth="1"/>
    <col min="13" max="13" width="1.26953125" customWidth="1"/>
    <col min="14" max="14" width="12" bestFit="1" customWidth="1"/>
  </cols>
  <sheetData>
    <row r="3" spans="1:17" ht="14" x14ac:dyDescent="0.3">
      <c r="A3" s="268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</row>
    <row r="4" spans="1:17" ht="14" x14ac:dyDescent="0.3">
      <c r="A4" s="748" t="str">
        <f>'R1 EMA'!A4:N4</f>
        <v>Eastern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7" ht="14" x14ac:dyDescent="0.3">
      <c r="A5" s="748" t="str">
        <f>'R1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7" ht="14" x14ac:dyDescent="0.3">
      <c r="A6" s="205"/>
      <c r="C6" s="205"/>
      <c r="D6" s="205"/>
      <c r="E6" s="206"/>
      <c r="F6" s="207"/>
      <c r="G6" s="208"/>
      <c r="H6" s="209"/>
      <c r="I6" s="210"/>
      <c r="J6" s="210"/>
      <c r="K6" s="210"/>
      <c r="L6" s="211"/>
      <c r="M6" s="211"/>
      <c r="N6" s="212"/>
    </row>
    <row r="7" spans="1:17" ht="14" x14ac:dyDescent="0.3">
      <c r="A7" s="748" t="s">
        <v>476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7" ht="14" x14ac:dyDescent="0.3">
      <c r="A8" s="748" t="s">
        <v>493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7" ht="14" x14ac:dyDescent="0.3">
      <c r="B9" s="207"/>
      <c r="C9" s="207"/>
      <c r="D9" s="207"/>
      <c r="E9" s="213"/>
      <c r="F9" s="207"/>
      <c r="I9" s="210"/>
      <c r="J9" s="210"/>
      <c r="K9" s="210"/>
      <c r="L9" s="214"/>
      <c r="M9" s="214"/>
      <c r="N9" s="215"/>
    </row>
    <row r="10" spans="1:17" ht="14.5" thickBot="1" x14ac:dyDescent="0.35">
      <c r="A10" s="151"/>
      <c r="B10" s="216" t="s">
        <v>46</v>
      </c>
      <c r="C10" s="216"/>
      <c r="D10" s="216"/>
      <c r="E10" s="217" t="s">
        <v>144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7" ht="14" x14ac:dyDescent="0.3">
      <c r="A11" s="151"/>
      <c r="B11" s="219" t="s">
        <v>293</v>
      </c>
      <c r="C11" s="220" t="s">
        <v>294</v>
      </c>
      <c r="D11" s="220"/>
      <c r="E11" s="221" t="s">
        <v>295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7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7" ht="14" x14ac:dyDescent="0.3">
      <c r="A13" s="151">
        <f>IF(B13&lt;&gt;"",COUNTA($B$13:B13),"")</f>
        <v>1</v>
      </c>
      <c r="B13" s="232" t="str">
        <f>+'G1 SOUTH'!B13</f>
        <v>Customer Charge</v>
      </c>
      <c r="C13" s="233" t="str">
        <f>+'G1 SOUTH'!C13</f>
        <v>CUST</v>
      </c>
      <c r="D13" s="233"/>
      <c r="E13" s="234">
        <v>41394.975327192202</v>
      </c>
      <c r="F13" s="207"/>
      <c r="G13" s="209">
        <v>6</v>
      </c>
      <c r="H13" s="209"/>
      <c r="I13" s="210">
        <f>G13*E13</f>
        <v>248369.85196315323</v>
      </c>
      <c r="J13" s="235"/>
      <c r="K13" s="210"/>
      <c r="L13" s="209">
        <v>6</v>
      </c>
      <c r="M13" s="211"/>
      <c r="N13" s="210">
        <f>L13*E13</f>
        <v>248369.85196315323</v>
      </c>
      <c r="O13" s="272"/>
      <c r="P13" s="234"/>
      <c r="Q13" s="154"/>
    </row>
    <row r="14" spans="1:17" ht="14" x14ac:dyDescent="0.3">
      <c r="A14" s="151">
        <f>IF(B14&lt;&gt;"",COUNTA($B$13:B14),"")</f>
        <v>2</v>
      </c>
      <c r="B14" s="232" t="str">
        <f>+'G1 SOUTH'!B14</f>
        <v>Distribution Demand &lt;=10 kW</v>
      </c>
      <c r="C14" s="233" t="str">
        <f>+'G1 SOUTH'!C14</f>
        <v>DKW1</v>
      </c>
      <c r="D14" s="233"/>
      <c r="E14" s="234">
        <v>33641.821747429567</v>
      </c>
      <c r="F14" s="207"/>
      <c r="G14" s="209">
        <v>0</v>
      </c>
      <c r="H14" s="209"/>
      <c r="I14" s="210">
        <f t="shared" ref="I14:I18" si="0">G14*E14</f>
        <v>0</v>
      </c>
      <c r="J14" s="235"/>
      <c r="K14" s="210"/>
      <c r="L14" s="209">
        <v>0</v>
      </c>
      <c r="M14" s="211"/>
      <c r="N14" s="210">
        <f t="shared" ref="N14:N18" si="1">L14*E14</f>
        <v>0</v>
      </c>
      <c r="O14" s="272"/>
      <c r="P14" s="234"/>
      <c r="Q14" s="154"/>
    </row>
    <row r="15" spans="1:17" ht="14" x14ac:dyDescent="0.3">
      <c r="A15" s="151">
        <f>IF(B15&lt;&gt;"",COUNTA($B$13:B15),"")</f>
        <v>3</v>
      </c>
      <c r="B15" s="232" t="str">
        <f>+'G1 SOUTH'!B15</f>
        <v>Distribution Demand &gt;10 kW</v>
      </c>
      <c r="C15" s="233" t="str">
        <f>+'G1 SOUTH'!C15</f>
        <v>DKW2</v>
      </c>
      <c r="D15" s="233"/>
      <c r="E15" s="234">
        <v>34950.486573046575</v>
      </c>
      <c r="F15" s="207"/>
      <c r="G15" s="209">
        <v>4.25</v>
      </c>
      <c r="H15" s="209"/>
      <c r="I15" s="210">
        <f t="shared" si="0"/>
        <v>148539.56793544794</v>
      </c>
      <c r="J15" s="235"/>
      <c r="K15" s="210"/>
      <c r="L15" s="209">
        <v>4.41</v>
      </c>
      <c r="M15" s="211"/>
      <c r="N15" s="210">
        <f t="shared" si="1"/>
        <v>154131.64578713541</v>
      </c>
      <c r="O15" s="272"/>
      <c r="P15" s="234"/>
      <c r="Q15" s="154"/>
    </row>
    <row r="16" spans="1:17" ht="14" x14ac:dyDescent="0.3">
      <c r="A16" s="151">
        <f>IF(B16&lt;&gt;"",COUNTA($B$13:B16),"")</f>
        <v>4</v>
      </c>
      <c r="B16" s="232" t="str">
        <f>+'G1 SOUTH'!B16</f>
        <v>Distribution Demand - Total</v>
      </c>
      <c r="C16" s="233" t="str">
        <f>+'G1 SOUTH'!C16</f>
        <v>DKW</v>
      </c>
      <c r="D16" s="233"/>
      <c r="E16" s="234">
        <v>68592.30832047615</v>
      </c>
      <c r="F16" s="207"/>
      <c r="G16" s="209"/>
      <c r="H16" s="209"/>
      <c r="I16" s="210"/>
      <c r="J16" s="235"/>
      <c r="K16" s="210"/>
      <c r="L16" s="209"/>
      <c r="M16" s="211"/>
      <c r="N16" s="210"/>
      <c r="O16" s="272"/>
      <c r="P16" s="234"/>
      <c r="Q16" s="154"/>
    </row>
    <row r="17" spans="1:17" ht="14" x14ac:dyDescent="0.3">
      <c r="A17" s="151">
        <f>IF(B17&lt;&gt;"",COUNTA($B$13:B17),"")</f>
        <v>5</v>
      </c>
      <c r="B17" s="207" t="s">
        <v>494</v>
      </c>
      <c r="C17" s="233" t="s">
        <v>442</v>
      </c>
      <c r="D17" s="233"/>
      <c r="E17" s="234">
        <v>13722524.739880135</v>
      </c>
      <c r="F17" s="207"/>
      <c r="G17" s="236">
        <v>7.5060000000000002E-2</v>
      </c>
      <c r="H17" s="209"/>
      <c r="I17" s="210">
        <f t="shared" si="0"/>
        <v>1030012.706975403</v>
      </c>
      <c r="J17" s="235"/>
      <c r="K17" s="210"/>
      <c r="L17" s="236">
        <v>7.7929999999999999E-2</v>
      </c>
      <c r="M17" s="211"/>
      <c r="N17" s="210">
        <f t="shared" si="1"/>
        <v>1069396.3529788589</v>
      </c>
      <c r="O17" s="272"/>
      <c r="P17" s="234"/>
      <c r="Q17" s="154"/>
    </row>
    <row r="18" spans="1:17" ht="14" x14ac:dyDescent="0.3">
      <c r="A18" s="151">
        <f>IF(B18&lt;&gt;"",COUNTA($B$13:B18),"")</f>
        <v>6</v>
      </c>
      <c r="B18" s="207" t="s">
        <v>495</v>
      </c>
      <c r="C18" s="233" t="s">
        <v>444</v>
      </c>
      <c r="D18" s="233"/>
      <c r="E18" s="234">
        <v>11918415.13425491</v>
      </c>
      <c r="F18" s="207"/>
      <c r="G18" s="236">
        <v>2.385E-2</v>
      </c>
      <c r="H18" s="209"/>
      <c r="I18" s="210">
        <f t="shared" si="0"/>
        <v>284254.20095197961</v>
      </c>
      <c r="J18" s="235"/>
      <c r="K18" s="210"/>
      <c r="L18" s="236">
        <v>2.4760000000000001E-2</v>
      </c>
      <c r="M18" s="211"/>
      <c r="N18" s="210">
        <f t="shared" si="1"/>
        <v>295099.9587241516</v>
      </c>
      <c r="O18" s="272"/>
      <c r="P18" s="234"/>
      <c r="Q18" s="154"/>
    </row>
    <row r="19" spans="1:17" ht="14" x14ac:dyDescent="0.3">
      <c r="A19" s="151">
        <f>IF(B19&lt;&gt;"",COUNTA($B$13:B19),"")</f>
        <v>7</v>
      </c>
      <c r="B19" s="207" t="s">
        <v>352</v>
      </c>
      <c r="C19" s="233" t="s">
        <v>299</v>
      </c>
      <c r="D19" s="233"/>
      <c r="E19" s="234">
        <v>25640939.874135047</v>
      </c>
      <c r="F19" s="207"/>
      <c r="G19" s="236"/>
      <c r="H19" s="209"/>
      <c r="I19" s="237"/>
      <c r="J19" s="235"/>
      <c r="K19" s="210"/>
      <c r="L19" s="281"/>
      <c r="M19" s="211"/>
      <c r="N19" s="237"/>
      <c r="O19" s="272"/>
      <c r="P19" s="273"/>
    </row>
    <row r="20" spans="1:17" ht="14" x14ac:dyDescent="0.3">
      <c r="A20" s="151">
        <f>IF(B20&lt;&gt;"",COUNTA($B$13:B20),"")</f>
        <v>8</v>
      </c>
      <c r="B20" s="207" t="s">
        <v>300</v>
      </c>
      <c r="C20" s="233" t="s">
        <v>301</v>
      </c>
      <c r="D20" s="233"/>
      <c r="E20" s="234"/>
      <c r="F20" s="207"/>
      <c r="G20" s="209"/>
      <c r="H20" s="209"/>
      <c r="I20" s="210">
        <f>SUM(I13:I19)</f>
        <v>1711176.3278259835</v>
      </c>
      <c r="J20" s="235"/>
      <c r="K20" s="210"/>
      <c r="L20" s="238"/>
      <c r="M20" s="211"/>
      <c r="N20" s="210">
        <f>SUM(N13:N19)</f>
        <v>1766997.809453299</v>
      </c>
      <c r="O20" s="272"/>
      <c r="P20" s="210"/>
      <c r="Q20" s="154"/>
    </row>
    <row r="21" spans="1:17" ht="14" x14ac:dyDescent="0.3">
      <c r="A21" s="151" t="str">
        <f>IF(B21&lt;&gt;"",COUNTA($B$13:B21),"")</f>
        <v/>
      </c>
      <c r="B21" s="207"/>
      <c r="C21" s="233"/>
      <c r="D21" s="233"/>
      <c r="E21" s="234"/>
      <c r="F21" s="207"/>
      <c r="G21" s="209"/>
      <c r="H21" s="209"/>
      <c r="I21" s="210"/>
      <c r="J21" s="235"/>
      <c r="K21" s="210"/>
      <c r="L21" s="238"/>
      <c r="M21" s="211"/>
      <c r="N21" s="210"/>
      <c r="O21" s="272"/>
      <c r="P21" s="210"/>
      <c r="Q21" s="154"/>
    </row>
    <row r="22" spans="1:17" ht="14" x14ac:dyDescent="0.3">
      <c r="A22" s="151">
        <f>IF(B22&lt;&gt;"",COUNTA($B$13:B22),"")</f>
        <v>9</v>
      </c>
      <c r="B22" s="228" t="s">
        <v>302</v>
      </c>
      <c r="F22" s="239"/>
      <c r="G22" s="240"/>
      <c r="H22" s="211"/>
      <c r="I22" s="210"/>
      <c r="K22" s="210"/>
      <c r="L22" s="241"/>
      <c r="M22" s="211"/>
      <c r="N22" s="210"/>
      <c r="O22" s="272"/>
    </row>
    <row r="23" spans="1:17" ht="14" x14ac:dyDescent="0.3">
      <c r="A23" s="151">
        <f>IF(B23&lt;&gt;"",COUNTA($B$13:B23),"")</f>
        <v>10</v>
      </c>
      <c r="B23" s="207" t="str">
        <f>+'G1 SOUTH'!B30</f>
        <v>Revenue Decoupling</v>
      </c>
      <c r="C23" s="233" t="str">
        <f>+'G1 SOUTH'!C30</f>
        <v>RDAF</v>
      </c>
      <c r="D23" s="233"/>
      <c r="E23" s="242"/>
      <c r="F23" s="239"/>
      <c r="G23" s="236">
        <v>0</v>
      </c>
      <c r="H23" s="211"/>
      <c r="I23" s="210">
        <f>G23*$E$19</f>
        <v>0</v>
      </c>
      <c r="K23" s="210"/>
      <c r="L23" s="236">
        <v>-3.564250599337516E-4</v>
      </c>
      <c r="M23" s="211"/>
      <c r="N23" s="210">
        <f>$E$19*L23</f>
        <v>-9139.073531396305</v>
      </c>
      <c r="O23" s="272"/>
      <c r="P23" s="234"/>
    </row>
    <row r="24" spans="1:17" ht="14" x14ac:dyDescent="0.3">
      <c r="A24" s="151">
        <f>IF(B24&lt;&gt;"",COUNTA($B$13:B24),"")</f>
        <v>11</v>
      </c>
      <c r="B24" s="207" t="str">
        <f>+'G1 SOUTH'!B31</f>
        <v>Residential Assistance Adjustment Factor</v>
      </c>
      <c r="C24" s="233" t="str">
        <f>+'G1 SOUTH'!C31</f>
        <v>RAAF</v>
      </c>
      <c r="D24" s="243"/>
      <c r="E24" s="206"/>
      <c r="F24" s="239"/>
      <c r="G24" s="236">
        <v>2.3E-3</v>
      </c>
      <c r="H24" s="211"/>
      <c r="I24" s="210">
        <f t="shared" ref="I24:I42" si="2">G24*$E$19</f>
        <v>58974.161710510605</v>
      </c>
      <c r="K24" s="210"/>
      <c r="L24" s="236">
        <v>3.0111747643881263E-3</v>
      </c>
      <c r="M24" s="211"/>
      <c r="N24" s="210">
        <f t="shared" ref="N24:N42" si="3">$E$19*L24</f>
        <v>77209.351084188718</v>
      </c>
      <c r="O24" s="272"/>
      <c r="P24" s="234"/>
      <c r="Q24" s="210"/>
    </row>
    <row r="25" spans="1:17" ht="14" x14ac:dyDescent="0.3">
      <c r="A25" s="151">
        <f>IF(B25&lt;&gt;"",COUNTA($B$13:B25),"")</f>
        <v>12</v>
      </c>
      <c r="B25" s="207" t="str">
        <f>+'G1 SOUTH'!B32</f>
        <v>Pension Adjustment Factor</v>
      </c>
      <c r="C25" s="233" t="str">
        <f>+'G1 SOUTH'!C32</f>
        <v>PAF</v>
      </c>
      <c r="D25" s="243"/>
      <c r="E25" s="206"/>
      <c r="F25" s="239"/>
      <c r="G25" s="236">
        <v>-8.0000000000000007E-5</v>
      </c>
      <c r="H25" s="211"/>
      <c r="I25" s="210">
        <f t="shared" si="2"/>
        <v>-2051.2751899308041</v>
      </c>
      <c r="K25" s="210"/>
      <c r="L25" s="236">
        <v>7.0072348436568167E-4</v>
      </c>
      <c r="M25" s="211"/>
      <c r="N25" s="210">
        <f t="shared" si="3"/>
        <v>17967.208731014853</v>
      </c>
      <c r="O25" s="272"/>
      <c r="P25" s="274"/>
    </row>
    <row r="26" spans="1:17" ht="14" x14ac:dyDescent="0.3">
      <c r="A26" s="151">
        <f>IF(B26&lt;&gt;"",COUNTA($B$13:B26),"")</f>
        <v>13</v>
      </c>
      <c r="B26" s="207" t="str">
        <f>+'G1 SOUTH'!B33</f>
        <v>Net Metering Recovery Surcharge</v>
      </c>
      <c r="C26" s="233" t="str">
        <f>+'G1 SOUTH'!C33</f>
        <v>NMRS</v>
      </c>
      <c r="D26" s="243"/>
      <c r="E26" s="206"/>
      <c r="F26" s="239"/>
      <c r="G26" s="236">
        <v>4.5300000000000002E-3</v>
      </c>
      <c r="H26" s="211"/>
      <c r="I26" s="210">
        <f t="shared" si="2"/>
        <v>116153.45762983177</v>
      </c>
      <c r="K26" s="210"/>
      <c r="L26" s="236">
        <v>3.926330354643238E-3</v>
      </c>
      <c r="M26" s="211"/>
      <c r="N26" s="210">
        <f t="shared" si="3"/>
        <v>100674.8005493986</v>
      </c>
      <c r="O26" s="272"/>
      <c r="P26" s="274"/>
    </row>
    <row r="27" spans="1:17" ht="14" x14ac:dyDescent="0.3">
      <c r="A27" s="151">
        <f>IF(B27&lt;&gt;"",COUNTA($B$13:B27),"")</f>
        <v>14</v>
      </c>
      <c r="B27" s="207" t="str">
        <f>+'G1 SOUTH'!B34</f>
        <v>Long Term Renewable Contract Adjustment</v>
      </c>
      <c r="C27" s="233" t="str">
        <f>+'G1 SOUTH'!C34</f>
        <v>LTRCA</v>
      </c>
      <c r="D27" s="243"/>
      <c r="E27" s="206"/>
      <c r="F27" s="239"/>
      <c r="G27" s="236">
        <v>2.3600000000000001E-3</v>
      </c>
      <c r="H27" s="211"/>
      <c r="I27" s="210">
        <f t="shared" si="2"/>
        <v>60512.618102958717</v>
      </c>
      <c r="K27" s="210"/>
      <c r="L27" s="236">
        <v>1.7357128782064517E-3</v>
      </c>
      <c r="M27" s="211"/>
      <c r="N27" s="210">
        <f t="shared" si="3"/>
        <v>44505.309548853518</v>
      </c>
      <c r="O27" s="272"/>
      <c r="P27" s="275"/>
    </row>
    <row r="28" spans="1:17" ht="14" x14ac:dyDescent="0.3">
      <c r="A28" s="151">
        <f>IF(B28&lt;&gt;"",COUNTA($B$13:B28),"")</f>
        <v>15</v>
      </c>
      <c r="B28" s="207" t="str">
        <f>+'G1 SOUTH'!B35</f>
        <v>AG Consulting Expense</v>
      </c>
      <c r="C28" s="233" t="str">
        <f>+'G1 SOUTH'!C35</f>
        <v>AGCE</v>
      </c>
      <c r="D28" s="243"/>
      <c r="E28" s="206"/>
      <c r="F28" s="239"/>
      <c r="G28" s="236">
        <v>2.0000000000000002E-5</v>
      </c>
      <c r="H28" s="211"/>
      <c r="I28" s="210">
        <f t="shared" si="2"/>
        <v>512.81879748270103</v>
      </c>
      <c r="K28" s="210"/>
      <c r="L28" s="236">
        <v>6.3223437426448912E-6</v>
      </c>
      <c r="M28" s="211"/>
      <c r="N28" s="210">
        <f t="shared" si="3"/>
        <v>162.11083576877161</v>
      </c>
      <c r="O28" s="272"/>
      <c r="P28" s="274"/>
    </row>
    <row r="29" spans="1:17" ht="14" x14ac:dyDescent="0.3">
      <c r="A29" s="151">
        <f>IF(B29&lt;&gt;"",COUNTA($B$13:B29),"")</f>
        <v>16</v>
      </c>
      <c r="B29" s="207" t="str">
        <f>+'G1 SOUTH'!B36</f>
        <v>Storm Cost Recovery Adjustment Factor</v>
      </c>
      <c r="C29" s="233" t="str">
        <f>+'G1 SOUTH'!C36</f>
        <v>SCRA</v>
      </c>
      <c r="D29" s="243"/>
      <c r="E29" s="206"/>
      <c r="F29" s="239"/>
      <c r="G29" s="236">
        <v>1.42E-3</v>
      </c>
      <c r="H29" s="211"/>
      <c r="I29" s="210">
        <f t="shared" si="2"/>
        <v>36410.134621271769</v>
      </c>
      <c r="K29" s="210"/>
      <c r="L29" s="236">
        <v>2.2823397188421191E-3</v>
      </c>
      <c r="M29" s="211"/>
      <c r="N29" s="210">
        <f t="shared" si="3"/>
        <v>58521.335503181064</v>
      </c>
      <c r="O29" s="272"/>
      <c r="P29" s="274"/>
    </row>
    <row r="30" spans="1:17" ht="14" x14ac:dyDescent="0.3">
      <c r="A30" s="151">
        <f>IF(B30&lt;&gt;"",COUNTA($B$13:B30),"")</f>
        <v>17</v>
      </c>
      <c r="B30" s="207" t="str">
        <f>+'G1 SOUTH'!B37</f>
        <v>Storm Reserve Adjustment</v>
      </c>
      <c r="C30" s="233" t="str">
        <f>+'G1 SOUTH'!C37</f>
        <v>SRA</v>
      </c>
      <c r="D30" s="243"/>
      <c r="E30" s="206"/>
      <c r="F30" s="239"/>
      <c r="G30" s="236">
        <v>0</v>
      </c>
      <c r="H30" s="211"/>
      <c r="I30" s="210">
        <f t="shared" si="2"/>
        <v>0</v>
      </c>
      <c r="K30" s="210"/>
      <c r="L30" s="236">
        <v>0</v>
      </c>
      <c r="M30" s="211"/>
      <c r="N30" s="210">
        <f t="shared" si="3"/>
        <v>0</v>
      </c>
      <c r="O30" s="272"/>
      <c r="P30" s="274"/>
    </row>
    <row r="31" spans="1:17" ht="14" x14ac:dyDescent="0.3">
      <c r="A31" s="151">
        <f>IF(B31&lt;&gt;"",COUNTA($B$13:B31),"")</f>
        <v>18</v>
      </c>
      <c r="B31" s="207" t="str">
        <f>+'G1 SOUTH'!B38</f>
        <v>Basic Service Cost True Up Factor</v>
      </c>
      <c r="C31" s="233" t="str">
        <f>+'G1 SOUTH'!C38</f>
        <v>BSTF</v>
      </c>
      <c r="D31" s="243"/>
      <c r="E31" s="206"/>
      <c r="F31" s="239"/>
      <c r="G31" s="236">
        <v>1.23E-3</v>
      </c>
      <c r="H31" s="211"/>
      <c r="I31" s="210">
        <f t="shared" si="2"/>
        <v>31538.356045186109</v>
      </c>
      <c r="K31" s="210"/>
      <c r="L31" s="236">
        <v>-1.4942187056017604E-4</v>
      </c>
      <c r="M31" s="211"/>
      <c r="N31" s="210">
        <f t="shared" si="3"/>
        <v>-3831.3171989142634</v>
      </c>
      <c r="O31" s="272"/>
      <c r="P31" s="274"/>
    </row>
    <row r="32" spans="1:17" ht="14" x14ac:dyDescent="0.3">
      <c r="A32" s="151">
        <f>IF(B32&lt;&gt;"",COUNTA($B$13:B32),"")</f>
        <v>19</v>
      </c>
      <c r="B32" s="207" t="str">
        <f>+'G1 SOUTH'!B39</f>
        <v>Solar Program Cost Adjustment Factor</v>
      </c>
      <c r="C32" s="233" t="str">
        <f>+'G1 SOUTH'!C39</f>
        <v>SPCA</v>
      </c>
      <c r="D32" s="233"/>
      <c r="E32" s="206"/>
      <c r="F32" s="239"/>
      <c r="G32" s="236">
        <v>0</v>
      </c>
      <c r="H32" s="211"/>
      <c r="I32" s="210">
        <f t="shared" si="2"/>
        <v>0</v>
      </c>
      <c r="K32" s="210"/>
      <c r="L32" s="236">
        <v>2.6591791115315666E-5</v>
      </c>
      <c r="M32" s="211"/>
      <c r="N32" s="210">
        <f t="shared" si="3"/>
        <v>681.83851713336753</v>
      </c>
      <c r="O32" s="272"/>
      <c r="P32" s="276"/>
    </row>
    <row r="33" spans="1:16" ht="14" x14ac:dyDescent="0.3">
      <c r="A33" s="151">
        <f>IF(B33&lt;&gt;"",COUNTA($B$13:B33),"")</f>
        <v>20</v>
      </c>
      <c r="B33" s="207" t="str">
        <f>+'G1 SOUTH'!B40</f>
        <v>Solar Expansion Cost Recovery Factor</v>
      </c>
      <c r="C33" s="233" t="str">
        <f>+'G1 SOUTH'!C40</f>
        <v>SECRF</v>
      </c>
      <c r="D33" s="233"/>
      <c r="E33" s="206"/>
      <c r="F33" s="239"/>
      <c r="G33" s="236">
        <v>0</v>
      </c>
      <c r="H33" s="211"/>
      <c r="I33" s="210">
        <f t="shared" si="2"/>
        <v>0</v>
      </c>
      <c r="K33" s="210"/>
      <c r="L33" s="236">
        <v>4.690183605452695E-4</v>
      </c>
      <c r="M33" s="211"/>
      <c r="N33" s="210">
        <f t="shared" si="3"/>
        <v>12026.071582606648</v>
      </c>
      <c r="O33" s="272"/>
      <c r="P33" s="276"/>
    </row>
    <row r="34" spans="1:16" ht="14" x14ac:dyDescent="0.3">
      <c r="A34" s="151">
        <f>IF(B34&lt;&gt;"",COUNTA($B$13:B34),"")</f>
        <v>21</v>
      </c>
      <c r="B34" s="207" t="str">
        <f>+'G1 SOUTH'!B41</f>
        <v>Vegetation Management</v>
      </c>
      <c r="C34" s="233" t="str">
        <f>+'G1 SOUTH'!C41</f>
        <v>RTWF</v>
      </c>
      <c r="D34" s="233"/>
      <c r="E34" s="206"/>
      <c r="F34" s="239"/>
      <c r="G34" s="236">
        <v>0</v>
      </c>
      <c r="H34" s="211"/>
      <c r="I34" s="210">
        <f t="shared" si="2"/>
        <v>0</v>
      </c>
      <c r="K34" s="210"/>
      <c r="L34" s="236">
        <v>1.2545318705078278E-3</v>
      </c>
      <c r="M34" s="211"/>
      <c r="N34" s="210">
        <f t="shared" si="3"/>
        <v>32167.376261877387</v>
      </c>
      <c r="O34" s="272"/>
      <c r="P34" s="276"/>
    </row>
    <row r="35" spans="1:16" ht="14" x14ac:dyDescent="0.3">
      <c r="A35" s="151">
        <f>IF(B35&lt;&gt;"",COUNTA($B$13:B35),"")</f>
        <v>22</v>
      </c>
      <c r="B35" s="207" t="str">
        <f>+'G1 SOUTH'!B42</f>
        <v>Solar Massachusetts Renewable Target</v>
      </c>
      <c r="C35" s="233" t="str">
        <f>+'G1 SOUTH'!C42</f>
        <v>SMART</v>
      </c>
      <c r="D35" s="233"/>
      <c r="E35" s="206"/>
      <c r="F35" s="239"/>
      <c r="G35" s="236">
        <v>0</v>
      </c>
      <c r="H35" s="211"/>
      <c r="I35" s="210">
        <f t="shared" si="2"/>
        <v>0</v>
      </c>
      <c r="K35" s="210"/>
      <c r="L35" s="236">
        <v>5.4952082600398869E-4</v>
      </c>
      <c r="M35" s="211"/>
      <c r="N35" s="210">
        <f t="shared" si="3"/>
        <v>14090.230459153301</v>
      </c>
      <c r="O35" s="272"/>
      <c r="P35" s="276"/>
    </row>
    <row r="36" spans="1:16" ht="14" x14ac:dyDescent="0.3">
      <c r="A36" s="151">
        <f>IF(B36&lt;&gt;"",COUNTA($B$13:B36),"")</f>
        <v>23</v>
      </c>
      <c r="B36" s="207" t="str">
        <f>+'G1 SOUTH'!B43</f>
        <v>Tax Act Credit Factor</v>
      </c>
      <c r="C36" s="233" t="str">
        <f>+'G1 SOUTH'!C43</f>
        <v>TACF</v>
      </c>
      <c r="D36" s="233"/>
      <c r="E36" s="206"/>
      <c r="F36" s="239"/>
      <c r="G36" s="236">
        <v>0</v>
      </c>
      <c r="H36" s="211"/>
      <c r="I36" s="210">
        <f t="shared" si="2"/>
        <v>0</v>
      </c>
      <c r="K36" s="210"/>
      <c r="L36" s="236">
        <v>-8.3188272854994004E-4</v>
      </c>
      <c r="M36" s="211"/>
      <c r="N36" s="210">
        <f t="shared" si="3"/>
        <v>-21330.25502508042</v>
      </c>
      <c r="O36" s="272"/>
      <c r="P36" s="276"/>
    </row>
    <row r="37" spans="1:16" ht="14" x14ac:dyDescent="0.3">
      <c r="A37" s="151">
        <f>IF(B37&lt;&gt;"",COUNTA($B$13:B37),"")</f>
        <v>24</v>
      </c>
      <c r="B37" s="207" t="str">
        <f>+'G1 SOUTH'!B44</f>
        <v>Transition</v>
      </c>
      <c r="C37" s="233" t="str">
        <f>+'G1 SOUTH'!C44</f>
        <v>TRNSN</v>
      </c>
      <c r="D37" s="233"/>
      <c r="E37" s="206"/>
      <c r="F37" s="239"/>
      <c r="G37" s="236">
        <v>-6.0999999999999997E-4</v>
      </c>
      <c r="H37" s="211"/>
      <c r="I37" s="210">
        <f t="shared" si="2"/>
        <v>-15640.973323222379</v>
      </c>
      <c r="K37" s="210"/>
      <c r="L37" s="236">
        <v>-5.210932140356871E-4</v>
      </c>
      <c r="M37" s="211"/>
      <c r="N37" s="210">
        <f t="shared" si="3"/>
        <v>-13361.319769908838</v>
      </c>
      <c r="O37" s="272"/>
      <c r="P37" s="275"/>
    </row>
    <row r="38" spans="1:16" ht="14" x14ac:dyDescent="0.3">
      <c r="A38" s="151">
        <f>IF(B38&lt;&gt;"",COUNTA($B$13:B38),"")</f>
        <v>25</v>
      </c>
      <c r="B38" s="207" t="str">
        <f>+'G1 SOUTH'!B45</f>
        <v>Transmission Energy</v>
      </c>
      <c r="C38" s="233" t="str">
        <f>+'G1 SOUTH'!C45</f>
        <v>TMKWH</v>
      </c>
      <c r="D38" s="233"/>
      <c r="E38" s="206"/>
      <c r="F38" s="239"/>
      <c r="G38" s="236">
        <v>2.6360000000000001E-2</v>
      </c>
      <c r="H38" s="211"/>
      <c r="I38" s="210">
        <f t="shared" si="2"/>
        <v>675895.17508219986</v>
      </c>
      <c r="K38" s="210"/>
      <c r="L38" s="241">
        <v>2.2847836198309209E-2</v>
      </c>
      <c r="M38" s="211"/>
      <c r="N38" s="210">
        <f t="shared" si="3"/>
        <v>585839.99421493267</v>
      </c>
      <c r="O38" s="272"/>
      <c r="P38" s="275"/>
    </row>
    <row r="39" spans="1:16" ht="14" x14ac:dyDescent="0.3">
      <c r="A39" s="151">
        <f>IF(B39&lt;&gt;"",COUNTA($B$13:B39),"")</f>
        <v>26</v>
      </c>
      <c r="B39" s="207" t="str">
        <f>+'G1 SOUTH'!B46</f>
        <v>Energy Efficiency Reconciliation Factor</v>
      </c>
      <c r="C39" s="233" t="str">
        <f>+'G1 SOUTH'!C46</f>
        <v>EERF</v>
      </c>
      <c r="D39" s="233"/>
      <c r="E39" s="206"/>
      <c r="F39" s="239"/>
      <c r="G39" s="236">
        <v>8.4600000000000005E-3</v>
      </c>
      <c r="H39" s="211"/>
      <c r="I39" s="210">
        <f t="shared" si="2"/>
        <v>216922.35133518252</v>
      </c>
      <c r="K39" s="210"/>
      <c r="L39" s="281">
        <v>8.4600000000000005E-3</v>
      </c>
      <c r="M39" s="211"/>
      <c r="N39" s="210">
        <f t="shared" si="3"/>
        <v>216922.35133518252</v>
      </c>
      <c r="O39" s="272"/>
      <c r="P39" s="232"/>
    </row>
    <row r="40" spans="1:16" ht="14" x14ac:dyDescent="0.3">
      <c r="A40" s="151">
        <f>IF(B40&lt;&gt;"",COUNTA($B$13:B40),"")</f>
        <v>27</v>
      </c>
      <c r="B40" s="207" t="str">
        <f>+'G1 SOUTH'!B47</f>
        <v>System Benefits Charge</v>
      </c>
      <c r="C40" s="233" t="str">
        <f>+'G1 SOUTH'!C47</f>
        <v>SBC</v>
      </c>
      <c r="D40" s="233"/>
      <c r="E40" s="206"/>
      <c r="F40" s="239"/>
      <c r="G40" s="236">
        <v>2.5000000000000001E-3</v>
      </c>
      <c r="H40" s="211"/>
      <c r="I40" s="210">
        <f t="shared" si="2"/>
        <v>64102.34968533762</v>
      </c>
      <c r="K40" s="210"/>
      <c r="L40" s="281">
        <f>+G40</f>
        <v>2.5000000000000001E-3</v>
      </c>
      <c r="M40" s="211"/>
      <c r="N40" s="210">
        <f t="shared" si="3"/>
        <v>64102.34968533762</v>
      </c>
      <c r="O40" s="272"/>
      <c r="P40" s="275"/>
    </row>
    <row r="41" spans="1:16" ht="14" x14ac:dyDescent="0.3">
      <c r="A41" s="151">
        <f>IF(B41&lt;&gt;"",COUNTA($B$13:B41),"")</f>
        <v>28</v>
      </c>
      <c r="B41" s="207" t="str">
        <f>+'G1 SOUTH'!B48</f>
        <v>Renewable Energy Charge</v>
      </c>
      <c r="C41" s="233" t="str">
        <f>+'G1 SOUTH'!C48</f>
        <v>RNEW</v>
      </c>
      <c r="D41" s="233"/>
      <c r="E41" s="206"/>
      <c r="F41" s="239"/>
      <c r="G41" s="236">
        <v>5.0000000000000001E-4</v>
      </c>
      <c r="H41" s="211"/>
      <c r="I41" s="210">
        <f t="shared" si="2"/>
        <v>12820.469937067524</v>
      </c>
      <c r="K41" s="210"/>
      <c r="L41" s="281">
        <f>+G41</f>
        <v>5.0000000000000001E-4</v>
      </c>
      <c r="M41" s="211"/>
      <c r="N41" s="210">
        <f t="shared" si="3"/>
        <v>12820.469937067524</v>
      </c>
      <c r="O41" s="272"/>
      <c r="P41" s="275"/>
    </row>
    <row r="42" spans="1:16" ht="14" x14ac:dyDescent="0.3">
      <c r="A42" s="151">
        <f>IF(B42&lt;&gt;"",COUNTA($B$13:B42),"")</f>
        <v>29</v>
      </c>
      <c r="B42" s="207" t="str">
        <f>+'G1 SOUTH'!B49</f>
        <v>Basic Service Charge</v>
      </c>
      <c r="C42" s="233" t="str">
        <f>+'G1 SOUTH'!C49</f>
        <v>BS</v>
      </c>
      <c r="D42" s="233"/>
      <c r="E42" s="206"/>
      <c r="F42" s="239"/>
      <c r="G42" s="236">
        <v>0.11403000000000001</v>
      </c>
      <c r="H42" s="211"/>
      <c r="I42" s="237">
        <f t="shared" si="2"/>
        <v>2923836.3738476196</v>
      </c>
      <c r="K42" s="210"/>
      <c r="L42" s="281">
        <v>0.13185000000000002</v>
      </c>
      <c r="M42" s="211"/>
      <c r="N42" s="237">
        <f t="shared" si="3"/>
        <v>3380757.9224047065</v>
      </c>
      <c r="O42" s="272"/>
      <c r="P42" s="232"/>
    </row>
    <row r="43" spans="1:16" ht="14" x14ac:dyDescent="0.3">
      <c r="A43" s="151" t="str">
        <f>IF(B43&lt;&gt;"",COUNTA($B$13:B43),"")</f>
        <v/>
      </c>
      <c r="B43" s="207"/>
      <c r="E43" s="206"/>
      <c r="F43" s="239"/>
      <c r="G43" s="241"/>
      <c r="H43" s="211"/>
      <c r="I43" s="244"/>
      <c r="K43" s="210"/>
      <c r="L43" s="241"/>
      <c r="M43" s="211"/>
      <c r="N43" s="244"/>
      <c r="O43" s="272"/>
    </row>
    <row r="44" spans="1:16" ht="14" x14ac:dyDescent="0.3">
      <c r="A44" s="151">
        <f>IF(B44&lt;&gt;"",COUNTA($B$13:B44),"")</f>
        <v>30</v>
      </c>
      <c r="B44" s="188" t="s">
        <v>46</v>
      </c>
      <c r="E44" s="188"/>
      <c r="G44" s="245" t="s">
        <v>324</v>
      </c>
      <c r="H44" s="246"/>
      <c r="I44" s="154">
        <f>SUM(I20:I43)</f>
        <v>5891162.3461074783</v>
      </c>
      <c r="K44" s="247"/>
      <c r="L44" s="245"/>
      <c r="N44" s="154">
        <f>SUM(N20:N43)</f>
        <v>6337784.5645784019</v>
      </c>
      <c r="P44" s="154"/>
    </row>
    <row r="45" spans="1:16" ht="14" x14ac:dyDescent="0.3">
      <c r="A45" s="151" t="str">
        <f>IF(B45&lt;&gt;"",COUNTA($B$13:B45),"")</f>
        <v/>
      </c>
      <c r="E45" s="188"/>
      <c r="H45" s="188"/>
      <c r="I45" s="154"/>
      <c r="K45" s="265"/>
      <c r="L45" s="278"/>
      <c r="N45" s="265"/>
      <c r="P45" s="154"/>
    </row>
    <row r="46" spans="1:16" ht="14" x14ac:dyDescent="0.3">
      <c r="A46" s="151">
        <f>IF(B46&lt;&gt;"",COUNTA($B$13:B46),"")</f>
        <v>31</v>
      </c>
      <c r="B46" s="188" t="s">
        <v>46</v>
      </c>
      <c r="E46" s="188"/>
      <c r="G46" s="188"/>
      <c r="H46" s="188"/>
      <c r="I46" s="188"/>
      <c r="J46" s="188"/>
      <c r="L46" s="248" t="s">
        <v>325</v>
      </c>
      <c r="N46" s="160">
        <f>+N44/I44-1</f>
        <v>7.5812240816283794E-2</v>
      </c>
    </row>
    <row r="47" spans="1:16" ht="14" x14ac:dyDescent="0.3">
      <c r="A47" s="151" t="str">
        <f>IF(B47&lt;&gt;"",COUNTA($B$13:B47),"")</f>
        <v/>
      </c>
      <c r="E47" s="188"/>
      <c r="G47" s="188"/>
      <c r="H47" s="188"/>
      <c r="I47" s="188"/>
      <c r="J47" s="188"/>
      <c r="L47" s="248"/>
      <c r="N47" s="160"/>
    </row>
    <row r="48" spans="1:16" ht="14" x14ac:dyDescent="0.3">
      <c r="A48" s="151" t="str">
        <f>IF(B48&lt;&gt;"",COUNTA($B$13:B48),"")</f>
        <v/>
      </c>
      <c r="E48" s="188"/>
      <c r="G48" s="186"/>
      <c r="H48" s="188"/>
      <c r="I48" s="188"/>
      <c r="L48" s="248"/>
      <c r="N48" s="160"/>
    </row>
    <row r="49" spans="1:17" ht="14.5" thickBot="1" x14ac:dyDescent="0.35">
      <c r="A49" s="151">
        <f>IF(B49&lt;&gt;"",COUNTA($B$13:B49),"")</f>
        <v>32</v>
      </c>
      <c r="B49" s="188" t="s">
        <v>46</v>
      </c>
      <c r="E49" s="279" t="s">
        <v>326</v>
      </c>
      <c r="F49" s="135"/>
      <c r="G49" s="280"/>
      <c r="I49" s="279" t="s">
        <v>327</v>
      </c>
      <c r="J49" s="135"/>
      <c r="L49" s="279" t="s">
        <v>328</v>
      </c>
      <c r="M49" s="135"/>
      <c r="N49" s="137"/>
    </row>
    <row r="50" spans="1:17" ht="14" x14ac:dyDescent="0.3">
      <c r="A50" s="151">
        <f>IF(B50&lt;&gt;"",COUNTA($B$13:B50),"")</f>
        <v>33</v>
      </c>
      <c r="B50" s="144" t="s">
        <v>329</v>
      </c>
      <c r="C50" s="144"/>
      <c r="D50" s="144"/>
      <c r="E50" s="249" t="s">
        <v>148</v>
      </c>
      <c r="F50" s="250"/>
      <c r="G50" s="251" t="s">
        <v>330</v>
      </c>
      <c r="I50" s="249" t="s">
        <v>148</v>
      </c>
      <c r="J50" s="251" t="s">
        <v>330</v>
      </c>
      <c r="K50" s="212"/>
      <c r="L50" s="249" t="s">
        <v>148</v>
      </c>
      <c r="M50" s="252"/>
      <c r="N50" s="251" t="s">
        <v>330</v>
      </c>
    </row>
    <row r="51" spans="1:17" ht="14" x14ac:dyDescent="0.3">
      <c r="A51" s="151">
        <f>IF(B51&lt;&gt;"",COUNTA($B$13:B51),"")</f>
        <v>34</v>
      </c>
      <c r="B51" s="130" t="str">
        <f>+'G1 SOUTH'!B58</f>
        <v>Distribution</v>
      </c>
      <c r="C51" s="253" t="str">
        <f>+'G1 SOUTH'!C58</f>
        <v>DIST</v>
      </c>
      <c r="D51" s="253"/>
      <c r="E51" s="154">
        <f t="shared" ref="E51:E66" si="4">SUMIF($C$13:$C$42,$C51,$I$13:$I$42)</f>
        <v>1711176.3278259835</v>
      </c>
      <c r="G51" s="254">
        <f>+E51/$E$19*100</f>
        <v>6.6736100011377104</v>
      </c>
      <c r="I51" s="154">
        <f t="shared" ref="I51:I66" si="5">SUMIF($C$13:$C$42,$C51,$N$13:$N$42)</f>
        <v>1766997.809453299</v>
      </c>
      <c r="J51" s="254">
        <f>+I51/$E$19*100</f>
        <v>6.8913145076859461</v>
      </c>
      <c r="L51" s="154">
        <f t="shared" ref="L51:L71" si="6">I51-E51</f>
        <v>55821.481627315516</v>
      </c>
      <c r="N51" s="254">
        <f>+L51/$E$19*100</f>
        <v>0.21770450654823573</v>
      </c>
      <c r="O51" s="272"/>
      <c r="Q51" s="154"/>
    </row>
    <row r="52" spans="1:17" ht="14" x14ac:dyDescent="0.3">
      <c r="A52" s="151">
        <f>IF(B52&lt;&gt;"",COUNTA($B$13:B52),"")</f>
        <v>35</v>
      </c>
      <c r="B52" s="130" t="str">
        <f>+'G1 SOUTH'!B59</f>
        <v>Revenue Decoupling</v>
      </c>
      <c r="C52" s="253" t="str">
        <f>+'G1 SOUTH'!C59</f>
        <v>RDAF</v>
      </c>
      <c r="D52" s="253"/>
      <c r="E52" s="154">
        <f t="shared" si="4"/>
        <v>0</v>
      </c>
      <c r="G52" s="254">
        <f t="shared" ref="G52:G72" si="7">+E52/$E$19*100</f>
        <v>0</v>
      </c>
      <c r="I52" s="154">
        <f t="shared" si="5"/>
        <v>-9139.073531396305</v>
      </c>
      <c r="J52" s="254">
        <f t="shared" ref="J52:J72" si="8">+I52/$E$19*100</f>
        <v>-3.5642505993375158E-2</v>
      </c>
      <c r="L52" s="154">
        <f>I52-E52</f>
        <v>-9139.073531396305</v>
      </c>
      <c r="N52" s="254">
        <f t="shared" ref="N52:N72" si="9">+L52/$E$19*100</f>
        <v>-3.5642505993375158E-2</v>
      </c>
      <c r="O52" s="272"/>
      <c r="Q52" s="154"/>
    </row>
    <row r="53" spans="1:17" ht="14" x14ac:dyDescent="0.3">
      <c r="A53" s="151">
        <f>IF(B53&lt;&gt;"",COUNTA($B$13:B53),"")</f>
        <v>36</v>
      </c>
      <c r="B53" s="130" t="str">
        <f>+'G1 SOUTH'!B60</f>
        <v>Residential Assistance Adjustment Factor</v>
      </c>
      <c r="C53" s="253" t="str">
        <f>+'G1 SOUTH'!C60</f>
        <v>RAAF</v>
      </c>
      <c r="D53" s="253"/>
      <c r="E53" s="154">
        <f t="shared" si="4"/>
        <v>58974.161710510605</v>
      </c>
      <c r="G53" s="254">
        <f t="shared" si="7"/>
        <v>0.22999999999999998</v>
      </c>
      <c r="I53" s="154">
        <f t="shared" si="5"/>
        <v>77209.351084188718</v>
      </c>
      <c r="J53" s="254">
        <f t="shared" si="8"/>
        <v>0.30111747643881265</v>
      </c>
      <c r="L53" s="154">
        <f t="shared" si="6"/>
        <v>18235.189373678113</v>
      </c>
      <c r="N53" s="254">
        <f t="shared" si="9"/>
        <v>7.1117476438812666E-2</v>
      </c>
      <c r="O53" s="272"/>
      <c r="Q53" s="154"/>
    </row>
    <row r="54" spans="1:17" ht="14" x14ac:dyDescent="0.3">
      <c r="A54" s="151">
        <f>IF(B54&lt;&gt;"",COUNTA($B$13:B54),"")</f>
        <v>37</v>
      </c>
      <c r="B54" s="130" t="str">
        <f>+'G1 SOUTH'!B61</f>
        <v>Pension Adjustment Factor</v>
      </c>
      <c r="C54" s="253" t="str">
        <f>+'G1 SOUTH'!C61</f>
        <v>PAF</v>
      </c>
      <c r="D54" s="253"/>
      <c r="E54" s="154">
        <f t="shared" si="4"/>
        <v>-2051.2751899308041</v>
      </c>
      <c r="G54" s="254">
        <f t="shared" si="7"/>
        <v>-8.0000000000000019E-3</v>
      </c>
      <c r="I54" s="154">
        <f t="shared" si="5"/>
        <v>17967.208731014853</v>
      </c>
      <c r="J54" s="254">
        <f t="shared" si="8"/>
        <v>7.0072348436568163E-2</v>
      </c>
      <c r="L54" s="154">
        <f t="shared" si="6"/>
        <v>20018.483920945655</v>
      </c>
      <c r="N54" s="254">
        <f t="shared" si="9"/>
        <v>7.8072348436568156E-2</v>
      </c>
      <c r="O54" s="272"/>
      <c r="Q54" s="154"/>
    </row>
    <row r="55" spans="1:17" ht="14" x14ac:dyDescent="0.3">
      <c r="A55" s="151">
        <f>IF(B55&lt;&gt;"",COUNTA($B$13:B55),"")</f>
        <v>38</v>
      </c>
      <c r="B55" s="130" t="str">
        <f>+'G1 SOUTH'!B62</f>
        <v>Net Metering Recovery Surcharge</v>
      </c>
      <c r="C55" s="253" t="str">
        <f>+'G1 SOUTH'!C62</f>
        <v>NMRS</v>
      </c>
      <c r="D55" s="253"/>
      <c r="E55" s="154">
        <f t="shared" si="4"/>
        <v>116153.45762983177</v>
      </c>
      <c r="G55" s="254">
        <f t="shared" si="7"/>
        <v>0.45300000000000001</v>
      </c>
      <c r="I55" s="154">
        <f t="shared" si="5"/>
        <v>100674.8005493986</v>
      </c>
      <c r="J55" s="254">
        <f t="shared" si="8"/>
        <v>0.39263303546432382</v>
      </c>
      <c r="L55" s="154">
        <f t="shared" si="6"/>
        <v>-15478.657080433171</v>
      </c>
      <c r="N55" s="254">
        <f t="shared" si="9"/>
        <v>-6.0366964535676242E-2</v>
      </c>
      <c r="O55" s="272"/>
      <c r="Q55" s="154"/>
    </row>
    <row r="56" spans="1:17" ht="14" x14ac:dyDescent="0.3">
      <c r="A56" s="151">
        <f>IF(B56&lt;&gt;"",COUNTA($B$13:B56),"")</f>
        <v>39</v>
      </c>
      <c r="B56" s="130" t="str">
        <f>+'G1 SOUTH'!B63</f>
        <v>Long Term Renewable Contract Adjustment</v>
      </c>
      <c r="C56" s="253" t="str">
        <f>+'G1 SOUTH'!C63</f>
        <v>LTRCA</v>
      </c>
      <c r="D56" s="253"/>
      <c r="E56" s="154">
        <f t="shared" si="4"/>
        <v>60512.618102958717</v>
      </c>
      <c r="G56" s="254">
        <f t="shared" si="7"/>
        <v>0.23600000000000002</v>
      </c>
      <c r="I56" s="154">
        <f t="shared" si="5"/>
        <v>44505.309548853518</v>
      </c>
      <c r="J56" s="254">
        <f t="shared" si="8"/>
        <v>0.17357128782064518</v>
      </c>
      <c r="L56" s="154">
        <f t="shared" si="6"/>
        <v>-16007.308554105199</v>
      </c>
      <c r="N56" s="254">
        <f t="shared" si="9"/>
        <v>-6.2428712179354841E-2</v>
      </c>
      <c r="O56" s="272"/>
      <c r="Q56" s="154"/>
    </row>
    <row r="57" spans="1:17" ht="14" x14ac:dyDescent="0.3">
      <c r="A57" s="151">
        <f>IF(B57&lt;&gt;"",COUNTA($B$13:B57),"")</f>
        <v>40</v>
      </c>
      <c r="B57" s="130" t="str">
        <f>+'G1 SOUTH'!B64</f>
        <v>AG Consulting Expense</v>
      </c>
      <c r="C57" s="253" t="str">
        <f>+'G1 SOUTH'!C64</f>
        <v>AGCE</v>
      </c>
      <c r="D57" s="253"/>
      <c r="E57" s="154">
        <f t="shared" si="4"/>
        <v>512.81879748270103</v>
      </c>
      <c r="G57" s="254">
        <f t="shared" si="7"/>
        <v>2.0000000000000005E-3</v>
      </c>
      <c r="I57" s="154">
        <f t="shared" si="5"/>
        <v>162.11083576877161</v>
      </c>
      <c r="J57" s="254">
        <f t="shared" si="8"/>
        <v>6.3223437426448916E-4</v>
      </c>
      <c r="L57" s="154">
        <f t="shared" si="6"/>
        <v>-350.70796171392942</v>
      </c>
      <c r="N57" s="254">
        <f t="shared" si="9"/>
        <v>-1.3677656257355113E-3</v>
      </c>
      <c r="O57" s="272"/>
      <c r="Q57" s="154"/>
    </row>
    <row r="58" spans="1:17" ht="14" x14ac:dyDescent="0.3">
      <c r="A58" s="151">
        <f>IF(B58&lt;&gt;"",COUNTA($B$13:B58),"")</f>
        <v>41</v>
      </c>
      <c r="B58" s="130" t="str">
        <f>+'G1 SOUTH'!B65</f>
        <v>Storm Cost Recovery Adjustment Factor</v>
      </c>
      <c r="C58" s="253" t="str">
        <f>+'G1 SOUTH'!C65</f>
        <v>SCRA</v>
      </c>
      <c r="D58" s="253"/>
      <c r="E58" s="154">
        <f t="shared" si="4"/>
        <v>36410.134621271769</v>
      </c>
      <c r="G58" s="254">
        <f t="shared" si="7"/>
        <v>0.14200000000000002</v>
      </c>
      <c r="I58" s="154">
        <f t="shared" si="5"/>
        <v>58521.335503181064</v>
      </c>
      <c r="J58" s="254">
        <f t="shared" si="8"/>
        <v>0.22823397188421191</v>
      </c>
      <c r="L58" s="154">
        <f>I58-E58</f>
        <v>22111.200881909295</v>
      </c>
      <c r="N58" s="254">
        <f t="shared" si="9"/>
        <v>8.6233971884211905E-2</v>
      </c>
      <c r="O58" s="272"/>
      <c r="Q58" s="154"/>
    </row>
    <row r="59" spans="1:17" ht="14" x14ac:dyDescent="0.3">
      <c r="A59" s="151">
        <f>IF(B59&lt;&gt;"",COUNTA($B$13:B59),"")</f>
        <v>42</v>
      </c>
      <c r="B59" s="130" t="str">
        <f>+'G1 SOUTH'!B66</f>
        <v>Storm Reserve Adjustment</v>
      </c>
      <c r="C59" s="253" t="str">
        <f>+'G1 SOUTH'!C66</f>
        <v>SRA</v>
      </c>
      <c r="D59" s="253"/>
      <c r="E59" s="154">
        <f t="shared" si="4"/>
        <v>0</v>
      </c>
      <c r="G59" s="254">
        <f t="shared" si="7"/>
        <v>0</v>
      </c>
      <c r="I59" s="154">
        <f t="shared" si="5"/>
        <v>0</v>
      </c>
      <c r="J59" s="254">
        <f t="shared" si="8"/>
        <v>0</v>
      </c>
      <c r="L59" s="154">
        <f>I59-E59</f>
        <v>0</v>
      </c>
      <c r="N59" s="254">
        <f t="shared" si="9"/>
        <v>0</v>
      </c>
      <c r="O59" s="272"/>
      <c r="Q59" s="154"/>
    </row>
    <row r="60" spans="1:17" ht="14" x14ac:dyDescent="0.3">
      <c r="A60" s="151">
        <f>IF(B60&lt;&gt;"",COUNTA($B$13:B60),"")</f>
        <v>43</v>
      </c>
      <c r="B60" s="130" t="str">
        <f>+'G1 SOUTH'!B67</f>
        <v>Basic Service Cost True Up Factor</v>
      </c>
      <c r="C60" s="253" t="str">
        <f>+'G1 SOUTH'!C67</f>
        <v>BSTF</v>
      </c>
      <c r="D60" s="253"/>
      <c r="E60" s="154">
        <f t="shared" si="4"/>
        <v>31538.356045186109</v>
      </c>
      <c r="G60" s="254">
        <f t="shared" si="7"/>
        <v>0.123</v>
      </c>
      <c r="I60" s="154">
        <f t="shared" si="5"/>
        <v>-3831.3171989142634</v>
      </c>
      <c r="J60" s="254">
        <f t="shared" si="8"/>
        <v>-1.4942187056017603E-2</v>
      </c>
      <c r="L60" s="154">
        <f>I60-E60</f>
        <v>-35369.67324410037</v>
      </c>
      <c r="N60" s="254">
        <f t="shared" si="9"/>
        <v>-0.1379421870560176</v>
      </c>
      <c r="O60" s="272"/>
      <c r="Q60" s="154"/>
    </row>
    <row r="61" spans="1:17" ht="14" x14ac:dyDescent="0.3">
      <c r="A61" s="151">
        <f>IF(B61&lt;&gt;"",COUNTA($B$13:B61),"")</f>
        <v>44</v>
      </c>
      <c r="B61" s="130" t="str">
        <f>+'G1 SOUTH'!B68</f>
        <v>Solar Program Cost Adjustment Factor</v>
      </c>
      <c r="C61" s="253" t="str">
        <f>+'G1 SOUTH'!C68</f>
        <v>SPCA</v>
      </c>
      <c r="D61" s="253"/>
      <c r="E61" s="154">
        <f t="shared" si="4"/>
        <v>0</v>
      </c>
      <c r="G61" s="254">
        <f t="shared" si="7"/>
        <v>0</v>
      </c>
      <c r="I61" s="154">
        <f t="shared" si="5"/>
        <v>681.83851713336753</v>
      </c>
      <c r="J61" s="254">
        <f t="shared" si="8"/>
        <v>2.6591791115315668E-3</v>
      </c>
      <c r="L61" s="154">
        <f t="shared" si="6"/>
        <v>681.83851713336753</v>
      </c>
      <c r="N61" s="254">
        <f t="shared" si="9"/>
        <v>2.6591791115315668E-3</v>
      </c>
      <c r="Q61" s="154"/>
    </row>
    <row r="62" spans="1:17" ht="14" x14ac:dyDescent="0.3">
      <c r="A62" s="151">
        <f>IF(B62&lt;&gt;"",COUNTA($B$13:B62),"")</f>
        <v>45</v>
      </c>
      <c r="B62" s="130" t="str">
        <f>+'G1 SOUTH'!B69</f>
        <v>Solar Expansion Cost Recovery Factor</v>
      </c>
      <c r="C62" s="253" t="str">
        <f>+'G1 SOUTH'!C69</f>
        <v>SECRF</v>
      </c>
      <c r="D62" s="253"/>
      <c r="E62" s="154">
        <f t="shared" si="4"/>
        <v>0</v>
      </c>
      <c r="G62" s="254">
        <f t="shared" si="7"/>
        <v>0</v>
      </c>
      <c r="I62" s="154">
        <f t="shared" si="5"/>
        <v>12026.071582606648</v>
      </c>
      <c r="J62" s="254">
        <f t="shared" si="8"/>
        <v>4.6901836054526948E-2</v>
      </c>
      <c r="L62" s="154">
        <f t="shared" si="6"/>
        <v>12026.071582606648</v>
      </c>
      <c r="N62" s="254">
        <f t="shared" si="9"/>
        <v>4.6901836054526948E-2</v>
      </c>
      <c r="Q62" s="154"/>
    </row>
    <row r="63" spans="1:17" ht="14" x14ac:dyDescent="0.3">
      <c r="A63" s="151">
        <f>IF(B63&lt;&gt;"",COUNTA($B$13:B63),"")</f>
        <v>46</v>
      </c>
      <c r="B63" s="130" t="str">
        <f>+'G1 SOUTH'!B70</f>
        <v>Vegetation Management</v>
      </c>
      <c r="C63" s="253" t="str">
        <f>+'G1 SOUTH'!C70</f>
        <v>RTWF</v>
      </c>
      <c r="D63" s="253"/>
      <c r="E63" s="154">
        <f t="shared" si="4"/>
        <v>0</v>
      </c>
      <c r="G63" s="254">
        <f t="shared" si="7"/>
        <v>0</v>
      </c>
      <c r="I63" s="154">
        <f t="shared" si="5"/>
        <v>32167.376261877387</v>
      </c>
      <c r="J63" s="254">
        <f t="shared" si="8"/>
        <v>0.12545318705078279</v>
      </c>
      <c r="L63" s="154">
        <f t="shared" si="6"/>
        <v>32167.376261877387</v>
      </c>
      <c r="N63" s="254">
        <f t="shared" si="9"/>
        <v>0.12545318705078279</v>
      </c>
      <c r="Q63" s="154"/>
    </row>
    <row r="64" spans="1:17" ht="14" x14ac:dyDescent="0.3">
      <c r="A64" s="151">
        <f>IF(B64&lt;&gt;"",COUNTA($B$13:B64),"")</f>
        <v>47</v>
      </c>
      <c r="B64" s="130" t="str">
        <f>+'G1 SOUTH'!B71</f>
        <v>Solar Massachusetts Renewable Target</v>
      </c>
      <c r="C64" s="253" t="str">
        <f>+'G1 SOUTH'!C71</f>
        <v>SMART</v>
      </c>
      <c r="D64" s="253"/>
      <c r="E64" s="154">
        <f t="shared" si="4"/>
        <v>0</v>
      </c>
      <c r="G64" s="254">
        <f t="shared" si="7"/>
        <v>0</v>
      </c>
      <c r="I64" s="154">
        <f t="shared" si="5"/>
        <v>14090.230459153301</v>
      </c>
      <c r="J64" s="254">
        <f t="shared" si="8"/>
        <v>5.4952082600398869E-2</v>
      </c>
      <c r="L64" s="154">
        <f t="shared" si="6"/>
        <v>14090.230459153301</v>
      </c>
      <c r="N64" s="254">
        <f t="shared" si="9"/>
        <v>5.4952082600398869E-2</v>
      </c>
      <c r="Q64" s="154"/>
    </row>
    <row r="65" spans="1:17" ht="14" x14ac:dyDescent="0.3">
      <c r="A65" s="151">
        <f>IF(B65&lt;&gt;"",COUNTA($B$13:B65),"")</f>
        <v>48</v>
      </c>
      <c r="B65" s="130" t="str">
        <f>+'G1 SOUTH'!B72</f>
        <v>Tax Act Credit Factor</v>
      </c>
      <c r="C65" s="253" t="str">
        <f>+'G1 SOUTH'!C72</f>
        <v>TACF</v>
      </c>
      <c r="D65" s="253"/>
      <c r="E65" s="154">
        <f t="shared" si="4"/>
        <v>0</v>
      </c>
      <c r="G65" s="254">
        <f t="shared" si="7"/>
        <v>0</v>
      </c>
      <c r="I65" s="154">
        <f t="shared" si="5"/>
        <v>-21330.25502508042</v>
      </c>
      <c r="J65" s="254">
        <f t="shared" si="8"/>
        <v>-8.3188272854994E-2</v>
      </c>
      <c r="L65" s="154">
        <f t="shared" si="6"/>
        <v>-21330.25502508042</v>
      </c>
      <c r="N65" s="254">
        <f t="shared" si="9"/>
        <v>-8.3188272854994E-2</v>
      </c>
      <c r="Q65" s="154"/>
    </row>
    <row r="66" spans="1:17" ht="14" x14ac:dyDescent="0.3">
      <c r="A66" s="151">
        <f>IF(B66&lt;&gt;"",COUNTA($B$13:B66),"")</f>
        <v>49</v>
      </c>
      <c r="B66" s="130" t="str">
        <f>+'G1 SOUTH'!B73</f>
        <v>Transition</v>
      </c>
      <c r="C66" s="253" t="str">
        <f>+'G1 SOUTH'!C73</f>
        <v>TRNSN</v>
      </c>
      <c r="D66" s="253"/>
      <c r="E66" s="154">
        <f t="shared" si="4"/>
        <v>-15640.973323222379</v>
      </c>
      <c r="G66" s="254">
        <f t="shared" si="7"/>
        <v>-6.0999999999999999E-2</v>
      </c>
      <c r="I66" s="154">
        <f t="shared" si="5"/>
        <v>-13361.319769908838</v>
      </c>
      <c r="J66" s="254">
        <f t="shared" si="8"/>
        <v>-5.2109321403568713E-2</v>
      </c>
      <c r="L66" s="154">
        <f t="shared" si="6"/>
        <v>2279.6535533135411</v>
      </c>
      <c r="N66" s="254">
        <f t="shared" si="9"/>
        <v>8.8906785964312906E-3</v>
      </c>
      <c r="Q66" s="154"/>
    </row>
    <row r="67" spans="1:17" ht="14" x14ac:dyDescent="0.3">
      <c r="A67" s="151">
        <f>IF(B67&lt;&gt;"",COUNTA($B$13:B67),"")</f>
        <v>50</v>
      </c>
      <c r="B67" s="130" t="str">
        <f>+'G1 SOUTH'!B74</f>
        <v>Transmission</v>
      </c>
      <c r="C67" s="253" t="str">
        <f>+'G1 SOUTH'!C74</f>
        <v>TRNSM</v>
      </c>
      <c r="D67" s="253"/>
      <c r="E67" s="154">
        <f>SUM(SUMIF($C$13:$C$42,{"TMKW","TMKWH"},$I$13:$I$42))</f>
        <v>675895.17508219986</v>
      </c>
      <c r="G67" s="254">
        <f t="shared" si="7"/>
        <v>2.6360000000000001</v>
      </c>
      <c r="I67" s="154">
        <f>SUM(SUMIF($C$13:$C$42,{"TMKW","TMKWH"},$N$13:$N$42))</f>
        <v>585839.99421493267</v>
      </c>
      <c r="J67" s="254">
        <f t="shared" si="8"/>
        <v>2.2847836198309208</v>
      </c>
      <c r="L67" s="154">
        <f t="shared" si="6"/>
        <v>-90055.18086726719</v>
      </c>
      <c r="N67" s="254">
        <f t="shared" si="9"/>
        <v>-0.3512163801690793</v>
      </c>
      <c r="Q67" s="154"/>
    </row>
    <row r="68" spans="1:17" ht="14" x14ac:dyDescent="0.3">
      <c r="A68" s="151">
        <f>IF(B68&lt;&gt;"",COUNTA($B$13:B68),"")</f>
        <v>51</v>
      </c>
      <c r="B68" s="130" t="str">
        <f>+'G1 SOUTH'!B75</f>
        <v>Energy Efficiency Reconciliation Factor</v>
      </c>
      <c r="C68" s="253" t="str">
        <f>+'G1 SOUTH'!C75</f>
        <v>EERF</v>
      </c>
      <c r="D68" s="253"/>
      <c r="E68" s="154">
        <f>SUMIF($C$13:$C$42,$C68,$I$13:$I$42)</f>
        <v>216922.35133518252</v>
      </c>
      <c r="G68" s="254">
        <f t="shared" si="7"/>
        <v>0.84600000000000009</v>
      </c>
      <c r="I68" s="154">
        <f>SUMIF($C$13:$C$42,$C68,$N$13:$N$42)</f>
        <v>216922.35133518252</v>
      </c>
      <c r="J68" s="254">
        <f t="shared" si="8"/>
        <v>0.84600000000000009</v>
      </c>
      <c r="L68" s="154">
        <f t="shared" si="6"/>
        <v>0</v>
      </c>
      <c r="N68" s="254">
        <f t="shared" si="9"/>
        <v>0</v>
      </c>
      <c r="Q68" s="154"/>
    </row>
    <row r="69" spans="1:17" ht="14" x14ac:dyDescent="0.3">
      <c r="A69" s="151">
        <f>IF(B69&lt;&gt;"",COUNTA($B$13:B69),"")</f>
        <v>52</v>
      </c>
      <c r="B69" s="130" t="str">
        <f>+'G1 SOUTH'!B76</f>
        <v>System Benefits Charge</v>
      </c>
      <c r="C69" s="253" t="str">
        <f>+'G1 SOUTH'!C76</f>
        <v>SBC</v>
      </c>
      <c r="D69" s="253"/>
      <c r="E69" s="154">
        <f>SUMIF($C$13:$C$42,$C69,$I$13:$I$42)</f>
        <v>64102.34968533762</v>
      </c>
      <c r="G69" s="254">
        <f t="shared" si="7"/>
        <v>0.25</v>
      </c>
      <c r="I69" s="154">
        <f>SUMIF($C$13:$C$42,$C69,$N$13:$N$42)</f>
        <v>64102.34968533762</v>
      </c>
      <c r="J69" s="254">
        <f t="shared" si="8"/>
        <v>0.25</v>
      </c>
      <c r="L69" s="154">
        <f t="shared" si="6"/>
        <v>0</v>
      </c>
      <c r="N69" s="254">
        <f t="shared" si="9"/>
        <v>0</v>
      </c>
      <c r="Q69" s="154"/>
    </row>
    <row r="70" spans="1:17" ht="14" x14ac:dyDescent="0.3">
      <c r="A70" s="151">
        <f>IF(B70&lt;&gt;"",COUNTA($B$13:B70),"")</f>
        <v>53</v>
      </c>
      <c r="B70" s="130" t="str">
        <f>+'G1 SOUTH'!B77</f>
        <v>Renewable Energy Charge</v>
      </c>
      <c r="C70" s="253" t="str">
        <f>+'G1 SOUTH'!C77</f>
        <v>RNEW</v>
      </c>
      <c r="D70" s="253"/>
      <c r="E70" s="154">
        <f>SUMIF($C$13:$C$42,$C70,$I$13:$I$42)</f>
        <v>12820.469937067524</v>
      </c>
      <c r="G70" s="254">
        <f t="shared" si="7"/>
        <v>0.05</v>
      </c>
      <c r="I70" s="154">
        <f>SUMIF($C$13:$C$42,$C70,$N$13:$N$42)</f>
        <v>12820.469937067524</v>
      </c>
      <c r="J70" s="254">
        <f t="shared" si="8"/>
        <v>0.05</v>
      </c>
      <c r="L70" s="154">
        <f>I70-E70</f>
        <v>0</v>
      </c>
      <c r="N70" s="254">
        <f t="shared" si="9"/>
        <v>0</v>
      </c>
      <c r="Q70" s="154"/>
    </row>
    <row r="71" spans="1:17" ht="14" x14ac:dyDescent="0.3">
      <c r="A71" s="151">
        <f>IF(B71&lt;&gt;"",COUNTA($B$13:B71),"")</f>
        <v>54</v>
      </c>
      <c r="B71" s="130" t="str">
        <f>+'G1 SOUTH'!B78</f>
        <v>Basic Service Charge</v>
      </c>
      <c r="C71" s="253" t="str">
        <f>+'G1 SOUTH'!C78</f>
        <v>BS</v>
      </c>
      <c r="D71" s="253"/>
      <c r="E71" s="255">
        <f>SUMIF($C$13:$C$42,$C71,$I$13:$I$42)</f>
        <v>2923836.3738476196</v>
      </c>
      <c r="F71" s="256"/>
      <c r="G71" s="257">
        <f t="shared" si="7"/>
        <v>11.403</v>
      </c>
      <c r="H71" s="258"/>
      <c r="I71" s="255">
        <f>SUMIF($C$13:$C$42,$C71,$N$13:$N$42)</f>
        <v>3380757.9224047065</v>
      </c>
      <c r="J71" s="257">
        <f t="shared" si="8"/>
        <v>13.185000000000002</v>
      </c>
      <c r="K71" s="255"/>
      <c r="L71" s="255">
        <f t="shared" si="6"/>
        <v>456921.54855708685</v>
      </c>
      <c r="M71" s="259"/>
      <c r="N71" s="257">
        <f t="shared" si="9"/>
        <v>1.7820000000000014</v>
      </c>
      <c r="Q71" s="154"/>
    </row>
    <row r="72" spans="1:17" ht="14" x14ac:dyDescent="0.3">
      <c r="A72" s="151">
        <f>IF(B72&lt;&gt;"",COUNTA($B$13:B72),"")</f>
        <v>55</v>
      </c>
      <c r="B72" s="130" t="str">
        <f>+'G1 SOUTH'!B79</f>
        <v>Total</v>
      </c>
      <c r="C72" s="130"/>
      <c r="D72" s="130"/>
      <c r="E72" s="154">
        <f>SUM(E51:E71)</f>
        <v>5891162.3461074783</v>
      </c>
      <c r="G72" s="254">
        <f t="shared" si="7"/>
        <v>22.97561000113771</v>
      </c>
      <c r="I72" s="154">
        <f>SUM(I51:I71)</f>
        <v>6337784.5645784019</v>
      </c>
      <c r="J72" s="254">
        <f t="shared" si="8"/>
        <v>24.71744247944498</v>
      </c>
      <c r="L72" s="154">
        <f>SUM(L51:L71)</f>
        <v>446622.21847092308</v>
      </c>
      <c r="N72" s="254">
        <f t="shared" si="9"/>
        <v>1.7418324783072685</v>
      </c>
      <c r="Q72" s="154"/>
    </row>
    <row r="73" spans="1:17" ht="14" x14ac:dyDescent="0.3">
      <c r="A73" s="151" t="str">
        <f>IF(B73&lt;&gt;"",COUNTA($B$13:B73),"")</f>
        <v/>
      </c>
      <c r="Q73" s="154"/>
    </row>
    <row r="74" spans="1:17" ht="14" x14ac:dyDescent="0.3">
      <c r="A74" s="151"/>
      <c r="B74" s="256" t="s">
        <v>164</v>
      </c>
      <c r="E74" s="188"/>
      <c r="G74" s="188"/>
      <c r="H74" s="188"/>
      <c r="I74" s="188"/>
      <c r="J74" s="188"/>
      <c r="K74" s="188"/>
      <c r="L74" s="188"/>
      <c r="M74" s="188"/>
      <c r="N74" s="188"/>
      <c r="Q74" s="154"/>
    </row>
    <row r="75" spans="1:17" ht="14" x14ac:dyDescent="0.3">
      <c r="A75" s="151"/>
      <c r="B75" s="130" t="str">
        <f>+'G1 SOUTH'!B82</f>
        <v>Col. (a): Company Forecast</v>
      </c>
      <c r="Q75" s="154"/>
    </row>
    <row r="76" spans="1:17" ht="14" x14ac:dyDescent="0.3">
      <c r="A76" s="151"/>
      <c r="B76" s="130" t="str">
        <f>+'G1 SOUTH'!B83</f>
        <v>Col. (b): Current rates</v>
      </c>
      <c r="Q76" s="154"/>
    </row>
    <row r="77" spans="1:17" ht="14" x14ac:dyDescent="0.3">
      <c r="A77" s="151"/>
      <c r="B77" s="130" t="str">
        <f>+'G1 SOUTH'!B84</f>
        <v>Col. (c): Col. (a) x Col. (b)</v>
      </c>
    </row>
    <row r="78" spans="1:17" ht="14" x14ac:dyDescent="0.3">
      <c r="A78" s="151"/>
      <c r="B78" s="130" t="str">
        <f>+'G1 SOUTH'!B85</f>
        <v>Col. (e) Proposed rates</v>
      </c>
    </row>
    <row r="79" spans="1:17" ht="14" x14ac:dyDescent="0.3">
      <c r="A79" s="151"/>
      <c r="B79" s="188" t="s">
        <v>496</v>
      </c>
    </row>
  </sheetData>
  <mergeCells count="6">
    <mergeCell ref="A4:N4"/>
    <mergeCell ref="A5:N5"/>
    <mergeCell ref="A7:N7"/>
    <mergeCell ref="A8:N8"/>
    <mergeCell ref="G10:I10"/>
    <mergeCell ref="L10:N10"/>
  </mergeCells>
  <pageMargins left="0.7" right="0.7" top="0.75" bottom="0.75" header="0.3" footer="0.3"/>
  <pageSetup scale="63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CF33C-82CC-44DF-9E7C-A17E973BE849}">
  <sheetPr>
    <tabColor theme="9" tint="0.59999389629810485"/>
    <pageSetUpPr fitToPage="1"/>
  </sheetPr>
  <dimension ref="A3:W79"/>
  <sheetViews>
    <sheetView workbookViewId="0"/>
  </sheetViews>
  <sheetFormatPr defaultRowHeight="12.5" x14ac:dyDescent="0.25"/>
  <cols>
    <col min="1" max="1" width="3.26953125" bestFit="1" customWidth="1"/>
    <col min="2" max="2" width="41.1796875" customWidth="1"/>
    <col min="3" max="3" width="8.81640625" bestFit="1" customWidth="1"/>
    <col min="4" max="4" width="1.26953125" customWidth="1"/>
    <col min="5" max="5" width="13.7265625" bestFit="1" customWidth="1"/>
    <col min="6" max="6" width="1.26953125" customWidth="1"/>
    <col min="7" max="7" width="12.7265625" customWidth="1"/>
    <col min="8" max="8" width="1.26953125" customWidth="1"/>
    <col min="9" max="9" width="15" customWidth="1"/>
    <col min="11" max="11" width="1.26953125" customWidth="1"/>
    <col min="12" max="12" width="14.26953125" customWidth="1"/>
    <col min="13" max="13" width="1.26953125" customWidth="1"/>
    <col min="14" max="14" width="15.1796875" customWidth="1"/>
  </cols>
  <sheetData>
    <row r="3" spans="1:18" ht="14" x14ac:dyDescent="0.3">
      <c r="A3" s="268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</row>
    <row r="4" spans="1:18" ht="14" x14ac:dyDescent="0.3">
      <c r="A4" s="748" t="str">
        <f>'R1 EMA'!A4:N4</f>
        <v>Eastern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8" ht="14" x14ac:dyDescent="0.3">
      <c r="A5" s="748" t="str">
        <f>'R1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8" ht="14" x14ac:dyDescent="0.3">
      <c r="A6" s="205"/>
      <c r="C6" s="205"/>
      <c r="D6" s="205"/>
      <c r="E6" s="206"/>
      <c r="F6" s="207"/>
      <c r="G6" s="208"/>
      <c r="H6" s="209"/>
      <c r="I6" s="210"/>
      <c r="J6" s="210"/>
      <c r="K6" s="210"/>
      <c r="L6" s="211"/>
      <c r="M6" s="211"/>
      <c r="N6" s="212"/>
    </row>
    <row r="7" spans="1:18" ht="14" x14ac:dyDescent="0.3">
      <c r="A7" s="748" t="s">
        <v>476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8" ht="14" x14ac:dyDescent="0.3">
      <c r="A8" s="748" t="s">
        <v>497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8" ht="14" x14ac:dyDescent="0.3">
      <c r="B9" s="207"/>
      <c r="C9" s="207"/>
      <c r="D9" s="207"/>
      <c r="E9" s="213"/>
      <c r="F9" s="207"/>
      <c r="I9" s="210"/>
      <c r="J9" s="210"/>
      <c r="K9" s="210"/>
      <c r="L9" s="214"/>
      <c r="M9" s="214"/>
      <c r="N9" s="215"/>
    </row>
    <row r="10" spans="1:18" ht="14.5" thickBot="1" x14ac:dyDescent="0.35">
      <c r="A10" s="151"/>
      <c r="B10" s="216" t="s">
        <v>46</v>
      </c>
      <c r="C10" s="216"/>
      <c r="D10" s="216"/>
      <c r="E10" s="217" t="s">
        <v>144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8" ht="14" x14ac:dyDescent="0.3">
      <c r="A11" s="151"/>
      <c r="B11" s="219" t="s">
        <v>293</v>
      </c>
      <c r="C11" s="220" t="s">
        <v>294</v>
      </c>
      <c r="D11" s="220"/>
      <c r="E11" s="221" t="s">
        <v>295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8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8" ht="14" x14ac:dyDescent="0.3">
      <c r="A13" s="151">
        <f>IF(B13&lt;&gt;"",COUNTA($B$13:B13),"")</f>
        <v>1</v>
      </c>
      <c r="B13" s="232" t="s">
        <v>296</v>
      </c>
      <c r="C13" s="233" t="s">
        <v>297</v>
      </c>
      <c r="D13" s="233"/>
      <c r="E13" s="234">
        <v>5863.6586254994472</v>
      </c>
      <c r="F13" s="207"/>
      <c r="G13" s="209">
        <v>370</v>
      </c>
      <c r="H13" s="209"/>
      <c r="I13" s="210">
        <f>G13*E13</f>
        <v>2169553.6914347955</v>
      </c>
      <c r="J13" s="234"/>
      <c r="K13" s="210"/>
      <c r="L13" s="209">
        <v>370</v>
      </c>
      <c r="M13" s="211"/>
      <c r="N13" s="210">
        <f>L13*E13</f>
        <v>2169553.6914347955</v>
      </c>
      <c r="O13" s="272"/>
      <c r="P13" s="234"/>
      <c r="Q13" s="154"/>
      <c r="R13" s="204"/>
    </row>
    <row r="14" spans="1:18" ht="14" x14ac:dyDescent="0.3">
      <c r="A14" s="151">
        <f>IF(B14&lt;&gt;"",COUNTA($B$13:B14),"")</f>
        <v>2</v>
      </c>
      <c r="B14" s="232" t="s">
        <v>422</v>
      </c>
      <c r="C14" s="233" t="s">
        <v>364</v>
      </c>
      <c r="D14" s="233"/>
      <c r="E14" s="234">
        <v>1262218.1899866431</v>
      </c>
      <c r="F14" s="207"/>
      <c r="G14" s="209">
        <v>1.51</v>
      </c>
      <c r="H14" s="209"/>
      <c r="I14" s="210">
        <f t="shared" ref="I14" si="0">G14*E14</f>
        <v>1905949.4668798312</v>
      </c>
      <c r="J14" s="234"/>
      <c r="K14" s="210"/>
      <c r="L14" s="209">
        <v>1.58</v>
      </c>
      <c r="M14" s="211"/>
      <c r="N14" s="210">
        <f t="shared" ref="N14:N17" si="1">L14*E14</f>
        <v>1994304.7401788963</v>
      </c>
      <c r="O14" s="272"/>
      <c r="P14" s="234"/>
      <c r="Q14" s="154"/>
    </row>
    <row r="15" spans="1:18" ht="14" x14ac:dyDescent="0.3">
      <c r="A15" s="151">
        <f>IF(B15&lt;&gt;"",COUNTA($B$13:B15),"")</f>
        <v>3</v>
      </c>
      <c r="B15" s="207" t="s">
        <v>449</v>
      </c>
      <c r="C15" s="233" t="s">
        <v>442</v>
      </c>
      <c r="D15" s="233"/>
      <c r="E15" s="234">
        <v>129159674.84919296</v>
      </c>
      <c r="F15" s="207"/>
      <c r="G15" s="236">
        <v>1.7690000000000001E-2</v>
      </c>
      <c r="H15" s="209"/>
      <c r="I15" s="210">
        <f>G15*(E15)</f>
        <v>2284834.6480822237</v>
      </c>
      <c r="J15" s="234"/>
      <c r="K15" s="210"/>
      <c r="L15" s="236">
        <v>1.8429999999999998E-2</v>
      </c>
      <c r="M15" s="211"/>
      <c r="N15" s="210">
        <f t="shared" si="1"/>
        <v>2380412.8074706262</v>
      </c>
      <c r="O15" s="272"/>
      <c r="P15" s="234"/>
      <c r="Q15" s="154"/>
    </row>
    <row r="16" spans="1:18" ht="14" x14ac:dyDescent="0.3">
      <c r="A16" s="151">
        <f>IF(B16&lt;&gt;"",COUNTA($B$13:B16),"")</f>
        <v>4</v>
      </c>
      <c r="B16" s="207" t="s">
        <v>498</v>
      </c>
      <c r="C16" s="233" t="s">
        <v>444</v>
      </c>
      <c r="D16" s="233"/>
      <c r="E16" s="234">
        <v>116356782.68884145</v>
      </c>
      <c r="F16" s="207"/>
      <c r="G16" s="236">
        <v>1.4880000000000001E-2</v>
      </c>
      <c r="H16" s="209"/>
      <c r="I16" s="210">
        <f t="shared" ref="I16:I17" si="2">G16*(E16)</f>
        <v>1731388.9264099607</v>
      </c>
      <c r="J16" s="235"/>
      <c r="K16" s="210"/>
      <c r="L16" s="236">
        <v>1.5509999999999999E-2</v>
      </c>
      <c r="M16" s="211"/>
      <c r="N16" s="210">
        <f t="shared" si="1"/>
        <v>1804693.6995039308</v>
      </c>
      <c r="O16" s="272"/>
      <c r="P16" s="234"/>
      <c r="Q16" s="154"/>
    </row>
    <row r="17" spans="1:23" ht="14" x14ac:dyDescent="0.3">
      <c r="A17" s="151">
        <f>IF(B17&lt;&gt;"",COUNTA($B$13:B17),"")</f>
        <v>5</v>
      </c>
      <c r="B17" s="207" t="s">
        <v>499</v>
      </c>
      <c r="C17" s="233" t="s">
        <v>500</v>
      </c>
      <c r="D17" s="233"/>
      <c r="E17" s="234">
        <v>225121891.32518476</v>
      </c>
      <c r="F17" s="207"/>
      <c r="G17" s="236">
        <v>9.6500000000000006E-3</v>
      </c>
      <c r="H17" s="209"/>
      <c r="I17" s="210">
        <f t="shared" si="2"/>
        <v>2172426.2512880331</v>
      </c>
      <c r="J17" s="235"/>
      <c r="K17" s="210"/>
      <c r="L17" s="236">
        <v>1.0059999999999999E-2</v>
      </c>
      <c r="M17" s="211"/>
      <c r="N17" s="210">
        <f t="shared" si="1"/>
        <v>2264726.2267313586</v>
      </c>
      <c r="O17" s="272"/>
      <c r="P17" s="234"/>
      <c r="Q17" s="154"/>
    </row>
    <row r="18" spans="1:23" ht="14" x14ac:dyDescent="0.3">
      <c r="A18" s="151">
        <f>IF(B18&lt;&gt;"",COUNTA($B$13:B18),"")</f>
        <v>6</v>
      </c>
      <c r="B18" s="207" t="s">
        <v>352</v>
      </c>
      <c r="C18" s="233" t="s">
        <v>299</v>
      </c>
      <c r="D18" s="233"/>
      <c r="E18" s="234">
        <v>470638348.86321914</v>
      </c>
      <c r="F18" s="207"/>
      <c r="G18" s="236"/>
      <c r="H18" s="209"/>
      <c r="I18" s="237"/>
      <c r="J18" s="235"/>
      <c r="K18" s="210"/>
      <c r="L18" s="281"/>
      <c r="M18" s="211"/>
      <c r="N18" s="237"/>
      <c r="O18" s="272"/>
      <c r="P18" s="273"/>
    </row>
    <row r="19" spans="1:23" ht="14" x14ac:dyDescent="0.3">
      <c r="A19" s="151">
        <f>IF(B19&lt;&gt;"",COUNTA($B$13:B19),"")</f>
        <v>7</v>
      </c>
      <c r="B19" s="207" t="s">
        <v>300</v>
      </c>
      <c r="C19" s="233" t="s">
        <v>301</v>
      </c>
      <c r="D19" s="233"/>
      <c r="E19" s="234"/>
      <c r="F19" s="207"/>
      <c r="G19" s="209"/>
      <c r="H19" s="209"/>
      <c r="I19" s="210">
        <f>SUM(I13:I18)</f>
        <v>10264152.984094843</v>
      </c>
      <c r="J19" s="235"/>
      <c r="K19" s="210"/>
      <c r="L19" s="238"/>
      <c r="M19" s="211"/>
      <c r="N19" s="210">
        <f>SUM(N13:N18)</f>
        <v>10613691.165319607</v>
      </c>
      <c r="O19" s="272"/>
      <c r="P19" s="210"/>
      <c r="Q19" s="154"/>
    </row>
    <row r="20" spans="1:23" ht="14" x14ac:dyDescent="0.3">
      <c r="A20" s="151" t="str">
        <f>IF(B20&lt;&gt;"",COUNTA($B$13:B20),"")</f>
        <v/>
      </c>
      <c r="B20" s="207"/>
      <c r="C20" s="233"/>
      <c r="D20" s="233"/>
      <c r="E20" s="234"/>
      <c r="F20" s="207"/>
      <c r="G20" s="209"/>
      <c r="H20" s="209"/>
      <c r="I20" s="210"/>
      <c r="J20" s="235"/>
      <c r="K20" s="210"/>
      <c r="L20" s="238"/>
      <c r="M20" s="211"/>
      <c r="N20" s="210"/>
      <c r="O20" s="272"/>
      <c r="P20" s="210"/>
      <c r="Q20" s="154"/>
    </row>
    <row r="21" spans="1:23" ht="14" x14ac:dyDescent="0.3">
      <c r="A21" s="151">
        <f>IF(B21&lt;&gt;"",COUNTA($B$13:B21),"")</f>
        <v>8</v>
      </c>
      <c r="B21" s="228" t="s">
        <v>302</v>
      </c>
      <c r="F21" s="239"/>
      <c r="G21" s="240"/>
      <c r="H21" s="211"/>
      <c r="I21" s="210"/>
      <c r="K21" s="210"/>
      <c r="L21" s="241"/>
      <c r="M21" s="211"/>
      <c r="N21" s="210"/>
      <c r="O21" s="272"/>
    </row>
    <row r="22" spans="1:23" ht="14" x14ac:dyDescent="0.3">
      <c r="A22" s="151">
        <f>IF(B22&lt;&gt;"",COUNTA($B$13:B22),"")</f>
        <v>9</v>
      </c>
      <c r="B22" s="207" t="str">
        <f>+'G1 SOUTH'!B30</f>
        <v>Revenue Decoupling</v>
      </c>
      <c r="C22" s="233" t="str">
        <f>+'G1 SOUTH'!C30</f>
        <v>RDAF</v>
      </c>
      <c r="D22" s="233"/>
      <c r="E22" s="242"/>
      <c r="F22" s="239"/>
      <c r="G22" s="236">
        <v>0</v>
      </c>
      <c r="H22" s="211"/>
      <c r="I22" s="210">
        <f>G22*SUM($E$15:$E$17)</f>
        <v>0</v>
      </c>
      <c r="K22" s="210"/>
      <c r="L22" s="236">
        <v>-2.1717900179304292E-4</v>
      </c>
      <c r="M22" s="211"/>
      <c r="N22" s="210">
        <f>$E$18*L22</f>
        <v>-102212.76681163983</v>
      </c>
      <c r="O22" s="272"/>
      <c r="P22" s="301"/>
    </row>
    <row r="23" spans="1:23" ht="14" x14ac:dyDescent="0.3">
      <c r="A23" s="151">
        <f>IF(B23&lt;&gt;"",COUNTA($B$13:B23),"")</f>
        <v>10</v>
      </c>
      <c r="B23" s="207" t="str">
        <f>+'G1 SOUTH'!B31</f>
        <v>Residential Assistance Adjustment Factor</v>
      </c>
      <c r="C23" s="233" t="str">
        <f>+'G1 SOUTH'!C31</f>
        <v>RAAF</v>
      </c>
      <c r="D23" s="243"/>
      <c r="E23" s="206"/>
      <c r="F23" s="239"/>
      <c r="G23" s="236">
        <f>HLOOKUP(($C23&amp;"C"),'Exh 7_Recon Rates p1-2'!$J$6:$CC$34,'Exh 7_Recon Rates p1-2'!$D$24,FALSE)</f>
        <v>1.3799999999999999E-3</v>
      </c>
      <c r="H23" s="211"/>
      <c r="I23" s="210">
        <f t="shared" ref="I23:I36" si="3">G23*SUM($E$15:$E$17)</f>
        <v>649480.92143124237</v>
      </c>
      <c r="K23" s="210"/>
      <c r="L23" s="236">
        <v>1.8347866159460454E-3</v>
      </c>
      <c r="M23" s="211"/>
      <c r="N23" s="210">
        <f t="shared" ref="N23:N36" si="4">$E$18*L23</f>
        <v>863520.94344518019</v>
      </c>
      <c r="O23" s="272"/>
      <c r="P23" s="301"/>
      <c r="Q23" s="210"/>
      <c r="V23" s="233"/>
      <c r="W23" s="154"/>
    </row>
    <row r="24" spans="1:23" ht="14" x14ac:dyDescent="0.3">
      <c r="A24" s="151">
        <f>IF(B24&lt;&gt;"",COUNTA($B$13:B24),"")</f>
        <v>11</v>
      </c>
      <c r="B24" s="207" t="str">
        <f>+'G1 SOUTH'!B32</f>
        <v>Pension Adjustment Factor</v>
      </c>
      <c r="C24" s="233" t="str">
        <f>+'G1 SOUTH'!C32</f>
        <v>PAF</v>
      </c>
      <c r="D24" s="243"/>
      <c r="E24" s="206"/>
      <c r="F24" s="239"/>
      <c r="G24" s="236">
        <f>HLOOKUP(($C24&amp;"C"),'Exh 7_Recon Rates p1-2'!$J$6:$CC$34,'Exh 7_Recon Rates p1-2'!$D$24,FALSE)</f>
        <v>-5.0000000000000002E-5</v>
      </c>
      <c r="H24" s="211"/>
      <c r="I24" s="210">
        <f t="shared" si="3"/>
        <v>-23531.917443160957</v>
      </c>
      <c r="K24" s="210"/>
      <c r="L24" s="236">
        <v>4.3813751416432652E-4</v>
      </c>
      <c r="M24" s="211"/>
      <c r="N24" s="210">
        <f t="shared" si="4"/>
        <v>206204.31624133393</v>
      </c>
      <c r="O24" s="299"/>
      <c r="P24" s="274"/>
      <c r="V24" s="233"/>
      <c r="W24" s="154"/>
    </row>
    <row r="25" spans="1:23" ht="14" x14ac:dyDescent="0.3">
      <c r="A25" s="151">
        <f>IF(B25&lt;&gt;"",COUNTA($B$13:B25),"")</f>
        <v>12</v>
      </c>
      <c r="B25" s="207" t="str">
        <f>+'G1 SOUTH'!B33</f>
        <v>Net Metering Recovery Surcharge</v>
      </c>
      <c r="C25" s="233" t="str">
        <f>+'G1 SOUTH'!C33</f>
        <v>NMRS</v>
      </c>
      <c r="D25" s="243"/>
      <c r="E25" s="206"/>
      <c r="F25" s="239"/>
      <c r="G25" s="236">
        <f>HLOOKUP(($C25&amp;"C"),'Exh 7_Recon Rates p1-2'!$J$6:$CC$34,'Exh 7_Recon Rates p1-2'!$D$24,FALSE)</f>
        <v>2.7299999999999998E-3</v>
      </c>
      <c r="H25" s="211"/>
      <c r="I25" s="210">
        <f t="shared" si="3"/>
        <v>1284842.6923965882</v>
      </c>
      <c r="K25" s="210"/>
      <c r="L25" s="236">
        <v>2.3924145717746006E-3</v>
      </c>
      <c r="M25" s="211"/>
      <c r="N25" s="210">
        <f t="shared" si="4"/>
        <v>1125962.0438563034</v>
      </c>
      <c r="O25" s="299"/>
      <c r="P25" s="274"/>
    </row>
    <row r="26" spans="1:23" ht="14" x14ac:dyDescent="0.3">
      <c r="A26" s="151">
        <f>IF(B26&lt;&gt;"",COUNTA($B$13:B26),"")</f>
        <v>13</v>
      </c>
      <c r="B26" s="207" t="str">
        <f>+'G1 SOUTH'!B34</f>
        <v>Long Term Renewable Contract Adjustment</v>
      </c>
      <c r="C26" s="233" t="str">
        <f>+'G1 SOUTH'!C34</f>
        <v>LTRCA</v>
      </c>
      <c r="D26" s="243"/>
      <c r="E26" s="206"/>
      <c r="F26" s="239"/>
      <c r="G26" s="236">
        <f>HLOOKUP(($C26&amp;"C"),'Exh 7_Recon Rates p1-2'!$J$6:$CC$34,'Exh 7_Recon Rates p1-2'!$D$24,FALSE)</f>
        <v>2.3600000000000001E-3</v>
      </c>
      <c r="H26" s="211"/>
      <c r="I26" s="210">
        <f t="shared" si="3"/>
        <v>1110706.5033171973</v>
      </c>
      <c r="K26" s="210"/>
      <c r="L26" s="236">
        <v>1.7357128782064517E-3</v>
      </c>
      <c r="M26" s="211"/>
      <c r="N26" s="210">
        <f t="shared" si="4"/>
        <v>816893.04309971025</v>
      </c>
      <c r="O26" s="272"/>
      <c r="P26" s="275"/>
    </row>
    <row r="27" spans="1:23" ht="14" x14ac:dyDescent="0.3">
      <c r="A27" s="151">
        <f>IF(B27&lt;&gt;"",COUNTA($B$13:B27),"")</f>
        <v>14</v>
      </c>
      <c r="B27" s="207" t="str">
        <f>+'G1 SOUTH'!B35</f>
        <v>AG Consulting Expense</v>
      </c>
      <c r="C27" s="233" t="str">
        <f>+'G1 SOUTH'!C35</f>
        <v>AGCE</v>
      </c>
      <c r="D27" s="243"/>
      <c r="E27" s="206"/>
      <c r="F27" s="239"/>
      <c r="G27" s="236">
        <f>HLOOKUP(($C27&amp;"C"),'Exh 7_Recon Rates p1-2'!$J$6:$CC$34,'Exh 7_Recon Rates p1-2'!$D$24,FALSE)</f>
        <v>1.0000000000000001E-5</v>
      </c>
      <c r="H27" s="211"/>
      <c r="I27" s="210">
        <f t="shared" si="3"/>
        <v>4706.383488632192</v>
      </c>
      <c r="K27" s="210"/>
      <c r="L27" s="236">
        <v>3.8523674605689112E-6</v>
      </c>
      <c r="M27" s="211"/>
      <c r="N27" s="210">
        <f t="shared" si="4"/>
        <v>1813.0718608565448</v>
      </c>
      <c r="O27" s="272"/>
      <c r="P27" s="274"/>
    </row>
    <row r="28" spans="1:23" ht="14" x14ac:dyDescent="0.3">
      <c r="A28" s="151">
        <f>IF(B28&lt;&gt;"",COUNTA($B$13:B28),"")</f>
        <v>15</v>
      </c>
      <c r="B28" s="207" t="str">
        <f>+'G1 SOUTH'!B36</f>
        <v>Storm Cost Recovery Adjustment Factor</v>
      </c>
      <c r="C28" s="233" t="str">
        <f>+'G1 SOUTH'!C36</f>
        <v>SCRA</v>
      </c>
      <c r="D28" s="243"/>
      <c r="E28" s="206"/>
      <c r="F28" s="239"/>
      <c r="G28" s="236">
        <f>HLOOKUP(($C28&amp;"C"),'Exh 7_Recon Rates p1-2'!$J$6:$CC$34,'Exh 7_Recon Rates p1-2'!$D$24,FALSE)</f>
        <v>8.4999999999999995E-4</v>
      </c>
      <c r="H28" s="211"/>
      <c r="I28" s="210">
        <f t="shared" si="3"/>
        <v>400042.59653373627</v>
      </c>
      <c r="K28" s="210"/>
      <c r="L28" s="236">
        <v>1.3909704299450646E-3</v>
      </c>
      <c r="M28" s="211"/>
      <c r="N28" s="210">
        <f t="shared" si="4"/>
        <v>654644.02646690723</v>
      </c>
      <c r="O28" s="272"/>
      <c r="P28" s="274"/>
    </row>
    <row r="29" spans="1:23" ht="14" x14ac:dyDescent="0.3">
      <c r="A29" s="151">
        <f>IF(B29&lt;&gt;"",COUNTA($B$13:B29),"")</f>
        <v>16</v>
      </c>
      <c r="B29" s="207" t="str">
        <f>+'G1 SOUTH'!B37</f>
        <v>Storm Reserve Adjustment</v>
      </c>
      <c r="C29" s="233" t="str">
        <f>+'G1 SOUTH'!C37</f>
        <v>SRA</v>
      </c>
      <c r="D29" s="243"/>
      <c r="E29" s="206"/>
      <c r="F29" s="239"/>
      <c r="G29" s="236">
        <f>HLOOKUP(($C29&amp;"C"),'Exh 7_Recon Rates p1-2'!$J$6:$CC$34,'Exh 7_Recon Rates p1-2'!$D$24,FALSE)</f>
        <v>0</v>
      </c>
      <c r="H29" s="211"/>
      <c r="I29" s="210">
        <f t="shared" si="3"/>
        <v>0</v>
      </c>
      <c r="K29" s="210"/>
      <c r="L29" s="236">
        <v>0</v>
      </c>
      <c r="M29" s="211"/>
      <c r="N29" s="210">
        <f t="shared" si="4"/>
        <v>0</v>
      </c>
      <c r="O29" s="272"/>
      <c r="P29" s="274"/>
    </row>
    <row r="30" spans="1:23" ht="14" x14ac:dyDescent="0.3">
      <c r="A30" s="151">
        <f>IF(B30&lt;&gt;"",COUNTA($B$13:B30),"")</f>
        <v>17</v>
      </c>
      <c r="B30" s="207" t="str">
        <f>+'G1 SOUTH'!B38</f>
        <v>Basic Service Cost True Up Factor</v>
      </c>
      <c r="C30" s="233" t="str">
        <f>+'G1 SOUTH'!C38</f>
        <v>BSTF</v>
      </c>
      <c r="D30" s="243"/>
      <c r="E30" s="206"/>
      <c r="F30" s="239"/>
      <c r="G30" s="236">
        <f>HLOOKUP(($C30&amp;"C"),'Exh 7_Recon Rates p1-2'!$J$6:$CC$34,'Exh 7_Recon Rates p1-2'!$D$24,FALSE)</f>
        <v>7.3999999999999999E-4</v>
      </c>
      <c r="H30" s="211"/>
      <c r="I30" s="210">
        <f t="shared" si="3"/>
        <v>348272.37815878214</v>
      </c>
      <c r="K30" s="210"/>
      <c r="L30" s="236">
        <v>-9.1046607947095507E-5</v>
      </c>
      <c r="M30" s="211"/>
      <c r="N30" s="210">
        <f t="shared" si="4"/>
        <v>-42850.025233817876</v>
      </c>
      <c r="O30" s="272"/>
      <c r="P30" s="274"/>
    </row>
    <row r="31" spans="1:23" ht="14" x14ac:dyDescent="0.3">
      <c r="A31" s="151">
        <f>IF(B31&lt;&gt;"",COUNTA($B$13:B31),"")</f>
        <v>18</v>
      </c>
      <c r="B31" s="207" t="str">
        <f>+'G1 SOUTH'!B39</f>
        <v>Solar Program Cost Adjustment Factor</v>
      </c>
      <c r="C31" s="233" t="str">
        <f>+'G1 SOUTH'!C39</f>
        <v>SPCA</v>
      </c>
      <c r="D31" s="233"/>
      <c r="E31" s="206"/>
      <c r="F31" s="239"/>
      <c r="G31" s="236">
        <f>HLOOKUP(($C31&amp;"C"),'Exh 7_Recon Rates p1-2'!$J$6:$CC$34,'Exh 7_Recon Rates p1-2'!$D$24,FALSE)</f>
        <v>0</v>
      </c>
      <c r="H31" s="211"/>
      <c r="I31" s="210">
        <f t="shared" si="3"/>
        <v>0</v>
      </c>
      <c r="K31" s="210"/>
      <c r="L31" s="236">
        <v>1.6203065663752126E-5</v>
      </c>
      <c r="M31" s="211"/>
      <c r="N31" s="210">
        <f t="shared" si="4"/>
        <v>7625.78407051062</v>
      </c>
      <c r="O31" s="272"/>
      <c r="P31" s="276"/>
    </row>
    <row r="32" spans="1:23" ht="14" x14ac:dyDescent="0.3">
      <c r="A32" s="151">
        <f>IF(B32&lt;&gt;"",COUNTA($B$13:B32),"")</f>
        <v>19</v>
      </c>
      <c r="B32" s="207" t="str">
        <f>+'G1 SOUTH'!B40</f>
        <v>Solar Expansion Cost Recovery Factor</v>
      </c>
      <c r="C32" s="233" t="str">
        <f>+'G1 SOUTH'!C40</f>
        <v>SECRF</v>
      </c>
      <c r="D32" s="233"/>
      <c r="E32" s="206"/>
      <c r="F32" s="239"/>
      <c r="G32" s="236">
        <f>HLOOKUP(($C32&amp;"C"),'Exh 7_Recon Rates p1-2'!$J$6:$CC$34,'Exh 7_Recon Rates p1-2'!$D$24,FALSE)</f>
        <v>0</v>
      </c>
      <c r="H32" s="211"/>
      <c r="I32" s="210">
        <f t="shared" si="3"/>
        <v>0</v>
      </c>
      <c r="K32" s="210"/>
      <c r="L32" s="236">
        <v>2.8578501013583037E-4</v>
      </c>
      <c r="M32" s="211"/>
      <c r="N32" s="210">
        <f t="shared" si="4"/>
        <v>134501.38530018556</v>
      </c>
      <c r="O32" s="272"/>
      <c r="P32" s="276"/>
    </row>
    <row r="33" spans="1:18" ht="14" x14ac:dyDescent="0.3">
      <c r="A33" s="151">
        <f>IF(B33&lt;&gt;"",COUNTA($B$13:B33),"")</f>
        <v>20</v>
      </c>
      <c r="B33" s="207" t="str">
        <f>+'G1 SOUTH'!B41</f>
        <v>Vegetation Management</v>
      </c>
      <c r="C33" s="233" t="str">
        <f>+'G1 SOUTH'!C41</f>
        <v>RTWF</v>
      </c>
      <c r="D33" s="233"/>
      <c r="E33" s="206"/>
      <c r="F33" s="239"/>
      <c r="G33" s="236">
        <f>HLOOKUP(($C33&amp;"C"),'Exh 7_Recon Rates p1-2'!$J$6:$CC$34,'Exh 7_Recon Rates p1-2'!$D$24,FALSE)</f>
        <v>0</v>
      </c>
      <c r="H33" s="211"/>
      <c r="I33" s="210">
        <f t="shared" si="3"/>
        <v>0</v>
      </c>
      <c r="K33" s="210"/>
      <c r="L33" s="236">
        <v>7.8441423392822476E-4</v>
      </c>
      <c r="M33" s="211"/>
      <c r="N33" s="210">
        <f t="shared" si="4"/>
        <v>369175.41988078662</v>
      </c>
      <c r="O33" s="272"/>
      <c r="P33" s="276"/>
    </row>
    <row r="34" spans="1:18" ht="14" x14ac:dyDescent="0.3">
      <c r="A34" s="151">
        <f>IF(B34&lt;&gt;"",COUNTA($B$13:B34),"")</f>
        <v>21</v>
      </c>
      <c r="B34" s="207" t="str">
        <f>+'G1 SOUTH'!B42</f>
        <v>Solar Massachusetts Renewable Target</v>
      </c>
      <c r="C34" s="233" t="str">
        <f>+'G1 SOUTH'!C42</f>
        <v>SMART</v>
      </c>
      <c r="D34" s="233"/>
      <c r="E34" s="206"/>
      <c r="F34" s="239"/>
      <c r="G34" s="236">
        <f>HLOOKUP(($C34&amp;"C"),'Exh 7_Recon Rates p1-2'!$J$6:$CC$34,'Exh 7_Recon Rates p1-2'!$D$24,FALSE)</f>
        <v>0</v>
      </c>
      <c r="H34" s="211"/>
      <c r="I34" s="210">
        <f t="shared" si="3"/>
        <v>0</v>
      </c>
      <c r="K34" s="210"/>
      <c r="L34" s="236">
        <v>3.348372431450727E-4</v>
      </c>
      <c r="M34" s="211"/>
      <c r="N34" s="210">
        <f t="shared" si="4"/>
        <v>157587.24725170925</v>
      </c>
      <c r="O34" s="272"/>
      <c r="P34" s="276"/>
    </row>
    <row r="35" spans="1:18" ht="14" x14ac:dyDescent="0.3">
      <c r="A35" s="151">
        <f>IF(B35&lt;&gt;"",COUNTA($B$13:B35),"")</f>
        <v>22</v>
      </c>
      <c r="B35" s="207" t="str">
        <f>+'G1 SOUTH'!B43</f>
        <v>Tax Act Credit Factor</v>
      </c>
      <c r="C35" s="233" t="str">
        <f>+'G1 SOUTH'!C43</f>
        <v>TACF</v>
      </c>
      <c r="D35" s="233"/>
      <c r="E35" s="206"/>
      <c r="F35" s="239"/>
      <c r="G35" s="236">
        <f>HLOOKUP(($C35&amp;"C"),'Exh 7_Recon Rates p1-2'!$J$6:$CC$34,'Exh 7_Recon Rates p1-2'!$D$24,FALSE)</f>
        <v>0</v>
      </c>
      <c r="H35" s="211"/>
      <c r="I35" s="210">
        <f t="shared" si="3"/>
        <v>0</v>
      </c>
      <c r="K35" s="210"/>
      <c r="L35" s="236">
        <v>-5.0688764877792085E-4</v>
      </c>
      <c r="M35" s="211"/>
      <c r="N35" s="210">
        <f t="shared" si="4"/>
        <v>-238560.76608</v>
      </c>
      <c r="O35" s="272"/>
      <c r="P35" s="276"/>
    </row>
    <row r="36" spans="1:18" ht="14" x14ac:dyDescent="0.3">
      <c r="A36" s="151">
        <f>IF(B36&lt;&gt;"",COUNTA($B$13:B36),"")</f>
        <v>23</v>
      </c>
      <c r="B36" s="207" t="str">
        <f>+'G1 SOUTH'!B44</f>
        <v>Transition</v>
      </c>
      <c r="C36" s="233" t="str">
        <f>+'G1 SOUTH'!C44</f>
        <v>TRNSN</v>
      </c>
      <c r="D36" s="233"/>
      <c r="E36" s="206"/>
      <c r="F36" s="239"/>
      <c r="G36" s="236">
        <v>-6.0999999999999997E-4</v>
      </c>
      <c r="H36" s="211"/>
      <c r="I36" s="210">
        <f t="shared" si="3"/>
        <v>-287089.39280656364</v>
      </c>
      <c r="K36" s="210"/>
      <c r="L36" s="236">
        <v>-5.210932140356871E-4</v>
      </c>
      <c r="M36" s="211"/>
      <c r="N36" s="210">
        <f t="shared" si="4"/>
        <v>-245246.44985758382</v>
      </c>
      <c r="O36" s="272"/>
      <c r="P36" s="275"/>
    </row>
    <row r="37" spans="1:18" ht="14" x14ac:dyDescent="0.3">
      <c r="A37" s="151">
        <f>IF(B37&lt;&gt;"",COUNTA($B$13:B37),"")</f>
        <v>24</v>
      </c>
      <c r="B37" s="207" t="s">
        <v>408</v>
      </c>
      <c r="C37" s="233" t="s">
        <v>382</v>
      </c>
      <c r="D37" s="233"/>
      <c r="E37" s="206"/>
      <c r="F37" s="239"/>
      <c r="G37" s="283">
        <v>8.16</v>
      </c>
      <c r="H37" s="211"/>
      <c r="I37" s="210">
        <f>G37*$E$14</f>
        <v>10299700.430291008</v>
      </c>
      <c r="K37" s="210"/>
      <c r="L37" s="283">
        <v>6.6528675037357328</v>
      </c>
      <c r="M37" s="211"/>
      <c r="N37" s="210">
        <f>+L37*E14</f>
        <v>8397370.3787862733</v>
      </c>
      <c r="O37" s="272"/>
      <c r="P37" s="210"/>
      <c r="R37" s="302"/>
    </row>
    <row r="38" spans="1:18" ht="14" x14ac:dyDescent="0.3">
      <c r="A38" s="151">
        <f>IF(B38&lt;&gt;"",COUNTA($B$13:B38),"")</f>
        <v>25</v>
      </c>
      <c r="B38" s="207" t="s">
        <v>315</v>
      </c>
      <c r="C38" s="233" t="s">
        <v>316</v>
      </c>
      <c r="D38" s="233"/>
      <c r="E38" s="206"/>
      <c r="F38" s="239"/>
      <c r="G38" s="241">
        <v>2.7699999999999999E-3</v>
      </c>
      <c r="H38" s="211"/>
      <c r="I38" s="210">
        <f t="shared" ref="I38:I42" si="5">G38*SUM($E$15:$E$17)</f>
        <v>1303668.226351117</v>
      </c>
      <c r="K38" s="210"/>
      <c r="L38" s="241">
        <v>2.3592224083161411E-3</v>
      </c>
      <c r="M38" s="211"/>
      <c r="N38" s="210">
        <f>$E$18*L38</f>
        <v>1110340.538851016</v>
      </c>
      <c r="O38" s="272"/>
      <c r="P38" s="275"/>
    </row>
    <row r="39" spans="1:18" ht="14" x14ac:dyDescent="0.3">
      <c r="A39" s="151">
        <f>IF(B39&lt;&gt;"",COUNTA($B$13:B39),"")</f>
        <v>26</v>
      </c>
      <c r="B39" s="207" t="str">
        <f>+'G1 SOUTH'!B46</f>
        <v>Energy Efficiency Reconciliation Factor</v>
      </c>
      <c r="C39" s="233" t="str">
        <f>+'G1 SOUTH'!C46</f>
        <v>EERF</v>
      </c>
      <c r="D39" s="233"/>
      <c r="E39" s="206"/>
      <c r="F39" s="239"/>
      <c r="G39" s="241">
        <v>8.4600000000000005E-3</v>
      </c>
      <c r="H39" s="211"/>
      <c r="I39" s="210">
        <f t="shared" si="5"/>
        <v>3981600.431382834</v>
      </c>
      <c r="K39" s="210"/>
      <c r="L39" s="281">
        <v>8.4600000000000005E-3</v>
      </c>
      <c r="M39" s="211"/>
      <c r="N39" s="210">
        <f t="shared" ref="N39:N42" si="6">$E$18*L39</f>
        <v>3981600.431382834</v>
      </c>
      <c r="O39" s="272"/>
      <c r="P39" s="232"/>
    </row>
    <row r="40" spans="1:18" ht="14" x14ac:dyDescent="0.3">
      <c r="A40" s="151">
        <f>IF(B40&lt;&gt;"",COUNTA($B$13:B40),"")</f>
        <v>27</v>
      </c>
      <c r="B40" s="207" t="str">
        <f>+'G1 SOUTH'!B47</f>
        <v>System Benefits Charge</v>
      </c>
      <c r="C40" s="233" t="str">
        <f>+'G1 SOUTH'!C47</f>
        <v>SBC</v>
      </c>
      <c r="D40" s="233"/>
      <c r="E40" s="206"/>
      <c r="F40" s="239"/>
      <c r="G40" s="241">
        <v>2.5000000000000001E-3</v>
      </c>
      <c r="H40" s="211"/>
      <c r="I40" s="210">
        <f t="shared" si="5"/>
        <v>1176595.872158048</v>
      </c>
      <c r="K40" s="210"/>
      <c r="L40" s="281">
        <f>+G40</f>
        <v>2.5000000000000001E-3</v>
      </c>
      <c r="M40" s="211"/>
      <c r="N40" s="210">
        <f t="shared" si="6"/>
        <v>1176595.872158048</v>
      </c>
      <c r="O40" s="272"/>
      <c r="P40" s="275"/>
    </row>
    <row r="41" spans="1:18" ht="14" x14ac:dyDescent="0.3">
      <c r="A41" s="151">
        <f>IF(B41&lt;&gt;"",COUNTA($B$13:B41),"")</f>
        <v>28</v>
      </c>
      <c r="B41" s="207" t="str">
        <f>+'G1 SOUTH'!B48</f>
        <v>Renewable Energy Charge</v>
      </c>
      <c r="C41" s="233" t="str">
        <f>+'G1 SOUTH'!C48</f>
        <v>RNEW</v>
      </c>
      <c r="D41" s="233"/>
      <c r="E41" s="206"/>
      <c r="F41" s="239"/>
      <c r="G41" s="241">
        <v>5.0000000000000001E-4</v>
      </c>
      <c r="H41" s="211"/>
      <c r="I41" s="210">
        <f t="shared" si="5"/>
        <v>235319.17443160957</v>
      </c>
      <c r="K41" s="210"/>
      <c r="L41" s="281">
        <f>+G41</f>
        <v>5.0000000000000001E-4</v>
      </c>
      <c r="M41" s="211"/>
      <c r="N41" s="210">
        <f t="shared" si="6"/>
        <v>235319.17443160957</v>
      </c>
      <c r="O41" s="272"/>
      <c r="P41" s="275"/>
    </row>
    <row r="42" spans="1:18" ht="14" x14ac:dyDescent="0.3">
      <c r="A42" s="151">
        <f>IF(B42&lt;&gt;"",COUNTA($B$13:B42),"")</f>
        <v>29</v>
      </c>
      <c r="B42" s="207" t="str">
        <f>+'G1 SOUTH'!B49</f>
        <v>Basic Service Charge</v>
      </c>
      <c r="C42" s="233" t="str">
        <f>+'G1 SOUTH'!C49</f>
        <v>BS</v>
      </c>
      <c r="D42" s="233"/>
      <c r="E42" s="206"/>
      <c r="F42" s="239"/>
      <c r="G42" s="241">
        <v>0.12265999999999999</v>
      </c>
      <c r="H42" s="211"/>
      <c r="I42" s="237">
        <f t="shared" si="5"/>
        <v>57728499.871562459</v>
      </c>
      <c r="K42" s="210"/>
      <c r="L42" s="281">
        <v>0.16148000000000001</v>
      </c>
      <c r="M42" s="211"/>
      <c r="N42" s="237">
        <f t="shared" si="6"/>
        <v>75998680.574432626</v>
      </c>
      <c r="O42" s="272"/>
      <c r="P42" s="232"/>
    </row>
    <row r="43" spans="1:18" ht="14" x14ac:dyDescent="0.3">
      <c r="A43" s="151" t="str">
        <f>IF(B43&lt;&gt;"",COUNTA($B$13:B43),"")</f>
        <v/>
      </c>
      <c r="B43" s="207"/>
      <c r="E43" s="206"/>
      <c r="F43" s="239"/>
      <c r="G43" s="241"/>
      <c r="H43" s="211"/>
      <c r="I43" s="244"/>
      <c r="K43" s="210"/>
      <c r="L43" s="241"/>
      <c r="M43" s="211"/>
      <c r="N43" s="244"/>
      <c r="O43" s="272"/>
    </row>
    <row r="44" spans="1:18" ht="14" x14ac:dyDescent="0.3">
      <c r="A44" s="151">
        <f>IF(B44&lt;&gt;"",COUNTA($B$13:B44),"")</f>
        <v>30</v>
      </c>
      <c r="B44" s="188" t="s">
        <v>46</v>
      </c>
      <c r="E44" s="188"/>
      <c r="G44" s="245" t="s">
        <v>324</v>
      </c>
      <c r="H44" s="246"/>
      <c r="I44" s="154">
        <f>SUM(I19:I43)</f>
        <v>88476967.155348375</v>
      </c>
      <c r="K44" s="247"/>
      <c r="L44" s="245"/>
      <c r="N44" s="154">
        <f>SUM(N19:N43)</f>
        <v>105222655.40885246</v>
      </c>
      <c r="O44" s="154"/>
      <c r="P44" s="154"/>
    </row>
    <row r="45" spans="1:18" ht="14" x14ac:dyDescent="0.3">
      <c r="A45" s="151" t="str">
        <f>IF(B45&lt;&gt;"",COUNTA($B$13:B45),"")</f>
        <v/>
      </c>
      <c r="E45" s="188"/>
      <c r="H45" s="188"/>
      <c r="I45" s="154"/>
      <c r="K45" s="265"/>
      <c r="L45" s="278"/>
      <c r="N45" s="265"/>
      <c r="P45" s="154"/>
    </row>
    <row r="46" spans="1:18" ht="14" x14ac:dyDescent="0.3">
      <c r="A46" s="151">
        <f>IF(B46&lt;&gt;"",COUNTA($B$13:B46),"")</f>
        <v>31</v>
      </c>
      <c r="B46" s="188" t="s">
        <v>46</v>
      </c>
      <c r="E46" s="188"/>
      <c r="G46" s="188"/>
      <c r="H46" s="188"/>
      <c r="I46" s="188"/>
      <c r="J46" s="188"/>
      <c r="L46" s="248" t="s">
        <v>325</v>
      </c>
      <c r="N46" s="160">
        <f>+N44/I44-1</f>
        <v>0.18926607445869958</v>
      </c>
    </row>
    <row r="47" spans="1:18" ht="14" x14ac:dyDescent="0.3">
      <c r="A47" s="151" t="str">
        <f>IF(B47&lt;&gt;"",COUNTA($B$13:B47),"")</f>
        <v/>
      </c>
      <c r="E47" s="188"/>
      <c r="G47" s="188"/>
      <c r="H47" s="188"/>
      <c r="I47" s="188"/>
      <c r="J47" s="188"/>
      <c r="L47" s="248"/>
      <c r="N47" s="160"/>
    </row>
    <row r="48" spans="1:18" ht="14" x14ac:dyDescent="0.3">
      <c r="A48" s="151" t="str">
        <f>IF(B48&lt;&gt;"",COUNTA($B$13:B48),"")</f>
        <v/>
      </c>
      <c r="E48" s="188"/>
      <c r="G48" s="186"/>
      <c r="H48" s="188"/>
      <c r="I48" s="188"/>
      <c r="L48" s="248"/>
      <c r="N48" s="160"/>
    </row>
    <row r="49" spans="1:17" ht="14.5" thickBot="1" x14ac:dyDescent="0.35">
      <c r="A49" s="151">
        <f>IF(B49&lt;&gt;"",COUNTA($B$13:B49),"")</f>
        <v>32</v>
      </c>
      <c r="B49" s="188" t="s">
        <v>46</v>
      </c>
      <c r="E49" s="279" t="s">
        <v>326</v>
      </c>
      <c r="F49" s="135"/>
      <c r="G49" s="280"/>
      <c r="I49" s="279" t="s">
        <v>327</v>
      </c>
      <c r="J49" s="135"/>
      <c r="L49" s="279" t="s">
        <v>328</v>
      </c>
      <c r="M49" s="135"/>
      <c r="N49" s="137"/>
    </row>
    <row r="50" spans="1:17" ht="14" x14ac:dyDescent="0.3">
      <c r="A50" s="151">
        <f>IF(B50&lt;&gt;"",COUNTA($B$13:B50),"")</f>
        <v>33</v>
      </c>
      <c r="B50" s="144" t="s">
        <v>329</v>
      </c>
      <c r="C50" s="144"/>
      <c r="D50" s="144"/>
      <c r="E50" s="249" t="s">
        <v>148</v>
      </c>
      <c r="F50" s="250"/>
      <c r="G50" s="251" t="s">
        <v>330</v>
      </c>
      <c r="I50" s="249" t="s">
        <v>148</v>
      </c>
      <c r="J50" s="251" t="s">
        <v>330</v>
      </c>
      <c r="K50" s="212"/>
      <c r="L50" s="249" t="s">
        <v>148</v>
      </c>
      <c r="M50" s="252"/>
      <c r="N50" s="251" t="s">
        <v>330</v>
      </c>
    </row>
    <row r="51" spans="1:17" ht="14" x14ac:dyDescent="0.3">
      <c r="A51" s="151">
        <f>IF(B51&lt;&gt;"",COUNTA($B$13:B51),"")</f>
        <v>34</v>
      </c>
      <c r="B51" s="130" t="str">
        <f>+'G1 SOUTH'!B58</f>
        <v>Distribution</v>
      </c>
      <c r="C51" s="253" t="str">
        <f>+'G1 SOUTH'!C58</f>
        <v>DIST</v>
      </c>
      <c r="D51" s="253"/>
      <c r="E51" s="154">
        <f t="shared" ref="E51:E66" si="7">SUMIF($C$13:$C$42,$C51,$I$13:$I$42)</f>
        <v>10264152.984094843</v>
      </c>
      <c r="G51" s="254">
        <f>+E51/$E$18*100</f>
        <v>2.1809002621411748</v>
      </c>
      <c r="I51" s="154">
        <f t="shared" ref="I51:I66" si="8">SUMIF($C$13:$C$42,$C51,$N$13:$N$42)</f>
        <v>10613691.165319607</v>
      </c>
      <c r="J51" s="254">
        <f>+I51/$E$18*100</f>
        <v>2.255169216651371</v>
      </c>
      <c r="L51" s="154">
        <f t="shared" ref="L51:L71" si="9">I51-E51</f>
        <v>349538.18122476339</v>
      </c>
      <c r="N51" s="254">
        <f>+L51/$E$18*100</f>
        <v>7.4268954510196342E-2</v>
      </c>
      <c r="O51" s="272"/>
      <c r="Q51" s="154"/>
    </row>
    <row r="52" spans="1:17" ht="14" x14ac:dyDescent="0.3">
      <c r="A52" s="151">
        <f>IF(B52&lt;&gt;"",COUNTA($B$13:B52),"")</f>
        <v>35</v>
      </c>
      <c r="B52" s="130" t="str">
        <f>+'G1 SOUTH'!B59</f>
        <v>Revenue Decoupling</v>
      </c>
      <c r="C52" s="253" t="str">
        <f>+'G1 SOUTH'!C59</f>
        <v>RDAF</v>
      </c>
      <c r="D52" s="253"/>
      <c r="E52" s="154">
        <f t="shared" si="7"/>
        <v>0</v>
      </c>
      <c r="G52" s="254">
        <f>+E52/SUM($E$15:$E$17)*100</f>
        <v>0</v>
      </c>
      <c r="I52" s="154">
        <f t="shared" si="8"/>
        <v>-102212.76681163983</v>
      </c>
      <c r="J52" s="254">
        <f t="shared" ref="J52:J72" si="10">+I52/$E$18*100</f>
        <v>-2.1717900179304292E-2</v>
      </c>
      <c r="L52" s="154">
        <f>I52-E52</f>
        <v>-102212.76681163983</v>
      </c>
      <c r="N52" s="254">
        <f t="shared" ref="N52:N72" si="11">+L52/$E$18*100</f>
        <v>-2.1717900179304292E-2</v>
      </c>
      <c r="O52" s="272"/>
      <c r="Q52" s="154"/>
    </row>
    <row r="53" spans="1:17" ht="14" x14ac:dyDescent="0.3">
      <c r="A53" s="151">
        <f>IF(B53&lt;&gt;"",COUNTA($B$13:B53),"")</f>
        <v>36</v>
      </c>
      <c r="B53" s="130" t="str">
        <f>+'G1 SOUTH'!B60</f>
        <v>Residential Assistance Adjustment Factor</v>
      </c>
      <c r="C53" s="253" t="str">
        <f>+'G1 SOUTH'!C60</f>
        <v>RAAF</v>
      </c>
      <c r="D53" s="253"/>
      <c r="E53" s="154">
        <f t="shared" si="7"/>
        <v>649480.92143124237</v>
      </c>
      <c r="G53" s="254">
        <f t="shared" ref="G53:G71" si="12">+E53/SUM($E$15:$E$17)*100</f>
        <v>0.13799999999999998</v>
      </c>
      <c r="I53" s="154">
        <f t="shared" si="8"/>
        <v>863520.94344518019</v>
      </c>
      <c r="J53" s="254">
        <f t="shared" si="10"/>
        <v>0.18347866159460455</v>
      </c>
      <c r="L53" s="154">
        <f t="shared" si="9"/>
        <v>214040.02201393782</v>
      </c>
      <c r="N53" s="254">
        <f t="shared" si="11"/>
        <v>4.547866159460455E-2</v>
      </c>
      <c r="O53" s="272"/>
      <c r="Q53" s="154"/>
    </row>
    <row r="54" spans="1:17" ht="14" x14ac:dyDescent="0.3">
      <c r="A54" s="151">
        <f>IF(B54&lt;&gt;"",COUNTA($B$13:B54),"")</f>
        <v>37</v>
      </c>
      <c r="B54" s="130" t="str">
        <f>+'G1 SOUTH'!B61</f>
        <v>Pension Adjustment Factor</v>
      </c>
      <c r="C54" s="253" t="str">
        <f>+'G1 SOUTH'!C61</f>
        <v>PAF</v>
      </c>
      <c r="D54" s="253"/>
      <c r="E54" s="154">
        <f t="shared" si="7"/>
        <v>-23531.917443160957</v>
      </c>
      <c r="G54" s="254">
        <f t="shared" si="12"/>
        <v>-5.0000000000000001E-3</v>
      </c>
      <c r="I54" s="154">
        <f t="shared" si="8"/>
        <v>206204.31624133393</v>
      </c>
      <c r="J54" s="254">
        <f t="shared" si="10"/>
        <v>4.381375141643265E-2</v>
      </c>
      <c r="L54" s="154">
        <f t="shared" si="9"/>
        <v>229736.23368449489</v>
      </c>
      <c r="N54" s="254">
        <f t="shared" si="11"/>
        <v>4.8813751416432655E-2</v>
      </c>
      <c r="O54" s="272"/>
      <c r="Q54" s="154"/>
    </row>
    <row r="55" spans="1:17" ht="14" x14ac:dyDescent="0.3">
      <c r="A55" s="151">
        <f>IF(B55&lt;&gt;"",COUNTA($B$13:B55),"")</f>
        <v>38</v>
      </c>
      <c r="B55" s="130" t="str">
        <f>+'G1 SOUTH'!B62</f>
        <v>Net Metering Recovery Surcharge</v>
      </c>
      <c r="C55" s="253" t="str">
        <f>+'G1 SOUTH'!C62</f>
        <v>NMRS</v>
      </c>
      <c r="D55" s="253"/>
      <c r="E55" s="154">
        <f t="shared" si="7"/>
        <v>1284842.6923965882</v>
      </c>
      <c r="G55" s="254">
        <f t="shared" si="12"/>
        <v>0.27299999999999996</v>
      </c>
      <c r="I55" s="154">
        <f t="shared" si="8"/>
        <v>1125962.0438563034</v>
      </c>
      <c r="J55" s="254">
        <f t="shared" si="10"/>
        <v>0.23924145717746007</v>
      </c>
      <c r="L55" s="154">
        <f t="shared" si="9"/>
        <v>-158880.64854028472</v>
      </c>
      <c r="N55" s="254">
        <f t="shared" si="11"/>
        <v>-3.3758542822539934E-2</v>
      </c>
      <c r="O55" s="272"/>
      <c r="Q55" s="154"/>
    </row>
    <row r="56" spans="1:17" ht="14" x14ac:dyDescent="0.3">
      <c r="A56" s="151">
        <f>IF(B56&lt;&gt;"",COUNTA($B$13:B56),"")</f>
        <v>39</v>
      </c>
      <c r="B56" s="130" t="str">
        <f>+'G1 SOUTH'!B63</f>
        <v>Long Term Renewable Contract Adjustment</v>
      </c>
      <c r="C56" s="253" t="str">
        <f>+'G1 SOUTH'!C63</f>
        <v>LTRCA</v>
      </c>
      <c r="D56" s="253"/>
      <c r="E56" s="154">
        <f t="shared" si="7"/>
        <v>1110706.5033171973</v>
      </c>
      <c r="G56" s="254">
        <f t="shared" si="12"/>
        <v>0.23600000000000002</v>
      </c>
      <c r="I56" s="154">
        <f t="shared" si="8"/>
        <v>816893.04309971025</v>
      </c>
      <c r="J56" s="254">
        <f t="shared" si="10"/>
        <v>0.17357128782064518</v>
      </c>
      <c r="L56" s="154">
        <f t="shared" si="9"/>
        <v>-293813.46021748707</v>
      </c>
      <c r="N56" s="254">
        <f t="shared" si="11"/>
        <v>-6.2428712179354848E-2</v>
      </c>
      <c r="O56" s="272"/>
      <c r="Q56" s="154"/>
    </row>
    <row r="57" spans="1:17" ht="14" x14ac:dyDescent="0.3">
      <c r="A57" s="151">
        <f>IF(B57&lt;&gt;"",COUNTA($B$13:B57),"")</f>
        <v>40</v>
      </c>
      <c r="B57" s="130" t="str">
        <f>+'G1 SOUTH'!B64</f>
        <v>AG Consulting Expense</v>
      </c>
      <c r="C57" s="253" t="str">
        <f>+'G1 SOUTH'!C64</f>
        <v>AGCE</v>
      </c>
      <c r="D57" s="253"/>
      <c r="E57" s="154">
        <f t="shared" si="7"/>
        <v>4706.383488632192</v>
      </c>
      <c r="G57" s="254">
        <f t="shared" si="12"/>
        <v>1E-3</v>
      </c>
      <c r="I57" s="154">
        <f t="shared" si="8"/>
        <v>1813.0718608565448</v>
      </c>
      <c r="J57" s="254">
        <f t="shared" si="10"/>
        <v>3.8523674605689113E-4</v>
      </c>
      <c r="L57" s="154">
        <f t="shared" si="9"/>
        <v>-2893.3116277756471</v>
      </c>
      <c r="N57" s="254">
        <f t="shared" si="11"/>
        <v>-6.14763253943109E-4</v>
      </c>
      <c r="O57" s="272"/>
      <c r="Q57" s="154"/>
    </row>
    <row r="58" spans="1:17" ht="14" x14ac:dyDescent="0.3">
      <c r="A58" s="151">
        <f>IF(B58&lt;&gt;"",COUNTA($B$13:B58),"")</f>
        <v>41</v>
      </c>
      <c r="B58" s="130" t="str">
        <f>+'G1 SOUTH'!B65</f>
        <v>Storm Cost Recovery Adjustment Factor</v>
      </c>
      <c r="C58" s="253" t="str">
        <f>+'G1 SOUTH'!C65</f>
        <v>SCRA</v>
      </c>
      <c r="D58" s="253"/>
      <c r="E58" s="154">
        <f t="shared" si="7"/>
        <v>400042.59653373627</v>
      </c>
      <c r="G58" s="254">
        <f t="shared" si="12"/>
        <v>8.4999999999999992E-2</v>
      </c>
      <c r="I58" s="154">
        <f t="shared" si="8"/>
        <v>654644.02646690723</v>
      </c>
      <c r="J58" s="254">
        <f t="shared" si="10"/>
        <v>0.13909704299450645</v>
      </c>
      <c r="L58" s="154">
        <f>I58-E58</f>
        <v>254601.42993317096</v>
      </c>
      <c r="N58" s="254">
        <f t="shared" si="11"/>
        <v>5.4097042994506454E-2</v>
      </c>
      <c r="O58" s="272"/>
      <c r="Q58" s="154"/>
    </row>
    <row r="59" spans="1:17" ht="14" x14ac:dyDescent="0.3">
      <c r="A59" s="151">
        <f>IF(B59&lt;&gt;"",COUNTA($B$13:B59),"")</f>
        <v>42</v>
      </c>
      <c r="B59" s="130" t="str">
        <f>+'G1 SOUTH'!B66</f>
        <v>Storm Reserve Adjustment</v>
      </c>
      <c r="C59" s="253" t="str">
        <f>+'G1 SOUTH'!C66</f>
        <v>SRA</v>
      </c>
      <c r="D59" s="253"/>
      <c r="E59" s="154">
        <f t="shared" si="7"/>
        <v>0</v>
      </c>
      <c r="G59" s="254">
        <f t="shared" si="12"/>
        <v>0</v>
      </c>
      <c r="I59" s="154">
        <f t="shared" si="8"/>
        <v>0</v>
      </c>
      <c r="J59" s="254">
        <f t="shared" si="10"/>
        <v>0</v>
      </c>
      <c r="L59" s="154">
        <f>I59-E59</f>
        <v>0</v>
      </c>
      <c r="N59" s="254">
        <f t="shared" si="11"/>
        <v>0</v>
      </c>
      <c r="O59" s="272"/>
      <c r="Q59" s="154"/>
    </row>
    <row r="60" spans="1:17" ht="14" x14ac:dyDescent="0.3">
      <c r="A60" s="151">
        <f>IF(B60&lt;&gt;"",COUNTA($B$13:B60),"")</f>
        <v>43</v>
      </c>
      <c r="B60" s="130" t="str">
        <f>+'G1 SOUTH'!B67</f>
        <v>Basic Service Cost True Up Factor</v>
      </c>
      <c r="C60" s="253" t="str">
        <f>+'G1 SOUTH'!C67</f>
        <v>BSTF</v>
      </c>
      <c r="D60" s="253"/>
      <c r="E60" s="154">
        <f t="shared" si="7"/>
        <v>348272.37815878214</v>
      </c>
      <c r="G60" s="254">
        <f t="shared" si="12"/>
        <v>7.3999999999999996E-2</v>
      </c>
      <c r="I60" s="154">
        <f t="shared" si="8"/>
        <v>-42850.025233817876</v>
      </c>
      <c r="J60" s="254">
        <f t="shared" si="10"/>
        <v>-9.1046607947095504E-3</v>
      </c>
      <c r="L60" s="154">
        <f>I60-E60</f>
        <v>-391122.40339260001</v>
      </c>
      <c r="N60" s="254">
        <f t="shared" si="11"/>
        <v>-8.3104660794709545E-2</v>
      </c>
      <c r="O60" s="272"/>
      <c r="Q60" s="154"/>
    </row>
    <row r="61" spans="1:17" ht="14" x14ac:dyDescent="0.3">
      <c r="A61" s="151">
        <f>IF(B61&lt;&gt;"",COUNTA($B$13:B61),"")</f>
        <v>44</v>
      </c>
      <c r="B61" s="130" t="str">
        <f>+'G1 SOUTH'!B68</f>
        <v>Solar Program Cost Adjustment Factor</v>
      </c>
      <c r="C61" s="253" t="str">
        <f>+'G1 SOUTH'!C68</f>
        <v>SPCA</v>
      </c>
      <c r="D61" s="253"/>
      <c r="E61" s="154">
        <f t="shared" si="7"/>
        <v>0</v>
      </c>
      <c r="G61" s="254">
        <f t="shared" si="12"/>
        <v>0</v>
      </c>
      <c r="I61" s="154">
        <f t="shared" si="8"/>
        <v>7625.78407051062</v>
      </c>
      <c r="J61" s="254">
        <f t="shared" si="10"/>
        <v>1.6203065663752125E-3</v>
      </c>
      <c r="L61" s="154">
        <f t="shared" si="9"/>
        <v>7625.78407051062</v>
      </c>
      <c r="N61" s="254">
        <f t="shared" si="11"/>
        <v>1.6203065663752125E-3</v>
      </c>
      <c r="Q61" s="154"/>
    </row>
    <row r="62" spans="1:17" ht="14" x14ac:dyDescent="0.3">
      <c r="A62" s="151">
        <f>IF(B62&lt;&gt;"",COUNTA($B$13:B62),"")</f>
        <v>45</v>
      </c>
      <c r="B62" s="130" t="str">
        <f>+'G1 SOUTH'!B69</f>
        <v>Solar Expansion Cost Recovery Factor</v>
      </c>
      <c r="C62" s="253" t="str">
        <f>+'G1 SOUTH'!C69</f>
        <v>SECRF</v>
      </c>
      <c r="D62" s="253"/>
      <c r="E62" s="154">
        <f t="shared" si="7"/>
        <v>0</v>
      </c>
      <c r="G62" s="254">
        <f t="shared" si="12"/>
        <v>0</v>
      </c>
      <c r="I62" s="154">
        <f t="shared" si="8"/>
        <v>134501.38530018556</v>
      </c>
      <c r="J62" s="254">
        <f t="shared" si="10"/>
        <v>2.8578501013583037E-2</v>
      </c>
      <c r="L62" s="154">
        <f t="shared" si="9"/>
        <v>134501.38530018556</v>
      </c>
      <c r="N62" s="254">
        <f t="shared" si="11"/>
        <v>2.8578501013583037E-2</v>
      </c>
      <c r="Q62" s="154"/>
    </row>
    <row r="63" spans="1:17" ht="14" x14ac:dyDescent="0.3">
      <c r="A63" s="151">
        <f>IF(B63&lt;&gt;"",COUNTA($B$13:B63),"")</f>
        <v>46</v>
      </c>
      <c r="B63" s="130" t="str">
        <f>+'G1 SOUTH'!B70</f>
        <v>Vegetation Management</v>
      </c>
      <c r="C63" s="253" t="str">
        <f>+'G1 SOUTH'!C70</f>
        <v>RTWF</v>
      </c>
      <c r="D63" s="253"/>
      <c r="E63" s="154">
        <f t="shared" si="7"/>
        <v>0</v>
      </c>
      <c r="G63" s="254">
        <f t="shared" si="12"/>
        <v>0</v>
      </c>
      <c r="I63" s="154">
        <f t="shared" si="8"/>
        <v>369175.41988078662</v>
      </c>
      <c r="J63" s="254">
        <f t="shared" si="10"/>
        <v>7.8441423392822479E-2</v>
      </c>
      <c r="L63" s="154">
        <f t="shared" si="9"/>
        <v>369175.41988078662</v>
      </c>
      <c r="N63" s="254">
        <f t="shared" si="11"/>
        <v>7.8441423392822479E-2</v>
      </c>
      <c r="Q63" s="154"/>
    </row>
    <row r="64" spans="1:17" ht="14" x14ac:dyDescent="0.3">
      <c r="A64" s="151">
        <f>IF(B64&lt;&gt;"",COUNTA($B$13:B64),"")</f>
        <v>47</v>
      </c>
      <c r="B64" s="130" t="str">
        <f>+'G1 SOUTH'!B71</f>
        <v>Solar Massachusetts Renewable Target</v>
      </c>
      <c r="C64" s="253" t="str">
        <f>+'G1 SOUTH'!C71</f>
        <v>SMART</v>
      </c>
      <c r="D64" s="253"/>
      <c r="E64" s="154">
        <f t="shared" si="7"/>
        <v>0</v>
      </c>
      <c r="G64" s="254">
        <f t="shared" si="12"/>
        <v>0</v>
      </c>
      <c r="I64" s="154">
        <f t="shared" si="8"/>
        <v>157587.24725170925</v>
      </c>
      <c r="J64" s="254">
        <f t="shared" si="10"/>
        <v>3.3483724314507267E-2</v>
      </c>
      <c r="L64" s="154">
        <f t="shared" si="9"/>
        <v>157587.24725170925</v>
      </c>
      <c r="N64" s="254">
        <f t="shared" si="11"/>
        <v>3.3483724314507267E-2</v>
      </c>
      <c r="Q64" s="154"/>
    </row>
    <row r="65" spans="1:17" ht="14" x14ac:dyDescent="0.3">
      <c r="A65" s="151">
        <f>IF(B65&lt;&gt;"",COUNTA($B$13:B65),"")</f>
        <v>48</v>
      </c>
      <c r="B65" s="130" t="str">
        <f>+'G1 SOUTH'!B72</f>
        <v>Tax Act Credit Factor</v>
      </c>
      <c r="C65" s="253" t="str">
        <f>+'G1 SOUTH'!C72</f>
        <v>TACF</v>
      </c>
      <c r="D65" s="253"/>
      <c r="E65" s="154">
        <f t="shared" si="7"/>
        <v>0</v>
      </c>
      <c r="G65" s="254">
        <f t="shared" si="12"/>
        <v>0</v>
      </c>
      <c r="I65" s="154">
        <f t="shared" si="8"/>
        <v>-238560.76608</v>
      </c>
      <c r="J65" s="254">
        <f t="shared" si="10"/>
        <v>-5.0688764877792086E-2</v>
      </c>
      <c r="L65" s="154">
        <f t="shared" si="9"/>
        <v>-238560.76608</v>
      </c>
      <c r="N65" s="254">
        <f t="shared" si="11"/>
        <v>-5.0688764877792086E-2</v>
      </c>
      <c r="Q65" s="154"/>
    </row>
    <row r="66" spans="1:17" ht="14" x14ac:dyDescent="0.3">
      <c r="A66" s="151">
        <f>IF(B66&lt;&gt;"",COUNTA($B$13:B66),"")</f>
        <v>49</v>
      </c>
      <c r="B66" s="130" t="str">
        <f>+'G1 SOUTH'!B73</f>
        <v>Transition</v>
      </c>
      <c r="C66" s="253" t="str">
        <f>+'G1 SOUTH'!C73</f>
        <v>TRNSN</v>
      </c>
      <c r="D66" s="253"/>
      <c r="E66" s="154">
        <f t="shared" si="7"/>
        <v>-287089.39280656364</v>
      </c>
      <c r="G66" s="254">
        <f t="shared" si="12"/>
        <v>-6.0999999999999999E-2</v>
      </c>
      <c r="I66" s="154">
        <f t="shared" si="8"/>
        <v>-245246.44985758382</v>
      </c>
      <c r="J66" s="254">
        <f t="shared" si="10"/>
        <v>-5.2109321403568713E-2</v>
      </c>
      <c r="L66" s="154">
        <f t="shared" si="9"/>
        <v>41842.94294897982</v>
      </c>
      <c r="N66" s="254">
        <f t="shared" si="11"/>
        <v>8.8906785964312837E-3</v>
      </c>
      <c r="Q66" s="154"/>
    </row>
    <row r="67" spans="1:17" ht="14" x14ac:dyDescent="0.3">
      <c r="A67" s="151">
        <f>IF(B67&lt;&gt;"",COUNTA($B$13:B67),"")</f>
        <v>50</v>
      </c>
      <c r="B67" s="130" t="str">
        <f>+'G1 SOUTH'!B74</f>
        <v>Transmission</v>
      </c>
      <c r="C67" s="253" t="str">
        <f>+'G1 SOUTH'!C74</f>
        <v>TRNSM</v>
      </c>
      <c r="D67" s="253"/>
      <c r="E67" s="154">
        <f>SUM(SUMIF($C$13:$C$42,{"TMKW","TMKWH"},$I$13:$I$42))</f>
        <v>11603368.656642126</v>
      </c>
      <c r="G67" s="254">
        <f t="shared" si="12"/>
        <v>2.4654532901258319</v>
      </c>
      <c r="I67" s="154">
        <f>SUM(SUMIF($C$13:$C$42,{"TMKW","TMKWH"},$N$13:$N$42))</f>
        <v>9507710.9176372886</v>
      </c>
      <c r="J67" s="254">
        <f t="shared" si="10"/>
        <v>2.0201734390328014</v>
      </c>
      <c r="L67" s="154">
        <f t="shared" si="9"/>
        <v>-2095657.7390048373</v>
      </c>
      <c r="N67" s="254">
        <f t="shared" si="11"/>
        <v>-0.44527985109302998</v>
      </c>
      <c r="Q67" s="154"/>
    </row>
    <row r="68" spans="1:17" ht="14" x14ac:dyDescent="0.3">
      <c r="A68" s="151">
        <f>IF(B68&lt;&gt;"",COUNTA($B$13:B68),"")</f>
        <v>51</v>
      </c>
      <c r="B68" s="130" t="str">
        <f>+'G1 SOUTH'!B75</f>
        <v>Energy Efficiency Reconciliation Factor</v>
      </c>
      <c r="C68" s="253" t="str">
        <f>+'G1 SOUTH'!C75</f>
        <v>EERF</v>
      </c>
      <c r="D68" s="253"/>
      <c r="E68" s="154">
        <f>SUMIF($C$13:$C$42,$C68,$I$13:$I$42)</f>
        <v>3981600.431382834</v>
      </c>
      <c r="G68" s="254">
        <f t="shared" si="12"/>
        <v>0.84600000000000009</v>
      </c>
      <c r="I68" s="154">
        <f>SUMIF($C$13:$C$42,$C68,$N$13:$N$42)</f>
        <v>3981600.431382834</v>
      </c>
      <c r="J68" s="254">
        <f t="shared" si="10"/>
        <v>0.84600000000000009</v>
      </c>
      <c r="L68" s="154">
        <f t="shared" si="9"/>
        <v>0</v>
      </c>
      <c r="N68" s="254">
        <f t="shared" si="11"/>
        <v>0</v>
      </c>
      <c r="Q68" s="154"/>
    </row>
    <row r="69" spans="1:17" ht="14" x14ac:dyDescent="0.3">
      <c r="A69" s="151">
        <f>IF(B69&lt;&gt;"",COUNTA($B$13:B69),"")</f>
        <v>52</v>
      </c>
      <c r="B69" s="130" t="str">
        <f>+'G1 SOUTH'!B76</f>
        <v>System Benefits Charge</v>
      </c>
      <c r="C69" s="253" t="str">
        <f>+'G1 SOUTH'!C76</f>
        <v>SBC</v>
      </c>
      <c r="D69" s="253"/>
      <c r="E69" s="154">
        <f>SUMIF($C$13:$C$42,$C69,$I$13:$I$42)</f>
        <v>1176595.872158048</v>
      </c>
      <c r="G69" s="254">
        <f t="shared" si="12"/>
        <v>0.25</v>
      </c>
      <c r="I69" s="154">
        <f>SUMIF($C$13:$C$42,$C69,$N$13:$N$42)</f>
        <v>1176595.872158048</v>
      </c>
      <c r="J69" s="254">
        <f t="shared" si="10"/>
        <v>0.25</v>
      </c>
      <c r="L69" s="154">
        <f t="shared" si="9"/>
        <v>0</v>
      </c>
      <c r="N69" s="254">
        <f t="shared" si="11"/>
        <v>0</v>
      </c>
      <c r="Q69" s="154"/>
    </row>
    <row r="70" spans="1:17" ht="14" x14ac:dyDescent="0.3">
      <c r="A70" s="151">
        <f>IF(B70&lt;&gt;"",COUNTA($B$13:B70),"")</f>
        <v>53</v>
      </c>
      <c r="B70" s="130" t="str">
        <f>+'G1 SOUTH'!B77</f>
        <v>Renewable Energy Charge</v>
      </c>
      <c r="C70" s="253" t="str">
        <f>+'G1 SOUTH'!C77</f>
        <v>RNEW</v>
      </c>
      <c r="D70" s="253"/>
      <c r="E70" s="154">
        <f>SUMIF($C$13:$C$42,$C70,$I$13:$I$42)</f>
        <v>235319.17443160957</v>
      </c>
      <c r="G70" s="254">
        <f t="shared" si="12"/>
        <v>0.05</v>
      </c>
      <c r="I70" s="154">
        <f>SUMIF($C$13:$C$42,$C70,$N$13:$N$42)</f>
        <v>235319.17443160957</v>
      </c>
      <c r="J70" s="254">
        <f t="shared" si="10"/>
        <v>0.05</v>
      </c>
      <c r="L70" s="154">
        <f>I70-E70</f>
        <v>0</v>
      </c>
      <c r="N70" s="254">
        <f t="shared" si="11"/>
        <v>0</v>
      </c>
      <c r="Q70" s="154"/>
    </row>
    <row r="71" spans="1:17" ht="14" x14ac:dyDescent="0.3">
      <c r="A71" s="151">
        <f>IF(B71&lt;&gt;"",COUNTA($B$13:B71),"")</f>
        <v>54</v>
      </c>
      <c r="B71" s="130" t="str">
        <f>+'G1 SOUTH'!B78</f>
        <v>Basic Service Charge</v>
      </c>
      <c r="C71" s="253" t="str">
        <f>+'G1 SOUTH'!C78</f>
        <v>BS</v>
      </c>
      <c r="D71" s="253"/>
      <c r="E71" s="255">
        <f>SUMIF($C$13:$C$42,$C71,$I$13:$I$42)</f>
        <v>57728499.871562459</v>
      </c>
      <c r="F71" s="256"/>
      <c r="G71" s="257">
        <f t="shared" si="12"/>
        <v>12.265999999999998</v>
      </c>
      <c r="H71" s="258"/>
      <c r="I71" s="255">
        <f>SUMIF($C$13:$C$42,$C71,$N$13:$N$42)</f>
        <v>75998680.574432626</v>
      </c>
      <c r="J71" s="257">
        <f t="shared" si="10"/>
        <v>16.148</v>
      </c>
      <c r="K71" s="255"/>
      <c r="L71" s="255">
        <f t="shared" si="9"/>
        <v>18270180.702870168</v>
      </c>
      <c r="M71" s="259"/>
      <c r="N71" s="257">
        <f t="shared" si="11"/>
        <v>3.8820000000000001</v>
      </c>
      <c r="Q71" s="154"/>
    </row>
    <row r="72" spans="1:17" ht="14" x14ac:dyDescent="0.3">
      <c r="A72" s="151">
        <f>IF(B72&lt;&gt;"",COUNTA($B$13:B72),"")</f>
        <v>55</v>
      </c>
      <c r="B72" s="130" t="str">
        <f>+'G1 SOUTH'!B79</f>
        <v>Total</v>
      </c>
      <c r="C72" s="130"/>
      <c r="D72" s="130"/>
      <c r="E72" s="154">
        <f>SUM(E51:E71)</f>
        <v>88476967.155348375</v>
      </c>
      <c r="G72" s="254">
        <f t="shared" ref="G72" si="13">+E72/$E$18*100</f>
        <v>18.799353552267007</v>
      </c>
      <c r="I72" s="154">
        <f>SUM(I51:I71)</f>
        <v>105222655.40885246</v>
      </c>
      <c r="J72" s="254">
        <f t="shared" si="10"/>
        <v>22.357433401465794</v>
      </c>
      <c r="L72" s="154">
        <f>SUM(L51:L71)</f>
        <v>16745688.253504083</v>
      </c>
      <c r="N72" s="254">
        <f t="shared" si="11"/>
        <v>3.5580798491987857</v>
      </c>
      <c r="Q72" s="154"/>
    </row>
    <row r="73" spans="1:17" ht="14" x14ac:dyDescent="0.3">
      <c r="A73" s="151" t="str">
        <f>IF(B73&lt;&gt;"",COUNTA($B$13:B73),"")</f>
        <v/>
      </c>
      <c r="Q73" s="154"/>
    </row>
    <row r="74" spans="1:17" ht="14" x14ac:dyDescent="0.3">
      <c r="A74" s="151"/>
      <c r="B74" s="256" t="s">
        <v>164</v>
      </c>
      <c r="E74" s="188"/>
      <c r="G74" s="188"/>
      <c r="H74" s="188"/>
      <c r="I74" s="188"/>
      <c r="J74" s="188"/>
      <c r="K74" s="188"/>
      <c r="L74" s="188"/>
      <c r="M74" s="188"/>
      <c r="N74" s="188"/>
      <c r="Q74" s="154"/>
    </row>
    <row r="75" spans="1:17" ht="14" x14ac:dyDescent="0.3">
      <c r="A75" s="151"/>
      <c r="B75" s="130" t="str">
        <f>+'G1 SOUTH'!B82</f>
        <v>Col. (a): Company Forecast</v>
      </c>
      <c r="Q75" s="154"/>
    </row>
    <row r="76" spans="1:17" ht="14" x14ac:dyDescent="0.3">
      <c r="A76" s="151"/>
      <c r="B76" s="130" t="str">
        <f>+'G1 SOUTH'!B83</f>
        <v>Col. (b): Current rates</v>
      </c>
      <c r="Q76" s="154"/>
    </row>
    <row r="77" spans="1:17" ht="14" x14ac:dyDescent="0.3">
      <c r="A77" s="151"/>
      <c r="B77" s="130" t="str">
        <f>+'G1 SOUTH'!B84</f>
        <v>Col. (c): Col. (a) x Col. (b)</v>
      </c>
    </row>
    <row r="78" spans="1:17" ht="14" x14ac:dyDescent="0.3">
      <c r="A78" s="151"/>
      <c r="B78" s="130" t="str">
        <f>+'G1 SOUTH'!B85</f>
        <v>Col. (e) Proposed rates</v>
      </c>
    </row>
    <row r="79" spans="1:17" ht="14" x14ac:dyDescent="0.3">
      <c r="A79" s="151"/>
      <c r="B79" s="130" t="s">
        <v>397</v>
      </c>
    </row>
  </sheetData>
  <mergeCells count="6">
    <mergeCell ref="A4:N4"/>
    <mergeCell ref="A5:N5"/>
    <mergeCell ref="A7:N7"/>
    <mergeCell ref="A8:N8"/>
    <mergeCell ref="G10:I10"/>
    <mergeCell ref="L10:N10"/>
  </mergeCells>
  <pageMargins left="0.7" right="0.7" top="0.75" bottom="0.75" header="0.3" footer="0.3"/>
  <pageSetup scale="63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BEE0B-53B4-4B9C-AA99-3E28FF457B3D}">
  <sheetPr>
    <tabColor theme="9" tint="0.59999389629810485"/>
    <pageSetUpPr fitToPage="1"/>
  </sheetPr>
  <dimension ref="A3:Y82"/>
  <sheetViews>
    <sheetView workbookViewId="0"/>
  </sheetViews>
  <sheetFormatPr defaultRowHeight="12.5" x14ac:dyDescent="0.25"/>
  <cols>
    <col min="1" max="1" width="3.26953125" bestFit="1" customWidth="1"/>
    <col min="2" max="2" width="41.1796875" customWidth="1"/>
    <col min="3" max="3" width="8.81640625" bestFit="1" customWidth="1"/>
    <col min="4" max="4" width="1.26953125" customWidth="1"/>
    <col min="5" max="5" width="13.7265625" bestFit="1" customWidth="1"/>
    <col min="6" max="6" width="1.26953125" customWidth="1"/>
    <col min="7" max="7" width="12.7265625" customWidth="1"/>
    <col min="8" max="8" width="1.26953125" customWidth="1"/>
    <col min="9" max="9" width="13.26953125" bestFit="1" customWidth="1"/>
    <col min="11" max="11" width="1.26953125" customWidth="1"/>
    <col min="12" max="12" width="12.7265625" customWidth="1"/>
    <col min="13" max="13" width="1.26953125" customWidth="1"/>
    <col min="14" max="14" width="13.26953125" bestFit="1" customWidth="1"/>
  </cols>
  <sheetData>
    <row r="3" spans="1:17" ht="14" x14ac:dyDescent="0.3">
      <c r="A3" s="268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</row>
    <row r="4" spans="1:17" ht="14" x14ac:dyDescent="0.3">
      <c r="A4" s="748" t="str">
        <f>'R1 EMA'!A4:N4</f>
        <v>Eastern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7" ht="14" x14ac:dyDescent="0.3">
      <c r="A5" s="748" t="str">
        <f>'R1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7" ht="14" x14ac:dyDescent="0.3">
      <c r="A6" s="205"/>
      <c r="C6" s="205"/>
      <c r="D6" s="205"/>
      <c r="E6" s="206"/>
      <c r="F6" s="207"/>
      <c r="G6" s="208"/>
      <c r="H6" s="209"/>
      <c r="I6" s="210"/>
      <c r="J6" s="210"/>
      <c r="K6" s="210"/>
      <c r="L6" s="211"/>
      <c r="M6" s="211"/>
      <c r="N6" s="212"/>
    </row>
    <row r="7" spans="1:17" ht="14" x14ac:dyDescent="0.3">
      <c r="A7" s="748" t="s">
        <v>476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7" ht="14" x14ac:dyDescent="0.3">
      <c r="A8" s="748" t="s">
        <v>501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7" ht="14" x14ac:dyDescent="0.3">
      <c r="B9" s="207"/>
      <c r="C9" s="207"/>
      <c r="D9" s="207"/>
      <c r="E9" s="213"/>
      <c r="F9" s="207"/>
      <c r="I9" s="210"/>
      <c r="J9" s="210"/>
      <c r="K9" s="210"/>
      <c r="L9" s="214"/>
      <c r="M9" s="214"/>
      <c r="N9" s="215"/>
    </row>
    <row r="10" spans="1:17" ht="14.5" thickBot="1" x14ac:dyDescent="0.35">
      <c r="A10" s="151"/>
      <c r="B10" s="216" t="s">
        <v>46</v>
      </c>
      <c r="C10" s="216"/>
      <c r="D10" s="216"/>
      <c r="E10" s="217" t="s">
        <v>144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7" ht="14" x14ac:dyDescent="0.3">
      <c r="A11" s="151"/>
      <c r="B11" s="219" t="s">
        <v>293</v>
      </c>
      <c r="C11" s="220" t="s">
        <v>294</v>
      </c>
      <c r="D11" s="220"/>
      <c r="E11" s="221" t="s">
        <v>295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7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7" ht="14" x14ac:dyDescent="0.3">
      <c r="A13" s="151">
        <f>IF(B13&lt;&gt;"",COUNTA($B$13:B13),"")</f>
        <v>1</v>
      </c>
      <c r="B13" s="232" t="str">
        <f>+'G2 SOUTH'!B13</f>
        <v>Customer Charge</v>
      </c>
      <c r="C13" s="233" t="str">
        <f>+'G2 SOUTH'!C13</f>
        <v>CUST</v>
      </c>
      <c r="D13" s="233"/>
      <c r="E13" s="234">
        <v>1043.997927866367</v>
      </c>
      <c r="F13" s="207"/>
      <c r="G13" s="209">
        <v>930</v>
      </c>
      <c r="H13" s="209"/>
      <c r="I13" s="210">
        <f>G13*E13</f>
        <v>970918.07291572134</v>
      </c>
      <c r="J13" s="235"/>
      <c r="K13" s="210"/>
      <c r="L13" s="209">
        <v>930</v>
      </c>
      <c r="M13" s="211"/>
      <c r="N13" s="210">
        <f>L13*E13</f>
        <v>970918.07291572134</v>
      </c>
      <c r="O13" s="272"/>
      <c r="P13" s="234"/>
      <c r="Q13" s="154"/>
    </row>
    <row r="14" spans="1:17" ht="14" x14ac:dyDescent="0.3">
      <c r="A14" s="151">
        <f>IF(B14&lt;&gt;"",COUNTA($B$13:B14),"")</f>
        <v>2</v>
      </c>
      <c r="B14" s="232" t="str">
        <f>+'G2 SOUTH'!B14</f>
        <v>Distribution Demand</v>
      </c>
      <c r="C14" s="233" t="str">
        <f>+'G2 SOUTH'!C14</f>
        <v>DKW</v>
      </c>
      <c r="D14" s="233"/>
      <c r="E14" s="234">
        <v>1037102.3035859967</v>
      </c>
      <c r="F14" s="207"/>
      <c r="G14" s="209">
        <v>0.87</v>
      </c>
      <c r="H14" s="209"/>
      <c r="I14" s="210">
        <f>G14*E14</f>
        <v>902279.00411981717</v>
      </c>
      <c r="J14" s="235"/>
      <c r="K14" s="210"/>
      <c r="L14" s="209">
        <v>0.9</v>
      </c>
      <c r="M14" s="211"/>
      <c r="N14" s="210">
        <f t="shared" ref="N14:N17" si="0">L14*E14</f>
        <v>933392.07322739705</v>
      </c>
      <c r="O14" s="303"/>
      <c r="P14" s="234"/>
      <c r="Q14" s="154"/>
    </row>
    <row r="15" spans="1:17" ht="14" x14ac:dyDescent="0.3">
      <c r="A15" s="151">
        <f>IF(B15&lt;&gt;"",COUNTA($B$13:B15),"")</f>
        <v>3</v>
      </c>
      <c r="B15" s="232" t="str">
        <f>+'G2 SOUTH'!B15</f>
        <v>Distribution Energy - Peak</v>
      </c>
      <c r="C15" s="233" t="str">
        <f>+'G2 SOUTH'!C15</f>
        <v>DKWH1</v>
      </c>
      <c r="D15" s="233"/>
      <c r="E15" s="234">
        <v>105083462.58333185</v>
      </c>
      <c r="F15" s="207"/>
      <c r="G15" s="236">
        <v>1.242E-2</v>
      </c>
      <c r="H15" s="209"/>
      <c r="I15" s="210">
        <f t="shared" ref="I15:I17" si="1">G15*E15</f>
        <v>1305136.6052849817</v>
      </c>
      <c r="J15" s="235"/>
      <c r="K15" s="210"/>
      <c r="L15" s="236">
        <v>1.291E-2</v>
      </c>
      <c r="M15" s="211"/>
      <c r="N15" s="210">
        <f t="shared" si="0"/>
        <v>1356627.5019508142</v>
      </c>
      <c r="O15" s="303"/>
      <c r="P15" s="234"/>
      <c r="Q15" s="154"/>
    </row>
    <row r="16" spans="1:17" ht="14" x14ac:dyDescent="0.3">
      <c r="A16" s="151">
        <f>IF(B16&lt;&gt;"",COUNTA($B$13:B16),"")</f>
        <v>4</v>
      </c>
      <c r="B16" s="232" t="str">
        <f>+'G2 SOUTH'!B16</f>
        <v>Distribution Energy - Low A</v>
      </c>
      <c r="C16" s="233" t="str">
        <f>+'G2 SOUTH'!C16</f>
        <v>DKWH2</v>
      </c>
      <c r="D16" s="233"/>
      <c r="E16" s="234">
        <v>96108237.392259717</v>
      </c>
      <c r="F16" s="207"/>
      <c r="G16" s="236">
        <v>1.142E-2</v>
      </c>
      <c r="H16" s="209"/>
      <c r="I16" s="210">
        <f t="shared" si="1"/>
        <v>1097556.071019606</v>
      </c>
      <c r="J16" s="235"/>
      <c r="K16" s="210"/>
      <c r="L16" s="236">
        <v>1.188E-2</v>
      </c>
      <c r="M16" s="211"/>
      <c r="N16" s="210">
        <f t="shared" si="0"/>
        <v>1141765.8602200453</v>
      </c>
      <c r="O16" s="303"/>
      <c r="P16" s="234"/>
      <c r="Q16" s="154"/>
    </row>
    <row r="17" spans="1:25" ht="14" x14ac:dyDescent="0.3">
      <c r="A17" s="151">
        <f>IF(B17&lt;&gt;"",COUNTA($B$13:B17),"")</f>
        <v>5</v>
      </c>
      <c r="B17" s="232" t="str">
        <f>+'G2 SOUTH'!B17</f>
        <v>Distribution Energy - Low B</v>
      </c>
      <c r="C17" s="233" t="str">
        <f>+'G2 SOUTH'!C17</f>
        <v>DKWH3</v>
      </c>
      <c r="D17" s="233"/>
      <c r="E17" s="234">
        <v>187276735.322478</v>
      </c>
      <c r="F17" s="207"/>
      <c r="G17" s="236">
        <v>7.9100000000000004E-3</v>
      </c>
      <c r="H17" s="209"/>
      <c r="I17" s="210">
        <f t="shared" si="1"/>
        <v>1481358.976400801</v>
      </c>
      <c r="J17" s="235"/>
      <c r="K17" s="210"/>
      <c r="L17" s="236">
        <v>8.2199999999999999E-3</v>
      </c>
      <c r="M17" s="211"/>
      <c r="N17" s="210">
        <f t="shared" si="0"/>
        <v>1539414.7643507691</v>
      </c>
      <c r="O17" s="303"/>
      <c r="P17" s="234"/>
      <c r="Q17" s="154"/>
    </row>
    <row r="18" spans="1:25" ht="14" x14ac:dyDescent="0.3">
      <c r="A18" s="151">
        <f>IF(B18&lt;&gt;"",COUNTA($B$13:B18),"")</f>
        <v>6</v>
      </c>
      <c r="B18" s="232" t="str">
        <f>+'G2 SOUTH'!B18</f>
        <v>Distribution Energy - Total</v>
      </c>
      <c r="C18" s="233" t="str">
        <f>+'G2 SOUTH'!C18</f>
        <v>DKWH</v>
      </c>
      <c r="D18" s="233"/>
      <c r="E18" s="234">
        <f>SUM(E15:E17)</f>
        <v>388468435.2980696</v>
      </c>
      <c r="F18" s="207"/>
      <c r="G18" s="236"/>
      <c r="H18" s="209"/>
      <c r="I18" s="237"/>
      <c r="J18" s="235"/>
      <c r="K18" s="210"/>
      <c r="L18" s="281"/>
      <c r="M18" s="211"/>
      <c r="N18" s="237"/>
      <c r="O18" s="272"/>
      <c r="P18" s="273"/>
    </row>
    <row r="19" spans="1:25" ht="14" x14ac:dyDescent="0.3">
      <c r="A19" s="151">
        <f>IF(B19&lt;&gt;"",COUNTA($B$13:B19),"")</f>
        <v>7</v>
      </c>
      <c r="B19" s="232" t="str">
        <f>+'G2 SOUTH'!B19</f>
        <v>Total Distribution</v>
      </c>
      <c r="C19" s="233" t="str">
        <f>+'G2 SOUTH'!C19</f>
        <v>DIST</v>
      </c>
      <c r="D19" s="233"/>
      <c r="E19" s="234"/>
      <c r="F19" s="207"/>
      <c r="G19" s="209"/>
      <c r="H19" s="209"/>
      <c r="I19" s="210">
        <f>SUM(I13:I18)</f>
        <v>5757248.729740927</v>
      </c>
      <c r="J19" s="235"/>
      <c r="K19" s="210"/>
      <c r="L19" s="238"/>
      <c r="M19" s="211"/>
      <c r="N19" s="210">
        <f>SUM(N13:N18)</f>
        <v>5942118.2726647472</v>
      </c>
      <c r="O19" s="272"/>
      <c r="P19" s="210"/>
      <c r="Q19" s="154"/>
    </row>
    <row r="20" spans="1:25" ht="14" x14ac:dyDescent="0.3">
      <c r="A20" s="151" t="str">
        <f>IF(B20&lt;&gt;"",COUNTA($B$13:B20),"")</f>
        <v/>
      </c>
      <c r="B20" s="207"/>
      <c r="C20" s="233"/>
      <c r="D20" s="233"/>
      <c r="E20" s="234"/>
      <c r="F20" s="207"/>
      <c r="G20" s="209"/>
      <c r="H20" s="209"/>
      <c r="I20" s="210"/>
      <c r="J20" s="235"/>
      <c r="K20" s="210"/>
      <c r="L20" s="238"/>
      <c r="M20" s="211"/>
      <c r="N20" s="210"/>
      <c r="O20" s="272"/>
      <c r="P20" s="210"/>
      <c r="Q20" s="154"/>
    </row>
    <row r="21" spans="1:25" ht="14" x14ac:dyDescent="0.3">
      <c r="A21" s="151">
        <f>IF(B21&lt;&gt;"",COUNTA($B$13:B21),"")</f>
        <v>8</v>
      </c>
      <c r="B21" s="207" t="s">
        <v>377</v>
      </c>
      <c r="C21" s="233" t="s">
        <v>378</v>
      </c>
      <c r="D21" s="233"/>
      <c r="E21" s="234">
        <v>15061.9</v>
      </c>
      <c r="F21" s="207"/>
      <c r="G21" s="209"/>
      <c r="H21" s="209"/>
      <c r="I21" s="210"/>
      <c r="J21" s="235"/>
      <c r="K21" s="210"/>
      <c r="L21" s="238"/>
      <c r="M21" s="211"/>
      <c r="N21" s="210"/>
      <c r="O21" s="272"/>
      <c r="P21" s="210"/>
      <c r="Q21" s="154"/>
    </row>
    <row r="22" spans="1:25" ht="14" x14ac:dyDescent="0.3">
      <c r="A22" s="151">
        <f>IF(B22&lt;&gt;"",COUNTA($B$13:B22),"")</f>
        <v>9</v>
      </c>
      <c r="B22" s="207" t="s">
        <v>379</v>
      </c>
      <c r="C22" s="233" t="s">
        <v>380</v>
      </c>
      <c r="D22" s="233"/>
      <c r="E22" s="234">
        <v>3391200</v>
      </c>
      <c r="F22" s="207"/>
      <c r="G22" s="236"/>
      <c r="H22" s="209"/>
      <c r="I22" s="210"/>
      <c r="J22" s="235"/>
      <c r="K22" s="210"/>
      <c r="L22" s="238"/>
      <c r="M22" s="211"/>
      <c r="N22" s="210"/>
      <c r="O22" s="272"/>
      <c r="P22" s="210"/>
      <c r="Q22" s="154"/>
    </row>
    <row r="23" spans="1:25" ht="14" x14ac:dyDescent="0.3">
      <c r="A23" s="151" t="str">
        <f>IF(B23&lt;&gt;"",COUNTA($B$13:B23),"")</f>
        <v/>
      </c>
      <c r="B23" s="207"/>
      <c r="C23" s="233"/>
      <c r="D23" s="233"/>
      <c r="E23" s="234"/>
      <c r="F23" s="207"/>
      <c r="G23" s="209"/>
      <c r="H23" s="209"/>
      <c r="I23" s="210"/>
      <c r="J23" s="235"/>
      <c r="K23" s="210"/>
      <c r="L23" s="238"/>
      <c r="M23" s="211"/>
      <c r="N23" s="210"/>
      <c r="O23" s="272"/>
      <c r="P23" s="210"/>
      <c r="Q23" s="154"/>
    </row>
    <row r="24" spans="1:25" ht="14" x14ac:dyDescent="0.3">
      <c r="A24" s="151">
        <f>IF(B24&lt;&gt;"",COUNTA($B$13:B24),"")</f>
        <v>10</v>
      </c>
      <c r="B24" s="228" t="s">
        <v>302</v>
      </c>
      <c r="F24" s="239"/>
      <c r="G24" s="240"/>
      <c r="H24" s="211"/>
      <c r="I24" s="210"/>
      <c r="K24" s="210"/>
      <c r="L24" s="241"/>
      <c r="M24" s="211"/>
      <c r="N24" s="210"/>
      <c r="O24" s="272"/>
    </row>
    <row r="25" spans="1:25" ht="14" x14ac:dyDescent="0.3">
      <c r="A25" s="151">
        <f>IF(B25&lt;&gt;"",COUNTA($B$13:B25),"")</f>
        <v>11</v>
      </c>
      <c r="B25" s="207" t="str">
        <f>+'G2 SOUTH'!B22</f>
        <v>Revenue Decoupling</v>
      </c>
      <c r="C25" s="233" t="str">
        <f>+'G2 SOUTH'!C22</f>
        <v>RDAF</v>
      </c>
      <c r="D25" s="233"/>
      <c r="E25" s="242"/>
      <c r="F25" s="239"/>
      <c r="G25" s="236">
        <v>0</v>
      </c>
      <c r="H25" s="211"/>
      <c r="I25" s="210">
        <f t="shared" ref="I25:I39" si="2">G25*($E$18+$E$22)</f>
        <v>0</v>
      </c>
      <c r="K25" s="210"/>
      <c r="L25" s="236">
        <v>-1.4624315712562279E-4</v>
      </c>
      <c r="M25" s="211"/>
      <c r="N25" s="210">
        <f t="shared" ref="N25:N39" si="3">($E$18+$E$22)*L25</f>
        <v>-57306.790216084832</v>
      </c>
      <c r="O25" s="272"/>
      <c r="P25" s="301"/>
    </row>
    <row r="26" spans="1:25" ht="14" x14ac:dyDescent="0.3">
      <c r="A26" s="151">
        <f>IF(B26&lt;&gt;"",COUNTA($B$13:B26),"")</f>
        <v>12</v>
      </c>
      <c r="B26" s="207" t="str">
        <f>+'G2 SOUTH'!B23</f>
        <v>Residential Assistance Adjustment Factor</v>
      </c>
      <c r="C26" s="233" t="str">
        <f>+'G2 SOUTH'!C23</f>
        <v>RAAF</v>
      </c>
      <c r="D26" s="243"/>
      <c r="E26" s="206"/>
      <c r="F26" s="239"/>
      <c r="G26" s="236">
        <v>9.1E-4</v>
      </c>
      <c r="H26" s="211"/>
      <c r="I26" s="210">
        <f t="shared" si="2"/>
        <v>356592.26812124334</v>
      </c>
      <c r="K26" s="210"/>
      <c r="L26" s="236">
        <v>1.2355015224882698E-3</v>
      </c>
      <c r="M26" s="211"/>
      <c r="N26" s="210">
        <f t="shared" si="3"/>
        <v>484143.17601246317</v>
      </c>
      <c r="O26" s="272"/>
      <c r="P26" s="301"/>
      <c r="Q26" s="210"/>
      <c r="V26" s="233"/>
      <c r="W26" s="154"/>
      <c r="X26" s="154"/>
      <c r="Y26" s="154"/>
    </row>
    <row r="27" spans="1:25" ht="14" x14ac:dyDescent="0.3">
      <c r="A27" s="151">
        <f>IF(B27&lt;&gt;"",COUNTA($B$13:B27),"")</f>
        <v>13</v>
      </c>
      <c r="B27" s="207" t="str">
        <f>+'G2 SOUTH'!B24</f>
        <v>Pension Adjustment Factor</v>
      </c>
      <c r="C27" s="233" t="str">
        <f>+'G2 SOUTH'!C24</f>
        <v>PAF</v>
      </c>
      <c r="D27" s="243"/>
      <c r="E27" s="206"/>
      <c r="F27" s="239"/>
      <c r="G27" s="236">
        <v>-4.0000000000000003E-5</v>
      </c>
      <c r="H27" s="211"/>
      <c r="I27" s="210">
        <f t="shared" si="2"/>
        <v>-15674.385411922785</v>
      </c>
      <c r="K27" s="210"/>
      <c r="L27" s="236">
        <v>3.2934229530846908E-4</v>
      </c>
      <c r="M27" s="211"/>
      <c r="N27" s="210">
        <f t="shared" si="3"/>
        <v>129055.95172780583</v>
      </c>
      <c r="O27" s="272"/>
      <c r="P27" s="274"/>
      <c r="V27" s="233"/>
      <c r="W27" s="154"/>
      <c r="X27" s="154"/>
      <c r="Y27" s="154"/>
    </row>
    <row r="28" spans="1:25" ht="14" x14ac:dyDescent="0.3">
      <c r="A28" s="151">
        <f>IF(B28&lt;&gt;"",COUNTA($B$13:B28),"")</f>
        <v>14</v>
      </c>
      <c r="B28" s="207" t="str">
        <f>+'G2 SOUTH'!B25</f>
        <v>Net Metering Recovery Surcharge</v>
      </c>
      <c r="C28" s="233" t="str">
        <f>+'G2 SOUTH'!C25</f>
        <v>NMRS</v>
      </c>
      <c r="D28" s="243"/>
      <c r="E28" s="206"/>
      <c r="F28" s="239"/>
      <c r="G28" s="236">
        <v>1.8E-3</v>
      </c>
      <c r="H28" s="211"/>
      <c r="I28" s="210">
        <f t="shared" si="2"/>
        <v>705347.34353652527</v>
      </c>
      <c r="K28" s="210"/>
      <c r="L28" s="236">
        <v>1.610994880909662E-3</v>
      </c>
      <c r="M28" s="211"/>
      <c r="N28" s="210">
        <f t="shared" si="3"/>
        <v>631283.86650031724</v>
      </c>
      <c r="O28" s="272"/>
      <c r="P28" s="274"/>
      <c r="S28" s="186"/>
    </row>
    <row r="29" spans="1:25" ht="14" x14ac:dyDescent="0.3">
      <c r="A29" s="151">
        <f>IF(B29&lt;&gt;"",COUNTA($B$13:B29),"")</f>
        <v>15</v>
      </c>
      <c r="B29" s="207" t="str">
        <f>+'G2 SOUTH'!B26</f>
        <v>Long Term Renewable Contract Adjustment</v>
      </c>
      <c r="C29" s="233" t="str">
        <f>+'G2 SOUTH'!C26</f>
        <v>LTRCA</v>
      </c>
      <c r="D29" s="243"/>
      <c r="E29" s="206"/>
      <c r="F29" s="239"/>
      <c r="G29" s="236">
        <v>2.3600000000000001E-3</v>
      </c>
      <c r="H29" s="211"/>
      <c r="I29" s="210">
        <f t="shared" si="2"/>
        <v>924788.73930344428</v>
      </c>
      <c r="K29" s="210"/>
      <c r="L29" s="236">
        <v>1.7357128782064517E-3</v>
      </c>
      <c r="M29" s="211"/>
      <c r="N29" s="210">
        <f t="shared" si="3"/>
        <v>680155.81543614285</v>
      </c>
      <c r="O29" s="272"/>
      <c r="P29" s="275"/>
    </row>
    <row r="30" spans="1:25" ht="14" x14ac:dyDescent="0.3">
      <c r="A30" s="151">
        <f>IF(B30&lt;&gt;"",COUNTA($B$13:B30),"")</f>
        <v>16</v>
      </c>
      <c r="B30" s="207" t="str">
        <f>+'G2 SOUTH'!B27</f>
        <v>AG Consulting Expense</v>
      </c>
      <c r="C30" s="233" t="str">
        <f>+'G2 SOUTH'!C27</f>
        <v>AGCE</v>
      </c>
      <c r="D30" s="243"/>
      <c r="E30" s="206"/>
      <c r="F30" s="239"/>
      <c r="G30" s="236">
        <v>1.0000000000000001E-5</v>
      </c>
      <c r="H30" s="211"/>
      <c r="I30" s="210">
        <f t="shared" si="2"/>
        <v>3918.5963529806963</v>
      </c>
      <c r="K30" s="210"/>
      <c r="L30" s="236">
        <v>2.5940923164315925E-6</v>
      </c>
      <c r="M30" s="211"/>
      <c r="N30" s="210">
        <f t="shared" si="3"/>
        <v>1016.5200690464084</v>
      </c>
      <c r="O30" s="272"/>
      <c r="P30" s="274"/>
    </row>
    <row r="31" spans="1:25" ht="14" x14ac:dyDescent="0.3">
      <c r="A31" s="151">
        <f>IF(B31&lt;&gt;"",COUNTA($B$13:B31),"")</f>
        <v>17</v>
      </c>
      <c r="B31" s="207" t="str">
        <f>+'G2 SOUTH'!B28</f>
        <v>Storm Cost Recovery Adjustment Factor</v>
      </c>
      <c r="C31" s="233" t="str">
        <f>+'G2 SOUTH'!C28</f>
        <v>SCRA</v>
      </c>
      <c r="D31" s="243"/>
      <c r="E31" s="206"/>
      <c r="F31" s="239"/>
      <c r="G31" s="236">
        <v>5.5999999999999995E-4</v>
      </c>
      <c r="H31" s="211"/>
      <c r="I31" s="210">
        <f t="shared" si="2"/>
        <v>219441.39576691895</v>
      </c>
      <c r="K31" s="210"/>
      <c r="L31" s="236">
        <v>9.3601245545887001E-4</v>
      </c>
      <c r="M31" s="211"/>
      <c r="N31" s="210">
        <f t="shared" si="3"/>
        <v>366785.49943056342</v>
      </c>
      <c r="O31" s="272"/>
      <c r="P31" s="274"/>
    </row>
    <row r="32" spans="1:25" ht="14" x14ac:dyDescent="0.3">
      <c r="A32" s="151">
        <f>IF(B32&lt;&gt;"",COUNTA($B$13:B32),"")</f>
        <v>18</v>
      </c>
      <c r="B32" s="207" t="str">
        <f>+'G2 SOUTH'!B29</f>
        <v>Storm Reserve Adjustment</v>
      </c>
      <c r="C32" s="233" t="str">
        <f>+'G2 SOUTH'!C29</f>
        <v>SRA</v>
      </c>
      <c r="D32" s="243"/>
      <c r="E32" s="206"/>
      <c r="F32" s="239"/>
      <c r="G32" s="236">
        <v>0</v>
      </c>
      <c r="H32" s="211"/>
      <c r="I32" s="210">
        <f t="shared" si="2"/>
        <v>0</v>
      </c>
      <c r="K32" s="210"/>
      <c r="L32" s="236">
        <v>0</v>
      </c>
      <c r="M32" s="211"/>
      <c r="N32" s="210">
        <f t="shared" si="3"/>
        <v>0</v>
      </c>
      <c r="O32" s="272"/>
      <c r="P32" s="274"/>
    </row>
    <row r="33" spans="1:16" ht="14" x14ac:dyDescent="0.3">
      <c r="A33" s="151">
        <f>IF(B33&lt;&gt;"",COUNTA($B$13:B33),"")</f>
        <v>19</v>
      </c>
      <c r="B33" s="207" t="str">
        <f>+'G2 SOUTH'!B30</f>
        <v>Basic Service Cost True Up Factor</v>
      </c>
      <c r="C33" s="233" t="str">
        <f>+'G2 SOUTH'!C30</f>
        <v>BSTF</v>
      </c>
      <c r="D33" s="243"/>
      <c r="E33" s="206"/>
      <c r="F33" s="239"/>
      <c r="G33" s="236">
        <v>4.8999999999999998E-4</v>
      </c>
      <c r="H33" s="211"/>
      <c r="I33" s="210">
        <f t="shared" si="2"/>
        <v>192011.22129605411</v>
      </c>
      <c r="K33" s="210"/>
      <c r="L33" s="236">
        <v>-6.1308613087973919E-5</v>
      </c>
      <c r="M33" s="211"/>
      <c r="N33" s="210">
        <f t="shared" si="3"/>
        <v>-24024.370765283915</v>
      </c>
      <c r="O33" s="272"/>
      <c r="P33" s="274"/>
    </row>
    <row r="34" spans="1:16" ht="14" x14ac:dyDescent="0.3">
      <c r="A34" s="151">
        <f>IF(B34&lt;&gt;"",COUNTA($B$13:B34),"")</f>
        <v>20</v>
      </c>
      <c r="B34" s="207" t="str">
        <f>+'G2 SOUTH'!B31</f>
        <v>Solar Program Cost Adjustment Factor</v>
      </c>
      <c r="C34" s="233" t="str">
        <f>+'G2 SOUTH'!C31</f>
        <v>SPCA</v>
      </c>
      <c r="D34" s="233"/>
      <c r="E34" s="206"/>
      <c r="F34" s="239"/>
      <c r="G34" s="236">
        <v>0</v>
      </c>
      <c r="H34" s="211"/>
      <c r="I34" s="210">
        <f t="shared" si="2"/>
        <v>0</v>
      </c>
      <c r="K34" s="210"/>
      <c r="L34" s="236">
        <v>1.0910757753822555E-5</v>
      </c>
      <c r="M34" s="211"/>
      <c r="N34" s="210">
        <f t="shared" si="3"/>
        <v>4275.4855542384912</v>
      </c>
      <c r="O34" s="272"/>
      <c r="P34" s="276"/>
    </row>
    <row r="35" spans="1:16" ht="14" x14ac:dyDescent="0.3">
      <c r="A35" s="151">
        <f>IF(B35&lt;&gt;"",COUNTA($B$13:B35),"")</f>
        <v>21</v>
      </c>
      <c r="B35" s="207" t="str">
        <f>+'G2 SOUTH'!B32</f>
        <v>Solar Expansion Cost Recovery Factor</v>
      </c>
      <c r="C35" s="233" t="str">
        <f>+'G2 SOUTH'!C32</f>
        <v>SECRF</v>
      </c>
      <c r="D35" s="233"/>
      <c r="E35" s="206"/>
      <c r="F35" s="239"/>
      <c r="G35" s="236">
        <v>0</v>
      </c>
      <c r="H35" s="211"/>
      <c r="I35" s="210">
        <f t="shared" si="2"/>
        <v>0</v>
      </c>
      <c r="K35" s="210"/>
      <c r="L35" s="236">
        <v>1.9244080595447676E-4</v>
      </c>
      <c r="M35" s="211"/>
      <c r="N35" s="210">
        <f t="shared" si="3"/>
        <v>75409.784037787846</v>
      </c>
      <c r="O35" s="272"/>
      <c r="P35" s="276"/>
    </row>
    <row r="36" spans="1:16" ht="14" x14ac:dyDescent="0.3">
      <c r="A36" s="151">
        <f>IF(B36&lt;&gt;"",COUNTA($B$13:B36),"")</f>
        <v>22</v>
      </c>
      <c r="B36" s="207" t="str">
        <f>+'G2 SOUTH'!B33</f>
        <v>Vegetation Management</v>
      </c>
      <c r="C36" s="233" t="str">
        <f>+'G2 SOUTH'!C33</f>
        <v>RTWF</v>
      </c>
      <c r="D36" s="233"/>
      <c r="E36" s="206"/>
      <c r="F36" s="239"/>
      <c r="G36" s="236">
        <v>0</v>
      </c>
      <c r="H36" s="211"/>
      <c r="I36" s="210">
        <f t="shared" si="2"/>
        <v>0</v>
      </c>
      <c r="K36" s="210"/>
      <c r="L36" s="236">
        <v>5.896340211070431E-4</v>
      </c>
      <c r="M36" s="211"/>
      <c r="N36" s="210">
        <f t="shared" si="3"/>
        <v>231053.77247034019</v>
      </c>
      <c r="O36" s="272"/>
      <c r="P36" s="276"/>
    </row>
    <row r="37" spans="1:16" ht="14" x14ac:dyDescent="0.3">
      <c r="A37" s="151">
        <f>IF(B37&lt;&gt;"",COUNTA($B$13:B37),"")</f>
        <v>23</v>
      </c>
      <c r="B37" s="207" t="str">
        <f>+'G2 SOUTH'!B34</f>
        <v>Solar Massachusetts Renewable Target</v>
      </c>
      <c r="C37" s="233" t="str">
        <f>+'G2 SOUTH'!C34</f>
        <v>SMART</v>
      </c>
      <c r="D37" s="233"/>
      <c r="E37" s="206"/>
      <c r="F37" s="239"/>
      <c r="G37" s="236">
        <v>0</v>
      </c>
      <c r="H37" s="211"/>
      <c r="I37" s="210">
        <f t="shared" si="2"/>
        <v>0</v>
      </c>
      <c r="K37" s="210"/>
      <c r="L37" s="236">
        <v>2.2547140909800353E-4</v>
      </c>
      <c r="M37" s="211"/>
      <c r="N37" s="210">
        <f t="shared" si="3"/>
        <v>88353.144139285519</v>
      </c>
      <c r="O37" s="272"/>
      <c r="P37" s="276"/>
    </row>
    <row r="38" spans="1:16" ht="14" x14ac:dyDescent="0.3">
      <c r="A38" s="151">
        <f>IF(B38&lt;&gt;"",COUNTA($B$13:B38),"")</f>
        <v>24</v>
      </c>
      <c r="B38" s="207" t="str">
        <f>+'G2 SOUTH'!B35</f>
        <v>Tax Act Credit Factor</v>
      </c>
      <c r="C38" s="233" t="str">
        <f>+'G2 SOUTH'!C35</f>
        <v>TACF</v>
      </c>
      <c r="D38" s="233"/>
      <c r="E38" s="206"/>
      <c r="F38" s="239"/>
      <c r="G38" s="236">
        <v>0</v>
      </c>
      <c r="H38" s="211"/>
      <c r="I38" s="210">
        <f t="shared" si="2"/>
        <v>0</v>
      </c>
      <c r="K38" s="210"/>
      <c r="L38" s="236">
        <v>-3.4132604650198556E-4</v>
      </c>
      <c r="M38" s="211"/>
      <c r="N38" s="210">
        <f t="shared" si="3"/>
        <v>-133751.9001</v>
      </c>
      <c r="O38" s="272"/>
      <c r="P38" s="276"/>
    </row>
    <row r="39" spans="1:16" ht="14" x14ac:dyDescent="0.3">
      <c r="A39" s="151">
        <f>IF(B39&lt;&gt;"",COUNTA($B$13:B39),"")</f>
        <v>25</v>
      </c>
      <c r="B39" s="207" t="str">
        <f>+'G2 SOUTH'!B36</f>
        <v>Transition</v>
      </c>
      <c r="C39" s="233" t="str">
        <f>+'G2 SOUTH'!C36</f>
        <v>TRNSN</v>
      </c>
      <c r="D39" s="233"/>
      <c r="E39" s="206"/>
      <c r="F39" s="239"/>
      <c r="G39" s="236">
        <v>-6.0999999999999997E-4</v>
      </c>
      <c r="H39" s="211"/>
      <c r="I39" s="210">
        <f t="shared" si="2"/>
        <v>-239034.37753182245</v>
      </c>
      <c r="K39" s="210"/>
      <c r="L39" s="236">
        <v>-5.210932140356871E-4</v>
      </c>
      <c r="M39" s="211"/>
      <c r="N39" s="210">
        <f t="shared" si="3"/>
        <v>-204195.39680832328</v>
      </c>
      <c r="O39" s="272"/>
      <c r="P39" s="275"/>
    </row>
    <row r="40" spans="1:16" ht="14" x14ac:dyDescent="0.3">
      <c r="A40" s="151">
        <f>IF(B40&lt;&gt;"",COUNTA($B$13:B40),"")</f>
        <v>26</v>
      </c>
      <c r="B40" s="207" t="str">
        <f>+'G2 SOUTH'!B37</f>
        <v>Transmission Demand</v>
      </c>
      <c r="C40" s="233" t="str">
        <f>+'G2 SOUTH'!C37</f>
        <v>TMKW</v>
      </c>
      <c r="D40" s="233"/>
      <c r="E40" s="206"/>
      <c r="F40" s="239"/>
      <c r="G40" s="283">
        <v>8.2200000000000006</v>
      </c>
      <c r="H40" s="211"/>
      <c r="I40" s="210">
        <f>($E$14+$E$21)*G40</f>
        <v>8648789.7534768935</v>
      </c>
      <c r="K40" s="210"/>
      <c r="L40" s="283">
        <v>7.1847005665113972</v>
      </c>
      <c r="M40" s="211"/>
      <c r="N40" s="210">
        <f>($E$14+E21)*L40</f>
        <v>7559484.7495673243</v>
      </c>
      <c r="O40" s="272"/>
      <c r="P40" s="276"/>
    </row>
    <row r="41" spans="1:16" ht="14" x14ac:dyDescent="0.3">
      <c r="A41" s="151">
        <f>IF(B41&lt;&gt;"",COUNTA($B$13:B41),"")</f>
        <v>27</v>
      </c>
      <c r="B41" s="207" t="str">
        <f>+'G2 SOUTH'!B38</f>
        <v>Transmission Energy</v>
      </c>
      <c r="C41" s="233" t="str">
        <f>+'G2 SOUTH'!C38</f>
        <v>TMKWH</v>
      </c>
      <c r="D41" s="233"/>
      <c r="E41" s="206"/>
      <c r="F41" s="239"/>
      <c r="G41" s="241">
        <v>0</v>
      </c>
      <c r="H41" s="211"/>
      <c r="I41" s="210">
        <f t="shared" ref="I41:I45" si="4">G41*($E$18+$E$22)</f>
        <v>0</v>
      </c>
      <c r="K41" s="210"/>
      <c r="L41" s="236">
        <v>0</v>
      </c>
      <c r="M41" s="211"/>
      <c r="N41" s="210">
        <f t="shared" ref="N41:N45" si="5">($E$18+$E$22)*L41</f>
        <v>0</v>
      </c>
      <c r="O41" s="272"/>
      <c r="P41" s="275"/>
    </row>
    <row r="42" spans="1:16" ht="14" x14ac:dyDescent="0.3">
      <c r="A42" s="151">
        <f>IF(B42&lt;&gt;"",COUNTA($B$13:B42),"")</f>
        <v>28</v>
      </c>
      <c r="B42" s="207" t="str">
        <f>+'G2 SOUTH'!B39</f>
        <v>Energy Efficiency Reconciliation Factor</v>
      </c>
      <c r="C42" s="233" t="str">
        <f>+'G2 SOUTH'!C39</f>
        <v>EERF</v>
      </c>
      <c r="D42" s="233"/>
      <c r="E42" s="206"/>
      <c r="F42" s="239"/>
      <c r="G42" s="241">
        <v>8.4600000000000005E-3</v>
      </c>
      <c r="H42" s="211"/>
      <c r="I42" s="210">
        <f t="shared" si="4"/>
        <v>3315132.514621669</v>
      </c>
      <c r="K42" s="210"/>
      <c r="L42" s="281">
        <v>8.4600000000000005E-3</v>
      </c>
      <c r="M42" s="211"/>
      <c r="N42" s="210">
        <f t="shared" si="5"/>
        <v>3315132.514621669</v>
      </c>
      <c r="O42" s="210"/>
      <c r="P42" s="232"/>
    </row>
    <row r="43" spans="1:16" ht="14" x14ac:dyDescent="0.3">
      <c r="A43" s="151">
        <f>IF(B43&lt;&gt;"",COUNTA($B$13:B43),"")</f>
        <v>29</v>
      </c>
      <c r="B43" s="207" t="str">
        <f>+'G2 SOUTH'!B40</f>
        <v>System Benefits Charge</v>
      </c>
      <c r="C43" s="233" t="str">
        <f>+'G2 SOUTH'!C40</f>
        <v>SBC</v>
      </c>
      <c r="D43" s="233"/>
      <c r="E43" s="206"/>
      <c r="F43" s="239"/>
      <c r="G43" s="241">
        <v>2.5000000000000001E-3</v>
      </c>
      <c r="H43" s="211"/>
      <c r="I43" s="210">
        <f t="shared" si="4"/>
        <v>979649.08824517403</v>
      </c>
      <c r="K43" s="210"/>
      <c r="L43" s="281">
        <f>+G43</f>
        <v>2.5000000000000001E-3</v>
      </c>
      <c r="M43" s="211"/>
      <c r="N43" s="210">
        <f t="shared" si="5"/>
        <v>979649.08824517403</v>
      </c>
      <c r="O43" s="210"/>
      <c r="P43" s="275"/>
    </row>
    <row r="44" spans="1:16" ht="14" x14ac:dyDescent="0.3">
      <c r="A44" s="151">
        <f>IF(B44&lt;&gt;"",COUNTA($B$13:B44),"")</f>
        <v>30</v>
      </c>
      <c r="B44" s="207" t="str">
        <f>+'G2 SOUTH'!B41</f>
        <v>Renewable Energy Charge</v>
      </c>
      <c r="C44" s="233" t="str">
        <f>+'G2 SOUTH'!C41</f>
        <v>RNEW</v>
      </c>
      <c r="D44" s="233"/>
      <c r="E44" s="206"/>
      <c r="F44" s="239"/>
      <c r="G44" s="241">
        <v>5.0000000000000001E-4</v>
      </c>
      <c r="H44" s="211"/>
      <c r="I44" s="210">
        <f t="shared" si="4"/>
        <v>195929.81764903481</v>
      </c>
      <c r="K44" s="210"/>
      <c r="L44" s="281">
        <f>+G44</f>
        <v>5.0000000000000001E-4</v>
      </c>
      <c r="M44" s="211"/>
      <c r="N44" s="210">
        <f t="shared" si="5"/>
        <v>195929.81764903481</v>
      </c>
      <c r="O44" s="210"/>
      <c r="P44" s="275"/>
    </row>
    <row r="45" spans="1:16" ht="14" x14ac:dyDescent="0.3">
      <c r="A45" s="151">
        <f>IF(B45&lt;&gt;"",COUNTA($B$13:B45),"")</f>
        <v>31</v>
      </c>
      <c r="B45" s="207" t="str">
        <f>+'G2 SOUTH'!B42</f>
        <v>Basic Service Charge</v>
      </c>
      <c r="C45" s="233" t="str">
        <f>+'G2 SOUTH'!C42</f>
        <v>BS</v>
      </c>
      <c r="D45" s="233"/>
      <c r="E45" s="206"/>
      <c r="F45" s="239"/>
      <c r="G45" s="241">
        <v>0.12265999999999999</v>
      </c>
      <c r="H45" s="211"/>
      <c r="I45" s="237">
        <f t="shared" si="4"/>
        <v>48065502.865661211</v>
      </c>
      <c r="K45" s="210"/>
      <c r="L45" s="281">
        <v>0.16148000000000001</v>
      </c>
      <c r="M45" s="211"/>
      <c r="N45" s="237">
        <f t="shared" si="5"/>
        <v>63277493.907932281</v>
      </c>
      <c r="O45" s="272"/>
      <c r="P45" s="232"/>
    </row>
    <row r="46" spans="1:16" ht="14" x14ac:dyDescent="0.3">
      <c r="A46" s="151" t="str">
        <f>IF(B46&lt;&gt;"",COUNTA($B$13:B46),"")</f>
        <v/>
      </c>
      <c r="B46" s="207"/>
      <c r="E46" s="206"/>
      <c r="F46" s="239"/>
      <c r="G46" s="241"/>
      <c r="H46" s="211"/>
      <c r="I46" s="244"/>
      <c r="K46" s="210"/>
      <c r="L46" s="241"/>
      <c r="M46" s="211"/>
      <c r="N46" s="244"/>
      <c r="O46" s="272"/>
    </row>
    <row r="47" spans="1:16" ht="14" x14ac:dyDescent="0.3">
      <c r="A47" s="151">
        <f>IF(B47&lt;&gt;"",COUNTA($B$13:B47),"")</f>
        <v>32</v>
      </c>
      <c r="B47" s="188" t="s">
        <v>46</v>
      </c>
      <c r="E47" s="188"/>
      <c r="G47" s="245" t="s">
        <v>324</v>
      </c>
      <c r="H47" s="246"/>
      <c r="I47" s="154">
        <f>SUM(I19:I46)</f>
        <v>69109643.570828333</v>
      </c>
      <c r="K47" s="247"/>
      <c r="L47" s="245"/>
      <c r="N47" s="154">
        <f>SUM(N19:N46)</f>
        <v>83542062.908168525</v>
      </c>
      <c r="P47" s="154"/>
    </row>
    <row r="48" spans="1:16" ht="14" x14ac:dyDescent="0.3">
      <c r="A48" s="151" t="str">
        <f>IF(B48&lt;&gt;"",COUNTA($B$13:B48),"")</f>
        <v/>
      </c>
      <c r="E48" s="188"/>
      <c r="H48" s="188"/>
      <c r="I48" s="154"/>
      <c r="K48" s="265"/>
      <c r="L48" s="278"/>
      <c r="N48" s="265"/>
      <c r="P48" s="154"/>
    </row>
    <row r="49" spans="1:17" ht="14" x14ac:dyDescent="0.3">
      <c r="A49" s="151">
        <f>IF(B49&lt;&gt;"",COUNTA($B$13:B49),"")</f>
        <v>33</v>
      </c>
      <c r="B49" s="188" t="s">
        <v>46</v>
      </c>
      <c r="E49" s="188"/>
      <c r="G49" s="188"/>
      <c r="H49" s="188"/>
      <c r="I49" s="188"/>
      <c r="J49" s="188"/>
      <c r="L49" s="248" t="s">
        <v>325</v>
      </c>
      <c r="N49" s="160">
        <f>+N47/I47-1</f>
        <v>0.20883365318689351</v>
      </c>
    </row>
    <row r="50" spans="1:17" ht="14" x14ac:dyDescent="0.3">
      <c r="A50" s="151" t="str">
        <f>IF(B50&lt;&gt;"",COUNTA($B$13:B50),"")</f>
        <v/>
      </c>
      <c r="E50" s="188"/>
      <c r="G50" s="188"/>
      <c r="H50" s="188"/>
      <c r="I50" s="188"/>
      <c r="J50" s="188"/>
      <c r="L50" s="248"/>
      <c r="N50" s="160"/>
    </row>
    <row r="51" spans="1:17" ht="14" x14ac:dyDescent="0.3">
      <c r="A51" s="151" t="str">
        <f>IF(B51&lt;&gt;"",COUNTA($B$13:B51),"")</f>
        <v/>
      </c>
      <c r="E51" s="188"/>
      <c r="G51" s="186"/>
      <c r="H51" s="188"/>
      <c r="I51" s="188"/>
      <c r="L51" s="248"/>
      <c r="N51" s="160"/>
    </row>
    <row r="52" spans="1:17" ht="14.5" thickBot="1" x14ac:dyDescent="0.35">
      <c r="A52" s="151">
        <f>IF(B52&lt;&gt;"",COUNTA($B$13:B52),"")</f>
        <v>34</v>
      </c>
      <c r="B52" s="188" t="s">
        <v>46</v>
      </c>
      <c r="E52" s="279" t="s">
        <v>326</v>
      </c>
      <c r="F52" s="135"/>
      <c r="G52" s="280"/>
      <c r="I52" s="279" t="s">
        <v>327</v>
      </c>
      <c r="J52" s="135"/>
      <c r="L52" s="279" t="s">
        <v>328</v>
      </c>
      <c r="M52" s="135"/>
      <c r="N52" s="137"/>
    </row>
    <row r="53" spans="1:17" ht="14" x14ac:dyDescent="0.3">
      <c r="A53" s="151">
        <f>IF(B53&lt;&gt;"",COUNTA($B$13:B53),"")</f>
        <v>35</v>
      </c>
      <c r="B53" s="144" t="s">
        <v>329</v>
      </c>
      <c r="C53" s="144"/>
      <c r="D53" s="144"/>
      <c r="E53" s="249" t="s">
        <v>148</v>
      </c>
      <c r="F53" s="250"/>
      <c r="G53" s="251" t="s">
        <v>330</v>
      </c>
      <c r="I53" s="249" t="s">
        <v>148</v>
      </c>
      <c r="J53" s="251" t="s">
        <v>330</v>
      </c>
      <c r="K53" s="212"/>
      <c r="L53" s="249" t="s">
        <v>148</v>
      </c>
      <c r="M53" s="252"/>
      <c r="N53" s="251" t="s">
        <v>330</v>
      </c>
    </row>
    <row r="54" spans="1:17" ht="14" x14ac:dyDescent="0.3">
      <c r="A54" s="151">
        <f>IF(B54&lt;&gt;"",COUNTA($B$13:B54),"")</f>
        <v>36</v>
      </c>
      <c r="B54" s="130" t="str">
        <f>+'G2 SOUTH'!B51</f>
        <v>Distribution</v>
      </c>
      <c r="C54" s="253" t="str">
        <f>+'G2 SOUTH'!C51</f>
        <v>DIST</v>
      </c>
      <c r="D54" s="253"/>
      <c r="E54" s="154">
        <f t="shared" ref="E54:E69" si="6">SUMIF($C$13:$C$45,$C54,$I$13:$I$45)</f>
        <v>5757248.729740927</v>
      </c>
      <c r="G54" s="254">
        <f>+E54/$E$18*100</f>
        <v>1.4820377169958283</v>
      </c>
      <c r="I54" s="154">
        <f t="shared" ref="I54:I69" si="7">SUMIF($C$13:$C$45,$C54,$N$13:$N$45)</f>
        <v>5942118.2726647472</v>
      </c>
      <c r="J54" s="254">
        <f>+I54/$E$18*100</f>
        <v>1.5296270514502406</v>
      </c>
      <c r="L54" s="154">
        <f t="shared" ref="L54:L74" si="8">I54-E54</f>
        <v>184869.54292382021</v>
      </c>
      <c r="N54" s="254">
        <f>+L54/$E$18*100</f>
        <v>4.7589334454412206E-2</v>
      </c>
      <c r="O54" s="272"/>
      <c r="Q54" s="154"/>
    </row>
    <row r="55" spans="1:17" ht="14" x14ac:dyDescent="0.3">
      <c r="A55" s="151">
        <f>IF(B55&lt;&gt;"",COUNTA($B$13:B55),"")</f>
        <v>37</v>
      </c>
      <c r="B55" s="130" t="str">
        <f>+'G2 SOUTH'!B52</f>
        <v>Revenue Decoupling</v>
      </c>
      <c r="C55" s="253" t="str">
        <f>+'G2 SOUTH'!C52</f>
        <v>RDAF</v>
      </c>
      <c r="D55" s="253"/>
      <c r="E55" s="154">
        <f t="shared" si="6"/>
        <v>0</v>
      </c>
      <c r="G55" s="254">
        <f t="shared" ref="G55:G75" si="9">+E55/$E$18*100</f>
        <v>0</v>
      </c>
      <c r="I55" s="154">
        <f t="shared" si="7"/>
        <v>-57306.790216084832</v>
      </c>
      <c r="J55" s="254">
        <f t="shared" ref="J55:J74" si="10">+I55/($E$18+$E$22)*100</f>
        <v>-1.4624315712562279E-2</v>
      </c>
      <c r="L55" s="154">
        <f>I55-E55</f>
        <v>-57306.790216084832</v>
      </c>
      <c r="N55" s="254">
        <f t="shared" ref="N55:N75" si="11">+L55/$E$18*100</f>
        <v>-1.4751981115817983E-2</v>
      </c>
      <c r="O55" s="272"/>
      <c r="Q55" s="154"/>
    </row>
    <row r="56" spans="1:17" ht="14" x14ac:dyDescent="0.3">
      <c r="A56" s="151">
        <f>IF(B56&lt;&gt;"",COUNTA($B$13:B56),"")</f>
        <v>38</v>
      </c>
      <c r="B56" s="130" t="str">
        <f>+'G2 SOUTH'!B53</f>
        <v>Residential Assistance Adjustment Factor</v>
      </c>
      <c r="C56" s="253" t="str">
        <f>+'G2 SOUTH'!C53</f>
        <v>RAAF</v>
      </c>
      <c r="D56" s="253"/>
      <c r="E56" s="154">
        <f t="shared" si="6"/>
        <v>356592.26812124334</v>
      </c>
      <c r="G56" s="254">
        <f t="shared" si="9"/>
        <v>9.1794399678221505E-2</v>
      </c>
      <c r="I56" s="154">
        <f t="shared" si="7"/>
        <v>484143.17601246317</v>
      </c>
      <c r="J56" s="254">
        <f t="shared" si="10"/>
        <v>0.12355015224882698</v>
      </c>
      <c r="L56" s="154">
        <f t="shared" si="8"/>
        <v>127550.90789121983</v>
      </c>
      <c r="N56" s="254">
        <f t="shared" si="11"/>
        <v>3.2834304232041596E-2</v>
      </c>
      <c r="O56" s="272"/>
      <c r="Q56" s="154"/>
    </row>
    <row r="57" spans="1:17" ht="14" x14ac:dyDescent="0.3">
      <c r="A57" s="151">
        <f>IF(B57&lt;&gt;"",COUNTA($B$13:B57),"")</f>
        <v>39</v>
      </c>
      <c r="B57" s="130" t="str">
        <f>+'G2 SOUTH'!B54</f>
        <v>Pension Adjustment Factor</v>
      </c>
      <c r="C57" s="253" t="str">
        <f>+'G2 SOUTH'!C54</f>
        <v>PAF</v>
      </c>
      <c r="D57" s="253"/>
      <c r="E57" s="154">
        <f t="shared" si="6"/>
        <v>-15674.385411922785</v>
      </c>
      <c r="G57" s="254">
        <f t="shared" si="9"/>
        <v>-4.0349186671745727E-3</v>
      </c>
      <c r="I57" s="154">
        <f t="shared" si="7"/>
        <v>129055.95172780583</v>
      </c>
      <c r="J57" s="254">
        <f t="shared" si="10"/>
        <v>3.293422953084691E-2</v>
      </c>
      <c r="L57" s="154">
        <f t="shared" si="8"/>
        <v>144730.33713972862</v>
      </c>
      <c r="N57" s="254">
        <f t="shared" si="11"/>
        <v>3.7256653047931132E-2</v>
      </c>
      <c r="O57" s="272"/>
      <c r="Q57" s="154"/>
    </row>
    <row r="58" spans="1:17" ht="14" x14ac:dyDescent="0.3">
      <c r="A58" s="151">
        <f>IF(B58&lt;&gt;"",COUNTA($B$13:B58),"")</f>
        <v>40</v>
      </c>
      <c r="B58" s="130" t="str">
        <f>+'G2 SOUTH'!B55</f>
        <v>Net Metering Recovery Surcharge</v>
      </c>
      <c r="C58" s="253" t="str">
        <f>+'G2 SOUTH'!C55</f>
        <v>NMRS</v>
      </c>
      <c r="D58" s="253"/>
      <c r="E58" s="154">
        <f t="shared" si="6"/>
        <v>705347.34353652527</v>
      </c>
      <c r="G58" s="254">
        <f t="shared" si="9"/>
        <v>0.18157134002285574</v>
      </c>
      <c r="I58" s="154">
        <f t="shared" si="7"/>
        <v>631283.86650031724</v>
      </c>
      <c r="J58" s="254">
        <f t="shared" si="10"/>
        <v>0.16109948809096619</v>
      </c>
      <c r="L58" s="154">
        <f t="shared" si="8"/>
        <v>-74063.477036208031</v>
      </c>
      <c r="N58" s="254">
        <f t="shared" si="11"/>
        <v>-1.9065507080228937E-2</v>
      </c>
      <c r="O58" s="272"/>
      <c r="Q58" s="154"/>
    </row>
    <row r="59" spans="1:17" ht="14" x14ac:dyDescent="0.3">
      <c r="A59" s="151">
        <f>IF(B59&lt;&gt;"",COUNTA($B$13:B59),"")</f>
        <v>41</v>
      </c>
      <c r="B59" s="130" t="str">
        <f>+'G2 SOUTH'!B56</f>
        <v>Long Term Renewable Contract Adjustment</v>
      </c>
      <c r="C59" s="253" t="str">
        <f>+'G2 SOUTH'!C56</f>
        <v>LTRCA</v>
      </c>
      <c r="D59" s="253"/>
      <c r="E59" s="154">
        <f t="shared" si="6"/>
        <v>924788.73930344428</v>
      </c>
      <c r="G59" s="254">
        <f t="shared" si="9"/>
        <v>0.23806020136329975</v>
      </c>
      <c r="I59" s="154">
        <f t="shared" si="7"/>
        <v>680155.81543614285</v>
      </c>
      <c r="J59" s="254">
        <f t="shared" si="10"/>
        <v>0.17357128782064518</v>
      </c>
      <c r="L59" s="154">
        <f t="shared" si="8"/>
        <v>-244632.92386730143</v>
      </c>
      <c r="N59" s="254">
        <f t="shared" si="11"/>
        <v>-6.2973694035036859E-2</v>
      </c>
      <c r="O59" s="272"/>
      <c r="Q59" s="154"/>
    </row>
    <row r="60" spans="1:17" ht="14" x14ac:dyDescent="0.3">
      <c r="A60" s="151">
        <f>IF(B60&lt;&gt;"",COUNTA($B$13:B60),"")</f>
        <v>42</v>
      </c>
      <c r="B60" s="130" t="str">
        <f>+'G2 SOUTH'!B57</f>
        <v>AG Consulting Expense</v>
      </c>
      <c r="C60" s="253" t="str">
        <f>+'G2 SOUTH'!C57</f>
        <v>AGCE</v>
      </c>
      <c r="D60" s="253"/>
      <c r="E60" s="154">
        <f t="shared" si="6"/>
        <v>3918.5963529806963</v>
      </c>
      <c r="G60" s="254">
        <f t="shared" si="9"/>
        <v>1.0087296667936432E-3</v>
      </c>
      <c r="I60" s="154">
        <f t="shared" si="7"/>
        <v>1016.5200690464084</v>
      </c>
      <c r="J60" s="254">
        <f t="shared" si="10"/>
        <v>2.5940923164315924E-4</v>
      </c>
      <c r="L60" s="154">
        <f t="shared" si="8"/>
        <v>-2902.0762839342879</v>
      </c>
      <c r="N60" s="254">
        <f t="shared" si="11"/>
        <v>-7.4705587899504412E-4</v>
      </c>
      <c r="O60" s="272"/>
      <c r="Q60" s="154"/>
    </row>
    <row r="61" spans="1:17" ht="14" x14ac:dyDescent="0.3">
      <c r="A61" s="151">
        <f>IF(B61&lt;&gt;"",COUNTA($B$13:B61),"")</f>
        <v>43</v>
      </c>
      <c r="B61" s="130" t="str">
        <f>+'G2 SOUTH'!B58</f>
        <v>Storm Cost Recovery Adjustment Factor</v>
      </c>
      <c r="C61" s="253" t="str">
        <f>+'G2 SOUTH'!C58</f>
        <v>SCRA</v>
      </c>
      <c r="D61" s="253"/>
      <c r="E61" s="154">
        <f t="shared" si="6"/>
        <v>219441.39576691895</v>
      </c>
      <c r="G61" s="254">
        <f t="shared" si="9"/>
        <v>5.6488861340444001E-2</v>
      </c>
      <c r="I61" s="154">
        <f t="shared" si="7"/>
        <v>366785.49943056342</v>
      </c>
      <c r="J61" s="254">
        <f t="shared" si="10"/>
        <v>9.3601245545887002E-2</v>
      </c>
      <c r="L61" s="154">
        <f>I61-E61</f>
        <v>147344.10366364446</v>
      </c>
      <c r="N61" s="254">
        <f t="shared" si="11"/>
        <v>3.7929491890528556E-2</v>
      </c>
      <c r="O61" s="272"/>
      <c r="Q61" s="154"/>
    </row>
    <row r="62" spans="1:17" ht="14" x14ac:dyDescent="0.3">
      <c r="A62" s="151">
        <f>IF(B62&lt;&gt;"",COUNTA($B$13:B62),"")</f>
        <v>44</v>
      </c>
      <c r="B62" s="130" t="str">
        <f>+'G2 SOUTH'!B59</f>
        <v>Storm Reserve Adjustment</v>
      </c>
      <c r="C62" s="253" t="str">
        <f>+'G2 SOUTH'!C59</f>
        <v>SRA</v>
      </c>
      <c r="D62" s="253"/>
      <c r="E62" s="154">
        <f t="shared" si="6"/>
        <v>0</v>
      </c>
      <c r="G62" s="254">
        <f t="shared" si="9"/>
        <v>0</v>
      </c>
      <c r="I62" s="154">
        <f t="shared" si="7"/>
        <v>0</v>
      </c>
      <c r="J62" s="254">
        <f t="shared" si="10"/>
        <v>0</v>
      </c>
      <c r="L62" s="154">
        <f>I62-E62</f>
        <v>0</v>
      </c>
      <c r="N62" s="254">
        <f t="shared" si="11"/>
        <v>0</v>
      </c>
      <c r="O62" s="272"/>
      <c r="Q62" s="154"/>
    </row>
    <row r="63" spans="1:17" ht="14" x14ac:dyDescent="0.3">
      <c r="A63" s="151">
        <f>IF(B63&lt;&gt;"",COUNTA($B$13:B63),"")</f>
        <v>45</v>
      </c>
      <c r="B63" s="130" t="str">
        <f>+'G2 SOUTH'!B60</f>
        <v>Basic Service Cost True Up Factor</v>
      </c>
      <c r="C63" s="253" t="str">
        <f>+'G2 SOUTH'!C60</f>
        <v>BSTF</v>
      </c>
      <c r="D63" s="253"/>
      <c r="E63" s="154">
        <f t="shared" si="6"/>
        <v>192011.22129605411</v>
      </c>
      <c r="G63" s="254">
        <f t="shared" si="9"/>
        <v>4.9427753672888507E-2</v>
      </c>
      <c r="I63" s="154">
        <f t="shared" si="7"/>
        <v>-24024.370765283915</v>
      </c>
      <c r="J63" s="254">
        <f t="shared" si="10"/>
        <v>-6.1308613087973918E-3</v>
      </c>
      <c r="L63" s="154">
        <f>I63-E63</f>
        <v>-216035.59206133801</v>
      </c>
      <c r="N63" s="254">
        <f t="shared" si="11"/>
        <v>-5.5612135358069741E-2</v>
      </c>
      <c r="O63" s="272"/>
      <c r="Q63" s="154"/>
    </row>
    <row r="64" spans="1:17" ht="14" x14ac:dyDescent="0.3">
      <c r="A64" s="151">
        <f>IF(B64&lt;&gt;"",COUNTA($B$13:B64),"")</f>
        <v>46</v>
      </c>
      <c r="B64" s="130" t="str">
        <f>+'G2 SOUTH'!B61</f>
        <v>Solar Program Cost Adjustment Factor</v>
      </c>
      <c r="C64" s="253" t="str">
        <f>+'G2 SOUTH'!C61</f>
        <v>SPCA</v>
      </c>
      <c r="D64" s="253"/>
      <c r="E64" s="154">
        <f t="shared" si="6"/>
        <v>0</v>
      </c>
      <c r="G64" s="254">
        <f t="shared" si="9"/>
        <v>0</v>
      </c>
      <c r="I64" s="154">
        <f t="shared" si="7"/>
        <v>4275.4855542384912</v>
      </c>
      <c r="J64" s="254">
        <f t="shared" si="10"/>
        <v>1.0910757753822555E-3</v>
      </c>
      <c r="L64" s="154">
        <f t="shared" si="8"/>
        <v>4275.4855542384912</v>
      </c>
      <c r="N64" s="254">
        <f t="shared" si="11"/>
        <v>1.1006005033479581E-3</v>
      </c>
      <c r="Q64" s="154"/>
    </row>
    <row r="65" spans="1:17" ht="14" x14ac:dyDescent="0.3">
      <c r="A65" s="151">
        <f>IF(B65&lt;&gt;"",COUNTA($B$13:B65),"")</f>
        <v>47</v>
      </c>
      <c r="B65" s="130" t="str">
        <f>+'G2 SOUTH'!B62</f>
        <v>Solar Expansion Cost Recovery Factor</v>
      </c>
      <c r="C65" s="253" t="str">
        <f>+'G2 SOUTH'!C62</f>
        <v>SECRF</v>
      </c>
      <c r="D65" s="253"/>
      <c r="E65" s="154">
        <f t="shared" si="6"/>
        <v>0</v>
      </c>
      <c r="G65" s="254">
        <f t="shared" si="9"/>
        <v>0</v>
      </c>
      <c r="I65" s="154">
        <f t="shared" si="7"/>
        <v>75409.784037787846</v>
      </c>
      <c r="J65" s="254">
        <f t="shared" si="10"/>
        <v>1.9244080595447677E-2</v>
      </c>
      <c r="L65" s="154">
        <f t="shared" si="8"/>
        <v>75409.784037787846</v>
      </c>
      <c r="N65" s="254">
        <f t="shared" si="11"/>
        <v>1.9412075006795947E-2</v>
      </c>
      <c r="Q65" s="154"/>
    </row>
    <row r="66" spans="1:17" ht="14" x14ac:dyDescent="0.3">
      <c r="A66" s="151">
        <f>IF(B66&lt;&gt;"",COUNTA($B$13:B66),"")</f>
        <v>48</v>
      </c>
      <c r="B66" s="130" t="str">
        <f>+'G2 SOUTH'!B63</f>
        <v>Vegetation Management</v>
      </c>
      <c r="C66" s="253" t="str">
        <f>+'G2 SOUTH'!C63</f>
        <v>RTWF</v>
      </c>
      <c r="D66" s="253"/>
      <c r="E66" s="154">
        <f t="shared" si="6"/>
        <v>0</v>
      </c>
      <c r="G66" s="254">
        <f t="shared" si="9"/>
        <v>0</v>
      </c>
      <c r="I66" s="154">
        <f t="shared" si="7"/>
        <v>231053.77247034019</v>
      </c>
      <c r="J66" s="254">
        <f t="shared" si="10"/>
        <v>5.8963402110704312E-2</v>
      </c>
      <c r="L66" s="154">
        <f t="shared" si="8"/>
        <v>231053.77247034019</v>
      </c>
      <c r="N66" s="254">
        <f t="shared" si="11"/>
        <v>5.9478132964150353E-2</v>
      </c>
      <c r="Q66" s="154"/>
    </row>
    <row r="67" spans="1:17" ht="14" x14ac:dyDescent="0.3">
      <c r="A67" s="151">
        <f>IF(B67&lt;&gt;"",COUNTA($B$13:B67),"")</f>
        <v>49</v>
      </c>
      <c r="B67" s="130" t="str">
        <f>+'G2 SOUTH'!B64</f>
        <v>Solar Massachusetts Renewable Target</v>
      </c>
      <c r="C67" s="253" t="str">
        <f>+'G2 SOUTH'!C64</f>
        <v>SMART</v>
      </c>
      <c r="D67" s="253"/>
      <c r="E67" s="154">
        <f t="shared" si="6"/>
        <v>0</v>
      </c>
      <c r="G67" s="254">
        <f t="shared" si="9"/>
        <v>0</v>
      </c>
      <c r="I67" s="154">
        <f t="shared" si="7"/>
        <v>88353.144139285519</v>
      </c>
      <c r="J67" s="254">
        <f t="shared" si="10"/>
        <v>2.2547140909800353E-2</v>
      </c>
      <c r="L67" s="154">
        <f t="shared" si="8"/>
        <v>88353.144139285519</v>
      </c>
      <c r="N67" s="254">
        <f t="shared" si="11"/>
        <v>2.2743969937092226E-2</v>
      </c>
      <c r="Q67" s="154"/>
    </row>
    <row r="68" spans="1:17" ht="14" x14ac:dyDescent="0.3">
      <c r="A68" s="151">
        <f>IF(B68&lt;&gt;"",COUNTA($B$13:B68),"")</f>
        <v>50</v>
      </c>
      <c r="B68" s="130" t="str">
        <f>+'G2 SOUTH'!B65</f>
        <v>Tax Act Credit Factor</v>
      </c>
      <c r="C68" s="253" t="str">
        <f>+'G2 SOUTH'!C65</f>
        <v>TACF</v>
      </c>
      <c r="D68" s="253"/>
      <c r="E68" s="154">
        <f t="shared" si="6"/>
        <v>0</v>
      </c>
      <c r="G68" s="254">
        <f t="shared" si="9"/>
        <v>0</v>
      </c>
      <c r="I68" s="154">
        <f t="shared" si="7"/>
        <v>-133751.9001</v>
      </c>
      <c r="J68" s="254">
        <f t="shared" si="10"/>
        <v>-3.4132604650198559E-2</v>
      </c>
      <c r="L68" s="154">
        <f t="shared" si="8"/>
        <v>-133751.9001</v>
      </c>
      <c r="N68" s="254">
        <f t="shared" si="11"/>
        <v>-3.4430570915593935E-2</v>
      </c>
      <c r="Q68" s="154"/>
    </row>
    <row r="69" spans="1:17" ht="14" x14ac:dyDescent="0.3">
      <c r="A69" s="151">
        <f>IF(B69&lt;&gt;"",COUNTA($B$13:B69),"")</f>
        <v>51</v>
      </c>
      <c r="B69" s="130" t="str">
        <f>+'G2 SOUTH'!B66</f>
        <v>Transition</v>
      </c>
      <c r="C69" s="253" t="str">
        <f>+'G2 SOUTH'!C66</f>
        <v>TRNSN</v>
      </c>
      <c r="D69" s="253"/>
      <c r="E69" s="154">
        <f t="shared" si="6"/>
        <v>-239034.37753182245</v>
      </c>
      <c r="G69" s="254">
        <f t="shared" si="9"/>
        <v>-6.153250967441222E-2</v>
      </c>
      <c r="I69" s="154">
        <f t="shared" si="7"/>
        <v>-204195.39680832328</v>
      </c>
      <c r="J69" s="254">
        <f t="shared" si="10"/>
        <v>-5.2109321403568713E-2</v>
      </c>
      <c r="L69" s="154">
        <f t="shared" si="8"/>
        <v>34838.980723499175</v>
      </c>
      <c r="N69" s="254">
        <f t="shared" si="11"/>
        <v>8.9682912581475049E-3</v>
      </c>
      <c r="Q69" s="154"/>
    </row>
    <row r="70" spans="1:17" ht="14" x14ac:dyDescent="0.3">
      <c r="A70" s="151">
        <f>IF(B70&lt;&gt;"",COUNTA($B$13:B70),"")</f>
        <v>52</v>
      </c>
      <c r="B70" s="130" t="str">
        <f>+'G2 SOUTH'!B67</f>
        <v>Transmission</v>
      </c>
      <c r="C70" s="253" t="str">
        <f>+'G2 SOUTH'!C67</f>
        <v>TRNSM</v>
      </c>
      <c r="D70" s="253"/>
      <c r="E70" s="154">
        <f>SUM(SUMIF($C$13:$C$45,{"TMKW","TMKWH"},$I$13:$I$45))</f>
        <v>8648789.7534768935</v>
      </c>
      <c r="G70" s="254">
        <f t="shared" si="9"/>
        <v>2.2263815969605685</v>
      </c>
      <c r="I70" s="154">
        <f>SUM(SUMIF($C$13:$C$45,{"TMKW","TMKWH"},$N$13:$N$45))</f>
        <v>7559484.7495673243</v>
      </c>
      <c r="J70" s="254">
        <f t="shared" si="10"/>
        <v>1.9291307571950276</v>
      </c>
      <c r="L70" s="154">
        <f t="shared" si="8"/>
        <v>-1089305.0039095692</v>
      </c>
      <c r="N70" s="254">
        <f t="shared" si="11"/>
        <v>-0.28041017105385968</v>
      </c>
      <c r="Q70" s="154"/>
    </row>
    <row r="71" spans="1:17" ht="14" x14ac:dyDescent="0.3">
      <c r="A71" s="151">
        <f>IF(B71&lt;&gt;"",COUNTA($B$13:B71),"")</f>
        <v>53</v>
      </c>
      <c r="B71" s="130" t="str">
        <f>+'G2 SOUTH'!B68</f>
        <v>Energy Efficiency Reconciliation Factor</v>
      </c>
      <c r="C71" s="253" t="str">
        <f>+'G2 SOUTH'!C68</f>
        <v>EERF</v>
      </c>
      <c r="D71" s="253"/>
      <c r="E71" s="154">
        <f>SUMIF($C$13:$C$45,$C71,$I$13:$I$45)</f>
        <v>3315132.514621669</v>
      </c>
      <c r="G71" s="254">
        <f t="shared" si="9"/>
        <v>0.85338529810742203</v>
      </c>
      <c r="I71" s="154">
        <f>SUMIF($C$13:$C$45,$C71,$N$13:$N$45)</f>
        <v>3315132.514621669</v>
      </c>
      <c r="J71" s="254">
        <f t="shared" si="10"/>
        <v>0.84600000000000009</v>
      </c>
      <c r="L71" s="154">
        <f t="shared" si="8"/>
        <v>0</v>
      </c>
      <c r="N71" s="254">
        <f t="shared" si="11"/>
        <v>0</v>
      </c>
      <c r="Q71" s="154"/>
    </row>
    <row r="72" spans="1:17" ht="14" x14ac:dyDescent="0.3">
      <c r="A72" s="151">
        <f>IF(B72&lt;&gt;"",COUNTA($B$13:B72),"")</f>
        <v>54</v>
      </c>
      <c r="B72" s="130" t="str">
        <f>+'G2 SOUTH'!B69</f>
        <v>System Benefits Charge</v>
      </c>
      <c r="C72" s="253" t="str">
        <f>+'G2 SOUTH'!C69</f>
        <v>SBC</v>
      </c>
      <c r="D72" s="253"/>
      <c r="E72" s="154">
        <f>SUMIF($C$13:$C$45,$C72,$I$13:$I$45)</f>
        <v>979649.08824517403</v>
      </c>
      <c r="G72" s="254">
        <f t="shared" si="9"/>
        <v>0.25218241669841079</v>
      </c>
      <c r="I72" s="154">
        <f>SUMIF($C$13:$C$45,$C72,$N$13:$N$45)</f>
        <v>979649.08824517403</v>
      </c>
      <c r="J72" s="254">
        <f t="shared" si="10"/>
        <v>0.25</v>
      </c>
      <c r="L72" s="154">
        <f t="shared" si="8"/>
        <v>0</v>
      </c>
      <c r="N72" s="254">
        <f t="shared" si="11"/>
        <v>0</v>
      </c>
      <c r="Q72" s="154"/>
    </row>
    <row r="73" spans="1:17" ht="14" x14ac:dyDescent="0.3">
      <c r="A73" s="151">
        <f>IF(B73&lt;&gt;"",COUNTA($B$13:B73),"")</f>
        <v>55</v>
      </c>
      <c r="B73" s="130" t="str">
        <f>+'G2 SOUTH'!B70</f>
        <v>Renewable Energy Charge</v>
      </c>
      <c r="C73" s="253" t="str">
        <f>+'G2 SOUTH'!C70</f>
        <v>RNEW</v>
      </c>
      <c r="D73" s="253"/>
      <c r="E73" s="154">
        <f>SUMIF($C$13:$C$45,$C73,$I$13:$I$45)</f>
        <v>195929.81764903481</v>
      </c>
      <c r="G73" s="254">
        <f t="shared" si="9"/>
        <v>5.0436483339682148E-2</v>
      </c>
      <c r="I73" s="154">
        <f>SUMIF($C$13:$C$45,$C73,$N$13:$N$45)</f>
        <v>195929.81764903481</v>
      </c>
      <c r="J73" s="254">
        <f t="shared" si="10"/>
        <v>0.05</v>
      </c>
      <c r="L73" s="154">
        <f>I73-E73</f>
        <v>0</v>
      </c>
      <c r="N73" s="254">
        <f t="shared" si="11"/>
        <v>0</v>
      </c>
      <c r="Q73" s="154"/>
    </row>
    <row r="74" spans="1:17" ht="14" x14ac:dyDescent="0.3">
      <c r="A74" s="151">
        <f>IF(B74&lt;&gt;"",COUNTA($B$13:B74),"")</f>
        <v>56</v>
      </c>
      <c r="B74" s="130" t="str">
        <f>+'G2 SOUTH'!B71</f>
        <v>Basic Service Charge</v>
      </c>
      <c r="C74" s="253" t="str">
        <f>+'G2 SOUTH'!C71</f>
        <v>BS</v>
      </c>
      <c r="D74" s="253"/>
      <c r="E74" s="255">
        <f>SUMIF($C$13:$C$45,$C74,$I$13:$I$45)</f>
        <v>48065502.865661211</v>
      </c>
      <c r="F74" s="256"/>
      <c r="G74" s="257">
        <f t="shared" si="9"/>
        <v>12.373078092890823</v>
      </c>
      <c r="H74" s="258"/>
      <c r="I74" s="255">
        <f>SUMIF($C$13:$C$45,$C74,$N$13:$N$45)</f>
        <v>63277493.907932281</v>
      </c>
      <c r="J74" s="257">
        <f t="shared" si="10"/>
        <v>16.148</v>
      </c>
      <c r="K74" s="255"/>
      <c r="L74" s="255">
        <f t="shared" si="8"/>
        <v>15211991.04227107</v>
      </c>
      <c r="M74" s="259"/>
      <c r="N74" s="257">
        <f t="shared" si="11"/>
        <v>3.9158885664929239</v>
      </c>
      <c r="Q74" s="154"/>
    </row>
    <row r="75" spans="1:17" ht="14" x14ac:dyDescent="0.3">
      <c r="A75" s="151">
        <f>IF(B75&lt;&gt;"",COUNTA($B$13:B75),"")</f>
        <v>57</v>
      </c>
      <c r="B75" s="130" t="str">
        <f>+'G2 SOUTH'!B72</f>
        <v>Total</v>
      </c>
      <c r="C75" s="130"/>
      <c r="D75" s="130"/>
      <c r="E75" s="154">
        <f>SUM(E54:E74)</f>
        <v>69109643.570828333</v>
      </c>
      <c r="G75" s="254">
        <f t="shared" si="9"/>
        <v>17.790285462395651</v>
      </c>
      <c r="I75" s="154">
        <f>SUM(I54:I74)</f>
        <v>83542062.908168525</v>
      </c>
      <c r="J75" s="254">
        <f t="shared" ref="J75" si="12">+I75/$E$18*100</f>
        <v>21.505495766745419</v>
      </c>
      <c r="L75" s="154">
        <f>SUM(L54:L74)</f>
        <v>14432419.337340198</v>
      </c>
      <c r="N75" s="254">
        <f t="shared" si="11"/>
        <v>3.7152103043497697</v>
      </c>
      <c r="Q75" s="154"/>
    </row>
    <row r="76" spans="1:17" ht="14" x14ac:dyDescent="0.3">
      <c r="A76" s="151" t="str">
        <f>IF(B76&lt;&gt;"",COUNTA($B$10:B76),"")</f>
        <v/>
      </c>
      <c r="Q76" s="154"/>
    </row>
    <row r="77" spans="1:17" ht="14" x14ac:dyDescent="0.3">
      <c r="A77" s="151"/>
      <c r="B77" s="256" t="s">
        <v>164</v>
      </c>
      <c r="E77" s="188"/>
      <c r="G77" s="188"/>
      <c r="H77" s="188"/>
      <c r="I77" s="188"/>
      <c r="J77" s="188"/>
      <c r="K77" s="188"/>
      <c r="L77" s="188"/>
      <c r="M77" s="188"/>
      <c r="N77" s="188"/>
      <c r="Q77" s="154"/>
    </row>
    <row r="78" spans="1:17" ht="14" x14ac:dyDescent="0.3">
      <c r="A78" s="151"/>
      <c r="B78" s="130" t="str">
        <f>+'G2 SOUTH'!B75</f>
        <v>Col. (a): Company Forecast</v>
      </c>
      <c r="Q78" s="154"/>
    </row>
    <row r="79" spans="1:17" ht="14" x14ac:dyDescent="0.3">
      <c r="A79" s="151"/>
      <c r="B79" s="130" t="str">
        <f>+'G2 SOUTH'!B76</f>
        <v>Col. (b): Current rates</v>
      </c>
      <c r="Q79" s="154"/>
    </row>
    <row r="80" spans="1:17" ht="14" x14ac:dyDescent="0.3">
      <c r="A80" s="151"/>
      <c r="B80" s="130" t="str">
        <f>+'G2 SOUTH'!B77</f>
        <v>Col. (c): Col. (a) x Col. (b)</v>
      </c>
    </row>
    <row r="81" spans="1:2" ht="14" x14ac:dyDescent="0.3">
      <c r="A81" s="151"/>
      <c r="B81" s="130" t="str">
        <f>+'G2 SOUTH'!B78</f>
        <v>Col. (e) Proposed rates</v>
      </c>
    </row>
    <row r="82" spans="1:2" ht="14" x14ac:dyDescent="0.3">
      <c r="A82" s="151"/>
      <c r="B82" s="130" t="str">
        <f>+'G2 SOUTH'!B79</f>
        <v>Col. (f): Col. (a), Line 1 through Line 6 (as appropriate) x Col. (e)</v>
      </c>
    </row>
  </sheetData>
  <mergeCells count="6">
    <mergeCell ref="A4:N4"/>
    <mergeCell ref="A5:N5"/>
    <mergeCell ref="A7:N7"/>
    <mergeCell ref="A8:N8"/>
    <mergeCell ref="G10:I10"/>
    <mergeCell ref="L10:N10"/>
  </mergeCells>
  <pageMargins left="0.7" right="0.7" top="0.75" bottom="0.75" header="0.3" footer="0.3"/>
  <pageSetup scale="60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4919A-E43A-41DE-B918-43165878A45F}">
  <sheetPr>
    <tabColor theme="9" tint="0.59999389629810485"/>
    <pageSetUpPr fitToPage="1"/>
  </sheetPr>
  <dimension ref="A3:R76"/>
  <sheetViews>
    <sheetView workbookViewId="0"/>
  </sheetViews>
  <sheetFormatPr defaultRowHeight="12.5" x14ac:dyDescent="0.25"/>
  <cols>
    <col min="1" max="1" width="3.26953125" bestFit="1" customWidth="1"/>
    <col min="2" max="2" width="41.1796875" customWidth="1"/>
    <col min="3" max="3" width="8.81640625" bestFit="1" customWidth="1"/>
    <col min="4" max="4" width="1.26953125" customWidth="1"/>
    <col min="5" max="5" width="13.7265625" bestFit="1" customWidth="1"/>
    <col min="6" max="6" width="1.26953125" customWidth="1"/>
    <col min="7" max="7" width="12.7265625" customWidth="1"/>
    <col min="8" max="8" width="1.26953125" customWidth="1"/>
    <col min="9" max="9" width="10.26953125" bestFit="1" customWidth="1"/>
    <col min="11" max="11" width="1.26953125" customWidth="1"/>
    <col min="12" max="12" width="12.7265625" customWidth="1"/>
    <col min="13" max="13" width="1.26953125" customWidth="1"/>
    <col min="14" max="14" width="11" bestFit="1" customWidth="1"/>
  </cols>
  <sheetData>
    <row r="3" spans="1:17" ht="14" x14ac:dyDescent="0.3">
      <c r="A3" s="268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</row>
    <row r="4" spans="1:17" ht="14" x14ac:dyDescent="0.3">
      <c r="A4" s="748" t="str">
        <f>'R1 EMA'!A4:N4</f>
        <v>Eastern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7" ht="14" x14ac:dyDescent="0.3">
      <c r="A5" s="748" t="str">
        <f>'R1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7" ht="14" x14ac:dyDescent="0.3">
      <c r="A6" s="205"/>
      <c r="C6" s="205"/>
      <c r="D6" s="205"/>
      <c r="E6" s="206"/>
      <c r="F6" s="207"/>
      <c r="G6" s="208"/>
      <c r="H6" s="209"/>
      <c r="I6" s="210"/>
      <c r="J6" s="210"/>
      <c r="K6" s="210"/>
      <c r="L6" s="211"/>
      <c r="M6" s="211"/>
      <c r="N6" s="212"/>
    </row>
    <row r="7" spans="1:17" ht="14" x14ac:dyDescent="0.3">
      <c r="A7" s="748" t="s">
        <v>476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7" ht="14" x14ac:dyDescent="0.3">
      <c r="A8" s="748" t="s">
        <v>502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7" ht="14" x14ac:dyDescent="0.3">
      <c r="B9" s="207"/>
      <c r="C9" s="207"/>
      <c r="D9" s="207"/>
      <c r="E9" s="213"/>
      <c r="F9" s="207"/>
      <c r="I9" s="210"/>
      <c r="J9" s="210"/>
      <c r="K9" s="210"/>
      <c r="L9" s="214"/>
      <c r="M9" s="214"/>
      <c r="N9" s="215"/>
    </row>
    <row r="10" spans="1:17" ht="14.5" thickBot="1" x14ac:dyDescent="0.35">
      <c r="A10" s="151"/>
      <c r="B10" s="216" t="s">
        <v>46</v>
      </c>
      <c r="C10" s="216"/>
      <c r="D10" s="216"/>
      <c r="E10" s="217" t="s">
        <v>144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7" ht="14" x14ac:dyDescent="0.3">
      <c r="A11" s="151"/>
      <c r="B11" s="219" t="s">
        <v>293</v>
      </c>
      <c r="C11" s="220" t="s">
        <v>294</v>
      </c>
      <c r="D11" s="220"/>
      <c r="E11" s="221" t="s">
        <v>295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7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7" ht="14" x14ac:dyDescent="0.3">
      <c r="A13" s="151">
        <f>IF(B13&lt;&gt;"",COUNTA($B$13:B13),"")</f>
        <v>1</v>
      </c>
      <c r="B13" s="232" t="s">
        <v>296</v>
      </c>
      <c r="C13" s="233" t="s">
        <v>297</v>
      </c>
      <c r="D13" s="233"/>
      <c r="E13" s="234">
        <v>333.35856333271494</v>
      </c>
      <c r="F13" s="207"/>
      <c r="G13" s="209">
        <v>6</v>
      </c>
      <c r="H13" s="209"/>
      <c r="I13" s="210">
        <f>G13*E13</f>
        <v>2000.1513799962895</v>
      </c>
      <c r="J13" s="235"/>
      <c r="K13" s="210"/>
      <c r="L13" s="209">
        <v>6</v>
      </c>
      <c r="M13" s="211"/>
      <c r="N13" s="210">
        <f>L13*E13</f>
        <v>2000.1513799962895</v>
      </c>
      <c r="O13" s="272"/>
      <c r="P13" s="234"/>
      <c r="Q13" s="154"/>
    </row>
    <row r="14" spans="1:17" ht="14" x14ac:dyDescent="0.3">
      <c r="A14" s="151">
        <f>IF(B14&lt;&gt;"",COUNTA($B$13:B14),"")</f>
        <v>2</v>
      </c>
      <c r="B14" s="232" t="s">
        <v>422</v>
      </c>
      <c r="C14" s="233" t="s">
        <v>364</v>
      </c>
      <c r="D14" s="233"/>
      <c r="E14" s="234">
        <v>14067.420496469513</v>
      </c>
      <c r="F14" s="207"/>
      <c r="G14" s="209">
        <v>1.74</v>
      </c>
      <c r="H14" s="209"/>
      <c r="I14" s="210">
        <f t="shared" ref="I14" si="0">G14*E14</f>
        <v>24477.311663856952</v>
      </c>
      <c r="J14" s="235"/>
      <c r="K14" s="210"/>
      <c r="L14" s="209">
        <v>1.8</v>
      </c>
      <c r="M14" s="211"/>
      <c r="N14" s="210">
        <f t="shared" ref="N14" si="1">L14*E14</f>
        <v>25321.356893645123</v>
      </c>
      <c r="O14" s="272"/>
      <c r="P14" s="234"/>
      <c r="Q14" s="154"/>
    </row>
    <row r="15" spans="1:17" ht="14" x14ac:dyDescent="0.3">
      <c r="A15" s="151">
        <f>IF(B15&lt;&gt;"",COUNTA($B$13:B15),"")</f>
        <v>3</v>
      </c>
      <c r="B15" s="207" t="s">
        <v>298</v>
      </c>
      <c r="C15" s="233" t="s">
        <v>299</v>
      </c>
      <c r="D15" s="233"/>
      <c r="E15" s="234">
        <v>2200252.1870891177</v>
      </c>
      <c r="F15" s="207"/>
      <c r="G15" s="236">
        <v>1.9980000000000001E-2</v>
      </c>
      <c r="H15" s="209"/>
      <c r="I15" s="237">
        <f>G15*E15</f>
        <v>43961.038698040575</v>
      </c>
      <c r="J15" s="235"/>
      <c r="K15" s="210"/>
      <c r="L15" s="236">
        <v>2.0670000000000001E-2</v>
      </c>
      <c r="M15" s="211"/>
      <c r="N15" s="237">
        <f>L15*E15</f>
        <v>45479.212707132065</v>
      </c>
      <c r="O15" s="272"/>
      <c r="P15" s="273"/>
    </row>
    <row r="16" spans="1:17" ht="14" x14ac:dyDescent="0.3">
      <c r="A16" s="151">
        <f>IF(B16&lt;&gt;"",COUNTA($B$13:B16),"")</f>
        <v>4</v>
      </c>
      <c r="B16" s="207" t="s">
        <v>300</v>
      </c>
      <c r="C16" s="233" t="s">
        <v>301</v>
      </c>
      <c r="D16" s="233"/>
      <c r="E16" s="234"/>
      <c r="F16" s="207"/>
      <c r="G16" s="209"/>
      <c r="H16" s="209"/>
      <c r="I16" s="210">
        <f>SUM(I13:I15)</f>
        <v>70438.501741893822</v>
      </c>
      <c r="J16" s="235"/>
      <c r="K16" s="210"/>
      <c r="L16" s="238"/>
      <c r="M16" s="211"/>
      <c r="N16" s="210">
        <f>SUM(N13:N15)</f>
        <v>72800.720980773476</v>
      </c>
      <c r="O16" s="272"/>
      <c r="P16" s="210"/>
      <c r="Q16" s="154"/>
    </row>
    <row r="17" spans="1:17" ht="14" x14ac:dyDescent="0.3">
      <c r="A17" s="151" t="str">
        <f>IF(B17&lt;&gt;"",COUNTA($B$13:B17),"")</f>
        <v/>
      </c>
      <c r="B17" s="207"/>
      <c r="C17" s="233"/>
      <c r="D17" s="233"/>
      <c r="E17" s="234"/>
      <c r="F17" s="207"/>
      <c r="G17" s="209"/>
      <c r="H17" s="209"/>
      <c r="I17" s="210"/>
      <c r="J17" s="235"/>
      <c r="K17" s="210"/>
      <c r="L17" s="238"/>
      <c r="M17" s="211"/>
      <c r="N17" s="210"/>
      <c r="O17" s="272"/>
      <c r="P17" s="210"/>
      <c r="Q17" s="154"/>
    </row>
    <row r="18" spans="1:17" ht="14" x14ac:dyDescent="0.3">
      <c r="A18" s="151">
        <f>IF(B18&lt;&gt;"",COUNTA($B$13:B18),"")</f>
        <v>5</v>
      </c>
      <c r="B18" s="228" t="s">
        <v>302</v>
      </c>
      <c r="F18" s="239"/>
      <c r="G18" s="240"/>
      <c r="H18" s="211"/>
      <c r="I18" s="210"/>
      <c r="K18" s="210"/>
      <c r="L18" s="241"/>
      <c r="M18" s="211"/>
      <c r="N18" s="210"/>
      <c r="O18" s="272"/>
    </row>
    <row r="19" spans="1:17" ht="14" x14ac:dyDescent="0.3">
      <c r="A19" s="151">
        <f>IF(B19&lt;&gt;"",COUNTA($B$13:B19),"")</f>
        <v>6</v>
      </c>
      <c r="B19" s="207" t="str">
        <f>+'G2 SOUTH'!B22</f>
        <v>Revenue Decoupling</v>
      </c>
      <c r="C19" s="233" t="str">
        <f>+'G2 SOUTH'!C22</f>
        <v>RDAF</v>
      </c>
      <c r="D19" s="233"/>
      <c r="E19" s="242"/>
      <c r="F19" s="239"/>
      <c r="G19" s="236">
        <v>0</v>
      </c>
      <c r="H19" s="211"/>
      <c r="I19" s="210">
        <f t="shared" ref="I19:I33" si="2">G19*$E$15</f>
        <v>0</v>
      </c>
      <c r="K19" s="210"/>
      <c r="L19" s="236">
        <v>-3.4158105432659296E-4</v>
      </c>
      <c r="M19" s="211"/>
      <c r="N19" s="210">
        <f t="shared" ref="N19:N33" si="3">$E$15*L19</f>
        <v>-751.5644618502929</v>
      </c>
      <c r="O19" s="272"/>
      <c r="P19" s="234"/>
    </row>
    <row r="20" spans="1:17" ht="14" x14ac:dyDescent="0.3">
      <c r="A20" s="151">
        <f>IF(B20&lt;&gt;"",COUNTA($B$13:B20),"")</f>
        <v>7</v>
      </c>
      <c r="B20" s="207" t="str">
        <f>+'G2 SOUTH'!B23</f>
        <v>Residential Assistance Adjustment Factor</v>
      </c>
      <c r="C20" s="233" t="str">
        <f>+'G2 SOUTH'!C23</f>
        <v>RAAF</v>
      </c>
      <c r="D20" s="243"/>
      <c r="E20" s="206"/>
      <c r="F20" s="239"/>
      <c r="G20" s="236">
        <v>2.0200000000000001E-3</v>
      </c>
      <c r="H20" s="211"/>
      <c r="I20" s="210">
        <f t="shared" si="2"/>
        <v>4444.5094179200178</v>
      </c>
      <c r="K20" s="210"/>
      <c r="L20" s="236">
        <v>2.8857686128256634E-3</v>
      </c>
      <c r="M20" s="211"/>
      <c r="N20" s="210">
        <f t="shared" si="3"/>
        <v>6349.4187018027951</v>
      </c>
      <c r="O20" s="272"/>
      <c r="P20" s="234"/>
      <c r="Q20" s="210"/>
    </row>
    <row r="21" spans="1:17" ht="14" x14ac:dyDescent="0.3">
      <c r="A21" s="151">
        <f>IF(B21&lt;&gt;"",COUNTA($B$13:B21),"")</f>
        <v>8</v>
      </c>
      <c r="B21" s="207" t="str">
        <f>+'G2 SOUTH'!B24</f>
        <v>Pension Adjustment Factor</v>
      </c>
      <c r="C21" s="233" t="str">
        <f>+'G2 SOUTH'!C24</f>
        <v>PAF</v>
      </c>
      <c r="D21" s="243"/>
      <c r="E21" s="206"/>
      <c r="F21" s="239"/>
      <c r="G21" s="236">
        <v>-8.0000000000000007E-5</v>
      </c>
      <c r="H21" s="211"/>
      <c r="I21" s="210">
        <f t="shared" si="2"/>
        <v>-176.02017496712944</v>
      </c>
      <c r="K21" s="210"/>
      <c r="L21" s="236">
        <v>7.7774681873906521E-4</v>
      </c>
      <c r="M21" s="211"/>
      <c r="N21" s="210">
        <f t="shared" si="3"/>
        <v>1711.2391389322318</v>
      </c>
      <c r="O21" s="272"/>
      <c r="P21" s="274"/>
    </row>
    <row r="22" spans="1:17" ht="14" x14ac:dyDescent="0.3">
      <c r="A22" s="151">
        <f>IF(B22&lt;&gt;"",COUNTA($B$13:B22),"")</f>
        <v>9</v>
      </c>
      <c r="B22" s="207" t="str">
        <f>+'G2 SOUTH'!B25</f>
        <v>Net Metering Recovery Surcharge</v>
      </c>
      <c r="C22" s="233" t="str">
        <f>+'G2 SOUTH'!C25</f>
        <v>NMRS</v>
      </c>
      <c r="D22" s="243"/>
      <c r="E22" s="206"/>
      <c r="F22" s="239"/>
      <c r="G22" s="236">
        <v>3.9899999999999996E-3</v>
      </c>
      <c r="H22" s="211"/>
      <c r="I22" s="210">
        <f t="shared" si="2"/>
        <v>8779.0062264855787</v>
      </c>
      <c r="K22" s="210"/>
      <c r="L22" s="236">
        <v>3.7628107923242636E-3</v>
      </c>
      <c r="M22" s="211"/>
      <c r="N22" s="210">
        <f t="shared" si="3"/>
        <v>8279.1326754139973</v>
      </c>
      <c r="O22" s="272"/>
      <c r="P22" s="274"/>
    </row>
    <row r="23" spans="1:17" ht="14" x14ac:dyDescent="0.3">
      <c r="A23" s="151">
        <f>IF(B23&lt;&gt;"",COUNTA($B$13:B23),"")</f>
        <v>10</v>
      </c>
      <c r="B23" s="207" t="str">
        <f>+'G2 SOUTH'!B26</f>
        <v>Long Term Renewable Contract Adjustment</v>
      </c>
      <c r="C23" s="233" t="str">
        <f>+'G2 SOUTH'!C26</f>
        <v>LTRCA</v>
      </c>
      <c r="D23" s="243"/>
      <c r="E23" s="206"/>
      <c r="F23" s="239"/>
      <c r="G23" s="236">
        <v>2.3600000000000001E-3</v>
      </c>
      <c r="H23" s="211"/>
      <c r="I23" s="210">
        <f t="shared" si="2"/>
        <v>5192.5951615303184</v>
      </c>
      <c r="K23" s="210"/>
      <c r="L23" s="236">
        <v>1.7357128782064517E-3</v>
      </c>
      <c r="M23" s="211"/>
      <c r="N23" s="210">
        <f t="shared" si="3"/>
        <v>3819.0060564324926</v>
      </c>
      <c r="O23" s="272"/>
      <c r="P23" s="275"/>
    </row>
    <row r="24" spans="1:17" ht="14" x14ac:dyDescent="0.3">
      <c r="A24" s="151">
        <f>IF(B24&lt;&gt;"",COUNTA($B$13:B24),"")</f>
        <v>11</v>
      </c>
      <c r="B24" s="207" t="str">
        <f>+'G2 SOUTH'!B27</f>
        <v>AG Consulting Expense</v>
      </c>
      <c r="C24" s="233" t="str">
        <f>+'G2 SOUTH'!C27</f>
        <v>AGCE</v>
      </c>
      <c r="D24" s="243"/>
      <c r="E24" s="206"/>
      <c r="F24" s="239"/>
      <c r="G24" s="236">
        <v>2.0000000000000002E-5</v>
      </c>
      <c r="H24" s="211"/>
      <c r="I24" s="210">
        <f t="shared" si="2"/>
        <v>44.005043741782359</v>
      </c>
      <c r="K24" s="210"/>
      <c r="L24" s="236">
        <v>6.0590376047890158E-6</v>
      </c>
      <c r="M24" s="211"/>
      <c r="N24" s="210">
        <f t="shared" si="3"/>
        <v>13.331410741592242</v>
      </c>
      <c r="O24" s="272"/>
      <c r="P24" s="274"/>
    </row>
    <row r="25" spans="1:17" ht="14" x14ac:dyDescent="0.3">
      <c r="A25" s="151">
        <f>IF(B25&lt;&gt;"",COUNTA($B$13:B25),"")</f>
        <v>12</v>
      </c>
      <c r="B25" s="207" t="str">
        <f>+'G2 SOUTH'!B28</f>
        <v>Storm Cost Recovery Adjustment Factor</v>
      </c>
      <c r="C25" s="233" t="str">
        <f>+'G2 SOUTH'!C28</f>
        <v>SCRA</v>
      </c>
      <c r="D25" s="243"/>
      <c r="E25" s="206"/>
      <c r="F25" s="239"/>
      <c r="G25" s="236">
        <v>1.25E-3</v>
      </c>
      <c r="H25" s="211"/>
      <c r="I25" s="210">
        <f t="shared" si="2"/>
        <v>2750.3152338613972</v>
      </c>
      <c r="K25" s="210"/>
      <c r="L25" s="236">
        <v>2.1512982341202569E-3</v>
      </c>
      <c r="M25" s="211"/>
      <c r="N25" s="210">
        <f t="shared" si="3"/>
        <v>4733.3986447040515</v>
      </c>
      <c r="O25" s="272"/>
      <c r="P25" s="274"/>
    </row>
    <row r="26" spans="1:17" ht="14" x14ac:dyDescent="0.3">
      <c r="A26" s="151">
        <f>IF(B26&lt;&gt;"",COUNTA($B$13:B26),"")</f>
        <v>13</v>
      </c>
      <c r="B26" s="207" t="str">
        <f>+'G2 SOUTH'!B29</f>
        <v>Storm Reserve Adjustment</v>
      </c>
      <c r="C26" s="233" t="str">
        <f>+'G2 SOUTH'!C29</f>
        <v>SRA</v>
      </c>
      <c r="D26" s="243"/>
      <c r="E26" s="206"/>
      <c r="F26" s="239"/>
      <c r="G26" s="236">
        <v>0</v>
      </c>
      <c r="H26" s="211"/>
      <c r="I26" s="210">
        <f t="shared" si="2"/>
        <v>0</v>
      </c>
      <c r="K26" s="210"/>
      <c r="L26" s="236">
        <v>0</v>
      </c>
      <c r="M26" s="211"/>
      <c r="N26" s="210">
        <f t="shared" si="3"/>
        <v>0</v>
      </c>
      <c r="O26" s="272"/>
      <c r="P26" s="274"/>
    </row>
    <row r="27" spans="1:17" ht="14" x14ac:dyDescent="0.3">
      <c r="A27" s="151">
        <f>IF(B27&lt;&gt;"",COUNTA($B$13:B27),"")</f>
        <v>14</v>
      </c>
      <c r="B27" s="207" t="str">
        <f>+'G2 SOUTH'!B30</f>
        <v>Basic Service Cost True Up Factor</v>
      </c>
      <c r="C27" s="233" t="str">
        <f>+'G2 SOUTH'!C30</f>
        <v>BSTF</v>
      </c>
      <c r="D27" s="243"/>
      <c r="E27" s="206"/>
      <c r="F27" s="239"/>
      <c r="G27" s="236">
        <v>1.08E-3</v>
      </c>
      <c r="H27" s="211"/>
      <c r="I27" s="210">
        <f t="shared" si="2"/>
        <v>2376.2723620562469</v>
      </c>
      <c r="K27" s="210"/>
      <c r="L27" s="236">
        <v>-1.4319891001739142E-4</v>
      </c>
      <c r="M27" s="211"/>
      <c r="N27" s="210">
        <f t="shared" si="3"/>
        <v>-315.07371495454322</v>
      </c>
      <c r="O27" s="272"/>
      <c r="P27" s="274"/>
    </row>
    <row r="28" spans="1:17" ht="14" x14ac:dyDescent="0.3">
      <c r="A28" s="151">
        <f>IF(B28&lt;&gt;"",COUNTA($B$13:B28),"")</f>
        <v>15</v>
      </c>
      <c r="B28" s="207" t="str">
        <f>+'G2 SOUTH'!B31</f>
        <v>Solar Program Cost Adjustment Factor</v>
      </c>
      <c r="C28" s="233" t="str">
        <f>+'G2 SOUTH'!C31</f>
        <v>SPCA</v>
      </c>
      <c r="D28" s="233"/>
      <c r="E28" s="206"/>
      <c r="F28" s="239"/>
      <c r="G28" s="236">
        <v>0</v>
      </c>
      <c r="H28" s="211"/>
      <c r="I28" s="210">
        <f t="shared" si="2"/>
        <v>0</v>
      </c>
      <c r="K28" s="210"/>
      <c r="L28" s="236">
        <v>2.5484324944184192E-5</v>
      </c>
      <c r="M28" s="211"/>
      <c r="N28" s="210">
        <f t="shared" si="3"/>
        <v>56.071941694931027</v>
      </c>
      <c r="O28" s="272"/>
      <c r="P28" s="276"/>
    </row>
    <row r="29" spans="1:17" ht="14" x14ac:dyDescent="0.3">
      <c r="A29" s="151">
        <f>IF(B29&lt;&gt;"",COUNTA($B$13:B29),"")</f>
        <v>16</v>
      </c>
      <c r="B29" s="207" t="str">
        <f>+'G2 SOUTH'!B32</f>
        <v>Solar Expansion Cost Recovery Factor</v>
      </c>
      <c r="C29" s="233" t="str">
        <f>+'G2 SOUTH'!C32</f>
        <v>SECRF</v>
      </c>
      <c r="D29" s="233"/>
      <c r="E29" s="206"/>
      <c r="F29" s="239"/>
      <c r="G29" s="236">
        <v>0</v>
      </c>
      <c r="H29" s="211"/>
      <c r="I29" s="210">
        <f t="shared" si="2"/>
        <v>0</v>
      </c>
      <c r="K29" s="210"/>
      <c r="L29" s="236">
        <v>4.4948519086553828E-4</v>
      </c>
      <c r="M29" s="211"/>
      <c r="N29" s="210">
        <f t="shared" si="3"/>
        <v>988.98077426607017</v>
      </c>
      <c r="O29" s="272"/>
      <c r="P29" s="276"/>
    </row>
    <row r="30" spans="1:17" ht="14" x14ac:dyDescent="0.3">
      <c r="A30" s="151">
        <f>IF(B30&lt;&gt;"",COUNTA($B$13:B30),"")</f>
        <v>17</v>
      </c>
      <c r="B30" s="207" t="str">
        <f>+'G2 SOUTH'!B33</f>
        <v>Vegetation Management</v>
      </c>
      <c r="C30" s="233" t="str">
        <f>+'G2 SOUTH'!C33</f>
        <v>RTWF</v>
      </c>
      <c r="D30" s="233"/>
      <c r="E30" s="206"/>
      <c r="F30" s="239"/>
      <c r="G30" s="236">
        <v>0</v>
      </c>
      <c r="H30" s="211"/>
      <c r="I30" s="210">
        <f t="shared" si="2"/>
        <v>0</v>
      </c>
      <c r="K30" s="210"/>
      <c r="L30" s="236">
        <v>1.3924296717091988E-3</v>
      </c>
      <c r="M30" s="211"/>
      <c r="N30" s="210">
        <f t="shared" si="3"/>
        <v>3063.6964305459469</v>
      </c>
      <c r="O30" s="272"/>
      <c r="P30" s="276"/>
    </row>
    <row r="31" spans="1:17" ht="14" x14ac:dyDescent="0.3">
      <c r="A31" s="151">
        <f>IF(B31&lt;&gt;"",COUNTA($B$13:B31),"")</f>
        <v>18</v>
      </c>
      <c r="B31" s="207" t="str">
        <f>+'G2 SOUTH'!B34</f>
        <v>Solar Massachusetts Renewable Target</v>
      </c>
      <c r="C31" s="233" t="str">
        <f>+'G2 SOUTH'!C34</f>
        <v>SMART</v>
      </c>
      <c r="D31" s="233"/>
      <c r="E31" s="206"/>
      <c r="F31" s="239"/>
      <c r="G31" s="236">
        <v>0</v>
      </c>
      <c r="H31" s="211"/>
      <c r="I31" s="210">
        <f t="shared" si="2"/>
        <v>0</v>
      </c>
      <c r="K31" s="210"/>
      <c r="L31" s="236">
        <v>5.2663497666452367E-4</v>
      </c>
      <c r="M31" s="211"/>
      <c r="N31" s="210">
        <f t="shared" si="3"/>
        <v>1158.7297592037446</v>
      </c>
      <c r="O31" s="272"/>
      <c r="P31" s="276"/>
    </row>
    <row r="32" spans="1:17" ht="14" x14ac:dyDescent="0.3">
      <c r="A32" s="151">
        <f>IF(B32&lt;&gt;"",COUNTA($B$13:B32),"")</f>
        <v>19</v>
      </c>
      <c r="B32" s="207" t="str">
        <f>+'G2 SOUTH'!B35</f>
        <v>Tax Act Credit Factor</v>
      </c>
      <c r="C32" s="233" t="str">
        <f>+'G2 SOUTH'!C35</f>
        <v>TACF</v>
      </c>
      <c r="D32" s="233"/>
      <c r="E32" s="206"/>
      <c r="F32" s="239"/>
      <c r="G32" s="236">
        <v>0</v>
      </c>
      <c r="H32" s="211"/>
      <c r="I32" s="210">
        <f t="shared" si="2"/>
        <v>0</v>
      </c>
      <c r="K32" s="210"/>
      <c r="L32" s="236">
        <v>-7.9723737592128673E-4</v>
      </c>
      <c r="M32" s="211"/>
      <c r="N32" s="210">
        <f t="shared" si="3"/>
        <v>-1754.1232800000002</v>
      </c>
      <c r="O32" s="272"/>
      <c r="P32" s="276"/>
    </row>
    <row r="33" spans="1:18" ht="14" x14ac:dyDescent="0.3">
      <c r="A33" s="151">
        <f>IF(B33&lt;&gt;"",COUNTA($B$13:B33),"")</f>
        <v>20</v>
      </c>
      <c r="B33" s="207" t="str">
        <f>+'G2 SOUTH'!B36</f>
        <v>Transition</v>
      </c>
      <c r="C33" s="233" t="str">
        <f>+'G2 SOUTH'!C36</f>
        <v>TRNSN</v>
      </c>
      <c r="D33" s="233"/>
      <c r="E33" s="206"/>
      <c r="F33" s="239"/>
      <c r="G33" s="236">
        <v>-6.0999999999999997E-4</v>
      </c>
      <c r="H33" s="211"/>
      <c r="I33" s="210">
        <f t="shared" si="2"/>
        <v>-1342.1538341243618</v>
      </c>
      <c r="K33" s="210"/>
      <c r="L33" s="236">
        <v>-5.210932140356871E-4</v>
      </c>
      <c r="M33" s="211"/>
      <c r="N33" s="210">
        <f t="shared" si="3"/>
        <v>-1146.5364838593182</v>
      </c>
      <c r="O33" s="272"/>
      <c r="P33" s="275"/>
    </row>
    <row r="34" spans="1:18" ht="14" x14ac:dyDescent="0.3">
      <c r="A34" s="151">
        <f>IF(B34&lt;&gt;"",COUNTA($B$13:B34),"")</f>
        <v>21</v>
      </c>
      <c r="B34" s="207" t="str">
        <f>+'G2 SOUTH'!B37</f>
        <v>Transmission Demand</v>
      </c>
      <c r="C34" s="233" t="str">
        <f>+'G2 SOUTH'!C37</f>
        <v>TMKW</v>
      </c>
      <c r="D34" s="233"/>
      <c r="E34" s="206"/>
      <c r="F34" s="239"/>
      <c r="G34" s="283">
        <v>2.69</v>
      </c>
      <c r="H34" s="211"/>
      <c r="I34" s="210">
        <f>G34*$E$14</f>
        <v>37841.361135502986</v>
      </c>
      <c r="K34" s="210"/>
      <c r="L34" s="283">
        <v>2.4643170307904398</v>
      </c>
      <c r="M34" s="211"/>
      <c r="N34" s="210">
        <f>+L34*E14</f>
        <v>34666.583908740322</v>
      </c>
      <c r="O34" s="272"/>
      <c r="P34" s="304"/>
      <c r="R34" s="302"/>
    </row>
    <row r="35" spans="1:18" ht="14" x14ac:dyDescent="0.3">
      <c r="A35" s="151">
        <f>IF(B35&lt;&gt;"",COUNTA($B$13:B35),"")</f>
        <v>22</v>
      </c>
      <c r="B35" s="207" t="str">
        <f>+'G2 SOUTH'!B38</f>
        <v>Transmission Energy</v>
      </c>
      <c r="C35" s="233" t="str">
        <f>+'G2 SOUTH'!C38</f>
        <v>TMKWH</v>
      </c>
      <c r="D35" s="233"/>
      <c r="E35" s="206"/>
      <c r="F35" s="239"/>
      <c r="G35" s="241">
        <v>3.2599999999999999E-3</v>
      </c>
      <c r="H35" s="211"/>
      <c r="I35" s="210">
        <f t="shared" ref="I35:I39" si="4">G35*$E$15</f>
        <v>7172.8221299105235</v>
      </c>
      <c r="K35" s="210"/>
      <c r="L35" s="241">
        <v>3.0695167296464418E-3</v>
      </c>
      <c r="M35" s="211"/>
      <c r="N35" s="210">
        <f>+L35*E15</f>
        <v>6753.7108977112193</v>
      </c>
      <c r="O35" s="272"/>
      <c r="P35" s="275"/>
      <c r="R35" s="305"/>
    </row>
    <row r="36" spans="1:18" ht="14" x14ac:dyDescent="0.3">
      <c r="A36" s="151">
        <f>IF(B36&lt;&gt;"",COUNTA($B$13:B36),"")</f>
        <v>23</v>
      </c>
      <c r="B36" s="207" t="str">
        <f>+'G2 SOUTH'!B39</f>
        <v>Energy Efficiency Reconciliation Factor</v>
      </c>
      <c r="C36" s="233" t="str">
        <f>+'G2 SOUTH'!C39</f>
        <v>EERF</v>
      </c>
      <c r="D36" s="233"/>
      <c r="E36" s="206"/>
      <c r="F36" s="239"/>
      <c r="G36" s="241">
        <v>8.4600000000000005E-3</v>
      </c>
      <c r="H36" s="211"/>
      <c r="I36" s="210">
        <f t="shared" si="4"/>
        <v>18614.133502773937</v>
      </c>
      <c r="K36" s="210"/>
      <c r="L36" s="281">
        <v>8.4600000000000005E-3</v>
      </c>
      <c r="M36" s="211"/>
      <c r="N36" s="210">
        <f t="shared" ref="N36:N39" si="5">$E$15*L36</f>
        <v>18614.133502773937</v>
      </c>
      <c r="O36" s="272"/>
      <c r="P36" s="232"/>
    </row>
    <row r="37" spans="1:18" ht="14" x14ac:dyDescent="0.3">
      <c r="A37" s="151">
        <f>IF(B37&lt;&gt;"",COUNTA($B$13:B37),"")</f>
        <v>24</v>
      </c>
      <c r="B37" s="207" t="str">
        <f>+'G2 SOUTH'!B40</f>
        <v>System Benefits Charge</v>
      </c>
      <c r="C37" s="233" t="str">
        <f>+'G2 SOUTH'!C40</f>
        <v>SBC</v>
      </c>
      <c r="D37" s="233"/>
      <c r="E37" s="206"/>
      <c r="F37" s="239"/>
      <c r="G37" s="241">
        <v>2.5000000000000001E-3</v>
      </c>
      <c r="H37" s="211"/>
      <c r="I37" s="210">
        <f t="shared" si="4"/>
        <v>5500.6304677227945</v>
      </c>
      <c r="K37" s="210"/>
      <c r="L37" s="281">
        <f>+G37</f>
        <v>2.5000000000000001E-3</v>
      </c>
      <c r="M37" s="211"/>
      <c r="N37" s="210">
        <f t="shared" si="5"/>
        <v>5500.6304677227945</v>
      </c>
      <c r="O37" s="272"/>
      <c r="P37" s="275"/>
    </row>
    <row r="38" spans="1:18" ht="14" x14ac:dyDescent="0.3">
      <c r="A38" s="151">
        <f>IF(B38&lt;&gt;"",COUNTA($B$13:B38),"")</f>
        <v>25</v>
      </c>
      <c r="B38" s="207" t="str">
        <f>+'G2 SOUTH'!B41</f>
        <v>Renewable Energy Charge</v>
      </c>
      <c r="C38" s="233" t="str">
        <f>+'G2 SOUTH'!C41</f>
        <v>RNEW</v>
      </c>
      <c r="D38" s="233"/>
      <c r="E38" s="206"/>
      <c r="F38" s="239"/>
      <c r="G38" s="241">
        <v>5.0000000000000001E-4</v>
      </c>
      <c r="H38" s="211"/>
      <c r="I38" s="210">
        <f t="shared" si="4"/>
        <v>1100.1260935445589</v>
      </c>
      <c r="K38" s="210"/>
      <c r="L38" s="281">
        <f>+G38</f>
        <v>5.0000000000000001E-4</v>
      </c>
      <c r="M38" s="211"/>
      <c r="N38" s="210">
        <f t="shared" si="5"/>
        <v>1100.1260935445589</v>
      </c>
      <c r="O38" s="272"/>
      <c r="P38" s="275"/>
    </row>
    <row r="39" spans="1:18" ht="14" x14ac:dyDescent="0.3">
      <c r="A39" s="151">
        <f>IF(B39&lt;&gt;"",COUNTA($B$13:B39),"")</f>
        <v>26</v>
      </c>
      <c r="B39" s="207" t="str">
        <f>+'G2 SOUTH'!B42</f>
        <v>Basic Service Charge</v>
      </c>
      <c r="C39" s="233" t="str">
        <f>+'G2 SOUTH'!C42</f>
        <v>BS</v>
      </c>
      <c r="D39" s="233"/>
      <c r="E39" s="206"/>
      <c r="F39" s="239"/>
      <c r="G39" s="236">
        <v>0.11403000000000001</v>
      </c>
      <c r="H39" s="211"/>
      <c r="I39" s="237">
        <f t="shared" si="4"/>
        <v>250894.75689377211</v>
      </c>
      <c r="K39" s="210"/>
      <c r="L39" s="281">
        <v>0.13185000000000002</v>
      </c>
      <c r="M39" s="211"/>
      <c r="N39" s="237">
        <f t="shared" si="5"/>
        <v>290103.2508677002</v>
      </c>
      <c r="O39" s="272"/>
      <c r="P39" s="232"/>
    </row>
    <row r="40" spans="1:18" ht="14" x14ac:dyDescent="0.3">
      <c r="A40" s="151" t="str">
        <f>IF(B40&lt;&gt;"",COUNTA($B$13:B40),"")</f>
        <v/>
      </c>
      <c r="B40" s="207"/>
      <c r="E40" s="206"/>
      <c r="F40" s="239"/>
      <c r="G40" s="241"/>
      <c r="H40" s="211"/>
      <c r="I40" s="244"/>
      <c r="K40" s="210"/>
      <c r="L40" s="241"/>
      <c r="M40" s="211"/>
      <c r="N40" s="244"/>
      <c r="O40" s="272"/>
    </row>
    <row r="41" spans="1:18" ht="14" x14ac:dyDescent="0.3">
      <c r="A41" s="151">
        <f>IF(B41&lt;&gt;"",COUNTA($B$13:B41),"")</f>
        <v>27</v>
      </c>
      <c r="B41" s="188" t="s">
        <v>46</v>
      </c>
      <c r="E41" s="188"/>
      <c r="G41" s="245" t="s">
        <v>324</v>
      </c>
      <c r="H41" s="246"/>
      <c r="I41" s="154">
        <f>SUM(I16:I40)</f>
        <v>413630.86140162463</v>
      </c>
      <c r="K41" s="247"/>
      <c r="L41" s="245"/>
      <c r="N41" s="154">
        <f>SUM(N16:N40)</f>
        <v>455744.86431204021</v>
      </c>
      <c r="P41" s="154"/>
    </row>
    <row r="42" spans="1:18" ht="14" x14ac:dyDescent="0.3">
      <c r="A42" s="151" t="str">
        <f>IF(B42&lt;&gt;"",COUNTA($B$13:B42),"")</f>
        <v/>
      </c>
      <c r="E42" s="188"/>
      <c r="H42" s="188"/>
      <c r="I42" s="154"/>
      <c r="K42" s="265"/>
      <c r="L42" s="278"/>
      <c r="N42" s="265"/>
      <c r="P42" s="154"/>
    </row>
    <row r="43" spans="1:18" ht="14" x14ac:dyDescent="0.3">
      <c r="A43" s="151">
        <f>IF(B43&lt;&gt;"",COUNTA($B$13:B43),"")</f>
        <v>28</v>
      </c>
      <c r="B43" s="188" t="s">
        <v>46</v>
      </c>
      <c r="E43" s="188"/>
      <c r="G43" s="188"/>
      <c r="H43" s="188"/>
      <c r="I43" s="188"/>
      <c r="J43" s="188"/>
      <c r="L43" s="248" t="s">
        <v>325</v>
      </c>
      <c r="N43" s="160">
        <f>+N41/I41-1</f>
        <v>0.10181542732983839</v>
      </c>
    </row>
    <row r="44" spans="1:18" ht="14" x14ac:dyDescent="0.3">
      <c r="A44" s="151" t="str">
        <f>IF(B44&lt;&gt;"",COUNTA($B$13:B44),"")</f>
        <v/>
      </c>
      <c r="E44" s="188"/>
      <c r="G44" s="188"/>
      <c r="H44" s="188"/>
      <c r="I44" s="188"/>
      <c r="J44" s="188"/>
      <c r="L44" s="248"/>
      <c r="N44" s="160"/>
    </row>
    <row r="45" spans="1:18" ht="14" x14ac:dyDescent="0.3">
      <c r="A45" s="151" t="str">
        <f>IF(B45&lt;&gt;"",COUNTA($B$13:B45),"")</f>
        <v/>
      </c>
      <c r="E45" s="188"/>
      <c r="G45" s="186"/>
      <c r="H45" s="188"/>
      <c r="I45" s="188"/>
      <c r="L45" s="248"/>
      <c r="N45" s="160"/>
    </row>
    <row r="46" spans="1:18" ht="14.5" thickBot="1" x14ac:dyDescent="0.35">
      <c r="A46" s="151">
        <f>IF(B46&lt;&gt;"",COUNTA($B$13:B46),"")</f>
        <v>29</v>
      </c>
      <c r="B46" s="188" t="s">
        <v>46</v>
      </c>
      <c r="E46" s="279" t="s">
        <v>326</v>
      </c>
      <c r="F46" s="135"/>
      <c r="G46" s="280"/>
      <c r="I46" s="279" t="s">
        <v>327</v>
      </c>
      <c r="J46" s="135"/>
      <c r="L46" s="279" t="s">
        <v>328</v>
      </c>
      <c r="M46" s="135"/>
      <c r="N46" s="137"/>
    </row>
    <row r="47" spans="1:18" ht="14" x14ac:dyDescent="0.3">
      <c r="A47" s="151">
        <f>IF(B47&lt;&gt;"",COUNTA($B$13:B47),"")</f>
        <v>30</v>
      </c>
      <c r="B47" s="144" t="s">
        <v>329</v>
      </c>
      <c r="C47" s="144"/>
      <c r="D47" s="144"/>
      <c r="E47" s="249" t="s">
        <v>148</v>
      </c>
      <c r="F47" s="250"/>
      <c r="G47" s="251" t="s">
        <v>330</v>
      </c>
      <c r="I47" s="249" t="s">
        <v>148</v>
      </c>
      <c r="J47" s="251" t="s">
        <v>330</v>
      </c>
      <c r="K47" s="212"/>
      <c r="L47" s="249" t="s">
        <v>148</v>
      </c>
      <c r="M47" s="252"/>
      <c r="N47" s="251" t="s">
        <v>330</v>
      </c>
    </row>
    <row r="48" spans="1:18" ht="14" x14ac:dyDescent="0.3">
      <c r="A48" s="151">
        <f>IF(B48&lt;&gt;"",COUNTA($B$13:B48),"")</f>
        <v>31</v>
      </c>
      <c r="B48" s="130" t="str">
        <f>+'G2 SOUTH'!B51</f>
        <v>Distribution</v>
      </c>
      <c r="C48" s="253" t="str">
        <f>+'G2 SOUTH'!C51</f>
        <v>DIST</v>
      </c>
      <c r="D48" s="253"/>
      <c r="E48" s="154">
        <f t="shared" ref="E48:E63" si="6">SUMIF($C$13:$C$39,$C48,$I$13:$I$39)</f>
        <v>70438.501741893822</v>
      </c>
      <c r="G48" s="254">
        <f t="shared" ref="G48:G69" si="7">+E48/$E$15*100</f>
        <v>3.2013831030470334</v>
      </c>
      <c r="I48" s="154">
        <f t="shared" ref="I48:I63" si="8">SUMIF($C$13:$C$39,$C48,$N$13:$N$39)</f>
        <v>72800.720980773476</v>
      </c>
      <c r="J48" s="254">
        <f t="shared" ref="J48:J69" si="9">+I48/$E$15*100</f>
        <v>3.3087443979359081</v>
      </c>
      <c r="L48" s="154">
        <f t="shared" ref="L48:L68" si="10">I48-E48</f>
        <v>2362.2192388796539</v>
      </c>
      <c r="N48" s="254">
        <f t="shared" ref="N48:N69" si="11">+L48/$E$15*100</f>
        <v>0.1073612948888743</v>
      </c>
      <c r="O48" s="272"/>
      <c r="Q48" s="154"/>
    </row>
    <row r="49" spans="1:17" ht="14" x14ac:dyDescent="0.3">
      <c r="A49" s="151">
        <f>IF(B49&lt;&gt;"",COUNTA($B$13:B49),"")</f>
        <v>32</v>
      </c>
      <c r="B49" s="130" t="str">
        <f>+'G2 SOUTH'!B52</f>
        <v>Revenue Decoupling</v>
      </c>
      <c r="C49" s="253" t="str">
        <f>+'G2 SOUTH'!C52</f>
        <v>RDAF</v>
      </c>
      <c r="D49" s="253"/>
      <c r="E49" s="154">
        <f t="shared" si="6"/>
        <v>0</v>
      </c>
      <c r="G49" s="254">
        <f t="shared" si="7"/>
        <v>0</v>
      </c>
      <c r="I49" s="154">
        <f t="shared" si="8"/>
        <v>-751.5644618502929</v>
      </c>
      <c r="J49" s="254">
        <f t="shared" si="9"/>
        <v>-3.4158105432659298E-2</v>
      </c>
      <c r="L49" s="154">
        <f>I49-E49</f>
        <v>-751.5644618502929</v>
      </c>
      <c r="N49" s="254">
        <f t="shared" si="11"/>
        <v>-3.4158105432659298E-2</v>
      </c>
      <c r="O49" s="272"/>
      <c r="Q49" s="154"/>
    </row>
    <row r="50" spans="1:17" ht="14" x14ac:dyDescent="0.3">
      <c r="A50" s="151">
        <f>IF(B50&lt;&gt;"",COUNTA($B$13:B50),"")</f>
        <v>33</v>
      </c>
      <c r="B50" s="130" t="str">
        <f>+'G2 SOUTH'!B53</f>
        <v>Residential Assistance Adjustment Factor</v>
      </c>
      <c r="C50" s="253" t="str">
        <f>+'G2 SOUTH'!C53</f>
        <v>RAAF</v>
      </c>
      <c r="D50" s="253"/>
      <c r="E50" s="154">
        <f t="shared" si="6"/>
        <v>4444.5094179200178</v>
      </c>
      <c r="G50" s="254">
        <f t="shared" si="7"/>
        <v>0.20200000000000001</v>
      </c>
      <c r="I50" s="154">
        <f t="shared" si="8"/>
        <v>6349.4187018027951</v>
      </c>
      <c r="J50" s="254">
        <f t="shared" si="9"/>
        <v>0.28857686128256632</v>
      </c>
      <c r="L50" s="154">
        <f t="shared" si="10"/>
        <v>1904.9092838827773</v>
      </c>
      <c r="N50" s="254">
        <f t="shared" si="11"/>
        <v>8.6576861282566336E-2</v>
      </c>
      <c r="O50" s="272"/>
      <c r="Q50" s="154"/>
    </row>
    <row r="51" spans="1:17" ht="14" x14ac:dyDescent="0.3">
      <c r="A51" s="151">
        <f>IF(B51&lt;&gt;"",COUNTA($B$13:B51),"")</f>
        <v>34</v>
      </c>
      <c r="B51" s="130" t="str">
        <f>+'G2 SOUTH'!B54</f>
        <v>Pension Adjustment Factor</v>
      </c>
      <c r="C51" s="253" t="str">
        <f>+'G2 SOUTH'!C54</f>
        <v>PAF</v>
      </c>
      <c r="D51" s="253"/>
      <c r="E51" s="154">
        <f t="shared" si="6"/>
        <v>-176.02017496712944</v>
      </c>
      <c r="G51" s="254">
        <f t="shared" si="7"/>
        <v>-8.0000000000000002E-3</v>
      </c>
      <c r="I51" s="154">
        <f t="shared" si="8"/>
        <v>1711.2391389322318</v>
      </c>
      <c r="J51" s="254">
        <f t="shared" si="9"/>
        <v>7.7774681873906515E-2</v>
      </c>
      <c r="L51" s="154">
        <f t="shared" si="10"/>
        <v>1887.2593138993611</v>
      </c>
      <c r="N51" s="254">
        <f t="shared" si="11"/>
        <v>8.5774681873906522E-2</v>
      </c>
      <c r="O51" s="272"/>
      <c r="Q51" s="154"/>
    </row>
    <row r="52" spans="1:17" ht="14" x14ac:dyDescent="0.3">
      <c r="A52" s="151">
        <f>IF(B52&lt;&gt;"",COUNTA($B$13:B52),"")</f>
        <v>35</v>
      </c>
      <c r="B52" s="130" t="str">
        <f>+'G2 SOUTH'!B55</f>
        <v>Net Metering Recovery Surcharge</v>
      </c>
      <c r="C52" s="253" t="str">
        <f>+'G2 SOUTH'!C55</f>
        <v>NMRS</v>
      </c>
      <c r="D52" s="253"/>
      <c r="E52" s="154">
        <f t="shared" si="6"/>
        <v>8779.0062264855787</v>
      </c>
      <c r="G52" s="254">
        <f t="shared" si="7"/>
        <v>0.39899999999999997</v>
      </c>
      <c r="I52" s="154">
        <f t="shared" si="8"/>
        <v>8279.1326754139973</v>
      </c>
      <c r="J52" s="254">
        <f t="shared" si="9"/>
        <v>0.37628107923242637</v>
      </c>
      <c r="L52" s="154">
        <f t="shared" si="10"/>
        <v>-499.87355107158146</v>
      </c>
      <c r="N52" s="254">
        <f t="shared" si="11"/>
        <v>-2.2718920767573581E-2</v>
      </c>
      <c r="O52" s="272"/>
      <c r="Q52" s="154"/>
    </row>
    <row r="53" spans="1:17" ht="14" x14ac:dyDescent="0.3">
      <c r="A53" s="151">
        <f>IF(B53&lt;&gt;"",COUNTA($B$13:B53),"")</f>
        <v>36</v>
      </c>
      <c r="B53" s="130" t="str">
        <f>+'G2 SOUTH'!B56</f>
        <v>Long Term Renewable Contract Adjustment</v>
      </c>
      <c r="C53" s="253" t="str">
        <f>+'G2 SOUTH'!C56</f>
        <v>LTRCA</v>
      </c>
      <c r="D53" s="253"/>
      <c r="E53" s="154">
        <f t="shared" si="6"/>
        <v>5192.5951615303184</v>
      </c>
      <c r="G53" s="254">
        <f t="shared" si="7"/>
        <v>0.23600000000000002</v>
      </c>
      <c r="I53" s="154">
        <f t="shared" si="8"/>
        <v>3819.0060564324926</v>
      </c>
      <c r="J53" s="254">
        <f t="shared" si="9"/>
        <v>0.17357128782064518</v>
      </c>
      <c r="L53" s="154">
        <f t="shared" si="10"/>
        <v>-1373.5891050978257</v>
      </c>
      <c r="N53" s="254">
        <f t="shared" si="11"/>
        <v>-6.2428712179354862E-2</v>
      </c>
      <c r="O53" s="272"/>
      <c r="Q53" s="154"/>
    </row>
    <row r="54" spans="1:17" ht="14" x14ac:dyDescent="0.3">
      <c r="A54" s="151">
        <f>IF(B54&lt;&gt;"",COUNTA($B$13:B54),"")</f>
        <v>37</v>
      </c>
      <c r="B54" s="130" t="str">
        <f>+'G2 SOUTH'!B57</f>
        <v>AG Consulting Expense</v>
      </c>
      <c r="C54" s="253" t="str">
        <f>+'G2 SOUTH'!C57</f>
        <v>AGCE</v>
      </c>
      <c r="D54" s="253"/>
      <c r="E54" s="154">
        <f t="shared" si="6"/>
        <v>44.005043741782359</v>
      </c>
      <c r="G54" s="254">
        <f t="shared" si="7"/>
        <v>2E-3</v>
      </c>
      <c r="I54" s="154">
        <f t="shared" si="8"/>
        <v>13.331410741592242</v>
      </c>
      <c r="J54" s="254">
        <f t="shared" si="9"/>
        <v>6.0590376047890161E-4</v>
      </c>
      <c r="L54" s="154">
        <f t="shared" si="10"/>
        <v>-30.673633000190115</v>
      </c>
      <c r="N54" s="254">
        <f t="shared" si="11"/>
        <v>-1.3940962395210985E-3</v>
      </c>
      <c r="O54" s="272"/>
      <c r="Q54" s="154"/>
    </row>
    <row r="55" spans="1:17" ht="14" x14ac:dyDescent="0.3">
      <c r="A55" s="151">
        <f>IF(B55&lt;&gt;"",COUNTA($B$13:B55),"")</f>
        <v>38</v>
      </c>
      <c r="B55" s="130" t="str">
        <f>+'G2 SOUTH'!B58</f>
        <v>Storm Cost Recovery Adjustment Factor</v>
      </c>
      <c r="C55" s="253" t="str">
        <f>+'G2 SOUTH'!C58</f>
        <v>SCRA</v>
      </c>
      <c r="D55" s="253"/>
      <c r="E55" s="154">
        <f t="shared" si="6"/>
        <v>2750.3152338613972</v>
      </c>
      <c r="G55" s="254">
        <f t="shared" si="7"/>
        <v>0.125</v>
      </c>
      <c r="I55" s="154">
        <f t="shared" si="8"/>
        <v>4733.3986447040515</v>
      </c>
      <c r="J55" s="254">
        <f t="shared" si="9"/>
        <v>0.21512982341202569</v>
      </c>
      <c r="L55" s="154">
        <f>I55-E55</f>
        <v>1983.0834108426543</v>
      </c>
      <c r="N55" s="254">
        <f t="shared" si="11"/>
        <v>9.0129823412025661E-2</v>
      </c>
      <c r="O55" s="272"/>
      <c r="Q55" s="154"/>
    </row>
    <row r="56" spans="1:17" ht="14" x14ac:dyDescent="0.3">
      <c r="A56" s="151">
        <f>IF(B56&lt;&gt;"",COUNTA($B$13:B56),"")</f>
        <v>39</v>
      </c>
      <c r="B56" s="130" t="str">
        <f>+'G2 SOUTH'!B59</f>
        <v>Storm Reserve Adjustment</v>
      </c>
      <c r="C56" s="253" t="str">
        <f>+'G2 SOUTH'!C59</f>
        <v>SRA</v>
      </c>
      <c r="D56" s="253"/>
      <c r="E56" s="154">
        <f t="shared" si="6"/>
        <v>0</v>
      </c>
      <c r="G56" s="254">
        <f t="shared" si="7"/>
        <v>0</v>
      </c>
      <c r="I56" s="154">
        <f t="shared" si="8"/>
        <v>0</v>
      </c>
      <c r="J56" s="254">
        <f t="shared" si="9"/>
        <v>0</v>
      </c>
      <c r="L56" s="154">
        <f>I56-E56</f>
        <v>0</v>
      </c>
      <c r="N56" s="254">
        <f t="shared" si="11"/>
        <v>0</v>
      </c>
      <c r="O56" s="272"/>
      <c r="Q56" s="154"/>
    </row>
    <row r="57" spans="1:17" ht="14" x14ac:dyDescent="0.3">
      <c r="A57" s="151">
        <f>IF(B57&lt;&gt;"",COUNTA($B$13:B57),"")</f>
        <v>40</v>
      </c>
      <c r="B57" s="130" t="str">
        <f>+'G2 SOUTH'!B60</f>
        <v>Basic Service Cost True Up Factor</v>
      </c>
      <c r="C57" s="253" t="str">
        <f>+'G2 SOUTH'!C60</f>
        <v>BSTF</v>
      </c>
      <c r="D57" s="253"/>
      <c r="E57" s="154">
        <f t="shared" si="6"/>
        <v>2376.2723620562469</v>
      </c>
      <c r="G57" s="254">
        <f t="shared" si="7"/>
        <v>0.108</v>
      </c>
      <c r="I57" s="154">
        <f t="shared" si="8"/>
        <v>-315.07371495454322</v>
      </c>
      <c r="J57" s="254">
        <f t="shared" si="9"/>
        <v>-1.4319891001739141E-2</v>
      </c>
      <c r="L57" s="154">
        <f>I57-E57</f>
        <v>-2691.3460770107904</v>
      </c>
      <c r="N57" s="254">
        <f t="shared" si="11"/>
        <v>-0.12231989100173915</v>
      </c>
      <c r="O57" s="272"/>
      <c r="Q57" s="154"/>
    </row>
    <row r="58" spans="1:17" ht="14" x14ac:dyDescent="0.3">
      <c r="A58" s="151">
        <f>IF(B58&lt;&gt;"",COUNTA($B$13:B58),"")</f>
        <v>41</v>
      </c>
      <c r="B58" s="130" t="str">
        <f>+'G2 SOUTH'!B61</f>
        <v>Solar Program Cost Adjustment Factor</v>
      </c>
      <c r="C58" s="253" t="str">
        <f>+'G2 SOUTH'!C61</f>
        <v>SPCA</v>
      </c>
      <c r="D58" s="253"/>
      <c r="E58" s="154">
        <f t="shared" si="6"/>
        <v>0</v>
      </c>
      <c r="G58" s="254">
        <f t="shared" si="7"/>
        <v>0</v>
      </c>
      <c r="I58" s="154">
        <f t="shared" si="8"/>
        <v>56.071941694931027</v>
      </c>
      <c r="J58" s="254">
        <f t="shared" si="9"/>
        <v>2.5484324944184192E-3</v>
      </c>
      <c r="L58" s="154">
        <f t="shared" si="10"/>
        <v>56.071941694931027</v>
      </c>
      <c r="N58" s="254">
        <f t="shared" si="11"/>
        <v>2.5484324944184192E-3</v>
      </c>
      <c r="Q58" s="154"/>
    </row>
    <row r="59" spans="1:17" ht="14" x14ac:dyDescent="0.3">
      <c r="A59" s="151">
        <f>IF(B59&lt;&gt;"",COUNTA($B$13:B59),"")</f>
        <v>42</v>
      </c>
      <c r="B59" s="130" t="str">
        <f>+'G2 SOUTH'!B62</f>
        <v>Solar Expansion Cost Recovery Factor</v>
      </c>
      <c r="C59" s="253" t="str">
        <f>+'G2 SOUTH'!C62</f>
        <v>SECRF</v>
      </c>
      <c r="D59" s="253"/>
      <c r="E59" s="154">
        <f t="shared" si="6"/>
        <v>0</v>
      </c>
      <c r="G59" s="254">
        <f t="shared" si="7"/>
        <v>0</v>
      </c>
      <c r="I59" s="154">
        <f t="shared" si="8"/>
        <v>988.98077426607017</v>
      </c>
      <c r="J59" s="254">
        <f t="shared" si="9"/>
        <v>4.4948519086553826E-2</v>
      </c>
      <c r="L59" s="154">
        <f t="shared" si="10"/>
        <v>988.98077426607017</v>
      </c>
      <c r="N59" s="254">
        <f t="shared" si="11"/>
        <v>4.4948519086553826E-2</v>
      </c>
      <c r="Q59" s="154"/>
    </row>
    <row r="60" spans="1:17" ht="14" x14ac:dyDescent="0.3">
      <c r="A60" s="151">
        <f>IF(B60&lt;&gt;"",COUNTA($B$13:B60),"")</f>
        <v>43</v>
      </c>
      <c r="B60" s="130" t="str">
        <f>+'G2 SOUTH'!B63</f>
        <v>Vegetation Management</v>
      </c>
      <c r="C60" s="253" t="str">
        <f>+'G2 SOUTH'!C63</f>
        <v>RTWF</v>
      </c>
      <c r="D60" s="253"/>
      <c r="E60" s="154">
        <f t="shared" si="6"/>
        <v>0</v>
      </c>
      <c r="G60" s="254">
        <f t="shared" si="7"/>
        <v>0</v>
      </c>
      <c r="I60" s="154">
        <f t="shared" si="8"/>
        <v>3063.6964305459469</v>
      </c>
      <c r="J60" s="254">
        <f t="shared" si="9"/>
        <v>0.13924296717091988</v>
      </c>
      <c r="L60" s="154">
        <f t="shared" si="10"/>
        <v>3063.6964305459469</v>
      </c>
      <c r="N60" s="254">
        <f t="shared" si="11"/>
        <v>0.13924296717091988</v>
      </c>
      <c r="Q60" s="154"/>
    </row>
    <row r="61" spans="1:17" ht="14" x14ac:dyDescent="0.3">
      <c r="A61" s="151">
        <f>IF(B61&lt;&gt;"",COUNTA($B$13:B61),"")</f>
        <v>44</v>
      </c>
      <c r="B61" s="130" t="str">
        <f>+'G2 SOUTH'!B64</f>
        <v>Solar Massachusetts Renewable Target</v>
      </c>
      <c r="C61" s="253" t="str">
        <f>+'G2 SOUTH'!C64</f>
        <v>SMART</v>
      </c>
      <c r="D61" s="253"/>
      <c r="E61" s="154">
        <f t="shared" si="6"/>
        <v>0</v>
      </c>
      <c r="G61" s="254">
        <f t="shared" si="7"/>
        <v>0</v>
      </c>
      <c r="I61" s="154">
        <f t="shared" si="8"/>
        <v>1158.7297592037446</v>
      </c>
      <c r="J61" s="254">
        <f t="shared" si="9"/>
        <v>5.2663497666452369E-2</v>
      </c>
      <c r="L61" s="154">
        <f t="shared" si="10"/>
        <v>1158.7297592037446</v>
      </c>
      <c r="N61" s="254">
        <f t="shared" si="11"/>
        <v>5.2663497666452369E-2</v>
      </c>
      <c r="Q61" s="154"/>
    </row>
    <row r="62" spans="1:17" ht="14" x14ac:dyDescent="0.3">
      <c r="A62" s="151">
        <f>IF(B62&lt;&gt;"",COUNTA($B$13:B62),"")</f>
        <v>45</v>
      </c>
      <c r="B62" s="130" t="str">
        <f>+'G2 SOUTH'!B65</f>
        <v>Tax Act Credit Factor</v>
      </c>
      <c r="C62" s="253" t="str">
        <f>+'G2 SOUTH'!C65</f>
        <v>TACF</v>
      </c>
      <c r="D62" s="253"/>
      <c r="E62" s="154">
        <f t="shared" si="6"/>
        <v>0</v>
      </c>
      <c r="G62" s="254">
        <f t="shared" si="7"/>
        <v>0</v>
      </c>
      <c r="I62" s="154">
        <f t="shared" si="8"/>
        <v>-1754.1232800000002</v>
      </c>
      <c r="J62" s="254">
        <f t="shared" si="9"/>
        <v>-7.9723737592128668E-2</v>
      </c>
      <c r="L62" s="154">
        <f t="shared" si="10"/>
        <v>-1754.1232800000002</v>
      </c>
      <c r="N62" s="254">
        <f t="shared" si="11"/>
        <v>-7.9723737592128668E-2</v>
      </c>
      <c r="Q62" s="154"/>
    </row>
    <row r="63" spans="1:17" ht="14" x14ac:dyDescent="0.3">
      <c r="A63" s="151">
        <f>IF(B63&lt;&gt;"",COUNTA($B$13:B63),"")</f>
        <v>46</v>
      </c>
      <c r="B63" s="130" t="str">
        <f>+'G2 SOUTH'!B66</f>
        <v>Transition</v>
      </c>
      <c r="C63" s="253" t="str">
        <f>+'G2 SOUTH'!C66</f>
        <v>TRNSN</v>
      </c>
      <c r="D63" s="253"/>
      <c r="E63" s="154">
        <f t="shared" si="6"/>
        <v>-1342.1538341243618</v>
      </c>
      <c r="G63" s="254">
        <f t="shared" si="7"/>
        <v>-6.0999999999999999E-2</v>
      </c>
      <c r="I63" s="154">
        <f t="shared" si="8"/>
        <v>-1146.5364838593182</v>
      </c>
      <c r="J63" s="254">
        <f t="shared" si="9"/>
        <v>-5.2109321403568713E-2</v>
      </c>
      <c r="L63" s="154">
        <f t="shared" si="10"/>
        <v>195.61735026504357</v>
      </c>
      <c r="N63" s="254">
        <f t="shared" si="11"/>
        <v>8.8906785964312906E-3</v>
      </c>
      <c r="Q63" s="154"/>
    </row>
    <row r="64" spans="1:17" ht="14" x14ac:dyDescent="0.3">
      <c r="A64" s="151">
        <f>IF(B64&lt;&gt;"",COUNTA($B$13:B64),"")</f>
        <v>47</v>
      </c>
      <c r="B64" s="130" t="str">
        <f>+'G2 SOUTH'!B67</f>
        <v>Transmission</v>
      </c>
      <c r="C64" s="253" t="str">
        <f>+'G2 SOUTH'!C67</f>
        <v>TRNSM</v>
      </c>
      <c r="D64" s="253"/>
      <c r="E64" s="154">
        <f>SUM(SUMIF($C$13:$C$39,{"TMKW","TMKWH"},$I$13:$I$39))</f>
        <v>45014.183265413507</v>
      </c>
      <c r="G64" s="254">
        <f t="shared" si="7"/>
        <v>2.0458647208512137</v>
      </c>
      <c r="I64" s="154">
        <f>SUM(SUMIF($C$13:$C$39,{"TMKW","TMKWH"},$N$13:$N$39))</f>
        <v>41420.294806451544</v>
      </c>
      <c r="J64" s="254">
        <f t="shared" si="9"/>
        <v>1.8825248782617789</v>
      </c>
      <c r="L64" s="154">
        <f t="shared" si="10"/>
        <v>-3593.8884589619629</v>
      </c>
      <c r="N64" s="254">
        <f t="shared" si="11"/>
        <v>-0.16333984258943487</v>
      </c>
      <c r="Q64" s="154"/>
    </row>
    <row r="65" spans="1:17" ht="14" x14ac:dyDescent="0.3">
      <c r="A65" s="151">
        <f>IF(B65&lt;&gt;"",COUNTA($B$13:B65),"")</f>
        <v>48</v>
      </c>
      <c r="B65" s="130" t="str">
        <f>+'G2 SOUTH'!B68</f>
        <v>Energy Efficiency Reconciliation Factor</v>
      </c>
      <c r="C65" s="253" t="str">
        <f>+'G2 SOUTH'!C68</f>
        <v>EERF</v>
      </c>
      <c r="D65" s="253"/>
      <c r="E65" s="154">
        <f>SUMIF($C$13:$C$39,$C65,$I$13:$I$39)</f>
        <v>18614.133502773937</v>
      </c>
      <c r="G65" s="254">
        <f t="shared" si="7"/>
        <v>0.84600000000000009</v>
      </c>
      <c r="I65" s="154">
        <f>SUMIF($C$13:$C$39,$C65,$N$13:$N$39)</f>
        <v>18614.133502773937</v>
      </c>
      <c r="J65" s="254">
        <f t="shared" si="9"/>
        <v>0.84600000000000009</v>
      </c>
      <c r="L65" s="154">
        <f t="shared" si="10"/>
        <v>0</v>
      </c>
      <c r="N65" s="254">
        <f t="shared" si="11"/>
        <v>0</v>
      </c>
      <c r="Q65" s="154"/>
    </row>
    <row r="66" spans="1:17" ht="14" x14ac:dyDescent="0.3">
      <c r="A66" s="151">
        <f>IF(B66&lt;&gt;"",COUNTA($B$13:B66),"")</f>
        <v>49</v>
      </c>
      <c r="B66" s="130" t="str">
        <f>+'G2 SOUTH'!B69</f>
        <v>System Benefits Charge</v>
      </c>
      <c r="C66" s="253" t="str">
        <f>+'G2 SOUTH'!C69</f>
        <v>SBC</v>
      </c>
      <c r="D66" s="253"/>
      <c r="E66" s="154">
        <f>SUMIF($C$13:$C$39,$C66,$I$13:$I$39)</f>
        <v>5500.6304677227945</v>
      </c>
      <c r="G66" s="254">
        <f t="shared" si="7"/>
        <v>0.25</v>
      </c>
      <c r="I66" s="154">
        <f>SUMIF($C$13:$C$39,$C66,$N$13:$N$39)</f>
        <v>5500.6304677227945</v>
      </c>
      <c r="J66" s="254">
        <f t="shared" si="9"/>
        <v>0.25</v>
      </c>
      <c r="L66" s="154">
        <f t="shared" si="10"/>
        <v>0</v>
      </c>
      <c r="N66" s="254">
        <f t="shared" si="11"/>
        <v>0</v>
      </c>
      <c r="Q66" s="154"/>
    </row>
    <row r="67" spans="1:17" ht="14" x14ac:dyDescent="0.3">
      <c r="A67" s="151">
        <f>IF(B67&lt;&gt;"",COUNTA($B$13:B67),"")</f>
        <v>50</v>
      </c>
      <c r="B67" s="130" t="str">
        <f>+'G2 SOUTH'!B70</f>
        <v>Renewable Energy Charge</v>
      </c>
      <c r="C67" s="253" t="str">
        <f>+'G2 SOUTH'!C70</f>
        <v>RNEW</v>
      </c>
      <c r="D67" s="253"/>
      <c r="E67" s="154">
        <f>SUMIF($C$13:$C$39,$C67,$I$13:$I$39)</f>
        <v>1100.1260935445589</v>
      </c>
      <c r="G67" s="254">
        <f t="shared" si="7"/>
        <v>0.05</v>
      </c>
      <c r="I67" s="154">
        <f>SUMIF($C$13:$C$39,$C67,$N$13:$N$39)</f>
        <v>1100.1260935445589</v>
      </c>
      <c r="J67" s="254">
        <f t="shared" si="9"/>
        <v>0.05</v>
      </c>
      <c r="L67" s="154">
        <f>I67-E67</f>
        <v>0</v>
      </c>
      <c r="N67" s="254">
        <f t="shared" si="11"/>
        <v>0</v>
      </c>
      <c r="Q67" s="154"/>
    </row>
    <row r="68" spans="1:17" ht="14" x14ac:dyDescent="0.3">
      <c r="A68" s="151">
        <f>IF(B68&lt;&gt;"",COUNTA($B$13:B68),"")</f>
        <v>51</v>
      </c>
      <c r="B68" s="130" t="str">
        <f>+'G2 SOUTH'!B71</f>
        <v>Basic Service Charge</v>
      </c>
      <c r="C68" s="253" t="str">
        <f>+'G2 SOUTH'!C71</f>
        <v>BS</v>
      </c>
      <c r="D68" s="253"/>
      <c r="E68" s="255">
        <f>SUMIF($C$13:$C$39,$C68,$I$13:$I$39)</f>
        <v>250894.75689377211</v>
      </c>
      <c r="F68" s="256"/>
      <c r="G68" s="257">
        <f t="shared" si="7"/>
        <v>11.403</v>
      </c>
      <c r="H68" s="258"/>
      <c r="I68" s="255">
        <f>SUMIF($C$13:$C$39,$C68,$N$13:$N$39)</f>
        <v>290103.2508677002</v>
      </c>
      <c r="J68" s="257">
        <f t="shared" si="9"/>
        <v>13.185000000000002</v>
      </c>
      <c r="K68" s="255"/>
      <c r="L68" s="255">
        <f t="shared" si="10"/>
        <v>39208.493973928096</v>
      </c>
      <c r="M68" s="259"/>
      <c r="N68" s="257">
        <f t="shared" si="11"/>
        <v>1.7820000000000009</v>
      </c>
      <c r="Q68" s="154"/>
    </row>
    <row r="69" spans="1:17" ht="14" x14ac:dyDescent="0.3">
      <c r="A69" s="151">
        <f>IF(B69&lt;&gt;"",COUNTA($B$13:B69),"")</f>
        <v>52</v>
      </c>
      <c r="B69" s="130" t="str">
        <f>+'G2 SOUTH'!B72</f>
        <v>Total</v>
      </c>
      <c r="C69" s="130"/>
      <c r="D69" s="130"/>
      <c r="E69" s="154">
        <f>SUM(E48:E68)</f>
        <v>413630.86140162463</v>
      </c>
      <c r="G69" s="254">
        <f t="shared" si="7"/>
        <v>18.799247823898252</v>
      </c>
      <c r="I69" s="154">
        <f>SUM(I48:I68)</f>
        <v>455744.86431204021</v>
      </c>
      <c r="J69" s="254">
        <f t="shared" si="9"/>
        <v>20.713301274567986</v>
      </c>
      <c r="L69" s="154">
        <f>SUM(L48:L68)</f>
        <v>42114.002910415635</v>
      </c>
      <c r="N69" s="254">
        <f t="shared" si="11"/>
        <v>1.914053450669738</v>
      </c>
      <c r="Q69" s="154"/>
    </row>
    <row r="70" spans="1:17" ht="14" x14ac:dyDescent="0.3">
      <c r="A70" s="151" t="str">
        <f>IF(B70&lt;&gt;"",COUNTA($B$13:B70),"")</f>
        <v/>
      </c>
      <c r="Q70" s="154"/>
    </row>
    <row r="71" spans="1:17" ht="14" x14ac:dyDescent="0.3">
      <c r="A71" s="151"/>
      <c r="B71" s="256" t="s">
        <v>164</v>
      </c>
      <c r="E71" s="188"/>
      <c r="G71" s="188"/>
      <c r="H71" s="188"/>
      <c r="I71" s="188"/>
      <c r="J71" s="188"/>
      <c r="K71" s="188"/>
      <c r="L71" s="188"/>
      <c r="M71" s="188"/>
      <c r="N71" s="188"/>
      <c r="Q71" s="154"/>
    </row>
    <row r="72" spans="1:17" ht="14" x14ac:dyDescent="0.3">
      <c r="A72" s="151"/>
      <c r="B72" s="130" t="str">
        <f>+'G2 SOUTH'!B75</f>
        <v>Col. (a): Company Forecast</v>
      </c>
      <c r="Q72" s="154"/>
    </row>
    <row r="73" spans="1:17" ht="14" x14ac:dyDescent="0.3">
      <c r="A73" s="151"/>
      <c r="B73" s="130" t="str">
        <f>+'G2 SOUTH'!B76</f>
        <v>Col. (b): Current rates</v>
      </c>
      <c r="Q73" s="154"/>
    </row>
    <row r="74" spans="1:17" ht="14" x14ac:dyDescent="0.3">
      <c r="A74" s="151"/>
      <c r="B74" s="130" t="str">
        <f>+'G2 SOUTH'!B77</f>
        <v>Col. (c): Col. (a) x Col. (b)</v>
      </c>
    </row>
    <row r="75" spans="1:17" ht="14" x14ac:dyDescent="0.3">
      <c r="A75" s="151"/>
      <c r="B75" s="130" t="str">
        <f>+'G2 SOUTH'!B78</f>
        <v>Col. (e) Proposed rates</v>
      </c>
    </row>
    <row r="76" spans="1:17" ht="14" x14ac:dyDescent="0.3">
      <c r="A76" s="151"/>
      <c r="B76" s="130" t="s">
        <v>439</v>
      </c>
    </row>
  </sheetData>
  <mergeCells count="6">
    <mergeCell ref="A4:N4"/>
    <mergeCell ref="A5:N5"/>
    <mergeCell ref="A7:N7"/>
    <mergeCell ref="A8:N8"/>
    <mergeCell ref="G10:I10"/>
    <mergeCell ref="L10:N10"/>
  </mergeCells>
  <pageMargins left="0.7" right="0.7" top="0.75" bottom="0.75" header="0.3" footer="0.3"/>
  <pageSetup scale="65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87E7A-68C7-449B-B1B1-567925DA1C79}">
  <sheetPr>
    <tabColor theme="9" tint="0.59999389629810485"/>
    <pageSetUpPr fitToPage="1"/>
  </sheetPr>
  <dimension ref="A3:Q74"/>
  <sheetViews>
    <sheetView workbookViewId="0"/>
  </sheetViews>
  <sheetFormatPr defaultRowHeight="12.5" x14ac:dyDescent="0.25"/>
  <cols>
    <col min="1" max="1" width="3.26953125" bestFit="1" customWidth="1"/>
    <col min="2" max="2" width="41.1796875" customWidth="1"/>
    <col min="3" max="3" width="8.81640625" bestFit="1" customWidth="1"/>
    <col min="4" max="4" width="1.26953125" customWidth="1"/>
    <col min="5" max="5" width="13.7265625" bestFit="1" customWidth="1"/>
    <col min="6" max="6" width="1.26953125" customWidth="1"/>
    <col min="7" max="7" width="12.7265625" customWidth="1"/>
    <col min="8" max="8" width="1.26953125" customWidth="1"/>
    <col min="9" max="9" width="12" bestFit="1" customWidth="1"/>
    <col min="11" max="11" width="1.26953125" customWidth="1"/>
    <col min="12" max="12" width="12.7265625" customWidth="1"/>
    <col min="13" max="13" width="1.26953125" customWidth="1"/>
    <col min="14" max="14" width="12" bestFit="1" customWidth="1"/>
  </cols>
  <sheetData>
    <row r="3" spans="1:17" ht="14" x14ac:dyDescent="0.3">
      <c r="A3" s="268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</row>
    <row r="4" spans="1:17" ht="14" x14ac:dyDescent="0.3">
      <c r="A4" s="748" t="str">
        <f>'R1 EMA'!A4:N4</f>
        <v>Eastern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7" ht="14" x14ac:dyDescent="0.3">
      <c r="A5" s="748" t="str">
        <f>'R1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7" ht="14" x14ac:dyDescent="0.3">
      <c r="A6" s="205"/>
      <c r="C6" s="205"/>
      <c r="D6" s="205"/>
      <c r="E6" s="206"/>
      <c r="F6" s="207"/>
      <c r="G6" s="208"/>
      <c r="H6" s="209"/>
      <c r="I6" s="210"/>
      <c r="J6" s="210"/>
      <c r="K6" s="210"/>
      <c r="L6" s="211"/>
      <c r="M6" s="211"/>
      <c r="N6" s="212"/>
    </row>
    <row r="7" spans="1:17" ht="14" x14ac:dyDescent="0.3">
      <c r="A7" s="748" t="s">
        <v>476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7" ht="14" x14ac:dyDescent="0.3">
      <c r="A8" s="748" t="s">
        <v>440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7" ht="14" x14ac:dyDescent="0.3">
      <c r="B9" s="207"/>
      <c r="C9" s="207"/>
      <c r="D9" s="207"/>
      <c r="E9" s="213"/>
      <c r="F9" s="207"/>
      <c r="I9" s="210"/>
      <c r="J9" s="210"/>
      <c r="K9" s="210"/>
      <c r="L9" s="214"/>
      <c r="M9" s="214"/>
      <c r="N9" s="215"/>
    </row>
    <row r="10" spans="1:17" ht="14.5" thickBot="1" x14ac:dyDescent="0.35">
      <c r="A10" s="151"/>
      <c r="B10" s="216" t="s">
        <v>46</v>
      </c>
      <c r="C10" s="216"/>
      <c r="D10" s="216"/>
      <c r="E10" s="217" t="s">
        <v>144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7" ht="14" x14ac:dyDescent="0.3">
      <c r="A11" s="151"/>
      <c r="B11" s="219" t="s">
        <v>293</v>
      </c>
      <c r="C11" s="220" t="s">
        <v>294</v>
      </c>
      <c r="D11" s="220"/>
      <c r="E11" s="221" t="s">
        <v>295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7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7" ht="14" x14ac:dyDescent="0.3">
      <c r="A13" s="151">
        <f>IF(B13&lt;&gt;"",COUNTA($B$13:B13),"")</f>
        <v>1</v>
      </c>
      <c r="B13" s="232" t="s">
        <v>296</v>
      </c>
      <c r="C13" s="233" t="s">
        <v>297</v>
      </c>
      <c r="D13" s="233"/>
      <c r="E13" s="234">
        <v>9480.954701797009</v>
      </c>
      <c r="F13" s="207"/>
      <c r="G13" s="209">
        <v>6</v>
      </c>
      <c r="H13" s="209"/>
      <c r="I13" s="210">
        <f>G13*E13</f>
        <v>56885.72821078205</v>
      </c>
      <c r="J13" s="235"/>
      <c r="K13" s="210"/>
      <c r="L13" s="209">
        <v>6</v>
      </c>
      <c r="M13" s="211"/>
      <c r="N13" s="210">
        <f>L13*E13</f>
        <v>56885.72821078205</v>
      </c>
      <c r="O13" s="272"/>
      <c r="P13" s="234"/>
      <c r="Q13" s="154"/>
    </row>
    <row r="14" spans="1:17" ht="14" x14ac:dyDescent="0.3">
      <c r="A14" s="151">
        <f>IF(B14&lt;&gt;"",COUNTA($B$13:B14),"")</f>
        <v>2</v>
      </c>
      <c r="B14" s="207" t="s">
        <v>298</v>
      </c>
      <c r="C14" s="233" t="s">
        <v>299</v>
      </c>
      <c r="D14" s="233"/>
      <c r="E14" s="234">
        <v>12489479.78206725</v>
      </c>
      <c r="F14" s="207"/>
      <c r="G14" s="236">
        <v>3.5630000000000002E-2</v>
      </c>
      <c r="H14" s="209"/>
      <c r="I14" s="237">
        <f>G14*E14</f>
        <v>445000.16463505616</v>
      </c>
      <c r="J14" s="235"/>
      <c r="K14" s="210"/>
      <c r="L14" s="236">
        <v>3.6970000000000003E-2</v>
      </c>
      <c r="M14" s="211"/>
      <c r="N14" s="237">
        <f t="shared" ref="N14" si="0">L14*E14</f>
        <v>461736.06754302629</v>
      </c>
      <c r="O14" s="272"/>
      <c r="P14" s="273"/>
    </row>
    <row r="15" spans="1:17" ht="14" x14ac:dyDescent="0.3">
      <c r="A15" s="151">
        <f>IF(B15&lt;&gt;"",COUNTA($B$13:B15),"")</f>
        <v>3</v>
      </c>
      <c r="B15" s="207" t="s">
        <v>300</v>
      </c>
      <c r="C15" s="233" t="s">
        <v>301</v>
      </c>
      <c r="D15" s="233"/>
      <c r="E15" s="234"/>
      <c r="F15" s="207"/>
      <c r="G15" s="209"/>
      <c r="H15" s="209"/>
      <c r="I15" s="210">
        <f>SUM(I13:I14)</f>
        <v>501885.89284583821</v>
      </c>
      <c r="J15" s="235"/>
      <c r="K15" s="210"/>
      <c r="L15" s="238"/>
      <c r="M15" s="211"/>
      <c r="N15" s="210">
        <f>SUM(N13:N14)</f>
        <v>518621.79575380834</v>
      </c>
      <c r="O15" s="272"/>
      <c r="P15" s="210"/>
      <c r="Q15" s="154"/>
    </row>
    <row r="16" spans="1:17" ht="14" x14ac:dyDescent="0.3">
      <c r="A16" s="151" t="str">
        <f>IF(B16&lt;&gt;"",COUNTA($B$13:B16),"")</f>
        <v/>
      </c>
      <c r="B16" s="207"/>
      <c r="C16" s="233"/>
      <c r="D16" s="233"/>
      <c r="E16" s="234"/>
      <c r="F16" s="207"/>
      <c r="G16" s="209"/>
      <c r="H16" s="209"/>
      <c r="I16" s="210"/>
      <c r="J16" s="235"/>
      <c r="K16" s="210"/>
      <c r="L16" s="238"/>
      <c r="M16" s="211"/>
      <c r="N16" s="210"/>
      <c r="O16" s="272"/>
      <c r="P16" s="210"/>
      <c r="Q16" s="154"/>
    </row>
    <row r="17" spans="1:17" ht="14" x14ac:dyDescent="0.3">
      <c r="A17" s="151">
        <f>IF(B17&lt;&gt;"",COUNTA($B$13:B17),"")</f>
        <v>4</v>
      </c>
      <c r="B17" s="228" t="s">
        <v>302</v>
      </c>
      <c r="F17" s="239"/>
      <c r="G17" s="240"/>
      <c r="H17" s="211"/>
      <c r="I17" s="210"/>
      <c r="K17" s="210"/>
      <c r="L17" s="241"/>
      <c r="M17" s="211"/>
      <c r="N17" s="210"/>
      <c r="O17" s="272"/>
    </row>
    <row r="18" spans="1:17" ht="14" x14ac:dyDescent="0.3">
      <c r="A18" s="151">
        <f>IF(B18&lt;&gt;"",COUNTA($B$13:B18),"")</f>
        <v>5</v>
      </c>
      <c r="B18" s="207" t="str">
        <f>+'G1 SOUTH'!B30</f>
        <v>Revenue Decoupling</v>
      </c>
      <c r="C18" s="233" t="str">
        <f>+'G1 SOUTH'!C30</f>
        <v>RDAF</v>
      </c>
      <c r="D18" s="233"/>
      <c r="E18" s="242"/>
      <c r="F18" s="239"/>
      <c r="G18" s="236">
        <v>0</v>
      </c>
      <c r="H18" s="211"/>
      <c r="I18" s="210">
        <f>G18*$E$14</f>
        <v>0</v>
      </c>
      <c r="K18" s="210"/>
      <c r="L18" s="236">
        <v>-3.9866468793258656E-4</v>
      </c>
      <c r="M18" s="211"/>
      <c r="N18" s="210">
        <f>$E$14*L18</f>
        <v>-4979.1145597581899</v>
      </c>
      <c r="O18" s="272"/>
      <c r="P18" s="234"/>
    </row>
    <row r="19" spans="1:17" ht="14" x14ac:dyDescent="0.3">
      <c r="A19" s="151">
        <f>IF(B19&lt;&gt;"",COUNTA($B$13:B19),"")</f>
        <v>6</v>
      </c>
      <c r="B19" s="207" t="str">
        <f>+'G1 SOUTH'!B31</f>
        <v>Residential Assistance Adjustment Factor</v>
      </c>
      <c r="C19" s="233" t="str">
        <f>+'G1 SOUTH'!C31</f>
        <v>RAAF</v>
      </c>
      <c r="D19" s="243"/>
      <c r="E19" s="206"/>
      <c r="F19" s="239"/>
      <c r="G19" s="236">
        <v>2.4499999999999999E-3</v>
      </c>
      <c r="H19" s="211"/>
      <c r="I19" s="210">
        <f t="shared" ref="I19:I37" si="1">G19*$E$14</f>
        <v>30599.225466064763</v>
      </c>
      <c r="K19" s="210"/>
      <c r="L19" s="236">
        <v>3.3680265017796409E-3</v>
      </c>
      <c r="M19" s="211"/>
      <c r="N19" s="210">
        <f t="shared" ref="N19:N37" si="2">$E$14*L19</f>
        <v>42064.898899443513</v>
      </c>
      <c r="O19" s="272"/>
      <c r="P19" s="234"/>
      <c r="Q19" s="210"/>
    </row>
    <row r="20" spans="1:17" ht="14" x14ac:dyDescent="0.3">
      <c r="A20" s="151">
        <f>IF(B20&lt;&gt;"",COUNTA($B$13:B20),"")</f>
        <v>7</v>
      </c>
      <c r="B20" s="207" t="str">
        <f>+'G1 SOUTH'!B32</f>
        <v>Pension Adjustment Factor</v>
      </c>
      <c r="C20" s="233" t="str">
        <f>+'G1 SOUTH'!C32</f>
        <v>PAF</v>
      </c>
      <c r="D20" s="243"/>
      <c r="E20" s="206"/>
      <c r="F20" s="239"/>
      <c r="G20" s="236">
        <v>-1.3999999999999999E-4</v>
      </c>
      <c r="H20" s="211"/>
      <c r="I20" s="210">
        <f t="shared" si="1"/>
        <v>-1748.527169489415</v>
      </c>
      <c r="K20" s="210"/>
      <c r="L20" s="236">
        <v>1.2902193557665783E-3</v>
      </c>
      <c r="M20" s="211"/>
      <c r="N20" s="210">
        <f t="shared" si="2"/>
        <v>16114.168558278512</v>
      </c>
      <c r="O20" s="272"/>
      <c r="P20" s="274"/>
    </row>
    <row r="21" spans="1:17" ht="14" x14ac:dyDescent="0.3">
      <c r="A21" s="151">
        <f>IF(B21&lt;&gt;"",COUNTA($B$13:B21),"")</f>
        <v>8</v>
      </c>
      <c r="B21" s="207" t="str">
        <f>+'G1 SOUTH'!B33</f>
        <v>Net Metering Recovery Surcharge</v>
      </c>
      <c r="C21" s="233" t="str">
        <f>+'G1 SOUTH'!C33</f>
        <v>NMRS</v>
      </c>
      <c r="D21" s="243"/>
      <c r="E21" s="206"/>
      <c r="F21" s="239"/>
      <c r="G21" s="236">
        <v>4.8300000000000001E-3</v>
      </c>
      <c r="H21" s="211"/>
      <c r="I21" s="210">
        <f t="shared" si="1"/>
        <v>60324.187347384817</v>
      </c>
      <c r="K21" s="210"/>
      <c r="L21" s="236">
        <v>4.391636395726573E-3</v>
      </c>
      <c r="M21" s="211"/>
      <c r="N21" s="210">
        <f t="shared" si="2"/>
        <v>54849.253974617721</v>
      </c>
      <c r="O21" s="272"/>
      <c r="P21" s="274"/>
    </row>
    <row r="22" spans="1:17" ht="14" x14ac:dyDescent="0.3">
      <c r="A22" s="151">
        <f>IF(B22&lt;&gt;"",COUNTA($B$13:B22),"")</f>
        <v>9</v>
      </c>
      <c r="B22" s="207" t="str">
        <f>+'G1 SOUTH'!B34</f>
        <v>Long Term Renewable Contract Adjustment</v>
      </c>
      <c r="C22" s="233" t="str">
        <f>+'G1 SOUTH'!C34</f>
        <v>LTRCA</v>
      </c>
      <c r="D22" s="243"/>
      <c r="E22" s="206"/>
      <c r="F22" s="239"/>
      <c r="G22" s="236">
        <v>2.3600000000000001E-3</v>
      </c>
      <c r="H22" s="211"/>
      <c r="I22" s="210">
        <f t="shared" si="1"/>
        <v>29475.172285678713</v>
      </c>
      <c r="K22" s="210"/>
      <c r="L22" s="236">
        <v>1.7357128782064517E-3</v>
      </c>
      <c r="M22" s="211"/>
      <c r="N22" s="210">
        <f t="shared" si="2"/>
        <v>21678.150899833236</v>
      </c>
      <c r="O22" s="272"/>
      <c r="P22" s="275"/>
    </row>
    <row r="23" spans="1:17" ht="14" x14ac:dyDescent="0.3">
      <c r="A23" s="151">
        <f>IF(B23&lt;&gt;"",COUNTA($B$13:B23),"")</f>
        <v>10</v>
      </c>
      <c r="B23" s="207" t="str">
        <f>+'G1 SOUTH'!B35</f>
        <v>AG Consulting Expense</v>
      </c>
      <c r="C23" s="233" t="str">
        <f>+'G1 SOUTH'!C35</f>
        <v>AGCE</v>
      </c>
      <c r="D23" s="243"/>
      <c r="E23" s="206"/>
      <c r="F23" s="239"/>
      <c r="G23" s="236">
        <v>3.0000000000000001E-5</v>
      </c>
      <c r="H23" s="211"/>
      <c r="I23" s="210">
        <f t="shared" si="1"/>
        <v>374.68439346201751</v>
      </c>
      <c r="K23" s="210"/>
      <c r="L23" s="236">
        <v>7.0715992742837703E-6</v>
      </c>
      <c r="M23" s="211"/>
      <c r="N23" s="210">
        <f t="shared" si="2"/>
        <v>88.320596163048592</v>
      </c>
      <c r="O23" s="272"/>
      <c r="P23" s="274"/>
    </row>
    <row r="24" spans="1:17" ht="14" x14ac:dyDescent="0.3">
      <c r="A24" s="151">
        <f>IF(B24&lt;&gt;"",COUNTA($B$13:B24),"")</f>
        <v>11</v>
      </c>
      <c r="B24" s="207" t="str">
        <f>+'G1 SOUTH'!B36</f>
        <v>Storm Cost Recovery Adjustment Factor</v>
      </c>
      <c r="C24" s="233" t="str">
        <f>+'G1 SOUTH'!C36</f>
        <v>SCRA</v>
      </c>
      <c r="D24" s="243"/>
      <c r="E24" s="206"/>
      <c r="F24" s="239"/>
      <c r="G24" s="236">
        <v>1.5100000000000001E-3</v>
      </c>
      <c r="H24" s="211"/>
      <c r="I24" s="210">
        <f t="shared" si="1"/>
        <v>18859.114470921548</v>
      </c>
      <c r="K24" s="210"/>
      <c r="L24" s="236">
        <v>2.547184405788772E-3</v>
      </c>
      <c r="M24" s="211"/>
      <c r="N24" s="210">
        <f t="shared" si="2"/>
        <v>31813.008137295852</v>
      </c>
      <c r="O24" s="272"/>
      <c r="P24" s="274"/>
    </row>
    <row r="25" spans="1:17" ht="14" x14ac:dyDescent="0.3">
      <c r="A25" s="151">
        <f>IF(B25&lt;&gt;"",COUNTA($B$13:B25),"")</f>
        <v>12</v>
      </c>
      <c r="B25" s="207" t="str">
        <f>+'G1 SOUTH'!B37</f>
        <v>Storm Reserve Adjustment</v>
      </c>
      <c r="C25" s="233" t="str">
        <f>+'G1 SOUTH'!C37</f>
        <v>SRA</v>
      </c>
      <c r="D25" s="243"/>
      <c r="E25" s="206"/>
      <c r="F25" s="239"/>
      <c r="G25" s="236">
        <v>0</v>
      </c>
      <c r="H25" s="211"/>
      <c r="I25" s="210">
        <f t="shared" si="1"/>
        <v>0</v>
      </c>
      <c r="K25" s="210"/>
      <c r="L25" s="236">
        <v>0</v>
      </c>
      <c r="M25" s="211"/>
      <c r="N25" s="210">
        <f t="shared" si="2"/>
        <v>0</v>
      </c>
      <c r="O25" s="272"/>
      <c r="P25" s="274"/>
    </row>
    <row r="26" spans="1:17" ht="14" x14ac:dyDescent="0.3">
      <c r="A26" s="151">
        <f>IF(B26&lt;&gt;"",COUNTA($B$13:B26),"")</f>
        <v>13</v>
      </c>
      <c r="B26" s="207" t="str">
        <f>+'G1 SOUTH'!B38</f>
        <v>Basic Service Cost True Up Factor</v>
      </c>
      <c r="C26" s="233" t="str">
        <f>+'G1 SOUTH'!C38</f>
        <v>BSTF</v>
      </c>
      <c r="D26" s="243"/>
      <c r="E26" s="206"/>
      <c r="F26" s="239"/>
      <c r="G26" s="236">
        <v>1.31E-3</v>
      </c>
      <c r="H26" s="211"/>
      <c r="I26" s="210">
        <f t="shared" si="1"/>
        <v>16361.218514508098</v>
      </c>
      <c r="K26" s="210"/>
      <c r="L26" s="236">
        <v>-1.6712972821902031E-4</v>
      </c>
      <c r="M26" s="211"/>
      <c r="N26" s="210">
        <f t="shared" si="2"/>
        <v>-2087.3633615738486</v>
      </c>
      <c r="O26" s="272"/>
      <c r="P26" s="274"/>
    </row>
    <row r="27" spans="1:17" ht="14" x14ac:dyDescent="0.3">
      <c r="A27" s="151">
        <f>IF(B27&lt;&gt;"",COUNTA($B$13:B27),"")</f>
        <v>14</v>
      </c>
      <c r="B27" s="207" t="str">
        <f>+'G1 SOUTH'!B39</f>
        <v>Solar Program Cost Adjustment Factor</v>
      </c>
      <c r="C27" s="233" t="str">
        <f>+'G1 SOUTH'!C39</f>
        <v>SPCA</v>
      </c>
      <c r="D27" s="233"/>
      <c r="E27" s="206"/>
      <c r="F27" s="239"/>
      <c r="G27" s="236">
        <v>0</v>
      </c>
      <c r="H27" s="211"/>
      <c r="I27" s="210">
        <f t="shared" si="1"/>
        <v>0</v>
      </c>
      <c r="K27" s="210"/>
      <c r="L27" s="236">
        <v>2.974316146156021E-5</v>
      </c>
      <c r="M27" s="211"/>
      <c r="N27" s="210">
        <f t="shared" si="2"/>
        <v>371.47661372891804</v>
      </c>
      <c r="O27" s="272"/>
      <c r="P27" s="276"/>
    </row>
    <row r="28" spans="1:17" ht="14" x14ac:dyDescent="0.3">
      <c r="A28" s="151">
        <f>IF(B28&lt;&gt;"",COUNTA($B$13:B28),"")</f>
        <v>15</v>
      </c>
      <c r="B28" s="207" t="str">
        <f>+'G1 SOUTH'!B40</f>
        <v>Solar Expansion Cost Recovery Factor</v>
      </c>
      <c r="C28" s="233" t="str">
        <f>+'G1 SOUTH'!C40</f>
        <v>SECRF</v>
      </c>
      <c r="D28" s="233"/>
      <c r="E28" s="206"/>
      <c r="F28" s="239"/>
      <c r="G28" s="236">
        <v>0</v>
      </c>
      <c r="H28" s="211"/>
      <c r="I28" s="210">
        <f t="shared" si="1"/>
        <v>0</v>
      </c>
      <c r="K28" s="210"/>
      <c r="L28" s="236">
        <v>5.2460132398150468E-4</v>
      </c>
      <c r="M28" s="211"/>
      <c r="N28" s="210">
        <f t="shared" si="2"/>
        <v>6551.9976295127144</v>
      </c>
      <c r="O28" s="272"/>
      <c r="P28" s="276"/>
    </row>
    <row r="29" spans="1:17" ht="14" x14ac:dyDescent="0.3">
      <c r="A29" s="151">
        <f>IF(B29&lt;&gt;"",COUNTA($B$13:B29),"")</f>
        <v>16</v>
      </c>
      <c r="B29" s="207" t="str">
        <f>+'G1 SOUTH'!B41</f>
        <v>Vegetation Management</v>
      </c>
      <c r="C29" s="233" t="str">
        <f>+'G1 SOUTH'!C41</f>
        <v>RTWF</v>
      </c>
      <c r="D29" s="233"/>
      <c r="E29" s="206"/>
      <c r="F29" s="239"/>
      <c r="G29" s="236">
        <v>0</v>
      </c>
      <c r="H29" s="211"/>
      <c r="I29" s="210">
        <f t="shared" si="1"/>
        <v>0</v>
      </c>
      <c r="K29" s="210"/>
      <c r="L29" s="236">
        <v>2.3099287206286238E-3</v>
      </c>
      <c r="M29" s="211"/>
      <c r="N29" s="210">
        <f t="shared" si="2"/>
        <v>28849.808054307665</v>
      </c>
      <c r="O29" s="272"/>
      <c r="P29" s="276"/>
    </row>
    <row r="30" spans="1:17" ht="14" x14ac:dyDescent="0.3">
      <c r="A30" s="151">
        <f>IF(B30&lt;&gt;"",COUNTA($B$13:B30),"")</f>
        <v>17</v>
      </c>
      <c r="B30" s="207" t="str">
        <f>+'G1 SOUTH'!B42</f>
        <v>Solar Massachusetts Renewable Target</v>
      </c>
      <c r="C30" s="233" t="str">
        <f>+'G1 SOUTH'!C42</f>
        <v>SMART</v>
      </c>
      <c r="D30" s="233"/>
      <c r="E30" s="206"/>
      <c r="F30" s="239"/>
      <c r="G30" s="236">
        <v>0</v>
      </c>
      <c r="H30" s="211"/>
      <c r="I30" s="210">
        <f t="shared" si="1"/>
        <v>0</v>
      </c>
      <c r="K30" s="210"/>
      <c r="L30" s="236">
        <v>6.1464406754131306E-4</v>
      </c>
      <c r="M30" s="211"/>
      <c r="N30" s="210">
        <f t="shared" si="2"/>
        <v>7676.5846547248066</v>
      </c>
      <c r="O30" s="272"/>
      <c r="P30" s="276"/>
    </row>
    <row r="31" spans="1:17" ht="14" x14ac:dyDescent="0.3">
      <c r="A31" s="151">
        <f>IF(B31&lt;&gt;"",COUNTA($B$13:B31),"")</f>
        <v>18</v>
      </c>
      <c r="B31" s="207" t="str">
        <f>+'G1 SOUTH'!B43</f>
        <v>Tax Act Credit Factor</v>
      </c>
      <c r="C31" s="233" t="str">
        <f>+'G1 SOUTH'!C43</f>
        <v>TACF</v>
      </c>
      <c r="D31" s="233"/>
      <c r="E31" s="206"/>
      <c r="F31" s="239"/>
      <c r="G31" s="236">
        <v>0</v>
      </c>
      <c r="H31" s="211"/>
      <c r="I31" s="210">
        <f t="shared" si="1"/>
        <v>0</v>
      </c>
      <c r="K31" s="210"/>
      <c r="L31" s="236">
        <v>-9.3046843685882401E-4</v>
      </c>
      <c r="M31" s="211"/>
      <c r="N31" s="210">
        <f t="shared" si="2"/>
        <v>-11621.06673</v>
      </c>
      <c r="O31" s="272"/>
      <c r="P31" s="276"/>
    </row>
    <row r="32" spans="1:17" ht="14" x14ac:dyDescent="0.3">
      <c r="A32" s="151">
        <f>IF(B32&lt;&gt;"",COUNTA($B$13:B32),"")</f>
        <v>19</v>
      </c>
      <c r="B32" s="207" t="str">
        <f>+'G1 SOUTH'!B44</f>
        <v>Transition</v>
      </c>
      <c r="C32" s="233" t="str">
        <f>+'G1 SOUTH'!C44</f>
        <v>TRNSN</v>
      </c>
      <c r="D32" s="233"/>
      <c r="E32" s="206"/>
      <c r="F32" s="239"/>
      <c r="G32" s="236">
        <v>-6.0999999999999997E-4</v>
      </c>
      <c r="H32" s="211"/>
      <c r="I32" s="210">
        <f t="shared" si="1"/>
        <v>-7618.5826670610222</v>
      </c>
      <c r="K32" s="210"/>
      <c r="L32" s="236">
        <v>-5.210932140356871E-4</v>
      </c>
      <c r="M32" s="211"/>
      <c r="N32" s="210">
        <f t="shared" si="2"/>
        <v>-6508.1831612711567</v>
      </c>
      <c r="O32" s="272"/>
      <c r="P32" s="275"/>
    </row>
    <row r="33" spans="1:17" ht="14" x14ac:dyDescent="0.3">
      <c r="A33" s="151">
        <f>IF(B33&lt;&gt;"",COUNTA($B$13:B33),"")</f>
        <v>20</v>
      </c>
      <c r="B33" s="207" t="str">
        <f>+'G1 SOUTH'!B45</f>
        <v>Transmission Energy</v>
      </c>
      <c r="C33" s="233" t="str">
        <f>+'G1 SOUTH'!C45</f>
        <v>TMKWH</v>
      </c>
      <c r="D33" s="233"/>
      <c r="E33" s="206"/>
      <c r="F33" s="239"/>
      <c r="G33" s="241">
        <v>3.2669999999999998E-2</v>
      </c>
      <c r="H33" s="211"/>
      <c r="I33" s="210">
        <f t="shared" si="1"/>
        <v>408031.30448013707</v>
      </c>
      <c r="K33" s="210"/>
      <c r="L33" s="241">
        <v>2.5355267210200781E-2</v>
      </c>
      <c r="M33" s="211"/>
      <c r="N33" s="210">
        <f t="shared" si="2"/>
        <v>316674.09719071537</v>
      </c>
      <c r="O33" s="272"/>
      <c r="P33" s="275"/>
    </row>
    <row r="34" spans="1:17" ht="14" x14ac:dyDescent="0.3">
      <c r="A34" s="151">
        <f>IF(B34&lt;&gt;"",COUNTA($B$13:B34),"")</f>
        <v>21</v>
      </c>
      <c r="B34" s="207" t="str">
        <f>+'G1 SOUTH'!B46</f>
        <v>Energy Efficiency Reconciliation Factor</v>
      </c>
      <c r="C34" s="233" t="str">
        <f>+'G1 SOUTH'!C46</f>
        <v>EERF</v>
      </c>
      <c r="D34" s="233"/>
      <c r="E34" s="206"/>
      <c r="F34" s="239"/>
      <c r="G34" s="241">
        <v>8.4600000000000005E-3</v>
      </c>
      <c r="H34" s="211"/>
      <c r="I34" s="210">
        <f t="shared" si="1"/>
        <v>105660.99895628894</v>
      </c>
      <c r="K34" s="210"/>
      <c r="L34" s="281">
        <v>8.4600000000000005E-3</v>
      </c>
      <c r="M34" s="211"/>
      <c r="N34" s="210">
        <f t="shared" si="2"/>
        <v>105660.99895628894</v>
      </c>
      <c r="O34" s="272"/>
      <c r="P34" s="232"/>
    </row>
    <row r="35" spans="1:17" ht="14" x14ac:dyDescent="0.3">
      <c r="A35" s="151">
        <f>IF(B35&lt;&gt;"",COUNTA($B$13:B35),"")</f>
        <v>22</v>
      </c>
      <c r="B35" s="207" t="str">
        <f>+'G1 SOUTH'!B47</f>
        <v>System Benefits Charge</v>
      </c>
      <c r="C35" s="233" t="str">
        <f>+'G1 SOUTH'!C47</f>
        <v>SBC</v>
      </c>
      <c r="D35" s="233"/>
      <c r="E35" s="206"/>
      <c r="F35" s="239"/>
      <c r="G35" s="241">
        <v>2.5000000000000001E-3</v>
      </c>
      <c r="H35" s="211"/>
      <c r="I35" s="210">
        <f t="shared" si="1"/>
        <v>31223.699455168127</v>
      </c>
      <c r="K35" s="210"/>
      <c r="L35" s="281">
        <f>+G35</f>
        <v>2.5000000000000001E-3</v>
      </c>
      <c r="M35" s="211"/>
      <c r="N35" s="210">
        <f t="shared" si="2"/>
        <v>31223.699455168127</v>
      </c>
      <c r="O35" s="272"/>
      <c r="P35" s="275"/>
    </row>
    <row r="36" spans="1:17" ht="14" x14ac:dyDescent="0.3">
      <c r="A36" s="151">
        <f>IF(B36&lt;&gt;"",COUNTA($B$13:B36),"")</f>
        <v>23</v>
      </c>
      <c r="B36" s="207" t="str">
        <f>+'G1 SOUTH'!B48</f>
        <v>Renewable Energy Charge</v>
      </c>
      <c r="C36" s="233" t="str">
        <f>+'G1 SOUTH'!C48</f>
        <v>RNEW</v>
      </c>
      <c r="D36" s="233"/>
      <c r="E36" s="206"/>
      <c r="F36" s="239"/>
      <c r="G36" s="241">
        <v>5.0000000000000001E-4</v>
      </c>
      <c r="H36" s="211"/>
      <c r="I36" s="210">
        <f t="shared" si="1"/>
        <v>6244.7398910336251</v>
      </c>
      <c r="K36" s="210"/>
      <c r="L36" s="281">
        <f>+G36</f>
        <v>5.0000000000000001E-4</v>
      </c>
      <c r="M36" s="211"/>
      <c r="N36" s="210">
        <f t="shared" si="2"/>
        <v>6244.7398910336251</v>
      </c>
      <c r="O36" s="272"/>
      <c r="P36" s="275"/>
    </row>
    <row r="37" spans="1:17" ht="14" x14ac:dyDescent="0.3">
      <c r="A37" s="151">
        <f>IF(B37&lt;&gt;"",COUNTA($B$13:B37),"")</f>
        <v>24</v>
      </c>
      <c r="B37" s="207" t="str">
        <f>+'G1 SOUTH'!B49</f>
        <v>Basic Service Charge</v>
      </c>
      <c r="C37" s="233" t="str">
        <f>+'G1 SOUTH'!C49</f>
        <v>BS</v>
      </c>
      <c r="D37" s="233"/>
      <c r="E37" s="206"/>
      <c r="F37" s="239"/>
      <c r="G37" s="236">
        <v>0.11403000000000001</v>
      </c>
      <c r="H37" s="211"/>
      <c r="I37" s="237">
        <f t="shared" si="1"/>
        <v>1424175.3795491287</v>
      </c>
      <c r="K37" s="210"/>
      <c r="L37" s="281">
        <v>0.13185000000000002</v>
      </c>
      <c r="M37" s="211"/>
      <c r="N37" s="237">
        <f t="shared" si="2"/>
        <v>1646737.9092655673</v>
      </c>
      <c r="O37" s="272"/>
      <c r="P37" s="232"/>
    </row>
    <row r="38" spans="1:17" ht="14" x14ac:dyDescent="0.3">
      <c r="A38" s="151" t="str">
        <f>IF(B38&lt;&gt;"",COUNTA($B$13:B38),"")</f>
        <v/>
      </c>
      <c r="B38" s="207"/>
      <c r="E38" s="206"/>
      <c r="F38" s="239"/>
      <c r="G38" s="241"/>
      <c r="H38" s="211"/>
      <c r="I38" s="244"/>
      <c r="K38" s="210"/>
      <c r="L38" s="281"/>
      <c r="M38" s="211"/>
      <c r="N38" s="244"/>
      <c r="O38" s="272"/>
    </row>
    <row r="39" spans="1:17" ht="14" x14ac:dyDescent="0.3">
      <c r="A39" s="151">
        <f>IF(B39&lt;&gt;"",COUNTA($B$13:B39),"")</f>
        <v>25</v>
      </c>
      <c r="B39" s="188" t="s">
        <v>46</v>
      </c>
      <c r="E39" s="188"/>
      <c r="G39" s="245" t="s">
        <v>324</v>
      </c>
      <c r="H39" s="246"/>
      <c r="I39" s="154">
        <f>SUM(I15:I38)</f>
        <v>2623848.507819064</v>
      </c>
      <c r="K39" s="247"/>
      <c r="L39" s="245"/>
      <c r="N39" s="154">
        <f>SUM(N15:N38)</f>
        <v>2810025.1807178846</v>
      </c>
      <c r="P39" s="154"/>
    </row>
    <row r="40" spans="1:17" ht="14" x14ac:dyDescent="0.3">
      <c r="A40" s="151" t="str">
        <f>IF(B40&lt;&gt;"",COUNTA($B$13:B40),"")</f>
        <v/>
      </c>
      <c r="E40" s="188"/>
      <c r="H40" s="188"/>
      <c r="I40" s="154"/>
      <c r="K40" s="265"/>
      <c r="L40" s="278"/>
      <c r="N40" s="265"/>
      <c r="P40" s="154"/>
    </row>
    <row r="41" spans="1:17" ht="14" x14ac:dyDescent="0.3">
      <c r="A41" s="151">
        <f>IF(B41&lt;&gt;"",COUNTA($B$13:B41),"")</f>
        <v>26</v>
      </c>
      <c r="B41" s="188" t="s">
        <v>46</v>
      </c>
      <c r="E41" s="188"/>
      <c r="G41" s="188"/>
      <c r="H41" s="188"/>
      <c r="I41" s="188"/>
      <c r="J41" s="188"/>
      <c r="L41" s="248" t="s">
        <v>325</v>
      </c>
      <c r="N41" s="160">
        <f>+N39/I39-1</f>
        <v>7.0955572451692372E-2</v>
      </c>
    </row>
    <row r="42" spans="1:17" ht="14" x14ac:dyDescent="0.3">
      <c r="A42" s="151" t="str">
        <f>IF(B42&lt;&gt;"",COUNTA($B$13:B42),"")</f>
        <v/>
      </c>
      <c r="E42" s="188"/>
      <c r="G42" s="188"/>
      <c r="H42" s="188"/>
      <c r="I42" s="188"/>
      <c r="J42" s="188"/>
      <c r="L42" s="248"/>
      <c r="N42" s="160"/>
    </row>
    <row r="43" spans="1:17" ht="14" x14ac:dyDescent="0.3">
      <c r="A43" s="151" t="str">
        <f>IF(B43&lt;&gt;"",COUNTA($B$13:B43),"")</f>
        <v/>
      </c>
      <c r="E43" s="188"/>
      <c r="G43" s="186"/>
      <c r="H43" s="188"/>
      <c r="I43" s="188"/>
      <c r="L43" s="248"/>
      <c r="N43" s="160"/>
    </row>
    <row r="44" spans="1:17" ht="14.5" thickBot="1" x14ac:dyDescent="0.35">
      <c r="A44" s="151">
        <f>IF(B44&lt;&gt;"",COUNTA($B$13:B44),"")</f>
        <v>27</v>
      </c>
      <c r="B44" s="188" t="s">
        <v>46</v>
      </c>
      <c r="E44" s="279" t="s">
        <v>326</v>
      </c>
      <c r="F44" s="135"/>
      <c r="G44" s="280"/>
      <c r="I44" s="279" t="s">
        <v>327</v>
      </c>
      <c r="J44" s="135"/>
      <c r="L44" s="279" t="s">
        <v>328</v>
      </c>
      <c r="M44" s="135"/>
      <c r="N44" s="137"/>
    </row>
    <row r="45" spans="1:17" ht="14" x14ac:dyDescent="0.3">
      <c r="A45" s="151">
        <f>IF(B45&lt;&gt;"",COUNTA($B$13:B45),"")</f>
        <v>28</v>
      </c>
      <c r="B45" s="144" t="s">
        <v>329</v>
      </c>
      <c r="C45" s="144"/>
      <c r="D45" s="144"/>
      <c r="E45" s="249" t="s">
        <v>148</v>
      </c>
      <c r="F45" s="250"/>
      <c r="G45" s="251" t="s">
        <v>330</v>
      </c>
      <c r="I45" s="249" t="s">
        <v>148</v>
      </c>
      <c r="J45" s="251" t="s">
        <v>330</v>
      </c>
      <c r="K45" s="212"/>
      <c r="L45" s="249" t="s">
        <v>148</v>
      </c>
      <c r="M45" s="252"/>
      <c r="N45" s="251" t="s">
        <v>330</v>
      </c>
    </row>
    <row r="46" spans="1:17" ht="14" x14ac:dyDescent="0.3">
      <c r="A46" s="151">
        <f>IF(B46&lt;&gt;"",COUNTA($B$13:B46),"")</f>
        <v>29</v>
      </c>
      <c r="B46" s="130" t="str">
        <f>+'G1 SOUTH'!B58</f>
        <v>Distribution</v>
      </c>
      <c r="C46" s="253" t="str">
        <f>+'G1 SOUTH'!C58</f>
        <v>DIST</v>
      </c>
      <c r="D46" s="253"/>
      <c r="E46" s="154">
        <f t="shared" ref="E46:E61" si="3">SUMIF($C$13:$C$37,$C46,$I$13:$I$37)</f>
        <v>501885.89284583821</v>
      </c>
      <c r="G46" s="254">
        <f>+E46/$E$14*100</f>
        <v>4.0184691564692727</v>
      </c>
      <c r="I46" s="154">
        <f t="shared" ref="I46:I61" si="4">SUMIF($C$13:$C$37,$C46,$N$13:$N$37)</f>
        <v>518621.79575380834</v>
      </c>
      <c r="J46" s="254">
        <f>+I46/$E$14*100</f>
        <v>4.1524691564692731</v>
      </c>
      <c r="L46" s="154">
        <f t="shared" ref="L46:L66" si="5">I46-E46</f>
        <v>16735.902907970129</v>
      </c>
      <c r="N46" s="254">
        <f>+L46/$E$14*100</f>
        <v>0.13400000000000012</v>
      </c>
      <c r="O46" s="272"/>
      <c r="Q46" s="154"/>
    </row>
    <row r="47" spans="1:17" ht="14" x14ac:dyDescent="0.3">
      <c r="A47" s="151">
        <f>IF(B47&lt;&gt;"",COUNTA($B$13:B47),"")</f>
        <v>30</v>
      </c>
      <c r="B47" s="130" t="str">
        <f>+'G1 SOUTH'!B59</f>
        <v>Revenue Decoupling</v>
      </c>
      <c r="C47" s="253" t="str">
        <f>+'G1 SOUTH'!C59</f>
        <v>RDAF</v>
      </c>
      <c r="D47" s="253"/>
      <c r="E47" s="154">
        <f t="shared" si="3"/>
        <v>0</v>
      </c>
      <c r="G47" s="254">
        <f t="shared" ref="G47:G67" si="6">+E47/$E$14*100</f>
        <v>0</v>
      </c>
      <c r="I47" s="154">
        <f t="shared" si="4"/>
        <v>-4979.1145597581899</v>
      </c>
      <c r="J47" s="254">
        <f t="shared" ref="J47:J67" si="7">+I47/$E$14*100</f>
        <v>-3.9866468793258655E-2</v>
      </c>
      <c r="L47" s="154">
        <f>I47-E47</f>
        <v>-4979.1145597581899</v>
      </c>
      <c r="N47" s="254">
        <f t="shared" ref="N47:N67" si="8">+L47/$E$14*100</f>
        <v>-3.9866468793258655E-2</v>
      </c>
      <c r="O47" s="272"/>
      <c r="Q47" s="154"/>
    </row>
    <row r="48" spans="1:17" ht="14" x14ac:dyDescent="0.3">
      <c r="A48" s="151">
        <f>IF(B48&lt;&gt;"",COUNTA($B$13:B48),"")</f>
        <v>31</v>
      </c>
      <c r="B48" s="130" t="str">
        <f>+'G1 SOUTH'!B60</f>
        <v>Residential Assistance Adjustment Factor</v>
      </c>
      <c r="C48" s="253" t="str">
        <f>+'G1 SOUTH'!C60</f>
        <v>RAAF</v>
      </c>
      <c r="D48" s="253"/>
      <c r="E48" s="154">
        <f t="shared" si="3"/>
        <v>30599.225466064763</v>
      </c>
      <c r="G48" s="254">
        <f t="shared" si="6"/>
        <v>0.245</v>
      </c>
      <c r="I48" s="154">
        <f t="shared" si="4"/>
        <v>42064.898899443513</v>
      </c>
      <c r="J48" s="254">
        <f t="shared" si="7"/>
        <v>0.33680265017796407</v>
      </c>
      <c r="L48" s="154">
        <f t="shared" si="5"/>
        <v>11465.67343337875</v>
      </c>
      <c r="N48" s="254">
        <f t="shared" si="8"/>
        <v>9.1802650177964087E-2</v>
      </c>
      <c r="O48" s="272"/>
      <c r="Q48" s="154"/>
    </row>
    <row r="49" spans="1:17" ht="14" x14ac:dyDescent="0.3">
      <c r="A49" s="151">
        <f>IF(B49&lt;&gt;"",COUNTA($B$13:B49),"")</f>
        <v>32</v>
      </c>
      <c r="B49" s="130" t="str">
        <f>+'G1 SOUTH'!B61</f>
        <v>Pension Adjustment Factor</v>
      </c>
      <c r="C49" s="253" t="str">
        <f>+'G1 SOUTH'!C61</f>
        <v>PAF</v>
      </c>
      <c r="D49" s="253"/>
      <c r="E49" s="154">
        <f t="shared" si="3"/>
        <v>-1748.527169489415</v>
      </c>
      <c r="G49" s="254">
        <f t="shared" si="6"/>
        <v>-1.3999999999999999E-2</v>
      </c>
      <c r="I49" s="154">
        <f t="shared" si="4"/>
        <v>16114.168558278512</v>
      </c>
      <c r="J49" s="254">
        <f t="shared" si="7"/>
        <v>0.12902193557665784</v>
      </c>
      <c r="L49" s="154">
        <f t="shared" si="5"/>
        <v>17862.695727767928</v>
      </c>
      <c r="N49" s="254">
        <f t="shared" si="8"/>
        <v>0.14302193557665785</v>
      </c>
      <c r="O49" s="272"/>
      <c r="Q49" s="154"/>
    </row>
    <row r="50" spans="1:17" ht="14" x14ac:dyDescent="0.3">
      <c r="A50" s="151">
        <f>IF(B50&lt;&gt;"",COUNTA($B$13:B50),"")</f>
        <v>33</v>
      </c>
      <c r="B50" s="130" t="str">
        <f>+'G1 SOUTH'!B62</f>
        <v>Net Metering Recovery Surcharge</v>
      </c>
      <c r="C50" s="253" t="str">
        <f>+'G1 SOUTH'!C62</f>
        <v>NMRS</v>
      </c>
      <c r="D50" s="253"/>
      <c r="E50" s="154">
        <f t="shared" si="3"/>
        <v>60324.187347384817</v>
      </c>
      <c r="G50" s="254">
        <f t="shared" si="6"/>
        <v>0.48299999999999998</v>
      </c>
      <c r="I50" s="154">
        <f t="shared" si="4"/>
        <v>54849.253974617721</v>
      </c>
      <c r="J50" s="254">
        <f t="shared" si="7"/>
        <v>0.4391636395726573</v>
      </c>
      <c r="L50" s="154">
        <f t="shared" si="5"/>
        <v>-5474.9333727670964</v>
      </c>
      <c r="N50" s="254">
        <f t="shared" si="8"/>
        <v>-4.3836360427342708E-2</v>
      </c>
      <c r="O50" s="272"/>
      <c r="Q50" s="154"/>
    </row>
    <row r="51" spans="1:17" ht="14" x14ac:dyDescent="0.3">
      <c r="A51" s="151">
        <f>IF(B51&lt;&gt;"",COUNTA($B$13:B51),"")</f>
        <v>34</v>
      </c>
      <c r="B51" s="130" t="str">
        <f>+'G1 SOUTH'!B63</f>
        <v>Long Term Renewable Contract Adjustment</v>
      </c>
      <c r="C51" s="253" t="str">
        <f>+'G1 SOUTH'!C63</f>
        <v>LTRCA</v>
      </c>
      <c r="D51" s="253"/>
      <c r="E51" s="154">
        <f t="shared" si="3"/>
        <v>29475.172285678713</v>
      </c>
      <c r="G51" s="254">
        <f t="shared" si="6"/>
        <v>0.23600000000000002</v>
      </c>
      <c r="I51" s="154">
        <f t="shared" si="4"/>
        <v>21678.150899833236</v>
      </c>
      <c r="J51" s="254">
        <f t="shared" si="7"/>
        <v>0.17357128782064518</v>
      </c>
      <c r="L51" s="154">
        <f t="shared" si="5"/>
        <v>-7797.0213858454772</v>
      </c>
      <c r="N51" s="254">
        <f t="shared" si="8"/>
        <v>-6.2428712179354827E-2</v>
      </c>
      <c r="O51" s="272"/>
      <c r="Q51" s="154"/>
    </row>
    <row r="52" spans="1:17" ht="14" x14ac:dyDescent="0.3">
      <c r="A52" s="151">
        <f>IF(B52&lt;&gt;"",COUNTA($B$13:B52),"")</f>
        <v>35</v>
      </c>
      <c r="B52" s="130" t="str">
        <f>+'G1 SOUTH'!B64</f>
        <v>AG Consulting Expense</v>
      </c>
      <c r="C52" s="253" t="str">
        <f>+'G1 SOUTH'!C64</f>
        <v>AGCE</v>
      </c>
      <c r="D52" s="253"/>
      <c r="E52" s="154">
        <f t="shared" si="3"/>
        <v>374.68439346201751</v>
      </c>
      <c r="G52" s="254">
        <f t="shared" si="6"/>
        <v>3.0000000000000001E-3</v>
      </c>
      <c r="I52" s="154">
        <f t="shared" si="4"/>
        <v>88.320596163048592</v>
      </c>
      <c r="J52" s="254">
        <f t="shared" si="7"/>
        <v>7.07159927428377E-4</v>
      </c>
      <c r="L52" s="154">
        <f t="shared" si="5"/>
        <v>-286.3637972989689</v>
      </c>
      <c r="N52" s="254">
        <f t="shared" si="8"/>
        <v>-2.2928400725716227E-3</v>
      </c>
      <c r="O52" s="272"/>
      <c r="Q52" s="154"/>
    </row>
    <row r="53" spans="1:17" ht="14" x14ac:dyDescent="0.3">
      <c r="A53" s="151">
        <f>IF(B53&lt;&gt;"",COUNTA($B$13:B53),"")</f>
        <v>36</v>
      </c>
      <c r="B53" s="130" t="str">
        <f>+'G1 SOUTH'!B65</f>
        <v>Storm Cost Recovery Adjustment Factor</v>
      </c>
      <c r="C53" s="253" t="str">
        <f>+'G1 SOUTH'!C65</f>
        <v>SCRA</v>
      </c>
      <c r="D53" s="253"/>
      <c r="E53" s="154">
        <f t="shared" si="3"/>
        <v>18859.114470921548</v>
      </c>
      <c r="G53" s="254">
        <f t="shared" si="6"/>
        <v>0.151</v>
      </c>
      <c r="I53" s="154">
        <f t="shared" si="4"/>
        <v>31813.008137295852</v>
      </c>
      <c r="J53" s="254">
        <f t="shared" si="7"/>
        <v>0.25471844057887721</v>
      </c>
      <c r="L53" s="154">
        <f>I53-E53</f>
        <v>12953.893666374304</v>
      </c>
      <c r="N53" s="254">
        <f t="shared" si="8"/>
        <v>0.10371844057887722</v>
      </c>
      <c r="O53" s="272"/>
      <c r="Q53" s="154"/>
    </row>
    <row r="54" spans="1:17" ht="14" x14ac:dyDescent="0.3">
      <c r="A54" s="151">
        <f>IF(B54&lt;&gt;"",COUNTA($B$13:B54),"")</f>
        <v>37</v>
      </c>
      <c r="B54" s="130" t="str">
        <f>+'G1 SOUTH'!B66</f>
        <v>Storm Reserve Adjustment</v>
      </c>
      <c r="C54" s="253" t="str">
        <f>+'G1 SOUTH'!C66</f>
        <v>SRA</v>
      </c>
      <c r="D54" s="253"/>
      <c r="E54" s="154">
        <f t="shared" si="3"/>
        <v>0</v>
      </c>
      <c r="G54" s="254">
        <f t="shared" si="6"/>
        <v>0</v>
      </c>
      <c r="I54" s="154">
        <f t="shared" si="4"/>
        <v>0</v>
      </c>
      <c r="J54" s="254">
        <f t="shared" si="7"/>
        <v>0</v>
      </c>
      <c r="L54" s="154">
        <f>I54-E54</f>
        <v>0</v>
      </c>
      <c r="N54" s="254">
        <f t="shared" si="8"/>
        <v>0</v>
      </c>
      <c r="O54" s="272"/>
      <c r="Q54" s="154"/>
    </row>
    <row r="55" spans="1:17" ht="14" x14ac:dyDescent="0.3">
      <c r="A55" s="151">
        <f>IF(B55&lt;&gt;"",COUNTA($B$13:B55),"")</f>
        <v>38</v>
      </c>
      <c r="B55" s="130" t="str">
        <f>+'G1 SOUTH'!B67</f>
        <v>Basic Service Cost True Up Factor</v>
      </c>
      <c r="C55" s="253" t="str">
        <f>+'G1 SOUTH'!C67</f>
        <v>BSTF</v>
      </c>
      <c r="D55" s="253"/>
      <c r="E55" s="154">
        <f t="shared" si="3"/>
        <v>16361.218514508098</v>
      </c>
      <c r="G55" s="254">
        <f t="shared" si="6"/>
        <v>0.13100000000000001</v>
      </c>
      <c r="I55" s="154">
        <f t="shared" si="4"/>
        <v>-2087.3633615738486</v>
      </c>
      <c r="J55" s="254">
        <f t="shared" si="7"/>
        <v>-1.6712972821902032E-2</v>
      </c>
      <c r="L55" s="154">
        <f>I55-E55</f>
        <v>-18448.581876081946</v>
      </c>
      <c r="N55" s="254">
        <f t="shared" si="8"/>
        <v>-0.14771297282190202</v>
      </c>
      <c r="O55" s="272"/>
      <c r="Q55" s="154"/>
    </row>
    <row r="56" spans="1:17" ht="14" x14ac:dyDescent="0.3">
      <c r="A56" s="151">
        <f>IF(B56&lt;&gt;"",COUNTA($B$13:B56),"")</f>
        <v>39</v>
      </c>
      <c r="B56" s="130" t="str">
        <f>+'G1 SOUTH'!B68</f>
        <v>Solar Program Cost Adjustment Factor</v>
      </c>
      <c r="C56" s="253" t="str">
        <f>+'G1 SOUTH'!C68</f>
        <v>SPCA</v>
      </c>
      <c r="D56" s="253"/>
      <c r="E56" s="154">
        <f t="shared" si="3"/>
        <v>0</v>
      </c>
      <c r="G56" s="254">
        <f t="shared" si="6"/>
        <v>0</v>
      </c>
      <c r="I56" s="154">
        <f t="shared" si="4"/>
        <v>371.47661372891804</v>
      </c>
      <c r="J56" s="254">
        <f t="shared" si="7"/>
        <v>2.9743161461560212E-3</v>
      </c>
      <c r="L56" s="154">
        <f t="shared" si="5"/>
        <v>371.47661372891804</v>
      </c>
      <c r="N56" s="254">
        <f t="shared" si="8"/>
        <v>2.9743161461560212E-3</v>
      </c>
      <c r="Q56" s="154"/>
    </row>
    <row r="57" spans="1:17" ht="14" x14ac:dyDescent="0.3">
      <c r="A57" s="151">
        <f>IF(B57&lt;&gt;"",COUNTA($B$13:B57),"")</f>
        <v>40</v>
      </c>
      <c r="B57" s="130" t="str">
        <f>+'G1 SOUTH'!B69</f>
        <v>Solar Expansion Cost Recovery Factor</v>
      </c>
      <c r="C57" s="253" t="str">
        <f>+'G1 SOUTH'!C69</f>
        <v>SECRF</v>
      </c>
      <c r="D57" s="253"/>
      <c r="E57" s="154">
        <f t="shared" si="3"/>
        <v>0</v>
      </c>
      <c r="G57" s="254">
        <f t="shared" si="6"/>
        <v>0</v>
      </c>
      <c r="I57" s="154">
        <f t="shared" si="4"/>
        <v>6551.9976295127144</v>
      </c>
      <c r="J57" s="254">
        <f t="shared" si="7"/>
        <v>5.2460132398150471E-2</v>
      </c>
      <c r="L57" s="154">
        <f t="shared" si="5"/>
        <v>6551.9976295127144</v>
      </c>
      <c r="N57" s="254">
        <f t="shared" si="8"/>
        <v>5.2460132398150471E-2</v>
      </c>
      <c r="Q57" s="154"/>
    </row>
    <row r="58" spans="1:17" ht="14" x14ac:dyDescent="0.3">
      <c r="A58" s="151">
        <f>IF(B58&lt;&gt;"",COUNTA($B$13:B58),"")</f>
        <v>41</v>
      </c>
      <c r="B58" s="130" t="str">
        <f>+'G1 SOUTH'!B70</f>
        <v>Vegetation Management</v>
      </c>
      <c r="C58" s="253" t="str">
        <f>+'G1 SOUTH'!C70</f>
        <v>RTWF</v>
      </c>
      <c r="D58" s="253"/>
      <c r="E58" s="154">
        <f t="shared" si="3"/>
        <v>0</v>
      </c>
      <c r="G58" s="254">
        <f t="shared" si="6"/>
        <v>0</v>
      </c>
      <c r="I58" s="154">
        <f t="shared" si="4"/>
        <v>28849.808054307665</v>
      </c>
      <c r="J58" s="254">
        <f t="shared" si="7"/>
        <v>0.23099287206286237</v>
      </c>
      <c r="L58" s="154">
        <f t="shared" si="5"/>
        <v>28849.808054307665</v>
      </c>
      <c r="N58" s="254">
        <f t="shared" si="8"/>
        <v>0.23099287206286237</v>
      </c>
      <c r="Q58" s="154"/>
    </row>
    <row r="59" spans="1:17" ht="14" x14ac:dyDescent="0.3">
      <c r="A59" s="151">
        <f>IF(B59&lt;&gt;"",COUNTA($B$13:B59),"")</f>
        <v>42</v>
      </c>
      <c r="B59" s="130" t="str">
        <f>+'G1 SOUTH'!B71</f>
        <v>Solar Massachusetts Renewable Target</v>
      </c>
      <c r="C59" s="253" t="str">
        <f>+'G1 SOUTH'!C71</f>
        <v>SMART</v>
      </c>
      <c r="D59" s="253"/>
      <c r="E59" s="154">
        <f t="shared" si="3"/>
        <v>0</v>
      </c>
      <c r="G59" s="254">
        <f t="shared" si="6"/>
        <v>0</v>
      </c>
      <c r="I59" s="154">
        <f t="shared" si="4"/>
        <v>7676.5846547248066</v>
      </c>
      <c r="J59" s="254">
        <f t="shared" si="7"/>
        <v>6.1464406754131305E-2</v>
      </c>
      <c r="L59" s="154">
        <f t="shared" si="5"/>
        <v>7676.5846547248066</v>
      </c>
      <c r="N59" s="254">
        <f t="shared" si="8"/>
        <v>6.1464406754131305E-2</v>
      </c>
      <c r="Q59" s="154"/>
    </row>
    <row r="60" spans="1:17" ht="14" x14ac:dyDescent="0.3">
      <c r="A60" s="151">
        <f>IF(B60&lt;&gt;"",COUNTA($B$13:B60),"")</f>
        <v>43</v>
      </c>
      <c r="B60" s="130" t="str">
        <f>+'G1 SOUTH'!B72</f>
        <v>Tax Act Credit Factor</v>
      </c>
      <c r="C60" s="253" t="str">
        <f>+'G1 SOUTH'!C72</f>
        <v>TACF</v>
      </c>
      <c r="D60" s="253"/>
      <c r="E60" s="154">
        <f t="shared" si="3"/>
        <v>0</v>
      </c>
      <c r="G60" s="254">
        <f t="shared" si="6"/>
        <v>0</v>
      </c>
      <c r="I60" s="154">
        <f t="shared" si="4"/>
        <v>-11621.06673</v>
      </c>
      <c r="J60" s="254">
        <f t="shared" si="7"/>
        <v>-9.3046843685882397E-2</v>
      </c>
      <c r="L60" s="154">
        <f t="shared" si="5"/>
        <v>-11621.06673</v>
      </c>
      <c r="N60" s="254">
        <f t="shared" si="8"/>
        <v>-9.3046843685882397E-2</v>
      </c>
      <c r="Q60" s="154"/>
    </row>
    <row r="61" spans="1:17" ht="14" x14ac:dyDescent="0.3">
      <c r="A61" s="151">
        <f>IF(B61&lt;&gt;"",COUNTA($B$13:B61),"")</f>
        <v>44</v>
      </c>
      <c r="B61" s="130" t="str">
        <f>+'G1 SOUTH'!B73</f>
        <v>Transition</v>
      </c>
      <c r="C61" s="253" t="str">
        <f>+'G1 SOUTH'!C73</f>
        <v>TRNSN</v>
      </c>
      <c r="D61" s="253"/>
      <c r="E61" s="154">
        <f t="shared" si="3"/>
        <v>-7618.5826670610222</v>
      </c>
      <c r="G61" s="254">
        <f t="shared" si="6"/>
        <v>-6.0999999999999999E-2</v>
      </c>
      <c r="I61" s="154">
        <f t="shared" si="4"/>
        <v>-6508.1831612711567</v>
      </c>
      <c r="J61" s="254">
        <f t="shared" si="7"/>
        <v>-5.2109321403568713E-2</v>
      </c>
      <c r="L61" s="154">
        <f t="shared" si="5"/>
        <v>1110.3995057898655</v>
      </c>
      <c r="N61" s="254">
        <f t="shared" si="8"/>
        <v>8.8906785964312837E-3</v>
      </c>
      <c r="Q61" s="154"/>
    </row>
    <row r="62" spans="1:17" ht="14" x14ac:dyDescent="0.3">
      <c r="A62" s="151">
        <f>IF(B62&lt;&gt;"",COUNTA($B$13:B62),"")</f>
        <v>45</v>
      </c>
      <c r="B62" s="130" t="str">
        <f>+'G1 SOUTH'!B74</f>
        <v>Transmission</v>
      </c>
      <c r="C62" s="253" t="str">
        <f>+'G1 SOUTH'!C74</f>
        <v>TRNSM</v>
      </c>
      <c r="D62" s="253"/>
      <c r="E62" s="154">
        <f>SUM(SUMIF($C$13:$C$37,{"TMKW","TMKWH"},$I$13:$I$37))</f>
        <v>408031.30448013707</v>
      </c>
      <c r="G62" s="254">
        <f t="shared" si="6"/>
        <v>3.2669999999999999</v>
      </c>
      <c r="I62" s="154">
        <f>SUM(SUMIF($C$13:$C$37,{"TMKW","TMKWH"},$N$13:$N$37))</f>
        <v>316674.09719071537</v>
      </c>
      <c r="J62" s="254">
        <f t="shared" si="7"/>
        <v>2.5355267210200783</v>
      </c>
      <c r="L62" s="154">
        <f t="shared" si="5"/>
        <v>-91357.207289421698</v>
      </c>
      <c r="N62" s="254">
        <f t="shared" si="8"/>
        <v>-0.73147327897992176</v>
      </c>
      <c r="Q62" s="154"/>
    </row>
    <row r="63" spans="1:17" ht="14" x14ac:dyDescent="0.3">
      <c r="A63" s="151">
        <f>IF(B63&lt;&gt;"",COUNTA($B$13:B63),"")</f>
        <v>46</v>
      </c>
      <c r="B63" s="130" t="str">
        <f>+'G1 SOUTH'!B75</f>
        <v>Energy Efficiency Reconciliation Factor</v>
      </c>
      <c r="C63" s="253" t="str">
        <f>+'G1 SOUTH'!C75</f>
        <v>EERF</v>
      </c>
      <c r="D63" s="253"/>
      <c r="E63" s="154">
        <f>SUMIF($C$13:$C$37,$C63,$I$13:$I$37)</f>
        <v>105660.99895628894</v>
      </c>
      <c r="G63" s="254">
        <f t="shared" si="6"/>
        <v>0.84600000000000009</v>
      </c>
      <c r="I63" s="154">
        <f>SUMIF($C$13:$C$37,$C63,$N$13:$N$37)</f>
        <v>105660.99895628894</v>
      </c>
      <c r="J63" s="254">
        <f t="shared" si="7"/>
        <v>0.84600000000000009</v>
      </c>
      <c r="L63" s="154">
        <f t="shared" si="5"/>
        <v>0</v>
      </c>
      <c r="N63" s="254">
        <f t="shared" si="8"/>
        <v>0</v>
      </c>
      <c r="Q63" s="154"/>
    </row>
    <row r="64" spans="1:17" ht="14" x14ac:dyDescent="0.3">
      <c r="A64" s="151">
        <f>IF(B64&lt;&gt;"",COUNTA($B$13:B64),"")</f>
        <v>47</v>
      </c>
      <c r="B64" s="130" t="str">
        <f>+'G1 SOUTH'!B76</f>
        <v>System Benefits Charge</v>
      </c>
      <c r="C64" s="253" t="str">
        <f>+'G1 SOUTH'!C76</f>
        <v>SBC</v>
      </c>
      <c r="D64" s="253"/>
      <c r="E64" s="154">
        <f>SUMIF($C$13:$C$37,$C64,$I$13:$I$37)</f>
        <v>31223.699455168127</v>
      </c>
      <c r="G64" s="254">
        <f t="shared" si="6"/>
        <v>0.25</v>
      </c>
      <c r="I64" s="154">
        <f>SUMIF($C$13:$C$37,$C64,$N$13:$N$37)</f>
        <v>31223.699455168127</v>
      </c>
      <c r="J64" s="254">
        <f t="shared" si="7"/>
        <v>0.25</v>
      </c>
      <c r="L64" s="154">
        <f t="shared" si="5"/>
        <v>0</v>
      </c>
      <c r="N64" s="254">
        <f t="shared" si="8"/>
        <v>0</v>
      </c>
      <c r="Q64" s="154"/>
    </row>
    <row r="65" spans="1:17" ht="14" x14ac:dyDescent="0.3">
      <c r="A65" s="151">
        <f>IF(B65&lt;&gt;"",COUNTA($B$13:B65),"")</f>
        <v>48</v>
      </c>
      <c r="B65" s="130" t="str">
        <f>+'G1 SOUTH'!B77</f>
        <v>Renewable Energy Charge</v>
      </c>
      <c r="C65" s="253" t="str">
        <f>+'G1 SOUTH'!C77</f>
        <v>RNEW</v>
      </c>
      <c r="D65" s="253"/>
      <c r="E65" s="154">
        <f>SUMIF($C$13:$C$37,$C65,$I$13:$I$37)</f>
        <v>6244.7398910336251</v>
      </c>
      <c r="G65" s="254">
        <f t="shared" si="6"/>
        <v>0.05</v>
      </c>
      <c r="I65" s="154">
        <f>SUMIF($C$13:$C$37,$C65,$N$13:$N$37)</f>
        <v>6244.7398910336251</v>
      </c>
      <c r="J65" s="254">
        <f t="shared" si="7"/>
        <v>0.05</v>
      </c>
      <c r="L65" s="154">
        <f>I65-E65</f>
        <v>0</v>
      </c>
      <c r="N65" s="254">
        <f t="shared" si="8"/>
        <v>0</v>
      </c>
      <c r="Q65" s="154"/>
    </row>
    <row r="66" spans="1:17" ht="14" x14ac:dyDescent="0.3">
      <c r="A66" s="151">
        <f>IF(B66&lt;&gt;"",COUNTA($B$13:B66),"")</f>
        <v>49</v>
      </c>
      <c r="B66" s="130" t="str">
        <f>+'G1 SOUTH'!B78</f>
        <v>Basic Service Charge</v>
      </c>
      <c r="C66" s="253" t="str">
        <f>+'G1 SOUTH'!C78</f>
        <v>BS</v>
      </c>
      <c r="D66" s="253"/>
      <c r="E66" s="255">
        <f>SUMIF($C$13:$C$37,$C66,$I$13:$I$37)</f>
        <v>1424175.3795491287</v>
      </c>
      <c r="F66" s="256"/>
      <c r="G66" s="257">
        <f t="shared" si="6"/>
        <v>11.403</v>
      </c>
      <c r="H66" s="258"/>
      <c r="I66" s="255">
        <f>SUMIF($C$13:$C$37,$C66,$N$13:$N$37)</f>
        <v>1646737.9092655673</v>
      </c>
      <c r="J66" s="257">
        <f t="shared" si="7"/>
        <v>13.185000000000002</v>
      </c>
      <c r="K66" s="255"/>
      <c r="L66" s="255">
        <f t="shared" si="5"/>
        <v>222562.52971643861</v>
      </c>
      <c r="M66" s="259"/>
      <c r="N66" s="257">
        <f t="shared" si="8"/>
        <v>1.7820000000000016</v>
      </c>
      <c r="Q66" s="154"/>
    </row>
    <row r="67" spans="1:17" ht="14" x14ac:dyDescent="0.3">
      <c r="A67" s="151">
        <f>IF(B67&lt;&gt;"",COUNTA($B$13:B67),"")</f>
        <v>50</v>
      </c>
      <c r="B67" s="130" t="str">
        <f>+'G1 SOUTH'!B79</f>
        <v>Total</v>
      </c>
      <c r="C67" s="130"/>
      <c r="D67" s="130"/>
      <c r="E67" s="154">
        <f>SUM(E46:E66)</f>
        <v>2623848.507819064</v>
      </c>
      <c r="G67" s="254">
        <f t="shared" si="6"/>
        <v>21.008469156469271</v>
      </c>
      <c r="I67" s="154">
        <f>SUM(I46:I66)</f>
        <v>2810025.1807178846</v>
      </c>
      <c r="J67" s="254">
        <f t="shared" si="7"/>
        <v>22.499137111800273</v>
      </c>
      <c r="L67" s="154">
        <f>SUM(L46:L66)</f>
        <v>186176.67289882031</v>
      </c>
      <c r="N67" s="254">
        <f t="shared" si="8"/>
        <v>1.4906679553309983</v>
      </c>
      <c r="Q67" s="154"/>
    </row>
    <row r="68" spans="1:17" ht="14" x14ac:dyDescent="0.3">
      <c r="A68" s="151" t="str">
        <f>IF(B68&lt;&gt;"",COUNTA($B$13:B68),"")</f>
        <v/>
      </c>
      <c r="Q68" s="154"/>
    </row>
    <row r="69" spans="1:17" ht="14" x14ac:dyDescent="0.3">
      <c r="A69" s="151"/>
      <c r="B69" s="256" t="s">
        <v>164</v>
      </c>
      <c r="E69" s="188"/>
      <c r="G69" s="188"/>
      <c r="H69" s="188"/>
      <c r="I69" s="188"/>
      <c r="J69" s="188"/>
      <c r="K69" s="188"/>
      <c r="L69" s="188"/>
      <c r="M69" s="188"/>
      <c r="N69" s="188"/>
      <c r="Q69" s="154"/>
    </row>
    <row r="70" spans="1:17" ht="14" x14ac:dyDescent="0.3">
      <c r="A70" s="151"/>
      <c r="B70" s="130" t="str">
        <f>+'G1 SOUTH'!B82</f>
        <v>Col. (a): Company Forecast</v>
      </c>
      <c r="Q70" s="154"/>
    </row>
    <row r="71" spans="1:17" ht="14" x14ac:dyDescent="0.3">
      <c r="A71" s="151"/>
      <c r="B71" s="130" t="str">
        <f>+'G1 SOUTH'!B83</f>
        <v>Col. (b): Current rates</v>
      </c>
      <c r="Q71" s="154"/>
    </row>
    <row r="72" spans="1:17" ht="14" x14ac:dyDescent="0.3">
      <c r="A72" s="151"/>
      <c r="B72" s="130" t="str">
        <f>+'G1 SOUTH'!B84</f>
        <v>Col. (c): Col. (a) x Col. (b)</v>
      </c>
    </row>
    <row r="73" spans="1:17" ht="14" x14ac:dyDescent="0.3">
      <c r="A73" s="151"/>
      <c r="B73" s="130" t="str">
        <f>+'G1 SOUTH'!B85</f>
        <v>Col. (e) Proposed rates</v>
      </c>
    </row>
    <row r="74" spans="1:17" ht="14" x14ac:dyDescent="0.3">
      <c r="A74" s="151"/>
      <c r="B74" s="130" t="s">
        <v>426</v>
      </c>
    </row>
  </sheetData>
  <mergeCells count="6">
    <mergeCell ref="A4:N4"/>
    <mergeCell ref="A5:N5"/>
    <mergeCell ref="A7:N7"/>
    <mergeCell ref="A8:N8"/>
    <mergeCell ref="G10:I10"/>
    <mergeCell ref="L10:N10"/>
  </mergeCells>
  <pageMargins left="0.7" right="0.7" top="0.75" bottom="0.75" header="0.3" footer="0.3"/>
  <pageSetup scale="67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3FEF0-8A5E-4435-8248-779EB145B4AE}">
  <sheetPr>
    <tabColor theme="9" tint="0.59999389629810485"/>
    <pageSetUpPr fitToPage="1"/>
  </sheetPr>
  <dimension ref="A3:Q74"/>
  <sheetViews>
    <sheetView workbookViewId="0"/>
  </sheetViews>
  <sheetFormatPr defaultRowHeight="12.5" x14ac:dyDescent="0.25"/>
  <cols>
    <col min="1" max="1" width="3.26953125" bestFit="1" customWidth="1"/>
    <col min="2" max="2" width="41.1796875" customWidth="1"/>
    <col min="3" max="3" width="8.81640625" bestFit="1" customWidth="1"/>
    <col min="4" max="4" width="1.26953125" customWidth="1"/>
    <col min="5" max="5" width="13.7265625" bestFit="1" customWidth="1"/>
    <col min="6" max="6" width="1.26953125" customWidth="1"/>
    <col min="7" max="7" width="12.7265625" customWidth="1"/>
    <col min="8" max="8" width="1.26953125" customWidth="1"/>
    <col min="9" max="9" width="10.26953125" bestFit="1" customWidth="1"/>
    <col min="11" max="11" width="1.26953125" customWidth="1"/>
    <col min="12" max="12" width="12.7265625" customWidth="1"/>
    <col min="13" max="13" width="1.26953125" customWidth="1"/>
    <col min="14" max="14" width="11" bestFit="1" customWidth="1"/>
  </cols>
  <sheetData>
    <row r="3" spans="1:17" ht="14" x14ac:dyDescent="0.3">
      <c r="A3" s="268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</row>
    <row r="4" spans="1:17" ht="14" x14ac:dyDescent="0.3">
      <c r="A4" s="748" t="str">
        <f>'R1 EMA'!A4:N4</f>
        <v>Eastern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7" ht="14" x14ac:dyDescent="0.3">
      <c r="A5" s="748" t="str">
        <f>'R1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7" ht="14" x14ac:dyDescent="0.3">
      <c r="A6" s="205"/>
      <c r="C6" s="205"/>
      <c r="D6" s="205"/>
      <c r="E6" s="206"/>
      <c r="F6" s="207"/>
      <c r="G6" s="208"/>
      <c r="H6" s="209"/>
      <c r="I6" s="210"/>
      <c r="J6" s="210"/>
      <c r="K6" s="210"/>
      <c r="L6" s="211"/>
      <c r="M6" s="211"/>
      <c r="N6" s="212"/>
    </row>
    <row r="7" spans="1:17" ht="14" x14ac:dyDescent="0.3">
      <c r="A7" s="748" t="s">
        <v>476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7" ht="14" x14ac:dyDescent="0.3">
      <c r="A8" s="748" t="s">
        <v>503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7" ht="14" x14ac:dyDescent="0.3">
      <c r="B9" s="207"/>
      <c r="C9" s="207"/>
      <c r="D9" s="207"/>
      <c r="E9" s="213"/>
      <c r="F9" s="207"/>
      <c r="I9" s="210"/>
      <c r="J9" s="210"/>
      <c r="K9" s="210"/>
      <c r="L9" s="214"/>
      <c r="M9" s="214"/>
      <c r="N9" s="215"/>
    </row>
    <row r="10" spans="1:17" ht="14.5" thickBot="1" x14ac:dyDescent="0.35">
      <c r="A10" s="151"/>
      <c r="B10" s="216" t="s">
        <v>46</v>
      </c>
      <c r="C10" s="216"/>
      <c r="D10" s="216"/>
      <c r="E10" s="217" t="s">
        <v>144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7" ht="14" x14ac:dyDescent="0.3">
      <c r="A11" s="151"/>
      <c r="B11" s="219" t="s">
        <v>293</v>
      </c>
      <c r="C11" s="220" t="s">
        <v>294</v>
      </c>
      <c r="D11" s="220"/>
      <c r="E11" s="221" t="s">
        <v>295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7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7" ht="14" x14ac:dyDescent="0.3">
      <c r="A13" s="151">
        <f>IF(B13&lt;&gt;"",COUNTA($B$13:B13),"")</f>
        <v>1</v>
      </c>
      <c r="B13" s="232" t="s">
        <v>296</v>
      </c>
      <c r="C13" s="233" t="s">
        <v>297</v>
      </c>
      <c r="D13" s="233"/>
      <c r="E13" s="234">
        <v>77.426512622658436</v>
      </c>
      <c r="F13" s="207"/>
      <c r="G13" s="209">
        <v>30</v>
      </c>
      <c r="H13" s="209"/>
      <c r="I13" s="210">
        <f>G13*E13</f>
        <v>2322.795378679753</v>
      </c>
      <c r="J13" s="235"/>
      <c r="K13" s="210"/>
      <c r="L13" s="209">
        <v>30</v>
      </c>
      <c r="M13" s="211"/>
      <c r="N13" s="210">
        <f>L13*E13</f>
        <v>2322.795378679753</v>
      </c>
      <c r="O13" s="272"/>
      <c r="P13" s="234"/>
      <c r="Q13" s="154"/>
    </row>
    <row r="14" spans="1:17" ht="14" x14ac:dyDescent="0.3">
      <c r="A14" s="151">
        <f>IF(B14&lt;&gt;"",COUNTA($B$13:B14),"")</f>
        <v>2</v>
      </c>
      <c r="B14" s="207" t="s">
        <v>298</v>
      </c>
      <c r="C14" s="233" t="s">
        <v>299</v>
      </c>
      <c r="D14" s="233"/>
      <c r="E14" s="234">
        <v>4068827.6287779063</v>
      </c>
      <c r="F14" s="207"/>
      <c r="G14" s="236">
        <v>1.6330000000000001E-2</v>
      </c>
      <c r="H14" s="209"/>
      <c r="I14" s="237">
        <f>G14*E14</f>
        <v>66443.955177943208</v>
      </c>
      <c r="J14" s="235"/>
      <c r="K14" s="210"/>
      <c r="L14" s="236">
        <v>1.6889999999999999E-2</v>
      </c>
      <c r="M14" s="211"/>
      <c r="N14" s="237">
        <f t="shared" ref="N14" si="0">L14*E14</f>
        <v>68722.498650058827</v>
      </c>
      <c r="O14" s="272"/>
      <c r="P14" s="273"/>
    </row>
    <row r="15" spans="1:17" ht="14" x14ac:dyDescent="0.3">
      <c r="A15" s="151">
        <f>IF(B15&lt;&gt;"",COUNTA($B$13:B15),"")</f>
        <v>3</v>
      </c>
      <c r="B15" s="207" t="s">
        <v>300</v>
      </c>
      <c r="C15" s="233" t="s">
        <v>301</v>
      </c>
      <c r="D15" s="233"/>
      <c r="E15" s="234"/>
      <c r="F15" s="207"/>
      <c r="G15" s="209"/>
      <c r="H15" s="209"/>
      <c r="I15" s="210">
        <f>SUM(I13:I14)</f>
        <v>68766.750556622967</v>
      </c>
      <c r="J15" s="235"/>
      <c r="K15" s="210"/>
      <c r="L15" s="238"/>
      <c r="M15" s="211"/>
      <c r="N15" s="210">
        <f>SUM(N13:N14)</f>
        <v>71045.294028738586</v>
      </c>
      <c r="O15" s="272"/>
      <c r="P15" s="210"/>
      <c r="Q15" s="154"/>
    </row>
    <row r="16" spans="1:17" ht="14" x14ac:dyDescent="0.3">
      <c r="A16" s="151" t="str">
        <f>IF(B16&lt;&gt;"",COUNTA($B$13:B16),"")</f>
        <v/>
      </c>
      <c r="B16" s="207"/>
      <c r="C16" s="233"/>
      <c r="D16" s="233"/>
      <c r="E16" s="234"/>
      <c r="F16" s="207"/>
      <c r="G16" s="209"/>
      <c r="H16" s="209"/>
      <c r="I16" s="210"/>
      <c r="J16" s="235"/>
      <c r="K16" s="210"/>
      <c r="L16" s="238"/>
      <c r="M16" s="211"/>
      <c r="N16" s="210"/>
      <c r="O16" s="272"/>
      <c r="P16" s="210"/>
      <c r="Q16" s="154"/>
    </row>
    <row r="17" spans="1:17" ht="14" x14ac:dyDescent="0.3">
      <c r="A17" s="151">
        <f>IF(B17&lt;&gt;"",COUNTA($B$13:B17),"")</f>
        <v>4</v>
      </c>
      <c r="B17" s="228" t="s">
        <v>302</v>
      </c>
      <c r="F17" s="239"/>
      <c r="G17" s="240"/>
      <c r="H17" s="211"/>
      <c r="I17" s="210"/>
      <c r="K17" s="210"/>
      <c r="L17" s="241"/>
      <c r="M17" s="211"/>
      <c r="N17" s="210"/>
      <c r="O17" s="272"/>
    </row>
    <row r="18" spans="1:17" ht="14" x14ac:dyDescent="0.3">
      <c r="A18" s="151">
        <f>IF(B18&lt;&gt;"",COUNTA($B$13:B18),"")</f>
        <v>5</v>
      </c>
      <c r="B18" s="207" t="str">
        <f>+'G1 SOUTH'!B30</f>
        <v>Revenue Decoupling</v>
      </c>
      <c r="C18" s="233" t="str">
        <f>+'G1 SOUTH'!C30</f>
        <v>RDAF</v>
      </c>
      <c r="D18" s="233"/>
      <c r="E18" s="242"/>
      <c r="F18" s="239"/>
      <c r="G18" s="236">
        <v>0</v>
      </c>
      <c r="H18" s="211"/>
      <c r="I18" s="210">
        <f>G18*$E$14</f>
        <v>0</v>
      </c>
      <c r="K18" s="210"/>
      <c r="L18" s="236">
        <v>-1.8471277980287143E-4</v>
      </c>
      <c r="M18" s="211"/>
      <c r="N18" s="210">
        <f>$E$14*L18</f>
        <v>-751.5644618502929</v>
      </c>
      <c r="O18" s="272"/>
      <c r="P18" s="234"/>
    </row>
    <row r="19" spans="1:17" ht="14" x14ac:dyDescent="0.3">
      <c r="A19" s="151">
        <f>IF(B19&lt;&gt;"",COUNTA($B$13:B19),"")</f>
        <v>6</v>
      </c>
      <c r="B19" s="207" t="str">
        <f>+'G1 SOUTH'!B31</f>
        <v>Residential Assistance Adjustment Factor</v>
      </c>
      <c r="C19" s="233" t="str">
        <f>+'G1 SOUTH'!C31</f>
        <v>RAAF</v>
      </c>
      <c r="D19" s="243"/>
      <c r="E19" s="206"/>
      <c r="F19" s="239"/>
      <c r="G19" s="236">
        <v>1.14E-3</v>
      </c>
      <c r="H19" s="211"/>
      <c r="I19" s="210">
        <f t="shared" ref="I19:I37" si="1">G19*$E$14</f>
        <v>4638.4634968068131</v>
      </c>
      <c r="K19" s="210"/>
      <c r="L19" s="236">
        <v>1.560503241006028E-3</v>
      </c>
      <c r="M19" s="211"/>
      <c r="N19" s="210">
        <f t="shared" ref="N19:N37" si="2">$E$14*L19</f>
        <v>6349.4187018027951</v>
      </c>
      <c r="O19" s="272"/>
      <c r="P19" s="234"/>
      <c r="Q19" s="210"/>
    </row>
    <row r="20" spans="1:17" ht="14" x14ac:dyDescent="0.3">
      <c r="A20" s="151">
        <f>IF(B20&lt;&gt;"",COUNTA($B$13:B20),"")</f>
        <v>7</v>
      </c>
      <c r="B20" s="207" t="str">
        <f>+'G1 SOUTH'!B32</f>
        <v>Pension Adjustment Factor</v>
      </c>
      <c r="C20" s="233" t="str">
        <f>+'G1 SOUTH'!C32</f>
        <v>PAF</v>
      </c>
      <c r="D20" s="243"/>
      <c r="E20" s="206"/>
      <c r="F20" s="239"/>
      <c r="G20" s="236">
        <v>-6.9999999999999994E-5</v>
      </c>
      <c r="H20" s="211"/>
      <c r="I20" s="210">
        <f t="shared" si="1"/>
        <v>-284.81793401445344</v>
      </c>
      <c r="K20" s="210"/>
      <c r="L20" s="236">
        <v>6.6590728759621473E-4</v>
      </c>
      <c r="M20" s="211"/>
      <c r="N20" s="210">
        <f t="shared" si="2"/>
        <v>2709.4619699760337</v>
      </c>
      <c r="O20" s="272"/>
      <c r="P20" s="274"/>
    </row>
    <row r="21" spans="1:17" ht="14" x14ac:dyDescent="0.3">
      <c r="A21" s="151">
        <f>IF(B21&lt;&gt;"",COUNTA($B$13:B21),"")</f>
        <v>8</v>
      </c>
      <c r="B21" s="207" t="str">
        <f>+'G1 SOUTH'!B33</f>
        <v>Net Metering Recovery Surcharge</v>
      </c>
      <c r="C21" s="233" t="str">
        <f>+'G1 SOUTH'!C33</f>
        <v>NMRS</v>
      </c>
      <c r="D21" s="243"/>
      <c r="E21" s="206"/>
      <c r="F21" s="239"/>
      <c r="G21" s="236">
        <v>2.2499999999999998E-3</v>
      </c>
      <c r="H21" s="211"/>
      <c r="I21" s="210">
        <f t="shared" si="1"/>
        <v>9154.8621647502878</v>
      </c>
      <c r="K21" s="210"/>
      <c r="L21" s="236">
        <v>2.0347710521963491E-3</v>
      </c>
      <c r="M21" s="211"/>
      <c r="N21" s="210">
        <f t="shared" si="2"/>
        <v>8279.1326754139973</v>
      </c>
      <c r="O21" s="272"/>
      <c r="P21" s="274"/>
    </row>
    <row r="22" spans="1:17" ht="14" x14ac:dyDescent="0.3">
      <c r="A22" s="151">
        <f>IF(B22&lt;&gt;"",COUNTA($B$13:B22),"")</f>
        <v>9</v>
      </c>
      <c r="B22" s="207" t="str">
        <f>+'G1 SOUTH'!B34</f>
        <v>Long Term Renewable Contract Adjustment</v>
      </c>
      <c r="C22" s="233" t="str">
        <f>+'G1 SOUTH'!C34</f>
        <v>LTRCA</v>
      </c>
      <c r="D22" s="243"/>
      <c r="E22" s="206"/>
      <c r="F22" s="239"/>
      <c r="G22" s="236">
        <v>2.3600000000000001E-3</v>
      </c>
      <c r="H22" s="211"/>
      <c r="I22" s="210">
        <f t="shared" si="1"/>
        <v>9602.4332039158598</v>
      </c>
      <c r="K22" s="210"/>
      <c r="L22" s="236">
        <v>1.7357128782064517E-3</v>
      </c>
      <c r="M22" s="211"/>
      <c r="N22" s="210">
        <f t="shared" si="2"/>
        <v>7062.3165144720315</v>
      </c>
      <c r="O22" s="272"/>
      <c r="P22" s="275"/>
    </row>
    <row r="23" spans="1:17" ht="14" x14ac:dyDescent="0.3">
      <c r="A23" s="151">
        <f>IF(B23&lt;&gt;"",COUNTA($B$13:B23),"")</f>
        <v>10</v>
      </c>
      <c r="B23" s="207" t="str">
        <f>+'G1 SOUTH'!B35</f>
        <v>AG Consulting Expense</v>
      </c>
      <c r="C23" s="233" t="str">
        <f>+'G1 SOUTH'!C35</f>
        <v>AGCE</v>
      </c>
      <c r="D23" s="243"/>
      <c r="E23" s="206"/>
      <c r="F23" s="239"/>
      <c r="G23" s="236">
        <v>1.0000000000000001E-5</v>
      </c>
      <c r="H23" s="211"/>
      <c r="I23" s="210">
        <f t="shared" si="1"/>
        <v>40.688276287779068</v>
      </c>
      <c r="K23" s="210"/>
      <c r="L23" s="236">
        <v>3.2764746894909385E-6</v>
      </c>
      <c r="M23" s="211"/>
      <c r="N23" s="210">
        <f t="shared" si="2"/>
        <v>13.331410741592242</v>
      </c>
      <c r="O23" s="272"/>
      <c r="P23" s="274"/>
    </row>
    <row r="24" spans="1:17" ht="14" x14ac:dyDescent="0.3">
      <c r="A24" s="151">
        <f>IF(B24&lt;&gt;"",COUNTA($B$13:B24),"")</f>
        <v>11</v>
      </c>
      <c r="B24" s="207" t="str">
        <f>+'G1 SOUTH'!B36</f>
        <v>Storm Cost Recovery Adjustment Factor</v>
      </c>
      <c r="C24" s="233" t="str">
        <f>+'G1 SOUTH'!C36</f>
        <v>SCRA</v>
      </c>
      <c r="D24" s="243"/>
      <c r="E24" s="206"/>
      <c r="F24" s="239"/>
      <c r="G24" s="236">
        <v>6.9999999999999999E-4</v>
      </c>
      <c r="H24" s="211"/>
      <c r="I24" s="210">
        <f t="shared" si="1"/>
        <v>2848.1793401445343</v>
      </c>
      <c r="K24" s="210"/>
      <c r="L24" s="236">
        <v>1.1633323100801282E-3</v>
      </c>
      <c r="M24" s="211"/>
      <c r="N24" s="210">
        <f t="shared" si="2"/>
        <v>4733.3986447040525</v>
      </c>
      <c r="O24" s="272"/>
      <c r="P24" s="274"/>
    </row>
    <row r="25" spans="1:17" ht="14" x14ac:dyDescent="0.3">
      <c r="A25" s="151">
        <f>IF(B25&lt;&gt;"",COUNTA($B$13:B25),"")</f>
        <v>12</v>
      </c>
      <c r="B25" s="207" t="str">
        <f>+'G1 SOUTH'!B37</f>
        <v>Storm Reserve Adjustment</v>
      </c>
      <c r="C25" s="233" t="str">
        <f>+'G1 SOUTH'!C37</f>
        <v>SRA</v>
      </c>
      <c r="D25" s="243"/>
      <c r="E25" s="206"/>
      <c r="F25" s="239"/>
      <c r="G25" s="236">
        <v>0</v>
      </c>
      <c r="H25" s="211"/>
      <c r="I25" s="210">
        <f t="shared" si="1"/>
        <v>0</v>
      </c>
      <c r="K25" s="210"/>
      <c r="L25" s="236">
        <v>0</v>
      </c>
      <c r="M25" s="211"/>
      <c r="N25" s="210">
        <f t="shared" si="2"/>
        <v>0</v>
      </c>
      <c r="O25" s="272"/>
      <c r="P25" s="274"/>
    </row>
    <row r="26" spans="1:17" ht="14" x14ac:dyDescent="0.3">
      <c r="A26" s="151">
        <f>IF(B26&lt;&gt;"",COUNTA($B$13:B26),"")</f>
        <v>13</v>
      </c>
      <c r="B26" s="207" t="str">
        <f>+'G1 SOUTH'!B38</f>
        <v>Basic Service Cost True Up Factor</v>
      </c>
      <c r="C26" s="233" t="str">
        <f>+'G1 SOUTH'!C38</f>
        <v>BSTF</v>
      </c>
      <c r="D26" s="243"/>
      <c r="E26" s="206"/>
      <c r="F26" s="239"/>
      <c r="G26" s="236">
        <v>6.0999999999999997E-4</v>
      </c>
      <c r="H26" s="211"/>
      <c r="I26" s="210">
        <f t="shared" si="1"/>
        <v>2481.9848535545229</v>
      </c>
      <c r="K26" s="210"/>
      <c r="L26" s="236">
        <v>-7.743599476323288E-5</v>
      </c>
      <c r="M26" s="211"/>
      <c r="N26" s="210">
        <f t="shared" si="2"/>
        <v>-315.07371495454322</v>
      </c>
      <c r="O26" s="272"/>
      <c r="P26" s="274"/>
    </row>
    <row r="27" spans="1:17" ht="14" x14ac:dyDescent="0.3">
      <c r="A27" s="151">
        <f>IF(B27&lt;&gt;"",COUNTA($B$13:B27),"")</f>
        <v>14</v>
      </c>
      <c r="B27" s="207" t="str">
        <f>+'G1 SOUTH'!B39</f>
        <v>Solar Program Cost Adjustment Factor</v>
      </c>
      <c r="C27" s="233" t="str">
        <f>+'G1 SOUTH'!C39</f>
        <v>SPCA</v>
      </c>
      <c r="D27" s="233"/>
      <c r="E27" s="206"/>
      <c r="F27" s="239"/>
      <c r="G27" s="236">
        <v>0</v>
      </c>
      <c r="H27" s="211"/>
      <c r="I27" s="210">
        <f t="shared" si="1"/>
        <v>0</v>
      </c>
      <c r="K27" s="210"/>
      <c r="L27" s="236">
        <v>1.3780859454046848E-5</v>
      </c>
      <c r="M27" s="211"/>
      <c r="N27" s="210">
        <f t="shared" si="2"/>
        <v>56.071941694931027</v>
      </c>
      <c r="O27" s="272"/>
      <c r="P27" s="276"/>
    </row>
    <row r="28" spans="1:17" ht="14" x14ac:dyDescent="0.3">
      <c r="A28" s="151">
        <f>IF(B28&lt;&gt;"",COUNTA($B$13:B28),"")</f>
        <v>15</v>
      </c>
      <c r="B28" s="207" t="str">
        <f>+'G1 SOUTH'!B40</f>
        <v>Solar Expansion Cost Recovery Factor</v>
      </c>
      <c r="C28" s="233" t="str">
        <f>+'G1 SOUTH'!C40</f>
        <v>SECRF</v>
      </c>
      <c r="D28" s="233"/>
      <c r="E28" s="206"/>
      <c r="F28" s="239"/>
      <c r="G28" s="236">
        <v>0</v>
      </c>
      <c r="H28" s="211"/>
      <c r="I28" s="210">
        <f t="shared" si="1"/>
        <v>0</v>
      </c>
      <c r="K28" s="210"/>
      <c r="L28" s="236">
        <v>2.4306283394047727E-4</v>
      </c>
      <c r="M28" s="211"/>
      <c r="N28" s="210">
        <f t="shared" si="2"/>
        <v>988.98077426607017</v>
      </c>
      <c r="O28" s="272"/>
      <c r="P28" s="276"/>
    </row>
    <row r="29" spans="1:17" ht="14" x14ac:dyDescent="0.3">
      <c r="A29" s="151">
        <f>IF(B29&lt;&gt;"",COUNTA($B$13:B29),"")</f>
        <v>16</v>
      </c>
      <c r="B29" s="207" t="str">
        <f>+'G1 SOUTH'!B41</f>
        <v>Vegetation Management</v>
      </c>
      <c r="C29" s="233" t="str">
        <f>+'G1 SOUTH'!C41</f>
        <v>RTWF</v>
      </c>
      <c r="D29" s="233"/>
      <c r="E29" s="206"/>
      <c r="F29" s="239"/>
      <c r="G29" s="236">
        <v>0</v>
      </c>
      <c r="H29" s="211"/>
      <c r="I29" s="210">
        <f t="shared" si="1"/>
        <v>0</v>
      </c>
      <c r="K29" s="210"/>
      <c r="L29" s="236">
        <v>1.1921991109647297E-3</v>
      </c>
      <c r="M29" s="211"/>
      <c r="N29" s="210">
        <f t="shared" si="2"/>
        <v>4850.8526816977492</v>
      </c>
      <c r="O29" s="272"/>
      <c r="P29" s="276"/>
    </row>
    <row r="30" spans="1:17" ht="14" x14ac:dyDescent="0.3">
      <c r="A30" s="151">
        <f>IF(B30&lt;&gt;"",COUNTA($B$13:B30),"")</f>
        <v>17</v>
      </c>
      <c r="B30" s="207" t="str">
        <f>+'G1 SOUTH'!B42</f>
        <v>Solar Massachusetts Renewable Target</v>
      </c>
      <c r="C30" s="233" t="str">
        <f>+'G1 SOUTH'!C42</f>
        <v>SMART</v>
      </c>
      <c r="D30" s="233"/>
      <c r="E30" s="206"/>
      <c r="F30" s="239"/>
      <c r="G30" s="236">
        <v>0</v>
      </c>
      <c r="H30" s="211"/>
      <c r="I30" s="210">
        <f t="shared" si="1"/>
        <v>0</v>
      </c>
      <c r="K30" s="210"/>
      <c r="L30" s="236">
        <v>2.8478221859493596E-4</v>
      </c>
      <c r="M30" s="211"/>
      <c r="N30" s="210">
        <f t="shared" si="2"/>
        <v>1158.7297592037446</v>
      </c>
      <c r="O30" s="272"/>
      <c r="P30" s="276"/>
    </row>
    <row r="31" spans="1:17" ht="14" x14ac:dyDescent="0.3">
      <c r="A31" s="151">
        <f>IF(B31&lt;&gt;"",COUNTA($B$13:B31),"")</f>
        <v>18</v>
      </c>
      <c r="B31" s="207" t="str">
        <f>+'G1 SOUTH'!B43</f>
        <v>Tax Act Credit Factor</v>
      </c>
      <c r="C31" s="233" t="str">
        <f>+'G1 SOUTH'!C43</f>
        <v>TACF</v>
      </c>
      <c r="D31" s="233"/>
      <c r="E31" s="206"/>
      <c r="F31" s="239"/>
      <c r="G31" s="236">
        <v>0</v>
      </c>
      <c r="H31" s="211"/>
      <c r="I31" s="210">
        <f t="shared" si="1"/>
        <v>0</v>
      </c>
      <c r="K31" s="210"/>
      <c r="L31" s="236">
        <v>-4.3111270371678546E-4</v>
      </c>
      <c r="M31" s="211"/>
      <c r="N31" s="210">
        <f t="shared" si="2"/>
        <v>-1754.1232800000002</v>
      </c>
      <c r="O31" s="272"/>
      <c r="P31" s="276"/>
    </row>
    <row r="32" spans="1:17" ht="14" x14ac:dyDescent="0.3">
      <c r="A32" s="151">
        <f>IF(B32&lt;&gt;"",COUNTA($B$13:B32),"")</f>
        <v>19</v>
      </c>
      <c r="B32" s="207" t="str">
        <f>+'G1 SOUTH'!B44</f>
        <v>Transition</v>
      </c>
      <c r="C32" s="233" t="str">
        <f>+'G1 SOUTH'!C44</f>
        <v>TRNSN</v>
      </c>
      <c r="D32" s="233"/>
      <c r="E32" s="206"/>
      <c r="F32" s="239"/>
      <c r="G32" s="236">
        <v>-6.0999999999999997E-4</v>
      </c>
      <c r="H32" s="211"/>
      <c r="I32" s="210">
        <f t="shared" si="1"/>
        <v>-2481.9848535545229</v>
      </c>
      <c r="K32" s="210"/>
      <c r="L32" s="236">
        <v>-5.210932140356871E-4</v>
      </c>
      <c r="M32" s="211"/>
      <c r="N32" s="210">
        <f t="shared" si="2"/>
        <v>-2120.2384664370829</v>
      </c>
      <c r="O32" s="272"/>
      <c r="P32" s="275"/>
    </row>
    <row r="33" spans="1:17" ht="14" x14ac:dyDescent="0.3">
      <c r="A33" s="151">
        <f>IF(B33&lt;&gt;"",COUNTA($B$13:B33),"")</f>
        <v>20</v>
      </c>
      <c r="B33" s="207" t="str">
        <f>+'G1 SOUTH'!B45</f>
        <v>Transmission Energy</v>
      </c>
      <c r="C33" s="233" t="str">
        <f>+'G1 SOUTH'!C45</f>
        <v>TMKWH</v>
      </c>
      <c r="D33" s="233"/>
      <c r="E33" s="206"/>
      <c r="F33" s="239"/>
      <c r="G33" s="236">
        <v>2.666E-2</v>
      </c>
      <c r="H33" s="211"/>
      <c r="I33" s="210">
        <f t="shared" si="1"/>
        <v>108474.94458321898</v>
      </c>
      <c r="K33" s="210"/>
      <c r="L33" s="241">
        <v>2.4771609045615744E-2</v>
      </c>
      <c r="M33" s="211"/>
      <c r="N33" s="210">
        <f t="shared" si="2"/>
        <v>100791.40729408604</v>
      </c>
      <c r="O33" s="272"/>
      <c r="P33" s="275"/>
    </row>
    <row r="34" spans="1:17" ht="14" x14ac:dyDescent="0.3">
      <c r="A34" s="151">
        <f>IF(B34&lt;&gt;"",COUNTA($B$13:B34),"")</f>
        <v>21</v>
      </c>
      <c r="B34" s="207" t="str">
        <f>+'G1 SOUTH'!B46</f>
        <v>Energy Efficiency Reconciliation Factor</v>
      </c>
      <c r="C34" s="233" t="str">
        <f>+'G1 SOUTH'!C46</f>
        <v>EERF</v>
      </c>
      <c r="D34" s="233"/>
      <c r="E34" s="206"/>
      <c r="F34" s="239"/>
      <c r="G34" s="236">
        <v>8.4600000000000005E-3</v>
      </c>
      <c r="H34" s="211"/>
      <c r="I34" s="210">
        <f t="shared" si="1"/>
        <v>34422.28173946109</v>
      </c>
      <c r="K34" s="210"/>
      <c r="L34" s="281">
        <v>8.4600000000000005E-3</v>
      </c>
      <c r="M34" s="211"/>
      <c r="N34" s="210">
        <f t="shared" si="2"/>
        <v>34422.28173946109</v>
      </c>
      <c r="O34" s="272"/>
      <c r="P34" s="232"/>
    </row>
    <row r="35" spans="1:17" ht="14" x14ac:dyDescent="0.3">
      <c r="A35" s="151">
        <f>IF(B35&lt;&gt;"",COUNTA($B$13:B35),"")</f>
        <v>22</v>
      </c>
      <c r="B35" s="207" t="str">
        <f>+'G1 SOUTH'!B47</f>
        <v>System Benefits Charge</v>
      </c>
      <c r="C35" s="233" t="str">
        <f>+'G1 SOUTH'!C47</f>
        <v>SBC</v>
      </c>
      <c r="D35" s="233"/>
      <c r="E35" s="206"/>
      <c r="F35" s="239"/>
      <c r="G35" s="236">
        <v>2.5000000000000001E-3</v>
      </c>
      <c r="H35" s="211"/>
      <c r="I35" s="210">
        <f t="shared" si="1"/>
        <v>10172.069071944767</v>
      </c>
      <c r="K35" s="210"/>
      <c r="L35" s="281">
        <f>+G35</f>
        <v>2.5000000000000001E-3</v>
      </c>
      <c r="M35" s="211"/>
      <c r="N35" s="210">
        <f t="shared" si="2"/>
        <v>10172.069071944767</v>
      </c>
      <c r="O35" s="272"/>
      <c r="P35" s="275"/>
    </row>
    <row r="36" spans="1:17" ht="14" x14ac:dyDescent="0.3">
      <c r="A36" s="151">
        <f>IF(B36&lt;&gt;"",COUNTA($B$13:B36),"")</f>
        <v>23</v>
      </c>
      <c r="B36" s="207" t="str">
        <f>+'G1 SOUTH'!B48</f>
        <v>Renewable Energy Charge</v>
      </c>
      <c r="C36" s="233" t="str">
        <f>+'G1 SOUTH'!C48</f>
        <v>RNEW</v>
      </c>
      <c r="D36" s="233"/>
      <c r="E36" s="206"/>
      <c r="F36" s="239"/>
      <c r="G36" s="236">
        <v>5.0000000000000001E-4</v>
      </c>
      <c r="H36" s="211"/>
      <c r="I36" s="210">
        <f t="shared" si="1"/>
        <v>2034.4138143889531</v>
      </c>
      <c r="K36" s="210"/>
      <c r="L36" s="281">
        <f>+G36</f>
        <v>5.0000000000000001E-4</v>
      </c>
      <c r="M36" s="211"/>
      <c r="N36" s="210">
        <f t="shared" si="2"/>
        <v>2034.4138143889531</v>
      </c>
      <c r="O36" s="272"/>
      <c r="P36" s="275"/>
    </row>
    <row r="37" spans="1:17" ht="14" x14ac:dyDescent="0.3">
      <c r="A37" s="151">
        <f>IF(B37&lt;&gt;"",COUNTA($B$13:B37),"")</f>
        <v>24</v>
      </c>
      <c r="B37" s="207" t="str">
        <f>+'G1 SOUTH'!B49</f>
        <v>Basic Service Charge</v>
      </c>
      <c r="C37" s="233" t="str">
        <f>+'G1 SOUTH'!C49</f>
        <v>BS</v>
      </c>
      <c r="D37" s="233"/>
      <c r="E37" s="206"/>
      <c r="F37" s="239"/>
      <c r="G37" s="236">
        <v>0.11403000000000001</v>
      </c>
      <c r="H37" s="211"/>
      <c r="I37" s="237">
        <f t="shared" si="1"/>
        <v>463968.41450954467</v>
      </c>
      <c r="K37" s="210"/>
      <c r="L37" s="281">
        <v>0.13185000000000002</v>
      </c>
      <c r="M37" s="211"/>
      <c r="N37" s="237">
        <f t="shared" si="2"/>
        <v>536474.92285436706</v>
      </c>
      <c r="O37" s="272"/>
      <c r="P37" s="232"/>
    </row>
    <row r="38" spans="1:17" ht="14" x14ac:dyDescent="0.3">
      <c r="A38" s="151" t="str">
        <f>IF(B38&lt;&gt;"",COUNTA($B$13:B38),"")</f>
        <v/>
      </c>
      <c r="B38" s="207"/>
      <c r="E38" s="206"/>
      <c r="F38" s="239"/>
      <c r="G38" s="241"/>
      <c r="H38" s="211"/>
      <c r="I38" s="244"/>
      <c r="K38" s="210"/>
      <c r="L38" s="241"/>
      <c r="M38" s="211"/>
      <c r="N38" s="244"/>
      <c r="O38" s="272"/>
    </row>
    <row r="39" spans="1:17" ht="14" x14ac:dyDescent="0.3">
      <c r="A39" s="151">
        <f>IF(B39&lt;&gt;"",COUNTA($B$13:B39),"")</f>
        <v>25</v>
      </c>
      <c r="B39" s="188" t="s">
        <v>46</v>
      </c>
      <c r="E39" s="188"/>
      <c r="G39" s="245" t="s">
        <v>324</v>
      </c>
      <c r="H39" s="246"/>
      <c r="I39" s="154">
        <f>SUM(I15:I38)</f>
        <v>713838.68282307219</v>
      </c>
      <c r="K39" s="247"/>
      <c r="L39" s="245"/>
      <c r="N39" s="154">
        <f>SUM(N15:N38)</f>
        <v>786201.08395371761</v>
      </c>
      <c r="P39" s="154"/>
    </row>
    <row r="40" spans="1:17" ht="14" x14ac:dyDescent="0.3">
      <c r="A40" s="151" t="str">
        <f>IF(B40&lt;&gt;"",COUNTA($B$13:B40),"")</f>
        <v/>
      </c>
      <c r="E40" s="188"/>
      <c r="H40" s="188"/>
      <c r="I40" s="154"/>
      <c r="K40" s="265"/>
      <c r="L40" s="278"/>
      <c r="N40" s="265"/>
      <c r="P40" s="154"/>
    </row>
    <row r="41" spans="1:17" ht="14" x14ac:dyDescent="0.3">
      <c r="A41" s="151">
        <f>IF(B41&lt;&gt;"",COUNTA($B$13:B41),"")</f>
        <v>26</v>
      </c>
      <c r="B41" s="188" t="s">
        <v>46</v>
      </c>
      <c r="E41" s="188"/>
      <c r="G41" s="188"/>
      <c r="H41" s="188"/>
      <c r="I41" s="188"/>
      <c r="J41" s="188"/>
      <c r="L41" s="248" t="s">
        <v>325</v>
      </c>
      <c r="N41" s="160">
        <f>+N39/I39-1</f>
        <v>0.10137080389713304</v>
      </c>
    </row>
    <row r="42" spans="1:17" ht="14" x14ac:dyDescent="0.3">
      <c r="A42" s="151" t="str">
        <f>IF(B42&lt;&gt;"",COUNTA($B$13:B42),"")</f>
        <v/>
      </c>
      <c r="E42" s="188"/>
      <c r="G42" s="188"/>
      <c r="H42" s="188"/>
      <c r="I42" s="188"/>
      <c r="J42" s="188"/>
      <c r="L42" s="248"/>
      <c r="N42" s="160"/>
    </row>
    <row r="43" spans="1:17" ht="14" x14ac:dyDescent="0.3">
      <c r="A43" s="151" t="str">
        <f>IF(B43&lt;&gt;"",COUNTA($B$13:B43),"")</f>
        <v/>
      </c>
      <c r="E43" s="188"/>
      <c r="G43" s="186"/>
      <c r="H43" s="188"/>
      <c r="I43" s="188"/>
      <c r="L43" s="248"/>
      <c r="N43" s="160"/>
    </row>
    <row r="44" spans="1:17" ht="14.5" thickBot="1" x14ac:dyDescent="0.35">
      <c r="A44" s="151">
        <f>IF(B44&lt;&gt;"",COUNTA($B$13:B44),"")</f>
        <v>27</v>
      </c>
      <c r="B44" s="188" t="s">
        <v>46</v>
      </c>
      <c r="E44" s="279" t="s">
        <v>326</v>
      </c>
      <c r="F44" s="135"/>
      <c r="G44" s="280"/>
      <c r="I44" s="279" t="s">
        <v>327</v>
      </c>
      <c r="J44" s="135"/>
      <c r="L44" s="279" t="s">
        <v>328</v>
      </c>
      <c r="M44" s="135"/>
      <c r="N44" s="137"/>
    </row>
    <row r="45" spans="1:17" ht="14" x14ac:dyDescent="0.3">
      <c r="A45" s="151">
        <f>IF(B45&lt;&gt;"",COUNTA($B$13:B45),"")</f>
        <v>28</v>
      </c>
      <c r="B45" s="144" t="s">
        <v>329</v>
      </c>
      <c r="C45" s="144"/>
      <c r="D45" s="144"/>
      <c r="E45" s="249" t="s">
        <v>148</v>
      </c>
      <c r="F45" s="250"/>
      <c r="G45" s="251" t="s">
        <v>330</v>
      </c>
      <c r="I45" s="249" t="s">
        <v>148</v>
      </c>
      <c r="J45" s="251" t="s">
        <v>330</v>
      </c>
      <c r="K45" s="212"/>
      <c r="L45" s="249" t="s">
        <v>148</v>
      </c>
      <c r="M45" s="252"/>
      <c r="N45" s="251" t="s">
        <v>330</v>
      </c>
    </row>
    <row r="46" spans="1:17" ht="14" x14ac:dyDescent="0.3">
      <c r="A46" s="151">
        <f>IF(B46&lt;&gt;"",COUNTA($B$13:B46),"")</f>
        <v>29</v>
      </c>
      <c r="B46" s="130" t="str">
        <f>+'G1 SOUTH'!B58</f>
        <v>Distribution</v>
      </c>
      <c r="C46" s="253" t="str">
        <f>+'G1 SOUTH'!C58</f>
        <v>DIST</v>
      </c>
      <c r="D46" s="253"/>
      <c r="E46" s="154">
        <f t="shared" ref="E46:E61" si="3">SUMIF($C$13:$C$37,$C46,$I$13:$I$37)</f>
        <v>68766.750556622967</v>
      </c>
      <c r="G46" s="254">
        <f>+E46/$E$14*100</f>
        <v>1.6900875837121028</v>
      </c>
      <c r="I46" s="154">
        <f t="shared" ref="I46:I61" si="4">SUMIF($C$13:$C$37,$C46,$N$13:$N$37)</f>
        <v>71045.294028738586</v>
      </c>
      <c r="J46" s="254">
        <f>+I46/$E$14*100</f>
        <v>1.7460875837121026</v>
      </c>
      <c r="L46" s="154">
        <f t="shared" ref="L46:L66" si="5">I46-E46</f>
        <v>2278.5434721156198</v>
      </c>
      <c r="N46" s="254">
        <f>+L46/$E$14*100</f>
        <v>5.5999999999999814E-2</v>
      </c>
      <c r="O46" s="272"/>
      <c r="Q46" s="154"/>
    </row>
    <row r="47" spans="1:17" ht="14" x14ac:dyDescent="0.3">
      <c r="A47" s="151">
        <f>IF(B47&lt;&gt;"",COUNTA($B$13:B47),"")</f>
        <v>30</v>
      </c>
      <c r="B47" s="130" t="str">
        <f>+'G1 SOUTH'!B59</f>
        <v>Revenue Decoupling</v>
      </c>
      <c r="C47" s="253" t="str">
        <f>+'G1 SOUTH'!C59</f>
        <v>RDAF</v>
      </c>
      <c r="D47" s="253"/>
      <c r="E47" s="154">
        <f t="shared" si="3"/>
        <v>0</v>
      </c>
      <c r="G47" s="254">
        <f t="shared" ref="G47:G67" si="6">+E47/$E$14*100</f>
        <v>0</v>
      </c>
      <c r="I47" s="154">
        <f t="shared" si="4"/>
        <v>-751.5644618502929</v>
      </c>
      <c r="J47" s="254">
        <f t="shared" ref="J47:J67" si="7">+I47/$E$14*100</f>
        <v>-1.8471277980287144E-2</v>
      </c>
      <c r="L47" s="154">
        <f>I47-E47</f>
        <v>-751.5644618502929</v>
      </c>
      <c r="N47" s="254">
        <f t="shared" ref="N47:N67" si="8">+L47/$E$14*100</f>
        <v>-1.8471277980287144E-2</v>
      </c>
      <c r="O47" s="272"/>
      <c r="Q47" s="154"/>
    </row>
    <row r="48" spans="1:17" ht="14" x14ac:dyDescent="0.3">
      <c r="A48" s="151">
        <f>IF(B48&lt;&gt;"",COUNTA($B$13:B48),"")</f>
        <v>31</v>
      </c>
      <c r="B48" s="130" t="str">
        <f>+'G1 SOUTH'!B60</f>
        <v>Residential Assistance Adjustment Factor</v>
      </c>
      <c r="C48" s="253" t="str">
        <f>+'G1 SOUTH'!C60</f>
        <v>RAAF</v>
      </c>
      <c r="D48" s="253"/>
      <c r="E48" s="154">
        <f t="shared" si="3"/>
        <v>4638.4634968068131</v>
      </c>
      <c r="G48" s="254">
        <f t="shared" si="6"/>
        <v>0.11399999999999999</v>
      </c>
      <c r="I48" s="154">
        <f t="shared" si="4"/>
        <v>6349.4187018027951</v>
      </c>
      <c r="J48" s="254">
        <f t="shared" si="7"/>
        <v>0.15605032410060279</v>
      </c>
      <c r="L48" s="154">
        <f t="shared" si="5"/>
        <v>1710.9552049959821</v>
      </c>
      <c r="N48" s="254">
        <f t="shared" si="8"/>
        <v>4.2050324100602818E-2</v>
      </c>
      <c r="O48" s="272"/>
      <c r="Q48" s="154"/>
    </row>
    <row r="49" spans="1:17" ht="14" x14ac:dyDescent="0.3">
      <c r="A49" s="151">
        <f>IF(B49&lt;&gt;"",COUNTA($B$13:B49),"")</f>
        <v>32</v>
      </c>
      <c r="B49" s="130" t="str">
        <f>+'G1 SOUTH'!B61</f>
        <v>Pension Adjustment Factor</v>
      </c>
      <c r="C49" s="253" t="str">
        <f>+'G1 SOUTH'!C61</f>
        <v>PAF</v>
      </c>
      <c r="D49" s="253"/>
      <c r="E49" s="154">
        <f t="shared" si="3"/>
        <v>-284.81793401445344</v>
      </c>
      <c r="G49" s="254">
        <f t="shared" si="6"/>
        <v>-6.9999999999999993E-3</v>
      </c>
      <c r="I49" s="154">
        <f t="shared" si="4"/>
        <v>2709.4619699760337</v>
      </c>
      <c r="J49" s="254">
        <f t="shared" si="7"/>
        <v>6.6590728759621479E-2</v>
      </c>
      <c r="L49" s="154">
        <f t="shared" si="5"/>
        <v>2994.2799039904871</v>
      </c>
      <c r="N49" s="254">
        <f t="shared" si="8"/>
        <v>7.3590728759621471E-2</v>
      </c>
      <c r="O49" s="272"/>
      <c r="Q49" s="154"/>
    </row>
    <row r="50" spans="1:17" ht="14" x14ac:dyDescent="0.3">
      <c r="A50" s="151">
        <f>IF(B50&lt;&gt;"",COUNTA($B$13:B50),"")</f>
        <v>33</v>
      </c>
      <c r="B50" s="130" t="str">
        <f>+'G1 SOUTH'!B62</f>
        <v>Net Metering Recovery Surcharge</v>
      </c>
      <c r="C50" s="253" t="str">
        <f>+'G1 SOUTH'!C62</f>
        <v>NMRS</v>
      </c>
      <c r="D50" s="253"/>
      <c r="E50" s="154">
        <f t="shared" si="3"/>
        <v>9154.8621647502878</v>
      </c>
      <c r="G50" s="254">
        <f t="shared" si="6"/>
        <v>0.22499999999999998</v>
      </c>
      <c r="I50" s="154">
        <f t="shared" si="4"/>
        <v>8279.1326754139973</v>
      </c>
      <c r="J50" s="254">
        <f t="shared" si="7"/>
        <v>0.20347710521963491</v>
      </c>
      <c r="L50" s="154">
        <f t="shared" si="5"/>
        <v>-875.7294893362905</v>
      </c>
      <c r="N50" s="254">
        <f t="shared" si="8"/>
        <v>-2.1522894780365037E-2</v>
      </c>
      <c r="O50" s="272"/>
      <c r="Q50" s="154"/>
    </row>
    <row r="51" spans="1:17" ht="14" x14ac:dyDescent="0.3">
      <c r="A51" s="151">
        <f>IF(B51&lt;&gt;"",COUNTA($B$13:B51),"")</f>
        <v>34</v>
      </c>
      <c r="B51" s="130" t="str">
        <f>+'G1 SOUTH'!B63</f>
        <v>Long Term Renewable Contract Adjustment</v>
      </c>
      <c r="C51" s="253" t="str">
        <f>+'G1 SOUTH'!C63</f>
        <v>LTRCA</v>
      </c>
      <c r="D51" s="253"/>
      <c r="E51" s="154">
        <f t="shared" si="3"/>
        <v>9602.4332039158598</v>
      </c>
      <c r="G51" s="254">
        <f t="shared" si="6"/>
        <v>0.23600000000000002</v>
      </c>
      <c r="I51" s="154">
        <f t="shared" si="4"/>
        <v>7062.3165144720315</v>
      </c>
      <c r="J51" s="254">
        <f t="shared" si="7"/>
        <v>0.17357128782064518</v>
      </c>
      <c r="L51" s="154">
        <f t="shared" si="5"/>
        <v>-2540.1166894438284</v>
      </c>
      <c r="N51" s="254">
        <f t="shared" si="8"/>
        <v>-6.2428712179354862E-2</v>
      </c>
      <c r="O51" s="272"/>
      <c r="Q51" s="154"/>
    </row>
    <row r="52" spans="1:17" ht="14" x14ac:dyDescent="0.3">
      <c r="A52" s="151">
        <f>IF(B52&lt;&gt;"",COUNTA($B$13:B52),"")</f>
        <v>35</v>
      </c>
      <c r="B52" s="130" t="str">
        <f>+'G1 SOUTH'!B64</f>
        <v>AG Consulting Expense</v>
      </c>
      <c r="C52" s="253" t="str">
        <f>+'G1 SOUTH'!C64</f>
        <v>AGCE</v>
      </c>
      <c r="D52" s="253"/>
      <c r="E52" s="154">
        <f t="shared" si="3"/>
        <v>40.688276287779068</v>
      </c>
      <c r="G52" s="254">
        <f t="shared" si="6"/>
        <v>1E-3</v>
      </c>
      <c r="I52" s="154">
        <f t="shared" si="4"/>
        <v>13.331410741592242</v>
      </c>
      <c r="J52" s="254">
        <f t="shared" si="7"/>
        <v>3.2764746894909383E-4</v>
      </c>
      <c r="L52" s="154">
        <f t="shared" si="5"/>
        <v>-27.356865546186825</v>
      </c>
      <c r="N52" s="254">
        <f t="shared" si="8"/>
        <v>-6.7235253105090624E-4</v>
      </c>
      <c r="O52" s="272"/>
      <c r="Q52" s="154"/>
    </row>
    <row r="53" spans="1:17" ht="14" x14ac:dyDescent="0.3">
      <c r="A53" s="151">
        <f>IF(B53&lt;&gt;"",COUNTA($B$13:B53),"")</f>
        <v>36</v>
      </c>
      <c r="B53" s="130" t="str">
        <f>+'G1 SOUTH'!B65</f>
        <v>Storm Cost Recovery Adjustment Factor</v>
      </c>
      <c r="C53" s="253" t="str">
        <f>+'G1 SOUTH'!C65</f>
        <v>SCRA</v>
      </c>
      <c r="D53" s="253"/>
      <c r="E53" s="154">
        <f t="shared" si="3"/>
        <v>2848.1793401445343</v>
      </c>
      <c r="G53" s="254">
        <f t="shared" si="6"/>
        <v>6.9999999999999993E-2</v>
      </c>
      <c r="I53" s="154">
        <f t="shared" si="4"/>
        <v>4733.3986447040525</v>
      </c>
      <c r="J53" s="254">
        <f t="shared" si="7"/>
        <v>0.11633323100801282</v>
      </c>
      <c r="L53" s="154">
        <f>I53-E53</f>
        <v>1885.2193045595182</v>
      </c>
      <c r="N53" s="254">
        <f t="shared" si="8"/>
        <v>4.6333231008012836E-2</v>
      </c>
      <c r="O53" s="272"/>
      <c r="Q53" s="154"/>
    </row>
    <row r="54" spans="1:17" ht="14" x14ac:dyDescent="0.3">
      <c r="A54" s="151">
        <f>IF(B54&lt;&gt;"",COUNTA($B$13:B54),"")</f>
        <v>37</v>
      </c>
      <c r="B54" s="130" t="str">
        <f>+'G1 SOUTH'!B66</f>
        <v>Storm Reserve Adjustment</v>
      </c>
      <c r="C54" s="253" t="str">
        <f>+'G1 SOUTH'!C66</f>
        <v>SRA</v>
      </c>
      <c r="D54" s="253"/>
      <c r="E54" s="154">
        <f t="shared" si="3"/>
        <v>0</v>
      </c>
      <c r="G54" s="254">
        <f t="shared" si="6"/>
        <v>0</v>
      </c>
      <c r="I54" s="154">
        <f t="shared" si="4"/>
        <v>0</v>
      </c>
      <c r="J54" s="254">
        <f t="shared" si="7"/>
        <v>0</v>
      </c>
      <c r="L54" s="154">
        <f>I54-E54</f>
        <v>0</v>
      </c>
      <c r="N54" s="254">
        <f t="shared" si="8"/>
        <v>0</v>
      </c>
      <c r="O54" s="272"/>
      <c r="Q54" s="154"/>
    </row>
    <row r="55" spans="1:17" ht="14" x14ac:dyDescent="0.3">
      <c r="A55" s="151">
        <f>IF(B55&lt;&gt;"",COUNTA($B$13:B55),"")</f>
        <v>38</v>
      </c>
      <c r="B55" s="130" t="str">
        <f>+'G1 SOUTH'!B67</f>
        <v>Basic Service Cost True Up Factor</v>
      </c>
      <c r="C55" s="253" t="str">
        <f>+'G1 SOUTH'!C67</f>
        <v>BSTF</v>
      </c>
      <c r="D55" s="253"/>
      <c r="E55" s="154">
        <f t="shared" si="3"/>
        <v>2481.9848535545229</v>
      </c>
      <c r="G55" s="254">
        <f t="shared" si="6"/>
        <v>6.0999999999999999E-2</v>
      </c>
      <c r="I55" s="154">
        <f t="shared" si="4"/>
        <v>-315.07371495454322</v>
      </c>
      <c r="J55" s="254">
        <f t="shared" si="7"/>
        <v>-7.7435994763232884E-3</v>
      </c>
      <c r="L55" s="154">
        <f>I55-E55</f>
        <v>-2797.0585685090664</v>
      </c>
      <c r="N55" s="254">
        <f t="shared" si="8"/>
        <v>-6.8743599476323303E-2</v>
      </c>
      <c r="O55" s="272"/>
      <c r="Q55" s="154"/>
    </row>
    <row r="56" spans="1:17" ht="14" x14ac:dyDescent="0.3">
      <c r="A56" s="151">
        <f>IF(B56&lt;&gt;"",COUNTA($B$13:B56),"")</f>
        <v>39</v>
      </c>
      <c r="B56" s="130" t="str">
        <f>+'G1 SOUTH'!B68</f>
        <v>Solar Program Cost Adjustment Factor</v>
      </c>
      <c r="C56" s="253" t="str">
        <f>+'G1 SOUTH'!C68</f>
        <v>SPCA</v>
      </c>
      <c r="D56" s="253"/>
      <c r="E56" s="154">
        <f t="shared" si="3"/>
        <v>0</v>
      </c>
      <c r="G56" s="254">
        <f t="shared" si="6"/>
        <v>0</v>
      </c>
      <c r="I56" s="154">
        <f t="shared" si="4"/>
        <v>56.071941694931027</v>
      </c>
      <c r="J56" s="254">
        <f t="shared" si="7"/>
        <v>1.3780859454046847E-3</v>
      </c>
      <c r="L56" s="154">
        <f t="shared" si="5"/>
        <v>56.071941694931027</v>
      </c>
      <c r="N56" s="254">
        <f t="shared" si="8"/>
        <v>1.3780859454046847E-3</v>
      </c>
      <c r="Q56" s="154"/>
    </row>
    <row r="57" spans="1:17" ht="14" x14ac:dyDescent="0.3">
      <c r="A57" s="151">
        <f>IF(B57&lt;&gt;"",COUNTA($B$13:B57),"")</f>
        <v>40</v>
      </c>
      <c r="B57" s="130" t="str">
        <f>+'G1 SOUTH'!B69</f>
        <v>Solar Expansion Cost Recovery Factor</v>
      </c>
      <c r="C57" s="253" t="str">
        <f>+'G1 SOUTH'!C69</f>
        <v>SECRF</v>
      </c>
      <c r="D57" s="253"/>
      <c r="E57" s="154">
        <f t="shared" si="3"/>
        <v>0</v>
      </c>
      <c r="G57" s="254">
        <f t="shared" si="6"/>
        <v>0</v>
      </c>
      <c r="I57" s="154">
        <f t="shared" si="4"/>
        <v>988.98077426607017</v>
      </c>
      <c r="J57" s="254">
        <f t="shared" si="7"/>
        <v>2.4306283394047726E-2</v>
      </c>
      <c r="L57" s="154">
        <f t="shared" si="5"/>
        <v>988.98077426607017</v>
      </c>
      <c r="N57" s="254">
        <f t="shared" si="8"/>
        <v>2.4306283394047726E-2</v>
      </c>
      <c r="Q57" s="154"/>
    </row>
    <row r="58" spans="1:17" ht="14" x14ac:dyDescent="0.3">
      <c r="A58" s="151">
        <f>IF(B58&lt;&gt;"",COUNTA($B$13:B58),"")</f>
        <v>41</v>
      </c>
      <c r="B58" s="130" t="str">
        <f>+'G1 SOUTH'!B70</f>
        <v>Vegetation Management</v>
      </c>
      <c r="C58" s="253" t="str">
        <f>+'G1 SOUTH'!C70</f>
        <v>RTWF</v>
      </c>
      <c r="D58" s="253"/>
      <c r="E58" s="154">
        <f t="shared" si="3"/>
        <v>0</v>
      </c>
      <c r="G58" s="254">
        <f t="shared" si="6"/>
        <v>0</v>
      </c>
      <c r="I58" s="154">
        <f t="shared" si="4"/>
        <v>4850.8526816977492</v>
      </c>
      <c r="J58" s="254">
        <f t="shared" si="7"/>
        <v>0.11921991109647297</v>
      </c>
      <c r="L58" s="154">
        <f t="shared" si="5"/>
        <v>4850.8526816977492</v>
      </c>
      <c r="N58" s="254">
        <f t="shared" si="8"/>
        <v>0.11921991109647297</v>
      </c>
      <c r="Q58" s="154"/>
    </row>
    <row r="59" spans="1:17" ht="14" x14ac:dyDescent="0.3">
      <c r="A59" s="151">
        <f>IF(B59&lt;&gt;"",COUNTA($B$13:B59),"")</f>
        <v>42</v>
      </c>
      <c r="B59" s="130" t="str">
        <f>+'G1 SOUTH'!B71</f>
        <v>Solar Massachusetts Renewable Target</v>
      </c>
      <c r="C59" s="253" t="str">
        <f>+'G1 SOUTH'!C71</f>
        <v>SMART</v>
      </c>
      <c r="D59" s="253"/>
      <c r="E59" s="154">
        <f t="shared" si="3"/>
        <v>0</v>
      </c>
      <c r="G59" s="254">
        <f t="shared" si="6"/>
        <v>0</v>
      </c>
      <c r="I59" s="154">
        <f t="shared" si="4"/>
        <v>1158.7297592037446</v>
      </c>
      <c r="J59" s="254">
        <f t="shared" si="7"/>
        <v>2.8478221859493596E-2</v>
      </c>
      <c r="L59" s="154">
        <f t="shared" si="5"/>
        <v>1158.7297592037446</v>
      </c>
      <c r="N59" s="254">
        <f t="shared" si="8"/>
        <v>2.8478221859493596E-2</v>
      </c>
      <c r="Q59" s="154"/>
    </row>
    <row r="60" spans="1:17" ht="14" x14ac:dyDescent="0.3">
      <c r="A60" s="151">
        <f>IF(B60&lt;&gt;"",COUNTA($B$13:B60),"")</f>
        <v>43</v>
      </c>
      <c r="B60" s="130" t="str">
        <f>+'G1 SOUTH'!B72</f>
        <v>Tax Act Credit Factor</v>
      </c>
      <c r="C60" s="253" t="str">
        <f>+'G1 SOUTH'!C72</f>
        <v>TACF</v>
      </c>
      <c r="D60" s="253"/>
      <c r="E60" s="154">
        <f t="shared" si="3"/>
        <v>0</v>
      </c>
      <c r="G60" s="254">
        <f t="shared" si="6"/>
        <v>0</v>
      </c>
      <c r="I60" s="154">
        <f t="shared" si="4"/>
        <v>-1754.1232800000002</v>
      </c>
      <c r="J60" s="254">
        <f t="shared" si="7"/>
        <v>-4.3111270371678549E-2</v>
      </c>
      <c r="L60" s="154">
        <f t="shared" si="5"/>
        <v>-1754.1232800000002</v>
      </c>
      <c r="N60" s="254">
        <f t="shared" si="8"/>
        <v>-4.3111270371678549E-2</v>
      </c>
      <c r="Q60" s="154"/>
    </row>
    <row r="61" spans="1:17" ht="14" x14ac:dyDescent="0.3">
      <c r="A61" s="151">
        <f>IF(B61&lt;&gt;"",COUNTA($B$13:B61),"")</f>
        <v>44</v>
      </c>
      <c r="B61" s="130" t="str">
        <f>+'G1 SOUTH'!B73</f>
        <v>Transition</v>
      </c>
      <c r="C61" s="253" t="str">
        <f>+'G1 SOUTH'!C73</f>
        <v>TRNSN</v>
      </c>
      <c r="D61" s="253"/>
      <c r="E61" s="154">
        <f t="shared" si="3"/>
        <v>-2481.9848535545229</v>
      </c>
      <c r="G61" s="254">
        <f t="shared" si="6"/>
        <v>-6.0999999999999999E-2</v>
      </c>
      <c r="I61" s="154">
        <f t="shared" si="4"/>
        <v>-2120.2384664370829</v>
      </c>
      <c r="J61" s="254">
        <f t="shared" si="7"/>
        <v>-5.2109321403568713E-2</v>
      </c>
      <c r="L61" s="154">
        <f t="shared" si="5"/>
        <v>361.74638711744001</v>
      </c>
      <c r="N61" s="254">
        <f t="shared" si="8"/>
        <v>8.8906785964312871E-3</v>
      </c>
      <c r="Q61" s="154"/>
    </row>
    <row r="62" spans="1:17" ht="14" x14ac:dyDescent="0.3">
      <c r="A62" s="151">
        <f>IF(B62&lt;&gt;"",COUNTA($B$13:B62),"")</f>
        <v>45</v>
      </c>
      <c r="B62" s="130" t="str">
        <f>+'G1 SOUTH'!B74</f>
        <v>Transmission</v>
      </c>
      <c r="C62" s="253" t="str">
        <f>+'G1 SOUTH'!C74</f>
        <v>TRNSM</v>
      </c>
      <c r="D62" s="253"/>
      <c r="E62" s="154">
        <f>SUM(SUMIF($C$13:$C$37,{"TMKW","TMKWH"},$I$13:$I$37))</f>
        <v>108474.94458321898</v>
      </c>
      <c r="G62" s="254">
        <f t="shared" si="6"/>
        <v>2.6659999999999999</v>
      </c>
      <c r="I62" s="154">
        <f>SUM(SUMIF($C$13:$C$37,{"TMKW","TMKWH"},$N$13:$N$37))</f>
        <v>100791.40729408604</v>
      </c>
      <c r="J62" s="254">
        <f t="shared" si="7"/>
        <v>2.4771609045615746</v>
      </c>
      <c r="L62" s="154">
        <f t="shared" si="5"/>
        <v>-7683.5372891329462</v>
      </c>
      <c r="N62" s="254">
        <f t="shared" si="8"/>
        <v>-0.18883909543842575</v>
      </c>
      <c r="Q62" s="154"/>
    </row>
    <row r="63" spans="1:17" ht="14" x14ac:dyDescent="0.3">
      <c r="A63" s="151">
        <f>IF(B63&lt;&gt;"",COUNTA($B$13:B63),"")</f>
        <v>46</v>
      </c>
      <c r="B63" s="130" t="str">
        <f>+'G1 SOUTH'!B75</f>
        <v>Energy Efficiency Reconciliation Factor</v>
      </c>
      <c r="C63" s="253" t="str">
        <f>+'G1 SOUTH'!C75</f>
        <v>EERF</v>
      </c>
      <c r="D63" s="253"/>
      <c r="E63" s="154">
        <f>SUMIF($C$13:$C$37,$C63,$I$13:$I$37)</f>
        <v>34422.28173946109</v>
      </c>
      <c r="G63" s="254">
        <f t="shared" si="6"/>
        <v>0.84600000000000009</v>
      </c>
      <c r="I63" s="154">
        <f>SUMIF($C$13:$C$37,$C63,$N$13:$N$37)</f>
        <v>34422.28173946109</v>
      </c>
      <c r="J63" s="254">
        <f t="shared" si="7"/>
        <v>0.84600000000000009</v>
      </c>
      <c r="L63" s="154">
        <f t="shared" si="5"/>
        <v>0</v>
      </c>
      <c r="N63" s="254">
        <f t="shared" si="8"/>
        <v>0</v>
      </c>
      <c r="Q63" s="154"/>
    </row>
    <row r="64" spans="1:17" ht="14" x14ac:dyDescent="0.3">
      <c r="A64" s="151">
        <f>IF(B64&lt;&gt;"",COUNTA($B$13:B64),"")</f>
        <v>47</v>
      </c>
      <c r="B64" s="130" t="str">
        <f>+'G1 SOUTH'!B76</f>
        <v>System Benefits Charge</v>
      </c>
      <c r="C64" s="253" t="str">
        <f>+'G1 SOUTH'!C76</f>
        <v>SBC</v>
      </c>
      <c r="D64" s="253"/>
      <c r="E64" s="154">
        <f>SUMIF($C$13:$C$37,$C64,$I$13:$I$37)</f>
        <v>10172.069071944767</v>
      </c>
      <c r="G64" s="254">
        <f t="shared" si="6"/>
        <v>0.25</v>
      </c>
      <c r="I64" s="154">
        <f>SUMIF($C$13:$C$37,$C64,$N$13:$N$37)</f>
        <v>10172.069071944767</v>
      </c>
      <c r="J64" s="254">
        <f t="shared" si="7"/>
        <v>0.25</v>
      </c>
      <c r="L64" s="154">
        <f t="shared" si="5"/>
        <v>0</v>
      </c>
      <c r="N64" s="254">
        <f t="shared" si="8"/>
        <v>0</v>
      </c>
      <c r="Q64" s="154"/>
    </row>
    <row r="65" spans="1:17" ht="14" x14ac:dyDescent="0.3">
      <c r="A65" s="151">
        <f>IF(B65&lt;&gt;"",COUNTA($B$13:B65),"")</f>
        <v>48</v>
      </c>
      <c r="B65" s="130" t="str">
        <f>+'G1 SOUTH'!B77</f>
        <v>Renewable Energy Charge</v>
      </c>
      <c r="C65" s="253" t="str">
        <f>+'G1 SOUTH'!C77</f>
        <v>RNEW</v>
      </c>
      <c r="D65" s="253"/>
      <c r="E65" s="154">
        <f>SUMIF($C$13:$C$37,$C65,$I$13:$I$37)</f>
        <v>2034.4138143889531</v>
      </c>
      <c r="G65" s="254">
        <f t="shared" si="6"/>
        <v>0.05</v>
      </c>
      <c r="I65" s="154">
        <f>SUMIF($C$13:$C$37,$C65,$N$13:$N$37)</f>
        <v>2034.4138143889531</v>
      </c>
      <c r="J65" s="254">
        <f t="shared" si="7"/>
        <v>0.05</v>
      </c>
      <c r="L65" s="154">
        <f>I65-E65</f>
        <v>0</v>
      </c>
      <c r="N65" s="254">
        <f t="shared" si="8"/>
        <v>0</v>
      </c>
      <c r="Q65" s="154"/>
    </row>
    <row r="66" spans="1:17" ht="14" x14ac:dyDescent="0.3">
      <c r="A66" s="151">
        <f>IF(B66&lt;&gt;"",COUNTA($B$13:B66),"")</f>
        <v>49</v>
      </c>
      <c r="B66" s="130" t="str">
        <f>+'G1 SOUTH'!B78</f>
        <v>Basic Service Charge</v>
      </c>
      <c r="C66" s="253" t="str">
        <f>+'G1 SOUTH'!C78</f>
        <v>BS</v>
      </c>
      <c r="D66" s="253"/>
      <c r="E66" s="255">
        <f>SUMIF($C$13:$C$37,$C66,$I$13:$I$37)</f>
        <v>463968.41450954467</v>
      </c>
      <c r="F66" s="256"/>
      <c r="G66" s="257">
        <f t="shared" si="6"/>
        <v>11.403</v>
      </c>
      <c r="H66" s="258"/>
      <c r="I66" s="255">
        <f>SUMIF($C$13:$C$37,$C66,$N$13:$N$37)</f>
        <v>536474.92285436706</v>
      </c>
      <c r="J66" s="257">
        <f t="shared" si="7"/>
        <v>13.185000000000002</v>
      </c>
      <c r="K66" s="255"/>
      <c r="L66" s="255">
        <f t="shared" si="5"/>
        <v>72506.508344822389</v>
      </c>
      <c r="M66" s="259"/>
      <c r="N66" s="257">
        <f t="shared" si="8"/>
        <v>1.7820000000000022</v>
      </c>
      <c r="Q66" s="154"/>
    </row>
    <row r="67" spans="1:17" ht="14" x14ac:dyDescent="0.3">
      <c r="A67" s="151">
        <f>IF(B67&lt;&gt;"",COUNTA($B$13:B67),"")</f>
        <v>50</v>
      </c>
      <c r="B67" s="130" t="str">
        <f>+'G1 SOUTH'!B79</f>
        <v>Total</v>
      </c>
      <c r="C67" s="130"/>
      <c r="D67" s="130"/>
      <c r="E67" s="154">
        <f>SUM(E46:E66)</f>
        <v>713838.68282307219</v>
      </c>
      <c r="G67" s="254">
        <f t="shared" si="6"/>
        <v>17.544087583712102</v>
      </c>
      <c r="I67" s="154">
        <f>SUM(I46:I66)</f>
        <v>786201.08395371761</v>
      </c>
      <c r="J67" s="254">
        <f t="shared" si="7"/>
        <v>19.322545845714707</v>
      </c>
      <c r="L67" s="154">
        <f>SUM(L46:L66)</f>
        <v>72362.401130645318</v>
      </c>
      <c r="N67" s="254">
        <f t="shared" si="8"/>
        <v>1.7784582620026042</v>
      </c>
      <c r="Q67" s="154"/>
    </row>
    <row r="68" spans="1:17" ht="14" x14ac:dyDescent="0.3">
      <c r="A68" s="151" t="str">
        <f>IF(B68&lt;&gt;"",COUNTA($B$13:B68),"")</f>
        <v/>
      </c>
      <c r="Q68" s="154"/>
    </row>
    <row r="69" spans="1:17" ht="14" x14ac:dyDescent="0.3">
      <c r="A69" s="151"/>
      <c r="B69" s="256" t="s">
        <v>164</v>
      </c>
      <c r="E69" s="188"/>
      <c r="G69" s="188"/>
      <c r="H69" s="188"/>
      <c r="I69" s="188"/>
      <c r="J69" s="188"/>
      <c r="K69" s="188"/>
      <c r="L69" s="188"/>
      <c r="M69" s="188"/>
      <c r="N69" s="188"/>
      <c r="Q69" s="154"/>
    </row>
    <row r="70" spans="1:17" ht="14" x14ac:dyDescent="0.3">
      <c r="A70" s="151"/>
      <c r="B70" s="130" t="str">
        <f>+'G1 SOUTH'!B82</f>
        <v>Col. (a): Company Forecast</v>
      </c>
      <c r="Q70" s="154"/>
    </row>
    <row r="71" spans="1:17" ht="14" x14ac:dyDescent="0.3">
      <c r="A71" s="151"/>
      <c r="B71" s="130" t="str">
        <f>+'G1 SOUTH'!B83</f>
        <v>Col. (b): Current rates</v>
      </c>
      <c r="Q71" s="154"/>
    </row>
    <row r="72" spans="1:17" ht="14" x14ac:dyDescent="0.3">
      <c r="A72" s="151"/>
      <c r="B72" s="130" t="str">
        <f>+'G1 SOUTH'!B84</f>
        <v>Col. (c): Col. (a) x Col. (b)</v>
      </c>
    </row>
    <row r="73" spans="1:17" ht="14" x14ac:dyDescent="0.3">
      <c r="A73" s="151"/>
      <c r="B73" s="130" t="str">
        <f>+'G1 SOUTH'!B85</f>
        <v>Col. (e) Proposed rates</v>
      </c>
    </row>
    <row r="74" spans="1:17" ht="14" x14ac:dyDescent="0.3">
      <c r="A74" s="151"/>
      <c r="B74" s="130" t="str">
        <f>'G5 SOUTH'!B74</f>
        <v>Col. (f): Col. (a), Line 1 or Line 2 x Col. (e)</v>
      </c>
    </row>
  </sheetData>
  <mergeCells count="6">
    <mergeCell ref="A4:N4"/>
    <mergeCell ref="A5:N5"/>
    <mergeCell ref="A7:N7"/>
    <mergeCell ref="A8:N8"/>
    <mergeCell ref="G10:I10"/>
    <mergeCell ref="L10:N10"/>
  </mergeCells>
  <pageMargins left="0.7" right="0.7" top="0.75" bottom="0.75" header="0.3" footer="0.3"/>
  <pageSetup scale="67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B1E4E-9C93-4280-9126-44A39E53C310}">
  <sheetPr>
    <tabColor theme="9" tint="0.59999389629810485"/>
    <pageSetUpPr fitToPage="1"/>
  </sheetPr>
  <dimension ref="A3:Q78"/>
  <sheetViews>
    <sheetView workbookViewId="0"/>
  </sheetViews>
  <sheetFormatPr defaultRowHeight="12.5" x14ac:dyDescent="0.25"/>
  <cols>
    <col min="1" max="1" width="3.26953125" bestFit="1" customWidth="1"/>
    <col min="2" max="2" width="41.1796875" customWidth="1"/>
    <col min="3" max="3" width="8.81640625" bestFit="1" customWidth="1"/>
    <col min="4" max="4" width="1.26953125" customWidth="1"/>
    <col min="5" max="5" width="12" bestFit="1" customWidth="1"/>
    <col min="6" max="6" width="1.26953125" customWidth="1"/>
    <col min="7" max="7" width="12.7265625" customWidth="1"/>
    <col min="8" max="8" width="1.26953125" customWidth="1"/>
    <col min="9" max="9" width="13.26953125" customWidth="1"/>
    <col min="11" max="11" width="1.26953125" customWidth="1"/>
    <col min="12" max="12" width="12.7265625" customWidth="1"/>
    <col min="13" max="13" width="1.26953125" customWidth="1"/>
    <col min="14" max="14" width="13.81640625" customWidth="1"/>
  </cols>
  <sheetData>
    <row r="3" spans="1:17" ht="14" x14ac:dyDescent="0.3">
      <c r="A3" s="268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</row>
    <row r="4" spans="1:17" ht="14" x14ac:dyDescent="0.3">
      <c r="A4" s="748" t="str">
        <f>'R1 EMA'!A4:N4</f>
        <v>Eastern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7" ht="14" x14ac:dyDescent="0.3">
      <c r="A5" s="748" t="str">
        <f>'R1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7" ht="14" x14ac:dyDescent="0.3">
      <c r="A6" s="205"/>
      <c r="C6" s="205"/>
      <c r="D6" s="205"/>
      <c r="E6" s="206"/>
      <c r="F6" s="207"/>
      <c r="G6" s="208"/>
      <c r="H6" s="209"/>
      <c r="I6" s="210"/>
      <c r="J6" s="210"/>
      <c r="K6" s="210"/>
      <c r="L6" s="211"/>
      <c r="M6" s="211"/>
      <c r="N6" s="212"/>
    </row>
    <row r="7" spans="1:17" ht="14" x14ac:dyDescent="0.3">
      <c r="A7" s="748" t="s">
        <v>476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7" ht="14" x14ac:dyDescent="0.3">
      <c r="A8" s="748" t="s">
        <v>504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7" ht="14" x14ac:dyDescent="0.3">
      <c r="B9" s="207"/>
      <c r="C9" s="207"/>
      <c r="D9" s="207"/>
      <c r="E9" s="213"/>
      <c r="F9" s="207"/>
      <c r="I9" s="210"/>
      <c r="J9" s="210"/>
      <c r="K9" s="210"/>
      <c r="L9" s="214"/>
      <c r="M9" s="214"/>
      <c r="N9" s="215"/>
    </row>
    <row r="10" spans="1:17" ht="14.5" thickBot="1" x14ac:dyDescent="0.35">
      <c r="A10" s="151"/>
      <c r="B10" s="216" t="s">
        <v>46</v>
      </c>
      <c r="C10" s="216"/>
      <c r="D10" s="216"/>
      <c r="E10" s="217" t="s">
        <v>273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7" ht="14" x14ac:dyDescent="0.3">
      <c r="A11" s="151"/>
      <c r="B11" s="219" t="s">
        <v>293</v>
      </c>
      <c r="C11" s="220" t="s">
        <v>294</v>
      </c>
      <c r="D11" s="220"/>
      <c r="E11" s="221" t="s">
        <v>427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7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7" ht="14" x14ac:dyDescent="0.3">
      <c r="A13" s="151">
        <f>IF(B13&lt;&gt;"",COUNTA($B$13:B13),"")</f>
        <v>1</v>
      </c>
      <c r="B13" s="232" t="s">
        <v>296</v>
      </c>
      <c r="C13" s="233" t="s">
        <v>297</v>
      </c>
      <c r="D13" s="233"/>
      <c r="E13" s="234">
        <v>5889.9037242548166</v>
      </c>
      <c r="F13" s="207"/>
      <c r="G13" s="209">
        <v>10</v>
      </c>
      <c r="H13" s="209"/>
      <c r="I13" s="210">
        <f>G13*E13</f>
        <v>58899.037242548162</v>
      </c>
      <c r="J13" s="235"/>
      <c r="K13" s="210"/>
      <c r="L13" s="209">
        <v>10</v>
      </c>
      <c r="M13" s="211"/>
      <c r="N13" s="210">
        <f>L13*E13</f>
        <v>58899.037242548162</v>
      </c>
      <c r="O13" s="272"/>
      <c r="P13" s="234"/>
      <c r="Q13" s="154"/>
    </row>
    <row r="14" spans="1:17" ht="14" x14ac:dyDescent="0.3">
      <c r="A14" s="151">
        <f>IF(B14&lt;&gt;"",COUNTA($B$13:B14),"")</f>
        <v>2</v>
      </c>
      <c r="B14" s="232" t="s">
        <v>422</v>
      </c>
      <c r="C14" s="233" t="s">
        <v>364</v>
      </c>
      <c r="D14" s="233"/>
      <c r="E14" s="234">
        <v>138749.12566491414</v>
      </c>
      <c r="F14" s="207"/>
      <c r="G14" s="209">
        <v>3.33</v>
      </c>
      <c r="H14" s="209"/>
      <c r="I14" s="210">
        <f t="shared" ref="I14:I16" si="0">G14*E14</f>
        <v>462034.58846416412</v>
      </c>
      <c r="J14" s="235"/>
      <c r="K14" s="210"/>
      <c r="L14" s="209">
        <v>3.45</v>
      </c>
      <c r="M14" s="211"/>
      <c r="N14" s="210">
        <f t="shared" ref="N14:N16" si="1">L14*E14</f>
        <v>478684.4835439538</v>
      </c>
      <c r="O14" s="272"/>
      <c r="P14" s="234"/>
      <c r="Q14" s="154"/>
    </row>
    <row r="15" spans="1:17" ht="14" x14ac:dyDescent="0.3">
      <c r="A15" s="151">
        <f>IF(B15&lt;&gt;"",COUNTA($B$13:B15),"")</f>
        <v>3</v>
      </c>
      <c r="B15" s="207" t="s">
        <v>449</v>
      </c>
      <c r="C15" s="233" t="s">
        <v>442</v>
      </c>
      <c r="D15" s="233"/>
      <c r="E15" s="234">
        <v>12465171.349362576</v>
      </c>
      <c r="F15" s="207"/>
      <c r="G15" s="236">
        <v>2.29E-2</v>
      </c>
      <c r="H15" s="209"/>
      <c r="I15" s="210">
        <f t="shared" si="0"/>
        <v>285452.42390040302</v>
      </c>
      <c r="J15" s="235"/>
      <c r="K15" s="210"/>
      <c r="L15" s="236">
        <v>2.3689999999999999E-2</v>
      </c>
      <c r="M15" s="211"/>
      <c r="N15" s="210">
        <f t="shared" si="1"/>
        <v>295299.90926639945</v>
      </c>
      <c r="O15" s="272"/>
      <c r="P15" s="234"/>
      <c r="Q15" s="154"/>
    </row>
    <row r="16" spans="1:17" ht="14" x14ac:dyDescent="0.3">
      <c r="A16" s="151">
        <f>IF(B16&lt;&gt;"",COUNTA($B$13:B16),"")</f>
        <v>4</v>
      </c>
      <c r="B16" s="207" t="s">
        <v>498</v>
      </c>
      <c r="C16" s="233" t="s">
        <v>444</v>
      </c>
      <c r="D16" s="233"/>
      <c r="E16" s="234">
        <v>37907911.260927543</v>
      </c>
      <c r="F16" s="207"/>
      <c r="G16" s="236">
        <v>1.6039999999999999E-2</v>
      </c>
      <c r="H16" s="209"/>
      <c r="I16" s="210">
        <f t="shared" si="0"/>
        <v>608042.8966252777</v>
      </c>
      <c r="J16" s="235"/>
      <c r="K16" s="210"/>
      <c r="L16" s="236">
        <v>1.66E-2</v>
      </c>
      <c r="M16" s="211"/>
      <c r="N16" s="210">
        <f t="shared" si="1"/>
        <v>629271.3269313972</v>
      </c>
      <c r="O16" s="272"/>
      <c r="P16" s="234"/>
      <c r="Q16" s="154"/>
    </row>
    <row r="17" spans="1:17" ht="14" x14ac:dyDescent="0.3">
      <c r="A17" s="151">
        <f>IF(B17&lt;&gt;"",COUNTA($B$13:B17),"")</f>
        <v>5</v>
      </c>
      <c r="B17" s="207" t="s">
        <v>352</v>
      </c>
      <c r="C17" s="233" t="s">
        <v>299</v>
      </c>
      <c r="D17" s="233"/>
      <c r="E17" s="234">
        <v>50373082.610290118</v>
      </c>
      <c r="F17" s="207"/>
      <c r="G17" s="236"/>
      <c r="H17" s="209"/>
      <c r="I17" s="237"/>
      <c r="J17" s="235"/>
      <c r="K17" s="210"/>
      <c r="L17" s="281"/>
      <c r="M17" s="211"/>
      <c r="N17" s="237"/>
      <c r="O17" s="272"/>
      <c r="P17" s="273"/>
    </row>
    <row r="18" spans="1:17" ht="14" x14ac:dyDescent="0.3">
      <c r="A18" s="151">
        <f>IF(B18&lt;&gt;"",COUNTA($B$13:B18),"")</f>
        <v>6</v>
      </c>
      <c r="B18" s="207" t="s">
        <v>300</v>
      </c>
      <c r="C18" s="233" t="s">
        <v>301</v>
      </c>
      <c r="D18" s="233"/>
      <c r="E18" s="234"/>
      <c r="F18" s="207"/>
      <c r="G18" s="209"/>
      <c r="H18" s="209"/>
      <c r="I18" s="210">
        <f>SUM(I13:I17)</f>
        <v>1414428.9462323929</v>
      </c>
      <c r="J18" s="235"/>
      <c r="K18" s="210"/>
      <c r="L18" s="238"/>
      <c r="M18" s="211"/>
      <c r="N18" s="210">
        <f>SUM(N13:N17)</f>
        <v>1462154.7569842986</v>
      </c>
      <c r="O18" s="272"/>
      <c r="P18" s="210"/>
      <c r="Q18" s="154"/>
    </row>
    <row r="19" spans="1:17" ht="14" x14ac:dyDescent="0.3">
      <c r="A19" s="151" t="str">
        <f>IF(B19&lt;&gt;"",COUNTA($B$13:B19),"")</f>
        <v/>
      </c>
      <c r="B19" s="207"/>
      <c r="C19" s="233"/>
      <c r="D19" s="233"/>
      <c r="E19" s="234"/>
      <c r="F19" s="207"/>
      <c r="G19" s="209"/>
      <c r="H19" s="209"/>
      <c r="I19" s="210"/>
      <c r="J19" s="235"/>
      <c r="K19" s="210"/>
      <c r="L19" s="238"/>
      <c r="M19" s="211"/>
      <c r="N19" s="210"/>
      <c r="O19" s="272"/>
      <c r="P19" s="210"/>
      <c r="Q19" s="154"/>
    </row>
    <row r="20" spans="1:17" ht="14" x14ac:dyDescent="0.3">
      <c r="A20" s="151">
        <f>IF(B20&lt;&gt;"",COUNTA($B$13:B20),"")</f>
        <v>7</v>
      </c>
      <c r="B20" s="228" t="s">
        <v>302</v>
      </c>
      <c r="F20" s="239"/>
      <c r="G20" s="240"/>
      <c r="H20" s="211"/>
      <c r="I20" s="210"/>
      <c r="K20" s="210"/>
      <c r="L20" s="241"/>
      <c r="M20" s="211"/>
      <c r="N20" s="210"/>
      <c r="O20" s="272"/>
    </row>
    <row r="21" spans="1:17" ht="14" x14ac:dyDescent="0.3">
      <c r="A21" s="151">
        <f>IF(B21&lt;&gt;"",COUNTA($B$13:B21),"")</f>
        <v>8</v>
      </c>
      <c r="B21" s="207" t="str">
        <f>+'G2 SOUTH'!B22</f>
        <v>Revenue Decoupling</v>
      </c>
      <c r="C21" s="233" t="str">
        <f>+'G2 SOUTH'!C22</f>
        <v>RDAF</v>
      </c>
      <c r="D21" s="233"/>
      <c r="E21" s="242"/>
      <c r="F21" s="239"/>
      <c r="G21" s="236">
        <v>0</v>
      </c>
      <c r="H21" s="211"/>
      <c r="I21" s="210">
        <f>G21*$E$17</f>
        <v>0</v>
      </c>
      <c r="K21" s="210"/>
      <c r="L21" s="236">
        <v>-3.564250599337516E-4</v>
      </c>
      <c r="M21" s="211"/>
      <c r="N21" s="210">
        <f>$E$17*L21</f>
        <v>-17954.228988420477</v>
      </c>
      <c r="O21" s="272"/>
      <c r="P21" s="234"/>
    </row>
    <row r="22" spans="1:17" ht="14" x14ac:dyDescent="0.3">
      <c r="A22" s="151">
        <f>IF(B22&lt;&gt;"",COUNTA($B$13:B22),"")</f>
        <v>9</v>
      </c>
      <c r="B22" s="207" t="str">
        <f>+'G2 SOUTH'!B23</f>
        <v>Residential Assistance Adjustment Factor</v>
      </c>
      <c r="C22" s="233" t="str">
        <f>+'G2 SOUTH'!C23</f>
        <v>RAAF</v>
      </c>
      <c r="D22" s="243"/>
      <c r="E22" s="206"/>
      <c r="F22" s="239"/>
      <c r="G22" s="236">
        <v>2.3E-3</v>
      </c>
      <c r="H22" s="211"/>
      <c r="I22" s="210">
        <f t="shared" ref="I22:I35" si="2">G22*$E$17</f>
        <v>115858.09000366727</v>
      </c>
      <c r="K22" s="210"/>
      <c r="L22" s="236">
        <v>3.0111747643881263E-3</v>
      </c>
      <c r="M22" s="211"/>
      <c r="N22" s="210">
        <f t="shared" ref="N22:N35" si="3">$E$17*L22</f>
        <v>151682.15516054397</v>
      </c>
      <c r="O22" s="272"/>
      <c r="P22" s="234"/>
      <c r="Q22" s="210"/>
    </row>
    <row r="23" spans="1:17" ht="14" x14ac:dyDescent="0.3">
      <c r="A23" s="151">
        <f>IF(B23&lt;&gt;"",COUNTA($B$13:B23),"")</f>
        <v>10</v>
      </c>
      <c r="B23" s="207" t="str">
        <f>+'G2 SOUTH'!B24</f>
        <v>Pension Adjustment Factor</v>
      </c>
      <c r="C23" s="233" t="str">
        <f>+'G2 SOUTH'!C24</f>
        <v>PAF</v>
      </c>
      <c r="D23" s="243"/>
      <c r="E23" s="206"/>
      <c r="F23" s="239"/>
      <c r="G23" s="236">
        <v>-8.0000000000000007E-5</v>
      </c>
      <c r="H23" s="211"/>
      <c r="I23" s="210">
        <f t="shared" si="2"/>
        <v>-4029.8466088232099</v>
      </c>
      <c r="K23" s="210"/>
      <c r="L23" s="236">
        <v>7.0072348436568167E-4</v>
      </c>
      <c r="M23" s="211"/>
      <c r="N23" s="210">
        <f t="shared" si="3"/>
        <v>35297.601964922818</v>
      </c>
      <c r="O23" s="272"/>
      <c r="P23" s="274"/>
    </row>
    <row r="24" spans="1:17" ht="14" x14ac:dyDescent="0.3">
      <c r="A24" s="151">
        <f>IF(B24&lt;&gt;"",COUNTA($B$13:B24),"")</f>
        <v>11</v>
      </c>
      <c r="B24" s="207" t="str">
        <f>+'G2 SOUTH'!B25</f>
        <v>Net Metering Recovery Surcharge</v>
      </c>
      <c r="C24" s="233" t="str">
        <f>+'G2 SOUTH'!C25</f>
        <v>NMRS</v>
      </c>
      <c r="D24" s="243"/>
      <c r="E24" s="206"/>
      <c r="F24" s="239"/>
      <c r="G24" s="236">
        <v>4.5300000000000002E-3</v>
      </c>
      <c r="H24" s="211"/>
      <c r="I24" s="210">
        <f t="shared" si="2"/>
        <v>228190.06422461424</v>
      </c>
      <c r="K24" s="210"/>
      <c r="L24" s="236">
        <v>3.926330354643238E-3</v>
      </c>
      <c r="M24" s="211"/>
      <c r="N24" s="210">
        <f t="shared" si="3"/>
        <v>197781.36330973351</v>
      </c>
      <c r="O24" s="272"/>
      <c r="P24" s="274"/>
    </row>
    <row r="25" spans="1:17" ht="14" x14ac:dyDescent="0.3">
      <c r="A25" s="151">
        <f>IF(B25&lt;&gt;"",COUNTA($B$13:B25),"")</f>
        <v>12</v>
      </c>
      <c r="B25" s="207" t="str">
        <f>+'G2 SOUTH'!B26</f>
        <v>Long Term Renewable Contract Adjustment</v>
      </c>
      <c r="C25" s="233" t="str">
        <f>+'G2 SOUTH'!C26</f>
        <v>LTRCA</v>
      </c>
      <c r="D25" s="243"/>
      <c r="E25" s="206"/>
      <c r="F25" s="239"/>
      <c r="G25" s="236">
        <v>2.3600000000000001E-3</v>
      </c>
      <c r="H25" s="211"/>
      <c r="I25" s="210">
        <f t="shared" si="2"/>
        <v>118880.47496028469</v>
      </c>
      <c r="K25" s="210"/>
      <c r="L25" s="236">
        <v>1.7357128782064517E-3</v>
      </c>
      <c r="M25" s="211"/>
      <c r="N25" s="210">
        <f t="shared" si="3"/>
        <v>87433.208201638015</v>
      </c>
      <c r="O25" s="272"/>
      <c r="P25" s="275"/>
    </row>
    <row r="26" spans="1:17" ht="14" x14ac:dyDescent="0.3">
      <c r="A26" s="151">
        <f>IF(B26&lt;&gt;"",COUNTA($B$13:B26),"")</f>
        <v>13</v>
      </c>
      <c r="B26" s="207" t="str">
        <f>+'G2 SOUTH'!B27</f>
        <v>AG Consulting Expense</v>
      </c>
      <c r="C26" s="233" t="str">
        <f>+'G2 SOUTH'!C27</f>
        <v>AGCE</v>
      </c>
      <c r="D26" s="243"/>
      <c r="E26" s="206"/>
      <c r="F26" s="239"/>
      <c r="G26" s="236">
        <v>2.0000000000000002E-5</v>
      </c>
      <c r="H26" s="211"/>
      <c r="I26" s="210">
        <f t="shared" si="2"/>
        <v>1007.4616522058025</v>
      </c>
      <c r="K26" s="210"/>
      <c r="L26" s="236">
        <v>6.3223437426448912E-6</v>
      </c>
      <c r="M26" s="211"/>
      <c r="N26" s="210">
        <f t="shared" si="3"/>
        <v>318.47594363890192</v>
      </c>
      <c r="O26" s="272"/>
      <c r="P26" s="274"/>
    </row>
    <row r="27" spans="1:17" ht="14" x14ac:dyDescent="0.3">
      <c r="A27" s="151">
        <f>IF(B27&lt;&gt;"",COUNTA($B$13:B27),"")</f>
        <v>14</v>
      </c>
      <c r="B27" s="207" t="str">
        <f>+'G2 SOUTH'!B28</f>
        <v>Storm Cost Recovery Adjustment Factor</v>
      </c>
      <c r="C27" s="233" t="str">
        <f>+'G2 SOUTH'!C28</f>
        <v>SCRA</v>
      </c>
      <c r="D27" s="243"/>
      <c r="E27" s="206"/>
      <c r="F27" s="239"/>
      <c r="G27" s="236">
        <v>1.42E-3</v>
      </c>
      <c r="H27" s="211"/>
      <c r="I27" s="210">
        <f t="shared" si="2"/>
        <v>71529.77730661197</v>
      </c>
      <c r="K27" s="210"/>
      <c r="L27" s="236">
        <v>2.2823397188421191E-3</v>
      </c>
      <c r="M27" s="211"/>
      <c r="N27" s="210">
        <f t="shared" si="3"/>
        <v>114968.48720198039</v>
      </c>
      <c r="O27" s="272"/>
      <c r="P27" s="274"/>
    </row>
    <row r="28" spans="1:17" ht="14" x14ac:dyDescent="0.3">
      <c r="A28" s="151">
        <f>IF(B28&lt;&gt;"",COUNTA($B$13:B28),"")</f>
        <v>15</v>
      </c>
      <c r="B28" s="207" t="str">
        <f>+'G2 SOUTH'!B29</f>
        <v>Storm Reserve Adjustment</v>
      </c>
      <c r="C28" s="233" t="str">
        <f>+'G2 SOUTH'!C29</f>
        <v>SRA</v>
      </c>
      <c r="D28" s="243"/>
      <c r="E28" s="206"/>
      <c r="F28" s="239"/>
      <c r="G28" s="236">
        <v>0</v>
      </c>
      <c r="H28" s="211"/>
      <c r="I28" s="210">
        <f t="shared" si="2"/>
        <v>0</v>
      </c>
      <c r="K28" s="210"/>
      <c r="L28" s="236">
        <v>0</v>
      </c>
      <c r="M28" s="211"/>
      <c r="N28" s="210">
        <f t="shared" si="3"/>
        <v>0</v>
      </c>
      <c r="O28" s="272"/>
      <c r="P28" s="274"/>
    </row>
    <row r="29" spans="1:17" ht="14" x14ac:dyDescent="0.3">
      <c r="A29" s="151">
        <f>IF(B29&lt;&gt;"",COUNTA($B$13:B29),"")</f>
        <v>16</v>
      </c>
      <c r="B29" s="207" t="str">
        <f>+'G2 SOUTH'!B30</f>
        <v>Basic Service Cost True Up Factor</v>
      </c>
      <c r="C29" s="233" t="str">
        <f>+'G2 SOUTH'!C30</f>
        <v>BSTF</v>
      </c>
      <c r="D29" s="243"/>
      <c r="E29" s="206"/>
      <c r="F29" s="239"/>
      <c r="G29" s="236">
        <v>1.23E-3</v>
      </c>
      <c r="H29" s="211"/>
      <c r="I29" s="210">
        <f t="shared" si="2"/>
        <v>61958.891610656843</v>
      </c>
      <c r="K29" s="210"/>
      <c r="L29" s="236">
        <v>-1.4942187056017604E-4</v>
      </c>
      <c r="M29" s="211"/>
      <c r="N29" s="210">
        <f t="shared" si="3"/>
        <v>-7526.840229511824</v>
      </c>
      <c r="O29" s="272"/>
      <c r="P29" s="274"/>
    </row>
    <row r="30" spans="1:17" ht="14" x14ac:dyDescent="0.3">
      <c r="A30" s="151">
        <f>IF(B30&lt;&gt;"",COUNTA($B$13:B30),"")</f>
        <v>17</v>
      </c>
      <c r="B30" s="207" t="str">
        <f>+'G2 SOUTH'!B31</f>
        <v>Solar Program Cost Adjustment Factor</v>
      </c>
      <c r="C30" s="233" t="str">
        <f>+'G2 SOUTH'!C31</f>
        <v>SPCA</v>
      </c>
      <c r="D30" s="233"/>
      <c r="E30" s="206"/>
      <c r="F30" s="239"/>
      <c r="G30" s="236">
        <v>0</v>
      </c>
      <c r="H30" s="211"/>
      <c r="I30" s="210">
        <f t="shared" si="2"/>
        <v>0</v>
      </c>
      <c r="K30" s="210"/>
      <c r="L30" s="236">
        <v>2.6591791115315666E-5</v>
      </c>
      <c r="M30" s="211"/>
      <c r="N30" s="210">
        <f t="shared" si="3"/>
        <v>1339.5104906073748</v>
      </c>
      <c r="O30" s="272"/>
      <c r="P30" s="276"/>
    </row>
    <row r="31" spans="1:17" ht="14" x14ac:dyDescent="0.3">
      <c r="A31" s="151">
        <f>IF(B31&lt;&gt;"",COUNTA($B$13:B31),"")</f>
        <v>18</v>
      </c>
      <c r="B31" s="207" t="str">
        <f>+'G2 SOUTH'!B32</f>
        <v>Solar Expansion Cost Recovery Factor</v>
      </c>
      <c r="C31" s="233" t="str">
        <f>+'G2 SOUTH'!C32</f>
        <v>SECRF</v>
      </c>
      <c r="D31" s="233"/>
      <c r="E31" s="206"/>
      <c r="F31" s="239"/>
      <c r="G31" s="236">
        <v>0</v>
      </c>
      <c r="H31" s="211"/>
      <c r="I31" s="210">
        <f t="shared" si="2"/>
        <v>0</v>
      </c>
      <c r="K31" s="210"/>
      <c r="L31" s="236">
        <v>4.690183605452695E-4</v>
      </c>
      <c r="M31" s="211"/>
      <c r="N31" s="210">
        <f t="shared" si="3"/>
        <v>23625.900621489694</v>
      </c>
      <c r="O31" s="272"/>
      <c r="P31" s="276"/>
    </row>
    <row r="32" spans="1:17" ht="14" x14ac:dyDescent="0.3">
      <c r="A32" s="151">
        <f>IF(B32&lt;&gt;"",COUNTA($B$13:B32),"")</f>
        <v>19</v>
      </c>
      <c r="B32" s="207" t="str">
        <f>+'G2 SOUTH'!B33</f>
        <v>Vegetation Management</v>
      </c>
      <c r="C32" s="233" t="str">
        <f>+'G2 SOUTH'!C33</f>
        <v>RTWF</v>
      </c>
      <c r="D32" s="233"/>
      <c r="E32" s="206"/>
      <c r="F32" s="239"/>
      <c r="G32" s="236">
        <v>0</v>
      </c>
      <c r="H32" s="211"/>
      <c r="I32" s="210">
        <f t="shared" si="2"/>
        <v>0</v>
      </c>
      <c r="K32" s="210"/>
      <c r="L32" s="236">
        <v>1.2545318705078278E-3</v>
      </c>
      <c r="M32" s="211"/>
      <c r="N32" s="210">
        <f t="shared" si="3"/>
        <v>63194.637550332598</v>
      </c>
      <c r="O32" s="272"/>
      <c r="P32" s="276"/>
    </row>
    <row r="33" spans="1:16" ht="14" x14ac:dyDescent="0.3">
      <c r="A33" s="151">
        <f>IF(B33&lt;&gt;"",COUNTA($B$13:B33),"")</f>
        <v>20</v>
      </c>
      <c r="B33" s="207" t="str">
        <f>+'G2 SOUTH'!B34</f>
        <v>Solar Massachusetts Renewable Target</v>
      </c>
      <c r="C33" s="233" t="str">
        <f>+'G2 SOUTH'!C34</f>
        <v>SMART</v>
      </c>
      <c r="D33" s="233"/>
      <c r="E33" s="206"/>
      <c r="F33" s="239"/>
      <c r="G33" s="236">
        <v>0</v>
      </c>
      <c r="H33" s="211"/>
      <c r="I33" s="210">
        <f t="shared" si="2"/>
        <v>0</v>
      </c>
      <c r="K33" s="210"/>
      <c r="L33" s="236">
        <v>5.4952082600398869E-4</v>
      </c>
      <c r="M33" s="211"/>
      <c r="N33" s="210">
        <f t="shared" si="3"/>
        <v>27681.057964373784</v>
      </c>
      <c r="O33" s="272"/>
      <c r="P33" s="276"/>
    </row>
    <row r="34" spans="1:16" ht="14" x14ac:dyDescent="0.3">
      <c r="A34" s="151">
        <f>IF(B34&lt;&gt;"",COUNTA($B$13:B34),"")</f>
        <v>21</v>
      </c>
      <c r="B34" s="207" t="str">
        <f>+'G2 SOUTH'!B35</f>
        <v>Tax Act Credit Factor</v>
      </c>
      <c r="C34" s="233" t="str">
        <f>+'G2 SOUTH'!C35</f>
        <v>TACF</v>
      </c>
      <c r="D34" s="233"/>
      <c r="E34" s="206"/>
      <c r="F34" s="239"/>
      <c r="G34" s="236">
        <v>0</v>
      </c>
      <c r="H34" s="211"/>
      <c r="I34" s="210">
        <f t="shared" si="2"/>
        <v>0</v>
      </c>
      <c r="K34" s="210"/>
      <c r="L34" s="236">
        <v>-8.3188272854994004E-4</v>
      </c>
      <c r="M34" s="211"/>
      <c r="N34" s="210">
        <f t="shared" si="3"/>
        <v>-41904.497407319679</v>
      </c>
      <c r="O34" s="272"/>
      <c r="P34" s="276"/>
    </row>
    <row r="35" spans="1:16" ht="14" x14ac:dyDescent="0.3">
      <c r="A35" s="151">
        <f>IF(B35&lt;&gt;"",COUNTA($B$13:B35),"")</f>
        <v>22</v>
      </c>
      <c r="B35" s="207" t="str">
        <f>+'G2 SOUTH'!B36</f>
        <v>Transition</v>
      </c>
      <c r="C35" s="233" t="str">
        <f>+'G2 SOUTH'!C36</f>
        <v>TRNSN</v>
      </c>
      <c r="D35" s="233"/>
      <c r="E35" s="206"/>
      <c r="F35" s="239"/>
      <c r="G35" s="236">
        <v>-6.0999999999999997E-4</v>
      </c>
      <c r="H35" s="211"/>
      <c r="I35" s="210">
        <f t="shared" si="2"/>
        <v>-30727.58039227697</v>
      </c>
      <c r="K35" s="210"/>
      <c r="L35" s="236">
        <v>-5.210932140356871E-4</v>
      </c>
      <c r="M35" s="211"/>
      <c r="N35" s="210">
        <f t="shared" si="3"/>
        <v>-26249.071518281256</v>
      </c>
      <c r="O35" s="272"/>
      <c r="P35" s="275"/>
    </row>
    <row r="36" spans="1:16" ht="14" x14ac:dyDescent="0.3">
      <c r="A36" s="151">
        <f>IF(B36&lt;&gt;"",COUNTA($B$13:B36),"")</f>
        <v>23</v>
      </c>
      <c r="B36" s="207" t="str">
        <f>+'G2 SOUTH'!B37</f>
        <v>Transmission Demand</v>
      </c>
      <c r="C36" s="233" t="str">
        <f>+'G2 SOUTH'!C37</f>
        <v>TMKW</v>
      </c>
      <c r="D36" s="233"/>
      <c r="E36" s="206"/>
      <c r="F36" s="239"/>
      <c r="G36" s="283">
        <v>10.63</v>
      </c>
      <c r="H36" s="211"/>
      <c r="I36" s="210">
        <f>G36*$E$14</f>
        <v>1474903.2058180375</v>
      </c>
      <c r="K36" s="210"/>
      <c r="L36" s="283">
        <v>7.1135832461275692</v>
      </c>
      <c r="M36" s="211"/>
      <c r="N36" s="210">
        <f>$E$14*L36</f>
        <v>987003.455744782</v>
      </c>
      <c r="O36" s="299"/>
      <c r="P36" s="276"/>
    </row>
    <row r="37" spans="1:16" ht="14" x14ac:dyDescent="0.3">
      <c r="A37" s="151">
        <f>IF(B37&lt;&gt;"",COUNTA($B$13:B37),"")</f>
        <v>24</v>
      </c>
      <c r="B37" s="207" t="str">
        <f>+'G2 SOUTH'!B38</f>
        <v>Transmission Energy</v>
      </c>
      <c r="C37" s="233" t="str">
        <f>+'G2 SOUTH'!C38</f>
        <v>TMKWH</v>
      </c>
      <c r="D37" s="233"/>
      <c r="E37" s="206"/>
      <c r="F37" s="239"/>
      <c r="G37" s="241">
        <v>0</v>
      </c>
      <c r="H37" s="211"/>
      <c r="I37" s="210">
        <f t="shared" ref="I37:I41" si="4">G37*$E$17</f>
        <v>0</v>
      </c>
      <c r="K37" s="210"/>
      <c r="L37" s="236">
        <v>0</v>
      </c>
      <c r="M37" s="211"/>
      <c r="N37" s="210">
        <f t="shared" ref="N37:N41" si="5">$E$17*L37</f>
        <v>0</v>
      </c>
      <c r="O37" s="272"/>
      <c r="P37" s="275"/>
    </row>
    <row r="38" spans="1:16" ht="14" x14ac:dyDescent="0.3">
      <c r="A38" s="151">
        <f>IF(B38&lt;&gt;"",COUNTA($B$13:B38),"")</f>
        <v>25</v>
      </c>
      <c r="B38" s="207" t="str">
        <f>+'G2 SOUTH'!B39</f>
        <v>Energy Efficiency Reconciliation Factor</v>
      </c>
      <c r="C38" s="233" t="str">
        <f>+'G2 SOUTH'!C39</f>
        <v>EERF</v>
      </c>
      <c r="D38" s="233"/>
      <c r="E38" s="206"/>
      <c r="F38" s="239"/>
      <c r="G38" s="241">
        <v>8.4600000000000005E-3</v>
      </c>
      <c r="H38" s="211"/>
      <c r="I38" s="210">
        <f t="shared" si="4"/>
        <v>426156.27888305445</v>
      </c>
      <c r="K38" s="210"/>
      <c r="L38" s="281">
        <v>8.4600000000000005E-3</v>
      </c>
      <c r="M38" s="211"/>
      <c r="N38" s="210">
        <f t="shared" si="5"/>
        <v>426156.27888305445</v>
      </c>
      <c r="O38" s="272"/>
      <c r="P38" s="232"/>
    </row>
    <row r="39" spans="1:16" ht="14" x14ac:dyDescent="0.3">
      <c r="A39" s="151">
        <f>IF(B39&lt;&gt;"",COUNTA($B$13:B39),"")</f>
        <v>26</v>
      </c>
      <c r="B39" s="207" t="str">
        <f>+'G2 SOUTH'!B40</f>
        <v>System Benefits Charge</v>
      </c>
      <c r="C39" s="233" t="str">
        <f>+'G2 SOUTH'!C40</f>
        <v>SBC</v>
      </c>
      <c r="D39" s="233"/>
      <c r="E39" s="206"/>
      <c r="F39" s="239"/>
      <c r="G39" s="241">
        <v>2.5000000000000001E-3</v>
      </c>
      <c r="H39" s="211"/>
      <c r="I39" s="210">
        <f t="shared" si="4"/>
        <v>125932.7065257253</v>
      </c>
      <c r="K39" s="210"/>
      <c r="L39" s="281">
        <f>+G39</f>
        <v>2.5000000000000001E-3</v>
      </c>
      <c r="M39" s="211"/>
      <c r="N39" s="210">
        <f t="shared" si="5"/>
        <v>125932.7065257253</v>
      </c>
      <c r="O39" s="272"/>
      <c r="P39" s="275"/>
    </row>
    <row r="40" spans="1:16" ht="14" x14ac:dyDescent="0.3">
      <c r="A40" s="151">
        <f>IF(B40&lt;&gt;"",COUNTA($B$13:B40),"")</f>
        <v>27</v>
      </c>
      <c r="B40" s="207" t="str">
        <f>+'G2 SOUTH'!B41</f>
        <v>Renewable Energy Charge</v>
      </c>
      <c r="C40" s="233" t="str">
        <f>+'G2 SOUTH'!C41</f>
        <v>RNEW</v>
      </c>
      <c r="D40" s="233"/>
      <c r="E40" s="206"/>
      <c r="F40" s="239"/>
      <c r="G40" s="241">
        <v>5.0000000000000001E-4</v>
      </c>
      <c r="H40" s="211"/>
      <c r="I40" s="210">
        <f t="shared" si="4"/>
        <v>25186.54130514506</v>
      </c>
      <c r="K40" s="210"/>
      <c r="L40" s="281">
        <f>+G40</f>
        <v>5.0000000000000001E-4</v>
      </c>
      <c r="M40" s="211"/>
      <c r="N40" s="210">
        <f t="shared" si="5"/>
        <v>25186.54130514506</v>
      </c>
      <c r="O40" s="272"/>
      <c r="P40" s="275"/>
    </row>
    <row r="41" spans="1:16" ht="14" x14ac:dyDescent="0.3">
      <c r="A41" s="151">
        <f>IF(B41&lt;&gt;"",COUNTA($B$13:B41),"")</f>
        <v>28</v>
      </c>
      <c r="B41" s="207" t="str">
        <f>+'G2 SOUTH'!B42</f>
        <v>Basic Service Charge</v>
      </c>
      <c r="C41" s="233" t="str">
        <f>+'G2 SOUTH'!C42</f>
        <v>BS</v>
      </c>
      <c r="D41" s="233"/>
      <c r="E41" s="206"/>
      <c r="F41" s="239"/>
      <c r="G41" s="236">
        <v>0.11403000000000001</v>
      </c>
      <c r="H41" s="211"/>
      <c r="I41" s="237">
        <f t="shared" si="4"/>
        <v>5744042.6100513823</v>
      </c>
      <c r="K41" s="210"/>
      <c r="L41" s="281">
        <v>0.13185000000000002</v>
      </c>
      <c r="M41" s="211"/>
      <c r="N41" s="237">
        <f t="shared" si="5"/>
        <v>6641690.9421667531</v>
      </c>
      <c r="O41" s="272"/>
      <c r="P41" s="232"/>
    </row>
    <row r="42" spans="1:16" ht="14" x14ac:dyDescent="0.3">
      <c r="A42" s="151" t="str">
        <f>IF(B42&lt;&gt;"",COUNTA($B$13:B42),"")</f>
        <v/>
      </c>
      <c r="B42" s="207"/>
      <c r="E42" s="206"/>
      <c r="F42" s="239"/>
      <c r="G42" s="241"/>
      <c r="H42" s="211"/>
      <c r="I42" s="244"/>
      <c r="K42" s="210"/>
      <c r="L42" s="241"/>
      <c r="M42" s="211"/>
      <c r="N42" s="244"/>
      <c r="O42" s="272"/>
    </row>
    <row r="43" spans="1:16" ht="14" x14ac:dyDescent="0.3">
      <c r="A43" s="151">
        <f>IF(B43&lt;&gt;"",COUNTA($B$13:B43),"")</f>
        <v>29</v>
      </c>
      <c r="B43" s="188" t="s">
        <v>46</v>
      </c>
      <c r="E43" s="188"/>
      <c r="G43" s="245" t="s">
        <v>324</v>
      </c>
      <c r="H43" s="246"/>
      <c r="I43" s="154">
        <f>SUM(I18:I42)</f>
        <v>9773317.6215726789</v>
      </c>
      <c r="K43" s="247"/>
      <c r="L43" s="245"/>
      <c r="N43" s="154">
        <f>SUM(N18:N42)</f>
        <v>10277812.441875488</v>
      </c>
      <c r="P43" s="154"/>
    </row>
    <row r="44" spans="1:16" ht="14" x14ac:dyDescent="0.3">
      <c r="A44" s="151" t="str">
        <f>IF(B44&lt;&gt;"",COUNTA($B$13:B44),"")</f>
        <v/>
      </c>
      <c r="E44" s="188"/>
      <c r="H44" s="188"/>
      <c r="I44" s="154"/>
      <c r="K44" s="265"/>
      <c r="L44" s="278"/>
      <c r="N44" s="265"/>
      <c r="P44" s="154"/>
    </row>
    <row r="45" spans="1:16" ht="14" x14ac:dyDescent="0.3">
      <c r="A45" s="151">
        <f>IF(B45&lt;&gt;"",COUNTA($B$13:B45),"")</f>
        <v>30</v>
      </c>
      <c r="B45" s="188" t="s">
        <v>46</v>
      </c>
      <c r="E45" s="188"/>
      <c r="G45" s="188"/>
      <c r="H45" s="188"/>
      <c r="I45" s="188"/>
      <c r="J45" s="188"/>
      <c r="L45" s="248" t="s">
        <v>325</v>
      </c>
      <c r="N45" s="160">
        <f>+N43/I43-1</f>
        <v>5.1619607572073178E-2</v>
      </c>
    </row>
    <row r="46" spans="1:16" ht="14" x14ac:dyDescent="0.3">
      <c r="A46" s="151" t="str">
        <f>IF(B46&lt;&gt;"",COUNTA($B$13:B46),"")</f>
        <v/>
      </c>
      <c r="E46" s="188"/>
      <c r="G46" s="188"/>
      <c r="H46" s="188"/>
      <c r="I46" s="188"/>
      <c r="J46" s="188"/>
      <c r="L46" s="248"/>
      <c r="N46" s="160"/>
    </row>
    <row r="47" spans="1:16" ht="14" x14ac:dyDescent="0.3">
      <c r="A47" s="151" t="str">
        <f>IF(B47&lt;&gt;"",COUNTA($B$13:B47),"")</f>
        <v/>
      </c>
      <c r="E47" s="188"/>
      <c r="G47" s="186"/>
      <c r="H47" s="188"/>
      <c r="I47" s="188"/>
      <c r="L47" s="248"/>
      <c r="N47" s="160"/>
    </row>
    <row r="48" spans="1:16" ht="14.5" thickBot="1" x14ac:dyDescent="0.35">
      <c r="A48" s="151">
        <f>IF(B48&lt;&gt;"",COUNTA($B$13:B48),"")</f>
        <v>31</v>
      </c>
      <c r="B48" s="188" t="s">
        <v>46</v>
      </c>
      <c r="E48" s="279" t="s">
        <v>326</v>
      </c>
      <c r="F48" s="135"/>
      <c r="G48" s="280"/>
      <c r="I48" s="279" t="s">
        <v>327</v>
      </c>
      <c r="J48" s="135"/>
      <c r="L48" s="279" t="s">
        <v>328</v>
      </c>
      <c r="M48" s="135"/>
      <c r="N48" s="137"/>
    </row>
    <row r="49" spans="1:17" ht="14" x14ac:dyDescent="0.3">
      <c r="A49" s="151">
        <f>IF(B49&lt;&gt;"",COUNTA($B$13:B49),"")</f>
        <v>32</v>
      </c>
      <c r="B49" s="144" t="s">
        <v>329</v>
      </c>
      <c r="C49" s="144"/>
      <c r="D49" s="144"/>
      <c r="E49" s="249" t="s">
        <v>148</v>
      </c>
      <c r="F49" s="250"/>
      <c r="G49" s="251" t="s">
        <v>330</v>
      </c>
      <c r="I49" s="249" t="s">
        <v>148</v>
      </c>
      <c r="J49" s="251" t="s">
        <v>330</v>
      </c>
      <c r="K49" s="212"/>
      <c r="L49" s="249" t="s">
        <v>148</v>
      </c>
      <c r="M49" s="252"/>
      <c r="N49" s="251" t="s">
        <v>330</v>
      </c>
    </row>
    <row r="50" spans="1:17" ht="14" x14ac:dyDescent="0.3">
      <c r="A50" s="151">
        <f>IF(B50&lt;&gt;"",COUNTA($B$13:B50),"")</f>
        <v>33</v>
      </c>
      <c r="B50" s="130" t="str">
        <f>+'G2 SOUTH'!B51</f>
        <v>Distribution</v>
      </c>
      <c r="C50" s="253" t="str">
        <f>+'G2 SOUTH'!C51</f>
        <v>DIST</v>
      </c>
      <c r="D50" s="253"/>
      <c r="E50" s="154">
        <f t="shared" ref="E50:E65" si="6">SUMIF($C$13:$C$41,$C50,$I$13:$I$41)</f>
        <v>1414428.9462323929</v>
      </c>
      <c r="G50" s="254">
        <f>+E50/$E$17*100</f>
        <v>2.8079062724333967</v>
      </c>
      <c r="I50" s="154">
        <f t="shared" ref="I50:I65" si="7">SUMIF($C$13:$C$41,$C50,$N$13:$N$41)</f>
        <v>1462154.7569842986</v>
      </c>
      <c r="J50" s="254">
        <f>+I50/$E$17*100</f>
        <v>2.90265094216333</v>
      </c>
      <c r="L50" s="154">
        <f t="shared" ref="L50:L70" si="8">I50-E50</f>
        <v>47725.810751905665</v>
      </c>
      <c r="N50" s="254">
        <f>+L50/$E$17*100</f>
        <v>9.4744669729932965E-2</v>
      </c>
      <c r="O50" s="272"/>
      <c r="Q50" s="154"/>
    </row>
    <row r="51" spans="1:17" ht="14" x14ac:dyDescent="0.3">
      <c r="A51" s="151">
        <f>IF(B51&lt;&gt;"",COUNTA($B$13:B51),"")</f>
        <v>34</v>
      </c>
      <c r="B51" s="130" t="str">
        <f>+'G2 SOUTH'!B52</f>
        <v>Revenue Decoupling</v>
      </c>
      <c r="C51" s="253" t="str">
        <f>+'G2 SOUTH'!C52</f>
        <v>RDAF</v>
      </c>
      <c r="D51" s="253"/>
      <c r="E51" s="154">
        <f t="shared" si="6"/>
        <v>0</v>
      </c>
      <c r="G51" s="254">
        <f t="shared" ref="G51:G71" si="9">+E51/$E$17*100</f>
        <v>0</v>
      </c>
      <c r="I51" s="154">
        <f t="shared" si="7"/>
        <v>-17954.228988420477</v>
      </c>
      <c r="J51" s="254">
        <f t="shared" ref="J51:J71" si="10">+I51/$E$17*100</f>
        <v>-3.5642505993375158E-2</v>
      </c>
      <c r="L51" s="154">
        <f>I51-E51</f>
        <v>-17954.228988420477</v>
      </c>
      <c r="N51" s="254">
        <f t="shared" ref="N51:N71" si="11">+L51/$E$17*100</f>
        <v>-3.5642505993375158E-2</v>
      </c>
      <c r="O51" s="272"/>
      <c r="Q51" s="154"/>
    </row>
    <row r="52" spans="1:17" ht="14" x14ac:dyDescent="0.3">
      <c r="A52" s="151">
        <f>IF(B52&lt;&gt;"",COUNTA($B$13:B52),"")</f>
        <v>35</v>
      </c>
      <c r="B52" s="130" t="str">
        <f>+'G2 SOUTH'!B53</f>
        <v>Residential Assistance Adjustment Factor</v>
      </c>
      <c r="C52" s="253" t="str">
        <f>+'G2 SOUTH'!C53</f>
        <v>RAAF</v>
      </c>
      <c r="D52" s="253"/>
      <c r="E52" s="154">
        <f t="shared" si="6"/>
        <v>115858.09000366727</v>
      </c>
      <c r="G52" s="254">
        <f t="shared" si="9"/>
        <v>0.22999999999999998</v>
      </c>
      <c r="I52" s="154">
        <f t="shared" si="7"/>
        <v>151682.15516054397</v>
      </c>
      <c r="J52" s="254">
        <f t="shared" si="10"/>
        <v>0.30111747643881265</v>
      </c>
      <c r="L52" s="154">
        <f t="shared" si="8"/>
        <v>35824.065156876706</v>
      </c>
      <c r="N52" s="254">
        <f t="shared" si="11"/>
        <v>7.1117476438812652E-2</v>
      </c>
      <c r="O52" s="272"/>
      <c r="Q52" s="154"/>
    </row>
    <row r="53" spans="1:17" ht="14" x14ac:dyDescent="0.3">
      <c r="A53" s="151">
        <f>IF(B53&lt;&gt;"",COUNTA($B$13:B53),"")</f>
        <v>36</v>
      </c>
      <c r="B53" s="130" t="str">
        <f>+'G2 SOUTH'!B54</f>
        <v>Pension Adjustment Factor</v>
      </c>
      <c r="C53" s="253" t="str">
        <f>+'G2 SOUTH'!C54</f>
        <v>PAF</v>
      </c>
      <c r="D53" s="253"/>
      <c r="E53" s="154">
        <f t="shared" si="6"/>
        <v>-4029.8466088232099</v>
      </c>
      <c r="G53" s="254">
        <f t="shared" si="9"/>
        <v>-8.0000000000000002E-3</v>
      </c>
      <c r="I53" s="154">
        <f t="shared" si="7"/>
        <v>35297.601964922818</v>
      </c>
      <c r="J53" s="254">
        <f t="shared" si="10"/>
        <v>7.0072348436568163E-2</v>
      </c>
      <c r="L53" s="154">
        <f t="shared" si="8"/>
        <v>39327.448573746027</v>
      </c>
      <c r="N53" s="254">
        <f t="shared" si="11"/>
        <v>7.807234843656817E-2</v>
      </c>
      <c r="O53" s="272"/>
      <c r="Q53" s="154"/>
    </row>
    <row r="54" spans="1:17" ht="14" x14ac:dyDescent="0.3">
      <c r="A54" s="151">
        <f>IF(B54&lt;&gt;"",COUNTA($B$13:B54),"")</f>
        <v>37</v>
      </c>
      <c r="B54" s="130" t="str">
        <f>+'G2 SOUTH'!B55</f>
        <v>Net Metering Recovery Surcharge</v>
      </c>
      <c r="C54" s="253" t="str">
        <f>+'G2 SOUTH'!C55</f>
        <v>NMRS</v>
      </c>
      <c r="D54" s="253"/>
      <c r="E54" s="154">
        <f t="shared" si="6"/>
        <v>228190.06422461424</v>
      </c>
      <c r="G54" s="254">
        <f t="shared" si="9"/>
        <v>0.45300000000000001</v>
      </c>
      <c r="I54" s="154">
        <f t="shared" si="7"/>
        <v>197781.36330973351</v>
      </c>
      <c r="J54" s="254">
        <f t="shared" si="10"/>
        <v>0.39263303546432382</v>
      </c>
      <c r="L54" s="154">
        <f t="shared" si="8"/>
        <v>-30408.700914880726</v>
      </c>
      <c r="N54" s="254">
        <f t="shared" si="11"/>
        <v>-6.0366964535676235E-2</v>
      </c>
      <c r="O54" s="272"/>
      <c r="Q54" s="154"/>
    </row>
    <row r="55" spans="1:17" ht="14" x14ac:dyDescent="0.3">
      <c r="A55" s="151">
        <f>IF(B55&lt;&gt;"",COUNTA($B$13:B55),"")</f>
        <v>38</v>
      </c>
      <c r="B55" s="130" t="str">
        <f>+'G2 SOUTH'!B56</f>
        <v>Long Term Renewable Contract Adjustment</v>
      </c>
      <c r="C55" s="253" t="str">
        <f>+'G2 SOUTH'!C56</f>
        <v>LTRCA</v>
      </c>
      <c r="D55" s="253"/>
      <c r="E55" s="154">
        <f t="shared" si="6"/>
        <v>118880.47496028469</v>
      </c>
      <c r="G55" s="254">
        <f t="shared" si="9"/>
        <v>0.23600000000000002</v>
      </c>
      <c r="I55" s="154">
        <f t="shared" si="7"/>
        <v>87433.208201638015</v>
      </c>
      <c r="J55" s="254">
        <f t="shared" si="10"/>
        <v>0.17357128782064515</v>
      </c>
      <c r="L55" s="154">
        <f t="shared" si="8"/>
        <v>-31447.26675864667</v>
      </c>
      <c r="N55" s="254">
        <f t="shared" si="11"/>
        <v>-6.2428712179354862E-2</v>
      </c>
      <c r="O55" s="272"/>
      <c r="Q55" s="154"/>
    </row>
    <row r="56" spans="1:17" ht="14" x14ac:dyDescent="0.3">
      <c r="A56" s="151">
        <f>IF(B56&lt;&gt;"",COUNTA($B$13:B56),"")</f>
        <v>39</v>
      </c>
      <c r="B56" s="130" t="str">
        <f>+'G2 SOUTH'!B57</f>
        <v>AG Consulting Expense</v>
      </c>
      <c r="C56" s="253" t="str">
        <f>+'G2 SOUTH'!C57</f>
        <v>AGCE</v>
      </c>
      <c r="D56" s="253"/>
      <c r="E56" s="154">
        <f t="shared" si="6"/>
        <v>1007.4616522058025</v>
      </c>
      <c r="G56" s="254">
        <f t="shared" si="9"/>
        <v>2E-3</v>
      </c>
      <c r="I56" s="154">
        <f t="shared" si="7"/>
        <v>318.47594363890192</v>
      </c>
      <c r="J56" s="254">
        <f t="shared" si="10"/>
        <v>6.3223437426448916E-4</v>
      </c>
      <c r="L56" s="154">
        <f t="shared" si="8"/>
        <v>-688.98570856690048</v>
      </c>
      <c r="N56" s="254">
        <f t="shared" si="11"/>
        <v>-1.3677656257355109E-3</v>
      </c>
      <c r="O56" s="272"/>
      <c r="Q56" s="154"/>
    </row>
    <row r="57" spans="1:17" ht="14" x14ac:dyDescent="0.3">
      <c r="A57" s="151">
        <f>IF(B57&lt;&gt;"",COUNTA($B$13:B57),"")</f>
        <v>40</v>
      </c>
      <c r="B57" s="130" t="str">
        <f>+'G2 SOUTH'!B58</f>
        <v>Storm Cost Recovery Adjustment Factor</v>
      </c>
      <c r="C57" s="253" t="str">
        <f>+'G2 SOUTH'!C58</f>
        <v>SCRA</v>
      </c>
      <c r="D57" s="253"/>
      <c r="E57" s="154">
        <f t="shared" si="6"/>
        <v>71529.77730661197</v>
      </c>
      <c r="G57" s="254">
        <f t="shared" si="9"/>
        <v>0.14200000000000002</v>
      </c>
      <c r="I57" s="154">
        <f t="shared" si="7"/>
        <v>114968.48720198039</v>
      </c>
      <c r="J57" s="254">
        <f t="shared" si="10"/>
        <v>0.22823397188421191</v>
      </c>
      <c r="L57" s="154">
        <f>I57-E57</f>
        <v>43438.709895368418</v>
      </c>
      <c r="N57" s="254">
        <f t="shared" si="11"/>
        <v>8.6233971884211919E-2</v>
      </c>
      <c r="O57" s="272"/>
      <c r="Q57" s="154"/>
    </row>
    <row r="58" spans="1:17" ht="14" x14ac:dyDescent="0.3">
      <c r="A58" s="151">
        <f>IF(B58&lt;&gt;"",COUNTA($B$13:B58),"")</f>
        <v>41</v>
      </c>
      <c r="B58" s="130" t="str">
        <f>+'G2 SOUTH'!B59</f>
        <v>Storm Reserve Adjustment</v>
      </c>
      <c r="C58" s="253" t="str">
        <f>+'G2 SOUTH'!C59</f>
        <v>SRA</v>
      </c>
      <c r="D58" s="253"/>
      <c r="E58" s="154">
        <f t="shared" si="6"/>
        <v>0</v>
      </c>
      <c r="G58" s="254">
        <f t="shared" si="9"/>
        <v>0</v>
      </c>
      <c r="I58" s="154">
        <f t="shared" si="7"/>
        <v>0</v>
      </c>
      <c r="J58" s="254">
        <f t="shared" si="10"/>
        <v>0</v>
      </c>
      <c r="L58" s="154">
        <f>I58-E58</f>
        <v>0</v>
      </c>
      <c r="N58" s="254">
        <f t="shared" si="11"/>
        <v>0</v>
      </c>
      <c r="O58" s="272"/>
      <c r="Q58" s="154"/>
    </row>
    <row r="59" spans="1:17" ht="14" x14ac:dyDescent="0.3">
      <c r="A59" s="151">
        <f>IF(B59&lt;&gt;"",COUNTA($B$13:B59),"")</f>
        <v>42</v>
      </c>
      <c r="B59" s="130" t="str">
        <f>+'G2 SOUTH'!B60</f>
        <v>Basic Service Cost True Up Factor</v>
      </c>
      <c r="C59" s="253" t="str">
        <f>+'G2 SOUTH'!C60</f>
        <v>BSTF</v>
      </c>
      <c r="D59" s="253"/>
      <c r="E59" s="154">
        <f t="shared" si="6"/>
        <v>61958.891610656843</v>
      </c>
      <c r="G59" s="254">
        <f t="shared" si="9"/>
        <v>0.123</v>
      </c>
      <c r="I59" s="154">
        <f t="shared" si="7"/>
        <v>-7526.840229511824</v>
      </c>
      <c r="J59" s="254">
        <f t="shared" si="10"/>
        <v>-1.4942187056017603E-2</v>
      </c>
      <c r="L59" s="154">
        <f>I59-E59</f>
        <v>-69485.731840168664</v>
      </c>
      <c r="N59" s="254">
        <f t="shared" si="11"/>
        <v>-0.13794218705601757</v>
      </c>
      <c r="O59" s="272"/>
      <c r="Q59" s="154"/>
    </row>
    <row r="60" spans="1:17" ht="14" x14ac:dyDescent="0.3">
      <c r="A60" s="151">
        <f>IF(B60&lt;&gt;"",COUNTA($B$13:B60),"")</f>
        <v>43</v>
      </c>
      <c r="B60" s="130" t="str">
        <f>+'G2 SOUTH'!B61</f>
        <v>Solar Program Cost Adjustment Factor</v>
      </c>
      <c r="C60" s="253" t="str">
        <f>+'G2 SOUTH'!C61</f>
        <v>SPCA</v>
      </c>
      <c r="D60" s="253"/>
      <c r="E60" s="154">
        <f t="shared" si="6"/>
        <v>0</v>
      </c>
      <c r="G60" s="254">
        <f t="shared" si="9"/>
        <v>0</v>
      </c>
      <c r="I60" s="154">
        <f t="shared" si="7"/>
        <v>1339.5104906073748</v>
      </c>
      <c r="J60" s="254">
        <f t="shared" si="10"/>
        <v>2.6591791115315668E-3</v>
      </c>
      <c r="L60" s="154">
        <f t="shared" si="8"/>
        <v>1339.5104906073748</v>
      </c>
      <c r="N60" s="254">
        <f t="shared" si="11"/>
        <v>2.6591791115315668E-3</v>
      </c>
      <c r="Q60" s="154"/>
    </row>
    <row r="61" spans="1:17" ht="14" x14ac:dyDescent="0.3">
      <c r="A61" s="151">
        <f>IF(B61&lt;&gt;"",COUNTA($B$13:B61),"")</f>
        <v>44</v>
      </c>
      <c r="B61" s="130" t="str">
        <f>+'G2 SOUTH'!B62</f>
        <v>Solar Expansion Cost Recovery Factor</v>
      </c>
      <c r="C61" s="253" t="str">
        <f>+'G2 SOUTH'!C62</f>
        <v>SECRF</v>
      </c>
      <c r="D61" s="253"/>
      <c r="E61" s="154">
        <f t="shared" si="6"/>
        <v>0</v>
      </c>
      <c r="G61" s="254">
        <f t="shared" si="9"/>
        <v>0</v>
      </c>
      <c r="I61" s="154">
        <f t="shared" si="7"/>
        <v>23625.900621489694</v>
      </c>
      <c r="J61" s="254">
        <f t="shared" si="10"/>
        <v>4.6901836054526948E-2</v>
      </c>
      <c r="L61" s="154">
        <f t="shared" si="8"/>
        <v>23625.900621489694</v>
      </c>
      <c r="N61" s="254">
        <f t="shared" si="11"/>
        <v>4.6901836054526948E-2</v>
      </c>
      <c r="Q61" s="154"/>
    </row>
    <row r="62" spans="1:17" ht="14" x14ac:dyDescent="0.3">
      <c r="A62" s="151">
        <f>IF(B62&lt;&gt;"",COUNTA($B$13:B62),"")</f>
        <v>45</v>
      </c>
      <c r="B62" s="130" t="str">
        <f>+'G2 SOUTH'!B63</f>
        <v>Vegetation Management</v>
      </c>
      <c r="C62" s="253" t="str">
        <f>+'G2 SOUTH'!C63</f>
        <v>RTWF</v>
      </c>
      <c r="D62" s="253"/>
      <c r="E62" s="154">
        <f t="shared" si="6"/>
        <v>0</v>
      </c>
      <c r="G62" s="254">
        <f t="shared" si="9"/>
        <v>0</v>
      </c>
      <c r="I62" s="154">
        <f t="shared" si="7"/>
        <v>63194.637550332598</v>
      </c>
      <c r="J62" s="254">
        <f t="shared" si="10"/>
        <v>0.12545318705078279</v>
      </c>
      <c r="L62" s="154">
        <f t="shared" si="8"/>
        <v>63194.637550332598</v>
      </c>
      <c r="N62" s="254">
        <f t="shared" si="11"/>
        <v>0.12545318705078279</v>
      </c>
      <c r="Q62" s="154"/>
    </row>
    <row r="63" spans="1:17" ht="14" x14ac:dyDescent="0.3">
      <c r="A63" s="151">
        <f>IF(B63&lt;&gt;"",COUNTA($B$13:B63),"")</f>
        <v>46</v>
      </c>
      <c r="B63" s="130" t="str">
        <f>+'G2 SOUTH'!B64</f>
        <v>Solar Massachusetts Renewable Target</v>
      </c>
      <c r="C63" s="253" t="str">
        <f>+'G2 SOUTH'!C64</f>
        <v>SMART</v>
      </c>
      <c r="D63" s="253"/>
      <c r="E63" s="154">
        <f t="shared" si="6"/>
        <v>0</v>
      </c>
      <c r="G63" s="254">
        <f t="shared" si="9"/>
        <v>0</v>
      </c>
      <c r="I63" s="154">
        <f t="shared" si="7"/>
        <v>27681.057964373784</v>
      </c>
      <c r="J63" s="254">
        <f t="shared" si="10"/>
        <v>5.4952082600398869E-2</v>
      </c>
      <c r="L63" s="154">
        <f t="shared" si="8"/>
        <v>27681.057964373784</v>
      </c>
      <c r="N63" s="254">
        <f t="shared" si="11"/>
        <v>5.4952082600398869E-2</v>
      </c>
      <c r="Q63" s="154"/>
    </row>
    <row r="64" spans="1:17" ht="14" x14ac:dyDescent="0.3">
      <c r="A64" s="151">
        <f>IF(B64&lt;&gt;"",COUNTA($B$13:B64),"")</f>
        <v>47</v>
      </c>
      <c r="B64" s="130" t="str">
        <f>+'G2 SOUTH'!B65</f>
        <v>Tax Act Credit Factor</v>
      </c>
      <c r="C64" s="253" t="str">
        <f>+'G2 SOUTH'!C65</f>
        <v>TACF</v>
      </c>
      <c r="D64" s="253"/>
      <c r="E64" s="154">
        <f t="shared" si="6"/>
        <v>0</v>
      </c>
      <c r="G64" s="254">
        <f t="shared" si="9"/>
        <v>0</v>
      </c>
      <c r="I64" s="154">
        <f t="shared" si="7"/>
        <v>-41904.497407319679</v>
      </c>
      <c r="J64" s="254">
        <f t="shared" si="10"/>
        <v>-8.3188272854994E-2</v>
      </c>
      <c r="L64" s="154">
        <f t="shared" si="8"/>
        <v>-41904.497407319679</v>
      </c>
      <c r="N64" s="254">
        <f t="shared" si="11"/>
        <v>-8.3188272854994E-2</v>
      </c>
      <c r="Q64" s="154"/>
    </row>
    <row r="65" spans="1:17" ht="14" x14ac:dyDescent="0.3">
      <c r="A65" s="151">
        <f>IF(B65&lt;&gt;"",COUNTA($B$13:B65),"")</f>
        <v>48</v>
      </c>
      <c r="B65" s="130" t="str">
        <f>+'G2 SOUTH'!B66</f>
        <v>Transition</v>
      </c>
      <c r="C65" s="253" t="str">
        <f>+'G2 SOUTH'!C66</f>
        <v>TRNSN</v>
      </c>
      <c r="D65" s="253"/>
      <c r="E65" s="154">
        <f t="shared" si="6"/>
        <v>-30727.58039227697</v>
      </c>
      <c r="G65" s="254">
        <f t="shared" si="9"/>
        <v>-6.0999999999999999E-2</v>
      </c>
      <c r="I65" s="154">
        <f t="shared" si="7"/>
        <v>-26249.071518281256</v>
      </c>
      <c r="J65" s="254">
        <f t="shared" si="10"/>
        <v>-5.2109321403568713E-2</v>
      </c>
      <c r="L65" s="154">
        <f t="shared" si="8"/>
        <v>4478.5088739957137</v>
      </c>
      <c r="N65" s="254">
        <f t="shared" si="11"/>
        <v>8.8906785964312854E-3</v>
      </c>
      <c r="Q65" s="154"/>
    </row>
    <row r="66" spans="1:17" ht="14" x14ac:dyDescent="0.3">
      <c r="A66" s="151">
        <f>IF(B66&lt;&gt;"",COUNTA($B$13:B66),"")</f>
        <v>49</v>
      </c>
      <c r="B66" s="130" t="str">
        <f>+'G2 SOUTH'!B67</f>
        <v>Transmission</v>
      </c>
      <c r="C66" s="253" t="str">
        <f>+'G2 SOUTH'!C67</f>
        <v>TRNSM</v>
      </c>
      <c r="D66" s="253"/>
      <c r="E66" s="154">
        <f>SUM(SUMIF($C$13:$C$41,{"TMKW","TMKWH"},$I$13:$I$41))</f>
        <v>1474903.2058180375</v>
      </c>
      <c r="G66" s="254">
        <f t="shared" si="9"/>
        <v>2.9279589999059281</v>
      </c>
      <c r="I66" s="154">
        <f>SUM(SUMIF($C$13:$C$41,{"TMKW","TMKWH"},$N$13:$N$41))</f>
        <v>987003.455744782</v>
      </c>
      <c r="J66" s="254">
        <f t="shared" si="10"/>
        <v>1.9593866497722712</v>
      </c>
      <c r="L66" s="154">
        <f t="shared" si="8"/>
        <v>-487899.75007325551</v>
      </c>
      <c r="N66" s="254">
        <f t="shared" si="11"/>
        <v>-0.96857235013365695</v>
      </c>
      <c r="Q66" s="154"/>
    </row>
    <row r="67" spans="1:17" ht="14" x14ac:dyDescent="0.3">
      <c r="A67" s="151">
        <f>IF(B67&lt;&gt;"",COUNTA($B$13:B67),"")</f>
        <v>50</v>
      </c>
      <c r="B67" s="130" t="str">
        <f>+'G2 SOUTH'!B68</f>
        <v>Energy Efficiency Reconciliation Factor</v>
      </c>
      <c r="C67" s="253" t="str">
        <f>+'G2 SOUTH'!C68</f>
        <v>EERF</v>
      </c>
      <c r="D67" s="253"/>
      <c r="E67" s="154">
        <f>SUMIF($C$13:$C$41,$C67,$I$13:$I$41)</f>
        <v>426156.27888305445</v>
      </c>
      <c r="G67" s="254">
        <f t="shared" si="9"/>
        <v>0.84600000000000009</v>
      </c>
      <c r="I67" s="154">
        <f>SUMIF($C$13:$C$41,$C67,$N$13:$N$41)</f>
        <v>426156.27888305445</v>
      </c>
      <c r="J67" s="254">
        <f t="shared" si="10"/>
        <v>0.84600000000000009</v>
      </c>
      <c r="L67" s="154">
        <f t="shared" si="8"/>
        <v>0</v>
      </c>
      <c r="N67" s="254">
        <f t="shared" si="11"/>
        <v>0</v>
      </c>
      <c r="Q67" s="154"/>
    </row>
    <row r="68" spans="1:17" ht="14" x14ac:dyDescent="0.3">
      <c r="A68" s="151">
        <f>IF(B68&lt;&gt;"",COUNTA($B$13:B68),"")</f>
        <v>51</v>
      </c>
      <c r="B68" s="130" t="str">
        <f>+'G2 SOUTH'!B69</f>
        <v>System Benefits Charge</v>
      </c>
      <c r="C68" s="253" t="str">
        <f>+'G2 SOUTH'!C69</f>
        <v>SBC</v>
      </c>
      <c r="D68" s="253"/>
      <c r="E68" s="154">
        <f>SUMIF($C$13:$C$41,$C68,$I$13:$I$41)</f>
        <v>125932.7065257253</v>
      </c>
      <c r="G68" s="254">
        <f t="shared" si="9"/>
        <v>0.25</v>
      </c>
      <c r="I68" s="154">
        <f>SUMIF($C$13:$C$41,$C68,$N$13:$N$41)</f>
        <v>125932.7065257253</v>
      </c>
      <c r="J68" s="254">
        <f t="shared" si="10"/>
        <v>0.25</v>
      </c>
      <c r="L68" s="154">
        <f t="shared" si="8"/>
        <v>0</v>
      </c>
      <c r="N68" s="254">
        <f t="shared" si="11"/>
        <v>0</v>
      </c>
      <c r="Q68" s="154"/>
    </row>
    <row r="69" spans="1:17" ht="14" x14ac:dyDescent="0.3">
      <c r="A69" s="151">
        <f>IF(B69&lt;&gt;"",COUNTA($B$13:B69),"")</f>
        <v>52</v>
      </c>
      <c r="B69" s="130" t="str">
        <f>+'G2 SOUTH'!B70</f>
        <v>Renewable Energy Charge</v>
      </c>
      <c r="C69" s="253" t="str">
        <f>+'G2 SOUTH'!C70</f>
        <v>RNEW</v>
      </c>
      <c r="D69" s="253"/>
      <c r="E69" s="154">
        <f>SUMIF($C$13:$C$41,$C69,$I$13:$I$41)</f>
        <v>25186.54130514506</v>
      </c>
      <c r="G69" s="254">
        <f t="shared" si="9"/>
        <v>0.05</v>
      </c>
      <c r="I69" s="154">
        <f>SUMIF($C$13:$C$41,$C69,$N$13:$N$41)</f>
        <v>25186.54130514506</v>
      </c>
      <c r="J69" s="254">
        <f t="shared" si="10"/>
        <v>0.05</v>
      </c>
      <c r="L69" s="154">
        <f>I69-E69</f>
        <v>0</v>
      </c>
      <c r="N69" s="254">
        <f t="shared" si="11"/>
        <v>0</v>
      </c>
      <c r="Q69" s="154"/>
    </row>
    <row r="70" spans="1:17" ht="14" x14ac:dyDescent="0.3">
      <c r="A70" s="151">
        <f>IF(B70&lt;&gt;"",COUNTA($B$13:B70),"")</f>
        <v>53</v>
      </c>
      <c r="B70" s="130" t="str">
        <f>+'G2 SOUTH'!B71</f>
        <v>Basic Service Charge</v>
      </c>
      <c r="C70" s="253" t="str">
        <f>+'G2 SOUTH'!C71</f>
        <v>BS</v>
      </c>
      <c r="D70" s="253"/>
      <c r="E70" s="255">
        <f>SUMIF($C$13:$C$41,$C70,$I$13:$I$41)</f>
        <v>5744042.6100513823</v>
      </c>
      <c r="F70" s="256"/>
      <c r="G70" s="257">
        <f t="shared" si="9"/>
        <v>11.403</v>
      </c>
      <c r="H70" s="258"/>
      <c r="I70" s="255">
        <f>SUMIF($C$13:$C$41,$C70,$N$13:$N$41)</f>
        <v>6641690.9421667531</v>
      </c>
      <c r="J70" s="257">
        <f t="shared" si="10"/>
        <v>13.185000000000002</v>
      </c>
      <c r="K70" s="255"/>
      <c r="L70" s="255">
        <f t="shared" si="8"/>
        <v>897648.33211537078</v>
      </c>
      <c r="M70" s="259"/>
      <c r="N70" s="257">
        <f t="shared" si="11"/>
        <v>1.7820000000000016</v>
      </c>
      <c r="Q70" s="154"/>
    </row>
    <row r="71" spans="1:17" ht="14" x14ac:dyDescent="0.3">
      <c r="A71" s="151">
        <f>IF(B71&lt;&gt;"",COUNTA($B$13:B71),"")</f>
        <v>54</v>
      </c>
      <c r="B71" s="130" t="str">
        <f>+'G2 SOUTH'!B72</f>
        <v>Total</v>
      </c>
      <c r="C71" s="130"/>
      <c r="D71" s="130"/>
      <c r="E71" s="154">
        <f>SUM(E50:E70)</f>
        <v>9773317.6215726789</v>
      </c>
      <c r="G71" s="254">
        <f t="shared" si="9"/>
        <v>19.401865272339329</v>
      </c>
      <c r="I71" s="154">
        <f>SUM(I50:I70)</f>
        <v>10277812.441875488</v>
      </c>
      <c r="J71" s="254">
        <f t="shared" si="10"/>
        <v>20.403381943863717</v>
      </c>
      <c r="L71" s="154">
        <f>SUM(L50:L70)</f>
        <v>504494.82030280813</v>
      </c>
      <c r="N71" s="254">
        <f t="shared" si="11"/>
        <v>1.0015166715243886</v>
      </c>
      <c r="Q71" s="154"/>
    </row>
    <row r="72" spans="1:17" ht="14" x14ac:dyDescent="0.3">
      <c r="A72" s="151" t="str">
        <f>IF(B72&lt;&gt;"",COUNTA($B$13:B72),"")</f>
        <v/>
      </c>
      <c r="Q72" s="154"/>
    </row>
    <row r="73" spans="1:17" ht="14" x14ac:dyDescent="0.3">
      <c r="A73" s="151"/>
      <c r="B73" s="256" t="s">
        <v>164</v>
      </c>
      <c r="E73" s="188"/>
      <c r="G73" s="188"/>
      <c r="H73" s="188"/>
      <c r="I73" s="188"/>
      <c r="J73" s="188"/>
      <c r="K73" s="188"/>
      <c r="L73" s="188"/>
      <c r="M73" s="188"/>
      <c r="N73" s="188"/>
      <c r="Q73" s="154"/>
    </row>
    <row r="74" spans="1:17" ht="14" x14ac:dyDescent="0.3">
      <c r="A74" s="151"/>
      <c r="B74" s="130" t="str">
        <f>+'G2 SOUTH'!B75</f>
        <v>Col. (a): Company Forecast</v>
      </c>
      <c r="Q74" s="154"/>
    </row>
    <row r="75" spans="1:17" ht="14" x14ac:dyDescent="0.3">
      <c r="A75" s="151"/>
      <c r="B75" s="130" t="str">
        <f>+'G2 SOUTH'!B76</f>
        <v>Col. (b): Current rates</v>
      </c>
      <c r="Q75" s="154"/>
    </row>
    <row r="76" spans="1:17" ht="14" x14ac:dyDescent="0.3">
      <c r="A76" s="151"/>
      <c r="B76" s="130" t="str">
        <f>+'G2 SOUTH'!B77</f>
        <v>Col. (c): Col. (a) x Col. (b)</v>
      </c>
    </row>
    <row r="77" spans="1:17" ht="14" x14ac:dyDescent="0.3">
      <c r="A77" s="151"/>
      <c r="B77" s="130" t="str">
        <f>+'G2 SOUTH'!B78</f>
        <v>Col. (e) Proposed rates</v>
      </c>
    </row>
    <row r="78" spans="1:17" ht="14" x14ac:dyDescent="0.3">
      <c r="A78" s="151"/>
      <c r="B78" s="130" t="s">
        <v>409</v>
      </c>
    </row>
  </sheetData>
  <mergeCells count="6">
    <mergeCell ref="A4:N4"/>
    <mergeCell ref="A5:N5"/>
    <mergeCell ref="A7:N7"/>
    <mergeCell ref="A8:N8"/>
    <mergeCell ref="G10:I10"/>
    <mergeCell ref="L10:N10"/>
  </mergeCells>
  <pageMargins left="0.7" right="0.7" top="0.75" bottom="0.75" header="0.3" footer="0.3"/>
  <pageSetup scale="63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2CA45-E317-4160-A14A-853A4774D5FC}">
  <sheetPr>
    <tabColor theme="9" tint="0.59999389629810485"/>
    <pageSetUpPr fitToPage="1"/>
  </sheetPr>
  <dimension ref="A3:Q78"/>
  <sheetViews>
    <sheetView workbookViewId="0"/>
  </sheetViews>
  <sheetFormatPr defaultRowHeight="12.5" x14ac:dyDescent="0.25"/>
  <cols>
    <col min="1" max="1" width="3.26953125" bestFit="1" customWidth="1"/>
    <col min="2" max="2" width="41.1796875" customWidth="1"/>
    <col min="3" max="3" width="8.81640625" bestFit="1" customWidth="1"/>
    <col min="4" max="4" width="1.26953125" customWidth="1"/>
    <col min="5" max="5" width="13.7265625" bestFit="1" customWidth="1"/>
    <col min="6" max="6" width="1.26953125" customWidth="1"/>
    <col min="7" max="7" width="12.7265625" customWidth="1"/>
    <col min="8" max="8" width="1.26953125" customWidth="1"/>
    <col min="9" max="9" width="10.26953125" bestFit="1" customWidth="1"/>
    <col min="11" max="11" width="1.26953125" customWidth="1"/>
    <col min="12" max="12" width="12.7265625" customWidth="1"/>
    <col min="13" max="13" width="1.26953125" customWidth="1"/>
    <col min="14" max="14" width="11" bestFit="1" customWidth="1"/>
  </cols>
  <sheetData>
    <row r="3" spans="1:17" ht="14" x14ac:dyDescent="0.3">
      <c r="A3" s="268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</row>
    <row r="4" spans="1:17" ht="14" x14ac:dyDescent="0.3">
      <c r="A4" s="748" t="str">
        <f>'R1 EMA'!A4:N4</f>
        <v>Eastern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7" ht="14" x14ac:dyDescent="0.3">
      <c r="A5" s="748" t="str">
        <f>'R1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7" ht="14" x14ac:dyDescent="0.3">
      <c r="A6" s="205"/>
      <c r="C6" s="205"/>
      <c r="D6" s="205"/>
      <c r="E6" s="206"/>
      <c r="F6" s="207"/>
      <c r="G6" s="208"/>
      <c r="H6" s="209"/>
      <c r="I6" s="210"/>
      <c r="J6" s="210"/>
      <c r="K6" s="210"/>
      <c r="L6" s="211"/>
      <c r="M6" s="211"/>
      <c r="N6" s="212"/>
    </row>
    <row r="7" spans="1:17" ht="14" x14ac:dyDescent="0.3">
      <c r="A7" s="748" t="s">
        <v>476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7" ht="14" x14ac:dyDescent="0.3">
      <c r="A8" s="748" t="s">
        <v>505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7" ht="14" x14ac:dyDescent="0.3">
      <c r="B9" s="207"/>
      <c r="C9" s="207"/>
      <c r="D9" s="207"/>
      <c r="E9" s="213"/>
      <c r="F9" s="207"/>
      <c r="I9" s="210"/>
      <c r="J9" s="210"/>
      <c r="K9" s="210"/>
      <c r="L9" s="214"/>
      <c r="M9" s="214"/>
      <c r="N9" s="215"/>
    </row>
    <row r="10" spans="1:17" ht="14.5" thickBot="1" x14ac:dyDescent="0.35">
      <c r="A10" s="151"/>
      <c r="B10" s="216" t="s">
        <v>46</v>
      </c>
      <c r="C10" s="216"/>
      <c r="D10" s="216"/>
      <c r="E10" s="217" t="s">
        <v>144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7" ht="14" x14ac:dyDescent="0.3">
      <c r="A11" s="151"/>
      <c r="B11" s="219" t="s">
        <v>293</v>
      </c>
      <c r="C11" s="220" t="s">
        <v>294</v>
      </c>
      <c r="D11" s="220"/>
      <c r="E11" s="221" t="s">
        <v>295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7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7" ht="14" x14ac:dyDescent="0.3">
      <c r="A13" s="151">
        <f>IF(B13&lt;&gt;"",COUNTA($B$13:B13),"")</f>
        <v>1</v>
      </c>
      <c r="B13" s="232" t="str">
        <f>+'G7 SOUTH'!B13</f>
        <v>Customer Charge</v>
      </c>
      <c r="C13" s="233" t="str">
        <f>+'G7 SOUTH'!C13</f>
        <v>CUST</v>
      </c>
      <c r="D13" s="233"/>
      <c r="E13" s="234">
        <v>1024.3563340369901</v>
      </c>
      <c r="F13" s="207"/>
      <c r="G13" s="209">
        <v>10</v>
      </c>
      <c r="H13" s="209"/>
      <c r="I13" s="210">
        <f>G13*E13</f>
        <v>10243.563340369901</v>
      </c>
      <c r="J13" s="235"/>
      <c r="K13" s="210"/>
      <c r="L13" s="209">
        <v>10</v>
      </c>
      <c r="M13" s="211"/>
      <c r="N13" s="210">
        <f>L13*E13</f>
        <v>10243.563340369901</v>
      </c>
      <c r="O13" s="272"/>
      <c r="P13" s="234"/>
      <c r="Q13" s="154"/>
    </row>
    <row r="14" spans="1:17" ht="14" x14ac:dyDescent="0.3">
      <c r="A14" s="151">
        <f>IF(B14&lt;&gt;"",COUNTA($B$13:B14),"")</f>
        <v>2</v>
      </c>
      <c r="B14" s="232" t="str">
        <f>+'G7 SOUTH'!B14</f>
        <v>Distribution Demand</v>
      </c>
      <c r="C14" s="233" t="str">
        <f>+'G7 SOUTH'!C14</f>
        <v>DKW</v>
      </c>
      <c r="D14" s="233"/>
      <c r="E14" s="234">
        <v>13833.332234649633</v>
      </c>
      <c r="F14" s="207"/>
      <c r="G14" s="209">
        <v>3.36</v>
      </c>
      <c r="H14" s="209"/>
      <c r="I14" s="210">
        <f t="shared" ref="I14:I16" si="0">G14*E14</f>
        <v>46479.996308422764</v>
      </c>
      <c r="J14" s="235"/>
      <c r="K14" s="210"/>
      <c r="L14" s="209">
        <v>3.48</v>
      </c>
      <c r="M14" s="211"/>
      <c r="N14" s="210">
        <f t="shared" ref="N14:N16" si="1">L14*E14</f>
        <v>48139.996176580724</v>
      </c>
      <c r="O14" s="272"/>
      <c r="P14" s="234"/>
      <c r="Q14" s="154"/>
    </row>
    <row r="15" spans="1:17" ht="14" x14ac:dyDescent="0.3">
      <c r="A15" s="151">
        <f>IF(B15&lt;&gt;"",COUNTA($B$13:B15),"")</f>
        <v>3</v>
      </c>
      <c r="B15" s="232" t="str">
        <f>+'G7 SOUTH'!B15</f>
        <v>Distribution Energy - Peak</v>
      </c>
      <c r="C15" s="233" t="str">
        <f>+'G7 SOUTH'!C15</f>
        <v>DKWH1</v>
      </c>
      <c r="D15" s="233"/>
      <c r="E15" s="234">
        <v>590459.59317189874</v>
      </c>
      <c r="F15" s="207"/>
      <c r="G15" s="236">
        <v>4.453E-2</v>
      </c>
      <c r="H15" s="209"/>
      <c r="I15" s="210">
        <f t="shared" si="0"/>
        <v>26293.165683944651</v>
      </c>
      <c r="J15" s="235"/>
      <c r="K15" s="210"/>
      <c r="L15" s="236">
        <v>4.6120000000000001E-2</v>
      </c>
      <c r="M15" s="211"/>
      <c r="N15" s="210">
        <f t="shared" si="1"/>
        <v>27231.996437087972</v>
      </c>
      <c r="O15" s="272"/>
      <c r="P15" s="234"/>
      <c r="Q15" s="154"/>
    </row>
    <row r="16" spans="1:17" ht="14" x14ac:dyDescent="0.3">
      <c r="A16" s="151">
        <f>IF(B16&lt;&gt;"",COUNTA($B$13:B16),"")</f>
        <v>4</v>
      </c>
      <c r="B16" s="232" t="str">
        <f>+'G7 SOUTH'!B16</f>
        <v>Distribution Energy - Low A</v>
      </c>
      <c r="C16" s="233" t="str">
        <f>+'G7 SOUTH'!C16</f>
        <v>DKWH2</v>
      </c>
      <c r="D16" s="233"/>
      <c r="E16" s="234">
        <v>2030969.1820600445</v>
      </c>
      <c r="F16" s="207"/>
      <c r="G16" s="236">
        <v>3.7449999999999997E-2</v>
      </c>
      <c r="H16" s="209"/>
      <c r="I16" s="210">
        <f t="shared" si="0"/>
        <v>76059.795868148663</v>
      </c>
      <c r="J16" s="235"/>
      <c r="K16" s="210"/>
      <c r="L16" s="236">
        <v>3.8789999999999998E-2</v>
      </c>
      <c r="M16" s="211"/>
      <c r="N16" s="210">
        <f t="shared" si="1"/>
        <v>78781.294572109124</v>
      </c>
      <c r="O16" s="272"/>
      <c r="P16" s="234"/>
      <c r="Q16" s="154"/>
    </row>
    <row r="17" spans="1:17" ht="14" x14ac:dyDescent="0.3">
      <c r="A17" s="151">
        <f>IF(B17&lt;&gt;"",COUNTA($B$13:B17),"")</f>
        <v>5</v>
      </c>
      <c r="B17" s="232" t="str">
        <f>+'G7 SOUTH'!B17</f>
        <v>Distribution Energy - Total</v>
      </c>
      <c r="C17" s="233" t="str">
        <f>+'G7 SOUTH'!C17</f>
        <v>DKWH</v>
      </c>
      <c r="D17" s="233"/>
      <c r="E17" s="234">
        <v>2621428.7752319435</v>
      </c>
      <c r="F17" s="207"/>
      <c r="G17" s="236"/>
      <c r="H17" s="209"/>
      <c r="I17" s="237"/>
      <c r="J17" s="235"/>
      <c r="K17" s="210"/>
      <c r="L17" s="281"/>
      <c r="M17" s="211"/>
      <c r="N17" s="237"/>
      <c r="O17" s="272"/>
      <c r="P17" s="273"/>
    </row>
    <row r="18" spans="1:17" ht="14" x14ac:dyDescent="0.3">
      <c r="A18" s="151">
        <f>IF(B18&lt;&gt;"",COUNTA($B$13:B18),"")</f>
        <v>6</v>
      </c>
      <c r="B18" s="232" t="str">
        <f>+'G7 SOUTH'!B18</f>
        <v>Total Distribution</v>
      </c>
      <c r="C18" s="233" t="str">
        <f>+'G7 SOUTH'!C18</f>
        <v>DIST</v>
      </c>
      <c r="D18" s="233"/>
      <c r="E18" s="234"/>
      <c r="F18" s="207"/>
      <c r="G18" s="209"/>
      <c r="H18" s="209"/>
      <c r="I18" s="210">
        <f>SUM(I13:I17)</f>
        <v>159076.521200886</v>
      </c>
      <c r="J18" s="235"/>
      <c r="K18" s="210"/>
      <c r="L18" s="238"/>
      <c r="M18" s="211"/>
      <c r="N18" s="210">
        <f>SUM(N13:N17)</f>
        <v>164396.85052614773</v>
      </c>
      <c r="O18" s="272"/>
      <c r="P18" s="210"/>
      <c r="Q18" s="154"/>
    </row>
    <row r="19" spans="1:17" ht="14" x14ac:dyDescent="0.3">
      <c r="A19" s="151" t="str">
        <f>IF(B19&lt;&gt;"",COUNTA($B$13:B19),"")</f>
        <v/>
      </c>
      <c r="B19" s="207"/>
      <c r="C19" s="233"/>
      <c r="D19" s="233"/>
      <c r="E19" s="234"/>
      <c r="F19" s="207"/>
      <c r="G19" s="209"/>
      <c r="H19" s="209"/>
      <c r="I19" s="210"/>
      <c r="J19" s="235"/>
      <c r="K19" s="210"/>
      <c r="L19" s="238"/>
      <c r="M19" s="211"/>
      <c r="N19" s="210"/>
      <c r="O19" s="272"/>
      <c r="P19" s="210"/>
      <c r="Q19" s="154"/>
    </row>
    <row r="20" spans="1:17" ht="14" x14ac:dyDescent="0.3">
      <c r="A20" s="151">
        <f>IF(B20&lt;&gt;"",COUNTA($B$13:B20),"")</f>
        <v>7</v>
      </c>
      <c r="B20" s="228" t="s">
        <v>302</v>
      </c>
      <c r="F20" s="239"/>
      <c r="G20" s="240"/>
      <c r="H20" s="211"/>
      <c r="I20" s="210"/>
      <c r="K20" s="210"/>
      <c r="L20" s="241"/>
      <c r="M20" s="211"/>
      <c r="N20" s="210"/>
      <c r="O20" s="272"/>
    </row>
    <row r="21" spans="1:17" ht="14" x14ac:dyDescent="0.3">
      <c r="A21" s="151">
        <f>IF(B21&lt;&gt;"",COUNTA($B$13:B21),"")</f>
        <v>8</v>
      </c>
      <c r="B21" s="207" t="str">
        <f>+'G7 SOUTH'!B21</f>
        <v>Revenue Decoupling</v>
      </c>
      <c r="C21" s="233" t="str">
        <f>+'G7 SOUTH'!C21</f>
        <v>RDAF</v>
      </c>
      <c r="D21" s="233"/>
      <c r="E21" s="242"/>
      <c r="F21" s="239"/>
      <c r="G21" s="236">
        <v>0</v>
      </c>
      <c r="H21" s="211"/>
      <c r="I21" s="210">
        <f>G21*$E$17</f>
        <v>0</v>
      </c>
      <c r="K21" s="210"/>
      <c r="L21" s="236">
        <v>-3.564250599337516E-4</v>
      </c>
      <c r="M21" s="211"/>
      <c r="N21" s="210">
        <f>$E$17*L21</f>
        <v>-934.34290832410647</v>
      </c>
      <c r="O21" s="272"/>
      <c r="P21" s="234"/>
    </row>
    <row r="22" spans="1:17" ht="14" x14ac:dyDescent="0.3">
      <c r="A22" s="151">
        <f>IF(B22&lt;&gt;"",COUNTA($B$13:B22),"")</f>
        <v>9</v>
      </c>
      <c r="B22" s="207" t="str">
        <f>+'G7 SOUTH'!B22</f>
        <v>Residential Assistance Adjustment Factor</v>
      </c>
      <c r="C22" s="233" t="str">
        <f>+'G7 SOUTH'!C22</f>
        <v>RAAF</v>
      </c>
      <c r="D22" s="243"/>
      <c r="E22" s="206"/>
      <c r="F22" s="239"/>
      <c r="G22" s="236">
        <v>2.3E-3</v>
      </c>
      <c r="H22" s="211"/>
      <c r="I22" s="210">
        <f t="shared" ref="I22:I35" si="2">G22*$E$17</f>
        <v>6029.2861830334696</v>
      </c>
      <c r="K22" s="210"/>
      <c r="L22" s="236">
        <v>3.0111747643881263E-3</v>
      </c>
      <c r="M22" s="211"/>
      <c r="N22" s="210">
        <f t="shared" ref="N22:N35" si="3">$E$17*L22</f>
        <v>7893.5801746193019</v>
      </c>
      <c r="O22" s="272"/>
      <c r="P22" s="234"/>
      <c r="Q22" s="210"/>
    </row>
    <row r="23" spans="1:17" ht="14" x14ac:dyDescent="0.3">
      <c r="A23" s="151">
        <f>IF(B23&lt;&gt;"",COUNTA($B$13:B23),"")</f>
        <v>10</v>
      </c>
      <c r="B23" s="207" t="str">
        <f>+'G7 SOUTH'!B23</f>
        <v>Pension Adjustment Factor</v>
      </c>
      <c r="C23" s="233" t="str">
        <f>+'G7 SOUTH'!C23</f>
        <v>PAF</v>
      </c>
      <c r="D23" s="243"/>
      <c r="E23" s="206"/>
      <c r="F23" s="239"/>
      <c r="G23" s="236">
        <v>-8.0000000000000007E-5</v>
      </c>
      <c r="H23" s="211"/>
      <c r="I23" s="210">
        <f t="shared" si="2"/>
        <v>-209.71430201855549</v>
      </c>
      <c r="K23" s="210"/>
      <c r="L23" s="236">
        <v>7.0072348436568167E-4</v>
      </c>
      <c r="M23" s="211"/>
      <c r="N23" s="210">
        <f t="shared" si="3"/>
        <v>1836.8967053969889</v>
      </c>
      <c r="O23" s="272"/>
      <c r="P23" s="274"/>
    </row>
    <row r="24" spans="1:17" ht="14" x14ac:dyDescent="0.3">
      <c r="A24" s="151">
        <f>IF(B24&lt;&gt;"",COUNTA($B$13:B24),"")</f>
        <v>11</v>
      </c>
      <c r="B24" s="207" t="str">
        <f>+'G7 SOUTH'!B24</f>
        <v>Net Metering Recovery Surcharge</v>
      </c>
      <c r="C24" s="233" t="str">
        <f>+'G7 SOUTH'!C24</f>
        <v>NMRS</v>
      </c>
      <c r="D24" s="243"/>
      <c r="E24" s="206"/>
      <c r="F24" s="239"/>
      <c r="G24" s="236">
        <v>4.5300000000000002E-3</v>
      </c>
      <c r="H24" s="211"/>
      <c r="I24" s="210">
        <f t="shared" si="2"/>
        <v>11875.072351800703</v>
      </c>
      <c r="K24" s="210"/>
      <c r="L24" s="236">
        <v>3.926330354643238E-3</v>
      </c>
      <c r="M24" s="211"/>
      <c r="N24" s="210">
        <f t="shared" si="3"/>
        <v>10292.595372728425</v>
      </c>
      <c r="O24" s="272"/>
      <c r="P24" s="274"/>
    </row>
    <row r="25" spans="1:17" ht="14" x14ac:dyDescent="0.3">
      <c r="A25" s="151">
        <f>IF(B25&lt;&gt;"",COUNTA($B$13:B25),"")</f>
        <v>12</v>
      </c>
      <c r="B25" s="207" t="str">
        <f>+'G7 SOUTH'!B25</f>
        <v>Long Term Renewable Contract Adjustment</v>
      </c>
      <c r="C25" s="233" t="str">
        <f>+'G7 SOUTH'!C25</f>
        <v>LTRCA</v>
      </c>
      <c r="D25" s="243"/>
      <c r="E25" s="206"/>
      <c r="F25" s="239"/>
      <c r="G25" s="236">
        <v>2.3600000000000001E-3</v>
      </c>
      <c r="H25" s="211"/>
      <c r="I25" s="210">
        <f t="shared" si="2"/>
        <v>6186.5719095473869</v>
      </c>
      <c r="K25" s="210"/>
      <c r="L25" s="236">
        <v>1.7357128782064517E-3</v>
      </c>
      <c r="M25" s="211"/>
      <c r="N25" s="210">
        <f t="shared" si="3"/>
        <v>4550.0476844710502</v>
      </c>
      <c r="O25" s="272"/>
      <c r="P25" s="275"/>
    </row>
    <row r="26" spans="1:17" ht="14" x14ac:dyDescent="0.3">
      <c r="A26" s="151">
        <f>IF(B26&lt;&gt;"",COUNTA($B$13:B26),"")</f>
        <v>13</v>
      </c>
      <c r="B26" s="207" t="str">
        <f>+'G7 SOUTH'!B26</f>
        <v>AG Consulting Expense</v>
      </c>
      <c r="C26" s="233" t="str">
        <f>+'G7 SOUTH'!C26</f>
        <v>AGCE</v>
      </c>
      <c r="D26" s="243"/>
      <c r="E26" s="206"/>
      <c r="F26" s="239"/>
      <c r="G26" s="236">
        <v>2.0000000000000002E-5</v>
      </c>
      <c r="H26" s="211"/>
      <c r="I26" s="210">
        <f t="shared" si="2"/>
        <v>52.428575504638872</v>
      </c>
      <c r="K26" s="210"/>
      <c r="L26" s="236">
        <v>6.3223437426448912E-6</v>
      </c>
      <c r="M26" s="211"/>
      <c r="N26" s="210">
        <f t="shared" si="3"/>
        <v>16.573573813876937</v>
      </c>
      <c r="O26" s="272"/>
      <c r="P26" s="274"/>
    </row>
    <row r="27" spans="1:17" ht="14" x14ac:dyDescent="0.3">
      <c r="A27" s="151">
        <f>IF(B27&lt;&gt;"",COUNTA($B$13:B27),"")</f>
        <v>14</v>
      </c>
      <c r="B27" s="207" t="str">
        <f>+'G7 SOUTH'!B27</f>
        <v>Storm Cost Recovery Adjustment Factor</v>
      </c>
      <c r="C27" s="233" t="str">
        <f>+'G7 SOUTH'!C27</f>
        <v>SCRA</v>
      </c>
      <c r="D27" s="243"/>
      <c r="E27" s="206"/>
      <c r="F27" s="239"/>
      <c r="G27" s="236">
        <v>1.42E-3</v>
      </c>
      <c r="H27" s="211"/>
      <c r="I27" s="210">
        <f t="shared" si="2"/>
        <v>3722.42886082936</v>
      </c>
      <c r="K27" s="210"/>
      <c r="L27" s="236">
        <v>2.2823397188421191E-3</v>
      </c>
      <c r="M27" s="211"/>
      <c r="N27" s="210">
        <f t="shared" si="3"/>
        <v>5982.9910138275145</v>
      </c>
      <c r="O27" s="272"/>
      <c r="P27" s="274"/>
    </row>
    <row r="28" spans="1:17" ht="14" x14ac:dyDescent="0.3">
      <c r="A28" s="151">
        <f>IF(B28&lt;&gt;"",COUNTA($B$13:B28),"")</f>
        <v>15</v>
      </c>
      <c r="B28" s="207" t="str">
        <f>+'G7 SOUTH'!B28</f>
        <v>Storm Reserve Adjustment</v>
      </c>
      <c r="C28" s="233" t="str">
        <f>+'G7 SOUTH'!C28</f>
        <v>SRA</v>
      </c>
      <c r="D28" s="243"/>
      <c r="E28" s="206"/>
      <c r="F28" s="239"/>
      <c r="G28" s="236">
        <v>0</v>
      </c>
      <c r="H28" s="211"/>
      <c r="I28" s="210">
        <f t="shared" si="2"/>
        <v>0</v>
      </c>
      <c r="K28" s="210"/>
      <c r="L28" s="236">
        <v>0</v>
      </c>
      <c r="M28" s="211"/>
      <c r="N28" s="210">
        <f t="shared" si="3"/>
        <v>0</v>
      </c>
      <c r="O28" s="272"/>
      <c r="P28" s="274"/>
    </row>
    <row r="29" spans="1:17" ht="14" x14ac:dyDescent="0.3">
      <c r="A29" s="151">
        <f>IF(B29&lt;&gt;"",COUNTA($B$13:B29),"")</f>
        <v>16</v>
      </c>
      <c r="B29" s="207" t="str">
        <f>+'G7 SOUTH'!B29</f>
        <v>Basic Service Cost True Up Factor</v>
      </c>
      <c r="C29" s="233" t="str">
        <f>+'G7 SOUTH'!C29</f>
        <v>BSTF</v>
      </c>
      <c r="D29" s="243"/>
      <c r="E29" s="206"/>
      <c r="F29" s="239"/>
      <c r="G29" s="236">
        <v>1.23E-3</v>
      </c>
      <c r="H29" s="211"/>
      <c r="I29" s="210">
        <f t="shared" si="2"/>
        <v>3224.3573935352906</v>
      </c>
      <c r="K29" s="210"/>
      <c r="L29" s="236">
        <v>-1.4942187056017604E-4</v>
      </c>
      <c r="M29" s="211"/>
      <c r="N29" s="210">
        <f t="shared" si="3"/>
        <v>-391.69879113542828</v>
      </c>
      <c r="O29" s="272"/>
      <c r="P29" s="274"/>
    </row>
    <row r="30" spans="1:17" ht="14" x14ac:dyDescent="0.3">
      <c r="A30" s="151">
        <f>IF(B30&lt;&gt;"",COUNTA($B$13:B30),"")</f>
        <v>17</v>
      </c>
      <c r="B30" s="207" t="str">
        <f>+'G7 SOUTH'!B30</f>
        <v>Solar Program Cost Adjustment Factor</v>
      </c>
      <c r="C30" s="233" t="str">
        <f>+'G7 SOUTH'!C30</f>
        <v>SPCA</v>
      </c>
      <c r="D30" s="233"/>
      <c r="E30" s="206"/>
      <c r="F30" s="239"/>
      <c r="G30" s="236">
        <v>0</v>
      </c>
      <c r="H30" s="211"/>
      <c r="I30" s="210">
        <f t="shared" si="2"/>
        <v>0</v>
      </c>
      <c r="K30" s="210"/>
      <c r="L30" s="236">
        <v>2.6591791115315666E-5</v>
      </c>
      <c r="M30" s="211"/>
      <c r="N30" s="210">
        <f t="shared" si="3"/>
        <v>69.70848641464562</v>
      </c>
      <c r="O30" s="272"/>
      <c r="P30" s="276"/>
    </row>
    <row r="31" spans="1:17" ht="14" x14ac:dyDescent="0.3">
      <c r="A31" s="151">
        <f>IF(B31&lt;&gt;"",COUNTA($B$13:B31),"")</f>
        <v>18</v>
      </c>
      <c r="B31" s="207" t="str">
        <f>+'G7 SOUTH'!B31</f>
        <v>Solar Expansion Cost Recovery Factor</v>
      </c>
      <c r="C31" s="233" t="str">
        <f>+'G7 SOUTH'!C31</f>
        <v>SECRF</v>
      </c>
      <c r="D31" s="233"/>
      <c r="E31" s="206"/>
      <c r="F31" s="239"/>
      <c r="G31" s="236">
        <v>0</v>
      </c>
      <c r="H31" s="211"/>
      <c r="I31" s="210">
        <f t="shared" si="2"/>
        <v>0</v>
      </c>
      <c r="K31" s="210"/>
      <c r="L31" s="236">
        <v>4.690183605452695E-4</v>
      </c>
      <c r="M31" s="211"/>
      <c r="N31" s="210">
        <f t="shared" si="3"/>
        <v>1229.49822644548</v>
      </c>
      <c r="O31" s="272"/>
      <c r="P31" s="276"/>
    </row>
    <row r="32" spans="1:17" ht="14" x14ac:dyDescent="0.3">
      <c r="A32" s="151">
        <f>IF(B32&lt;&gt;"",COUNTA($B$13:B32),"")</f>
        <v>19</v>
      </c>
      <c r="B32" s="207" t="str">
        <f>+'G7 SOUTH'!B32</f>
        <v>Vegetation Management</v>
      </c>
      <c r="C32" s="233" t="str">
        <f>+'G7 SOUTH'!C32</f>
        <v>RTWF</v>
      </c>
      <c r="D32" s="233"/>
      <c r="E32" s="206"/>
      <c r="F32" s="239"/>
      <c r="G32" s="236">
        <v>0</v>
      </c>
      <c r="H32" s="211"/>
      <c r="I32" s="210">
        <f t="shared" si="2"/>
        <v>0</v>
      </c>
      <c r="K32" s="210"/>
      <c r="L32" s="236">
        <v>1.2545318705078278E-3</v>
      </c>
      <c r="M32" s="211"/>
      <c r="N32" s="210">
        <f t="shared" si="3"/>
        <v>3288.6659447947741</v>
      </c>
      <c r="O32" s="272"/>
      <c r="P32" s="276"/>
    </row>
    <row r="33" spans="1:16" ht="14" x14ac:dyDescent="0.3">
      <c r="A33" s="151">
        <f>IF(B33&lt;&gt;"",COUNTA($B$13:B33),"")</f>
        <v>20</v>
      </c>
      <c r="B33" s="207" t="str">
        <f>+'G7 SOUTH'!B33</f>
        <v>Solar Massachusetts Renewable Target</v>
      </c>
      <c r="C33" s="233" t="str">
        <f>+'G7 SOUTH'!C33</f>
        <v>SMART</v>
      </c>
      <c r="D33" s="233"/>
      <c r="E33" s="206"/>
      <c r="F33" s="239"/>
      <c r="G33" s="236">
        <v>0</v>
      </c>
      <c r="H33" s="211"/>
      <c r="I33" s="210">
        <f t="shared" si="2"/>
        <v>0</v>
      </c>
      <c r="K33" s="210"/>
      <c r="L33" s="236">
        <v>5.4952082600398869E-4</v>
      </c>
      <c r="M33" s="211"/>
      <c r="N33" s="210">
        <f t="shared" si="3"/>
        <v>1440.5297058760821</v>
      </c>
      <c r="O33" s="272"/>
      <c r="P33" s="276"/>
    </row>
    <row r="34" spans="1:16" ht="14" x14ac:dyDescent="0.3">
      <c r="A34" s="151">
        <f>IF(B34&lt;&gt;"",COUNTA($B$13:B34),"")</f>
        <v>21</v>
      </c>
      <c r="B34" s="207" t="str">
        <f>+'G7 SOUTH'!B34</f>
        <v>Tax Act Credit Factor</v>
      </c>
      <c r="C34" s="233" t="str">
        <f>+'G7 SOUTH'!C34</f>
        <v>TACF</v>
      </c>
      <c r="D34" s="233"/>
      <c r="E34" s="206"/>
      <c r="F34" s="239"/>
      <c r="G34" s="236">
        <v>0</v>
      </c>
      <c r="H34" s="211"/>
      <c r="I34" s="210">
        <f t="shared" si="2"/>
        <v>0</v>
      </c>
      <c r="K34" s="210"/>
      <c r="L34" s="236">
        <v>-8.3188272854994004E-4</v>
      </c>
      <c r="M34" s="211"/>
      <c r="N34" s="210">
        <f t="shared" si="3"/>
        <v>-2180.7213222392766</v>
      </c>
      <c r="O34" s="272"/>
      <c r="P34" s="276"/>
    </row>
    <row r="35" spans="1:16" ht="14" x14ac:dyDescent="0.3">
      <c r="A35" s="151">
        <f>IF(B35&lt;&gt;"",COUNTA($B$13:B35),"")</f>
        <v>22</v>
      </c>
      <c r="B35" s="207" t="str">
        <f>+'G7 SOUTH'!B35</f>
        <v>Transition</v>
      </c>
      <c r="C35" s="233" t="str">
        <f>+'G7 SOUTH'!C35</f>
        <v>TRNSN</v>
      </c>
      <c r="D35" s="233"/>
      <c r="E35" s="206"/>
      <c r="F35" s="239"/>
      <c r="G35" s="236">
        <v>-6.0999999999999997E-4</v>
      </c>
      <c r="H35" s="211"/>
      <c r="I35" s="210">
        <f t="shared" si="2"/>
        <v>-1599.0715528914855</v>
      </c>
      <c r="K35" s="210"/>
      <c r="L35" s="236">
        <v>-5.210932140356871E-4</v>
      </c>
      <c r="M35" s="211"/>
      <c r="N35" s="210">
        <f t="shared" si="3"/>
        <v>-1366.0087458512482</v>
      </c>
      <c r="O35" s="272"/>
      <c r="P35" s="275"/>
    </row>
    <row r="36" spans="1:16" ht="14" x14ac:dyDescent="0.3">
      <c r="A36" s="151">
        <f>IF(B36&lt;&gt;"",COUNTA($B$13:B36),"")</f>
        <v>23</v>
      </c>
      <c r="B36" s="207" t="str">
        <f>+'G7 SOUTH'!B36</f>
        <v>Transmission Demand</v>
      </c>
      <c r="C36" s="233" t="str">
        <f>+'G7 SOUTH'!C36</f>
        <v>TMKW</v>
      </c>
      <c r="D36" s="233"/>
      <c r="E36" s="206"/>
      <c r="F36" s="239"/>
      <c r="G36" s="283">
        <v>4.96</v>
      </c>
      <c r="H36" s="211"/>
      <c r="I36" s="210">
        <f>G36*$E$14</f>
        <v>68613.327883862177</v>
      </c>
      <c r="K36" s="210"/>
      <c r="L36" s="283">
        <v>2.9902365278910072</v>
      </c>
      <c r="M36" s="211"/>
      <c r="N36" s="210">
        <f>$E$14*L36</f>
        <v>41364.935350501466</v>
      </c>
      <c r="O36" s="272"/>
      <c r="P36" s="276"/>
    </row>
    <row r="37" spans="1:16" ht="14" x14ac:dyDescent="0.3">
      <c r="A37" s="151">
        <f>IF(B37&lt;&gt;"",COUNTA($B$13:B37),"")</f>
        <v>24</v>
      </c>
      <c r="B37" s="207" t="str">
        <f>+'G7 SOUTH'!B37</f>
        <v>Transmission Energy</v>
      </c>
      <c r="C37" s="233" t="str">
        <f>+'G7 SOUTH'!C37</f>
        <v>TMKWH</v>
      </c>
      <c r="D37" s="233"/>
      <c r="E37" s="206"/>
      <c r="F37" s="239"/>
      <c r="G37" s="241">
        <v>0</v>
      </c>
      <c r="H37" s="211"/>
      <c r="I37" s="210">
        <f t="shared" ref="I37:I41" si="4">G37*$E$17</f>
        <v>0</v>
      </c>
      <c r="K37" s="210"/>
      <c r="L37" s="236">
        <v>0</v>
      </c>
      <c r="M37" s="211"/>
      <c r="N37" s="210">
        <f t="shared" ref="N37:N41" si="5">$E$17*L37</f>
        <v>0</v>
      </c>
      <c r="O37" s="272"/>
      <c r="P37" s="275"/>
    </row>
    <row r="38" spans="1:16" ht="14" x14ac:dyDescent="0.3">
      <c r="A38" s="151">
        <f>IF(B38&lt;&gt;"",COUNTA($B$13:B38),"")</f>
        <v>25</v>
      </c>
      <c r="B38" s="207" t="str">
        <f>+'G7 SOUTH'!B38</f>
        <v>Energy Efficiency Reconciliation Factor</v>
      </c>
      <c r="C38" s="233" t="str">
        <f>+'G7 SOUTH'!C38</f>
        <v>EERF</v>
      </c>
      <c r="D38" s="233"/>
      <c r="E38" s="206"/>
      <c r="F38" s="239"/>
      <c r="G38" s="241">
        <v>8.4600000000000005E-3</v>
      </c>
      <c r="H38" s="211"/>
      <c r="I38" s="210">
        <f t="shared" si="4"/>
        <v>22177.287438462245</v>
      </c>
      <c r="K38" s="210"/>
      <c r="L38" s="281">
        <v>8.4600000000000005E-3</v>
      </c>
      <c r="M38" s="211"/>
      <c r="N38" s="210">
        <f t="shared" si="5"/>
        <v>22177.287438462245</v>
      </c>
      <c r="O38" s="272"/>
      <c r="P38" s="232"/>
    </row>
    <row r="39" spans="1:16" ht="14" x14ac:dyDescent="0.3">
      <c r="A39" s="151">
        <f>IF(B39&lt;&gt;"",COUNTA($B$13:B39),"")</f>
        <v>26</v>
      </c>
      <c r="B39" s="207" t="str">
        <f>+'G7 SOUTH'!B39</f>
        <v>System Benefits Charge</v>
      </c>
      <c r="C39" s="233" t="str">
        <f>+'G7 SOUTH'!C39</f>
        <v>SBC</v>
      </c>
      <c r="D39" s="233"/>
      <c r="E39" s="206"/>
      <c r="F39" s="239"/>
      <c r="G39" s="241">
        <v>2.5000000000000001E-3</v>
      </c>
      <c r="H39" s="211"/>
      <c r="I39" s="210">
        <f t="shared" si="4"/>
        <v>6553.5719380798591</v>
      </c>
      <c r="K39" s="210"/>
      <c r="L39" s="281">
        <f>+G39</f>
        <v>2.5000000000000001E-3</v>
      </c>
      <c r="M39" s="211"/>
      <c r="N39" s="210">
        <f t="shared" si="5"/>
        <v>6553.5719380798591</v>
      </c>
      <c r="O39" s="272"/>
      <c r="P39" s="275"/>
    </row>
    <row r="40" spans="1:16" ht="14" x14ac:dyDescent="0.3">
      <c r="A40" s="151">
        <f>IF(B40&lt;&gt;"",COUNTA($B$13:B40),"")</f>
        <v>27</v>
      </c>
      <c r="B40" s="207" t="str">
        <f>+'G7 SOUTH'!B40</f>
        <v>Renewable Energy Charge</v>
      </c>
      <c r="C40" s="233" t="str">
        <f>+'G7 SOUTH'!C40</f>
        <v>RNEW</v>
      </c>
      <c r="D40" s="233"/>
      <c r="E40" s="206"/>
      <c r="F40" s="239"/>
      <c r="G40" s="241">
        <v>5.0000000000000001E-4</v>
      </c>
      <c r="H40" s="211"/>
      <c r="I40" s="210">
        <f t="shared" si="4"/>
        <v>1310.7143876159719</v>
      </c>
      <c r="K40" s="210"/>
      <c r="L40" s="281">
        <f>+G40</f>
        <v>5.0000000000000001E-4</v>
      </c>
      <c r="M40" s="211"/>
      <c r="N40" s="210">
        <f t="shared" si="5"/>
        <v>1310.7143876159719</v>
      </c>
      <c r="O40" s="272"/>
      <c r="P40" s="275"/>
    </row>
    <row r="41" spans="1:16" ht="14" x14ac:dyDescent="0.3">
      <c r="A41" s="151">
        <f>IF(B41&lt;&gt;"",COUNTA($B$13:B41),"")</f>
        <v>28</v>
      </c>
      <c r="B41" s="207" t="str">
        <f>+'G7 SOUTH'!B41</f>
        <v>Basic Service Charge</v>
      </c>
      <c r="C41" s="233" t="str">
        <f>+'G7 SOUTH'!C41</f>
        <v>BS</v>
      </c>
      <c r="D41" s="233"/>
      <c r="E41" s="206"/>
      <c r="F41" s="239"/>
      <c r="G41" s="236">
        <v>0.11403000000000001</v>
      </c>
      <c r="H41" s="211"/>
      <c r="I41" s="237">
        <f t="shared" si="4"/>
        <v>298921.52323969855</v>
      </c>
      <c r="K41" s="210"/>
      <c r="L41" s="281">
        <v>0.13185000000000002</v>
      </c>
      <c r="M41" s="211"/>
      <c r="N41" s="237">
        <f t="shared" si="5"/>
        <v>345635.38401433179</v>
      </c>
      <c r="O41" s="272"/>
      <c r="P41" s="232"/>
    </row>
    <row r="42" spans="1:16" ht="14" x14ac:dyDescent="0.3">
      <c r="A42" s="151" t="str">
        <f>IF(B42&lt;&gt;"",COUNTA($B$13:B42),"")</f>
        <v/>
      </c>
      <c r="B42" s="207"/>
      <c r="E42" s="206"/>
      <c r="F42" s="239"/>
      <c r="G42" s="241"/>
      <c r="H42" s="211"/>
      <c r="I42" s="244"/>
      <c r="K42" s="210"/>
      <c r="L42" s="241"/>
      <c r="M42" s="211"/>
      <c r="N42" s="244"/>
      <c r="O42" s="272"/>
    </row>
    <row r="43" spans="1:16" ht="14" x14ac:dyDescent="0.3">
      <c r="A43" s="151">
        <f>IF(B43&lt;&gt;"",COUNTA($B$13:B43),"")</f>
        <v>29</v>
      </c>
      <c r="B43" s="188" t="s">
        <v>46</v>
      </c>
      <c r="E43" s="188"/>
      <c r="G43" s="245" t="s">
        <v>324</v>
      </c>
      <c r="H43" s="246"/>
      <c r="I43" s="154">
        <f>SUM(I18:I42)</f>
        <v>585934.3055079456</v>
      </c>
      <c r="K43" s="247"/>
      <c r="L43" s="245"/>
      <c r="N43" s="154">
        <f>SUM(N18:N42)</f>
        <v>613167.05877597712</v>
      </c>
      <c r="P43" s="154"/>
    </row>
    <row r="44" spans="1:16" ht="14" x14ac:dyDescent="0.3">
      <c r="A44" s="151" t="str">
        <f>IF(B44&lt;&gt;"",COUNTA($B$13:B44),"")</f>
        <v/>
      </c>
      <c r="E44" s="188"/>
      <c r="H44" s="188"/>
      <c r="I44" s="154"/>
      <c r="K44" s="265"/>
      <c r="L44" s="278"/>
      <c r="N44" s="265"/>
      <c r="P44" s="154"/>
    </row>
    <row r="45" spans="1:16" ht="14" x14ac:dyDescent="0.3">
      <c r="A45" s="151">
        <f>IF(B45&lt;&gt;"",COUNTA($B$13:B45),"")</f>
        <v>30</v>
      </c>
      <c r="B45" s="188" t="s">
        <v>46</v>
      </c>
      <c r="E45" s="188"/>
      <c r="G45" s="188"/>
      <c r="H45" s="188"/>
      <c r="I45" s="188"/>
      <c r="J45" s="188"/>
      <c r="L45" s="248" t="s">
        <v>325</v>
      </c>
      <c r="N45" s="160">
        <f>+N43/I43-1</f>
        <v>4.647748563624976E-2</v>
      </c>
    </row>
    <row r="46" spans="1:16" ht="14" x14ac:dyDescent="0.3">
      <c r="A46" s="151" t="str">
        <f>IF(B46&lt;&gt;"",COUNTA($B$13:B46),"")</f>
        <v/>
      </c>
      <c r="E46" s="188"/>
      <c r="G46" s="188"/>
      <c r="H46" s="188"/>
      <c r="I46" s="188"/>
      <c r="J46" s="188"/>
      <c r="L46" s="248"/>
      <c r="N46" s="160"/>
    </row>
    <row r="47" spans="1:16" ht="14" x14ac:dyDescent="0.3">
      <c r="A47" s="151" t="str">
        <f>IF(B47&lt;&gt;"",COUNTA($B$13:B47),"")</f>
        <v/>
      </c>
      <c r="E47" s="188"/>
      <c r="G47" s="186"/>
      <c r="H47" s="188"/>
      <c r="I47" s="188"/>
      <c r="L47" s="248"/>
      <c r="N47" s="160"/>
    </row>
    <row r="48" spans="1:16" ht="14.5" thickBot="1" x14ac:dyDescent="0.35">
      <c r="A48" s="151">
        <f>IF(B48&lt;&gt;"",COUNTA($B$13:B48),"")</f>
        <v>31</v>
      </c>
      <c r="B48" s="188" t="s">
        <v>46</v>
      </c>
      <c r="E48" s="279" t="s">
        <v>326</v>
      </c>
      <c r="F48" s="135"/>
      <c r="G48" s="280"/>
      <c r="I48" s="279" t="s">
        <v>327</v>
      </c>
      <c r="J48" s="135"/>
      <c r="L48" s="279" t="s">
        <v>328</v>
      </c>
      <c r="M48" s="135"/>
      <c r="N48" s="137"/>
    </row>
    <row r="49" spans="1:17" ht="14" x14ac:dyDescent="0.3">
      <c r="A49" s="151">
        <f>IF(B49&lt;&gt;"",COUNTA($B$13:B49),"")</f>
        <v>32</v>
      </c>
      <c r="B49" s="144" t="s">
        <v>329</v>
      </c>
      <c r="C49" s="144"/>
      <c r="D49" s="144"/>
      <c r="E49" s="249" t="s">
        <v>148</v>
      </c>
      <c r="F49" s="250"/>
      <c r="G49" s="251" t="s">
        <v>330</v>
      </c>
      <c r="I49" s="249" t="s">
        <v>148</v>
      </c>
      <c r="J49" s="251" t="s">
        <v>330</v>
      </c>
      <c r="K49" s="212"/>
      <c r="L49" s="249" t="s">
        <v>148</v>
      </c>
      <c r="M49" s="252"/>
      <c r="N49" s="251" t="s">
        <v>330</v>
      </c>
    </row>
    <row r="50" spans="1:17" ht="14" x14ac:dyDescent="0.3">
      <c r="A50" s="151">
        <f>IF(B50&lt;&gt;"",COUNTA($B$13:B50),"")</f>
        <v>33</v>
      </c>
      <c r="B50" s="130" t="str">
        <f>+'G7 SOUTH'!B50</f>
        <v>Distribution</v>
      </c>
      <c r="C50" s="253" t="str">
        <f>+'G7 SOUTH'!C50</f>
        <v>DIST</v>
      </c>
      <c r="D50" s="253"/>
      <c r="E50" s="154">
        <f t="shared" ref="E50:E65" si="6">SUMIF($C$13:$C$41,$C50,$I$13:$I$41)</f>
        <v>159076.521200886</v>
      </c>
      <c r="G50" s="254">
        <f>+E50/$E$17*100</f>
        <v>6.0683136884697904</v>
      </c>
      <c r="I50" s="154">
        <f t="shared" ref="I50:I65" si="7">SUMIF($C$13:$C$41,$C50,$N$13:$N$41)</f>
        <v>164396.85052614773</v>
      </c>
      <c r="J50" s="254">
        <f>+I50/$E$17*100</f>
        <v>6.2712690147990733</v>
      </c>
      <c r="L50" s="154">
        <f t="shared" ref="L50:L70" si="8">I50-E50</f>
        <v>5320.3293252617295</v>
      </c>
      <c r="N50" s="254">
        <f>+L50/$E$17*100</f>
        <v>0.20295532632928345</v>
      </c>
      <c r="O50" s="272"/>
      <c r="Q50" s="154"/>
    </row>
    <row r="51" spans="1:17" ht="14" x14ac:dyDescent="0.3">
      <c r="A51" s="151">
        <f>IF(B51&lt;&gt;"",COUNTA($B$13:B51),"")</f>
        <v>34</v>
      </c>
      <c r="B51" s="130" t="str">
        <f>+'G7 SOUTH'!B51</f>
        <v>Revenue Decoupling</v>
      </c>
      <c r="C51" s="253" t="str">
        <f>+'G7 SOUTH'!C51</f>
        <v>RDAF</v>
      </c>
      <c r="D51" s="253"/>
      <c r="E51" s="154">
        <f t="shared" si="6"/>
        <v>0</v>
      </c>
      <c r="G51" s="254">
        <f t="shared" ref="G51:G71" si="9">+E51/$E$17*100</f>
        <v>0</v>
      </c>
      <c r="I51" s="154">
        <f t="shared" si="7"/>
        <v>-934.34290832410647</v>
      </c>
      <c r="J51" s="254">
        <f t="shared" ref="J51:J71" si="10">+I51/$E$17*100</f>
        <v>-3.5642505993375158E-2</v>
      </c>
      <c r="L51" s="154">
        <f>I51-E51</f>
        <v>-934.34290832410647</v>
      </c>
      <c r="N51" s="254">
        <f t="shared" ref="N51:N71" si="11">+L51/$E$17*100</f>
        <v>-3.5642505993375158E-2</v>
      </c>
      <c r="O51" s="272"/>
      <c r="Q51" s="154"/>
    </row>
    <row r="52" spans="1:17" ht="14" x14ac:dyDescent="0.3">
      <c r="A52" s="151">
        <f>IF(B52&lt;&gt;"",COUNTA($B$13:B52),"")</f>
        <v>35</v>
      </c>
      <c r="B52" s="130" t="str">
        <f>+'G7 SOUTH'!B52</f>
        <v>Residential Assistance Adjustment Factor</v>
      </c>
      <c r="C52" s="253" t="str">
        <f>+'G7 SOUTH'!C52</f>
        <v>RAAF</v>
      </c>
      <c r="D52" s="253"/>
      <c r="E52" s="154">
        <f t="shared" si="6"/>
        <v>6029.2861830334696</v>
      </c>
      <c r="G52" s="254">
        <f t="shared" si="9"/>
        <v>0.22999999999999998</v>
      </c>
      <c r="I52" s="154">
        <f t="shared" si="7"/>
        <v>7893.5801746193019</v>
      </c>
      <c r="J52" s="254">
        <f t="shared" si="10"/>
        <v>0.30111747643881265</v>
      </c>
      <c r="L52" s="154">
        <f t="shared" si="8"/>
        <v>1864.2939915858324</v>
      </c>
      <c r="N52" s="254">
        <f t="shared" si="11"/>
        <v>7.1117476438812638E-2</v>
      </c>
      <c r="O52" s="272"/>
      <c r="Q52" s="154"/>
    </row>
    <row r="53" spans="1:17" ht="14" x14ac:dyDescent="0.3">
      <c r="A53" s="151">
        <f>IF(B53&lt;&gt;"",COUNTA($B$13:B53),"")</f>
        <v>36</v>
      </c>
      <c r="B53" s="130" t="str">
        <f>+'G7 SOUTH'!B53</f>
        <v>Pension Adjustment Factor</v>
      </c>
      <c r="C53" s="253" t="str">
        <f>+'G7 SOUTH'!C53</f>
        <v>PAF</v>
      </c>
      <c r="D53" s="253"/>
      <c r="E53" s="154">
        <f t="shared" si="6"/>
        <v>-209.71430201855549</v>
      </c>
      <c r="G53" s="254">
        <f t="shared" si="9"/>
        <v>-8.0000000000000002E-3</v>
      </c>
      <c r="I53" s="154">
        <f t="shared" si="7"/>
        <v>1836.8967053969889</v>
      </c>
      <c r="J53" s="254">
        <f t="shared" si="10"/>
        <v>7.0072348436568163E-2</v>
      </c>
      <c r="L53" s="154">
        <f t="shared" si="8"/>
        <v>2046.6110074155445</v>
      </c>
      <c r="N53" s="254">
        <f t="shared" si="11"/>
        <v>7.8072348436568184E-2</v>
      </c>
      <c r="O53" s="272"/>
      <c r="Q53" s="154"/>
    </row>
    <row r="54" spans="1:17" ht="14" x14ac:dyDescent="0.3">
      <c r="A54" s="151">
        <f>IF(B54&lt;&gt;"",COUNTA($B$13:B54),"")</f>
        <v>37</v>
      </c>
      <c r="B54" s="130" t="str">
        <f>+'G7 SOUTH'!B54</f>
        <v>Net Metering Recovery Surcharge</v>
      </c>
      <c r="C54" s="253" t="str">
        <f>+'G7 SOUTH'!C54</f>
        <v>NMRS</v>
      </c>
      <c r="D54" s="253"/>
      <c r="E54" s="154">
        <f t="shared" si="6"/>
        <v>11875.072351800703</v>
      </c>
      <c r="G54" s="254">
        <f t="shared" si="9"/>
        <v>0.45300000000000001</v>
      </c>
      <c r="I54" s="154">
        <f t="shared" si="7"/>
        <v>10292.595372728425</v>
      </c>
      <c r="J54" s="254">
        <f t="shared" si="10"/>
        <v>0.39263303546432382</v>
      </c>
      <c r="L54" s="154">
        <f t="shared" si="8"/>
        <v>-1582.4769790722785</v>
      </c>
      <c r="N54" s="254">
        <f t="shared" si="11"/>
        <v>-6.0366964535676207E-2</v>
      </c>
      <c r="O54" s="272"/>
      <c r="Q54" s="154"/>
    </row>
    <row r="55" spans="1:17" ht="14" x14ac:dyDescent="0.3">
      <c r="A55" s="151">
        <f>IF(B55&lt;&gt;"",COUNTA($B$13:B55),"")</f>
        <v>38</v>
      </c>
      <c r="B55" s="130" t="str">
        <f>+'G7 SOUTH'!B55</f>
        <v>Long Term Renewable Contract Adjustment</v>
      </c>
      <c r="C55" s="253" t="str">
        <f>+'G7 SOUTH'!C55</f>
        <v>LTRCA</v>
      </c>
      <c r="D55" s="253"/>
      <c r="E55" s="154">
        <f t="shared" si="6"/>
        <v>6186.5719095473869</v>
      </c>
      <c r="G55" s="254">
        <f t="shared" si="9"/>
        <v>0.23600000000000002</v>
      </c>
      <c r="I55" s="154">
        <f t="shared" si="7"/>
        <v>4550.0476844710502</v>
      </c>
      <c r="J55" s="254">
        <f t="shared" si="10"/>
        <v>0.17357128782064518</v>
      </c>
      <c r="L55" s="154">
        <f t="shared" si="8"/>
        <v>-1636.5242250763367</v>
      </c>
      <c r="N55" s="254">
        <f t="shared" si="11"/>
        <v>-6.2428712179354841E-2</v>
      </c>
      <c r="O55" s="272"/>
      <c r="Q55" s="154"/>
    </row>
    <row r="56" spans="1:17" ht="14" x14ac:dyDescent="0.3">
      <c r="A56" s="151">
        <f>IF(B56&lt;&gt;"",COUNTA($B$13:B56),"")</f>
        <v>39</v>
      </c>
      <c r="B56" s="130" t="str">
        <f>+'G7 SOUTH'!B56</f>
        <v>AG Consulting Expense</v>
      </c>
      <c r="C56" s="253" t="str">
        <f>+'G7 SOUTH'!C56</f>
        <v>AGCE</v>
      </c>
      <c r="D56" s="253"/>
      <c r="E56" s="154">
        <f t="shared" si="6"/>
        <v>52.428575504638872</v>
      </c>
      <c r="G56" s="254">
        <f t="shared" si="9"/>
        <v>2E-3</v>
      </c>
      <c r="I56" s="154">
        <f t="shared" si="7"/>
        <v>16.573573813876937</v>
      </c>
      <c r="J56" s="254">
        <f t="shared" si="10"/>
        <v>6.3223437426448905E-4</v>
      </c>
      <c r="L56" s="154">
        <f t="shared" si="8"/>
        <v>-35.855001690761938</v>
      </c>
      <c r="N56" s="254">
        <f t="shared" si="11"/>
        <v>-1.3677656257355113E-3</v>
      </c>
      <c r="O56" s="272"/>
      <c r="Q56" s="154"/>
    </row>
    <row r="57" spans="1:17" ht="14" x14ac:dyDescent="0.3">
      <c r="A57" s="151">
        <f>IF(B57&lt;&gt;"",COUNTA($B$13:B57),"")</f>
        <v>40</v>
      </c>
      <c r="B57" s="130" t="str">
        <f>+'G7 SOUTH'!B57</f>
        <v>Storm Cost Recovery Adjustment Factor</v>
      </c>
      <c r="C57" s="253" t="str">
        <f>+'G7 SOUTH'!C57</f>
        <v>SCRA</v>
      </c>
      <c r="D57" s="253"/>
      <c r="E57" s="154">
        <f t="shared" si="6"/>
        <v>3722.42886082936</v>
      </c>
      <c r="G57" s="254">
        <f t="shared" si="9"/>
        <v>0.14200000000000002</v>
      </c>
      <c r="I57" s="154">
        <f t="shared" si="7"/>
        <v>5982.9910138275145</v>
      </c>
      <c r="J57" s="254">
        <f t="shared" si="10"/>
        <v>0.22823397188421191</v>
      </c>
      <c r="L57" s="154">
        <f>I57-E57</f>
        <v>2260.5621529981545</v>
      </c>
      <c r="N57" s="254">
        <f t="shared" si="11"/>
        <v>8.6233971884211905E-2</v>
      </c>
      <c r="O57" s="272"/>
      <c r="Q57" s="154"/>
    </row>
    <row r="58" spans="1:17" ht="14" x14ac:dyDescent="0.3">
      <c r="A58" s="151">
        <f>IF(B58&lt;&gt;"",COUNTA($B$13:B58),"")</f>
        <v>41</v>
      </c>
      <c r="B58" s="130" t="str">
        <f>+'G7 SOUTH'!B58</f>
        <v>Storm Reserve Adjustment</v>
      </c>
      <c r="C58" s="253" t="str">
        <f>+'G7 SOUTH'!C58</f>
        <v>SRA</v>
      </c>
      <c r="D58" s="253"/>
      <c r="E58" s="154">
        <f t="shared" si="6"/>
        <v>0</v>
      </c>
      <c r="G58" s="254">
        <f t="shared" si="9"/>
        <v>0</v>
      </c>
      <c r="I58" s="154">
        <f t="shared" si="7"/>
        <v>0</v>
      </c>
      <c r="J58" s="254">
        <f t="shared" si="10"/>
        <v>0</v>
      </c>
      <c r="L58" s="154">
        <f>I58-E58</f>
        <v>0</v>
      </c>
      <c r="N58" s="254">
        <f t="shared" si="11"/>
        <v>0</v>
      </c>
      <c r="O58" s="272"/>
      <c r="Q58" s="154"/>
    </row>
    <row r="59" spans="1:17" ht="14" x14ac:dyDescent="0.3">
      <c r="A59" s="151">
        <f>IF(B59&lt;&gt;"",COUNTA($B$13:B59),"")</f>
        <v>42</v>
      </c>
      <c r="B59" s="130" t="str">
        <f>+'G7 SOUTH'!B59</f>
        <v>Basic Service Cost True Up Factor</v>
      </c>
      <c r="C59" s="253" t="str">
        <f>+'G7 SOUTH'!C59</f>
        <v>BSTF</v>
      </c>
      <c r="D59" s="253"/>
      <c r="E59" s="154">
        <f t="shared" si="6"/>
        <v>3224.3573935352906</v>
      </c>
      <c r="G59" s="254">
        <f t="shared" si="9"/>
        <v>0.123</v>
      </c>
      <c r="I59" s="154">
        <f t="shared" si="7"/>
        <v>-391.69879113542828</v>
      </c>
      <c r="J59" s="254">
        <f t="shared" si="10"/>
        <v>-1.4942187056017603E-2</v>
      </c>
      <c r="L59" s="154">
        <f>I59-E59</f>
        <v>-3616.0561846707187</v>
      </c>
      <c r="N59" s="254">
        <f t="shared" si="11"/>
        <v>-0.1379421870560176</v>
      </c>
      <c r="O59" s="272"/>
      <c r="Q59" s="154"/>
    </row>
    <row r="60" spans="1:17" ht="14" x14ac:dyDescent="0.3">
      <c r="A60" s="151">
        <f>IF(B60&lt;&gt;"",COUNTA($B$13:B60),"")</f>
        <v>43</v>
      </c>
      <c r="B60" s="130" t="str">
        <f>+'G7 SOUTH'!B60</f>
        <v>Solar Program Cost Adjustment Factor</v>
      </c>
      <c r="C60" s="253" t="str">
        <f>+'G7 SOUTH'!C60</f>
        <v>SPCA</v>
      </c>
      <c r="D60" s="253"/>
      <c r="E60" s="154">
        <f t="shared" si="6"/>
        <v>0</v>
      </c>
      <c r="G60" s="254">
        <f t="shared" si="9"/>
        <v>0</v>
      </c>
      <c r="I60" s="154">
        <f t="shared" si="7"/>
        <v>69.70848641464562</v>
      </c>
      <c r="J60" s="254">
        <f t="shared" si="10"/>
        <v>2.6591791115315668E-3</v>
      </c>
      <c r="L60" s="154">
        <f t="shared" si="8"/>
        <v>69.70848641464562</v>
      </c>
      <c r="N60" s="254">
        <f t="shared" si="11"/>
        <v>2.6591791115315668E-3</v>
      </c>
      <c r="Q60" s="154"/>
    </row>
    <row r="61" spans="1:17" ht="14" x14ac:dyDescent="0.3">
      <c r="A61" s="151">
        <f>IF(B61&lt;&gt;"",COUNTA($B$13:B61),"")</f>
        <v>44</v>
      </c>
      <c r="B61" s="130" t="str">
        <f>+'G7 SOUTH'!B61</f>
        <v>Solar Expansion Cost Recovery Factor</v>
      </c>
      <c r="C61" s="253" t="str">
        <f>+'G7 SOUTH'!C61</f>
        <v>SECRF</v>
      </c>
      <c r="D61" s="253"/>
      <c r="E61" s="154">
        <f t="shared" si="6"/>
        <v>0</v>
      </c>
      <c r="G61" s="254">
        <f t="shared" si="9"/>
        <v>0</v>
      </c>
      <c r="I61" s="154">
        <f t="shared" si="7"/>
        <v>1229.49822644548</v>
      </c>
      <c r="J61" s="254">
        <f t="shared" si="10"/>
        <v>4.6901836054526955E-2</v>
      </c>
      <c r="L61" s="154">
        <f t="shared" si="8"/>
        <v>1229.49822644548</v>
      </c>
      <c r="N61" s="254">
        <f t="shared" si="11"/>
        <v>4.6901836054526955E-2</v>
      </c>
      <c r="Q61" s="154"/>
    </row>
    <row r="62" spans="1:17" ht="14" x14ac:dyDescent="0.3">
      <c r="A62" s="151">
        <f>IF(B62&lt;&gt;"",COUNTA($B$13:B62),"")</f>
        <v>45</v>
      </c>
      <c r="B62" s="130" t="str">
        <f>+'G7 SOUTH'!B62</f>
        <v>Vegetation Management</v>
      </c>
      <c r="C62" s="253" t="str">
        <f>+'G7 SOUTH'!C62</f>
        <v>RTWF</v>
      </c>
      <c r="D62" s="253"/>
      <c r="E62" s="154">
        <f t="shared" si="6"/>
        <v>0</v>
      </c>
      <c r="G62" s="254">
        <f t="shared" si="9"/>
        <v>0</v>
      </c>
      <c r="I62" s="154">
        <f t="shared" si="7"/>
        <v>3288.6659447947741</v>
      </c>
      <c r="J62" s="254">
        <f t="shared" si="10"/>
        <v>0.12545318705078279</v>
      </c>
      <c r="L62" s="154">
        <f t="shared" si="8"/>
        <v>3288.6659447947741</v>
      </c>
      <c r="N62" s="254">
        <f t="shared" si="11"/>
        <v>0.12545318705078279</v>
      </c>
      <c r="Q62" s="154"/>
    </row>
    <row r="63" spans="1:17" ht="14" x14ac:dyDescent="0.3">
      <c r="A63" s="151">
        <f>IF(B63&lt;&gt;"",COUNTA($B$13:B63),"")</f>
        <v>46</v>
      </c>
      <c r="B63" s="130" t="str">
        <f>+'G7 SOUTH'!B63</f>
        <v>Solar Massachusetts Renewable Target</v>
      </c>
      <c r="C63" s="253" t="str">
        <f>+'G7 SOUTH'!C63</f>
        <v>SMART</v>
      </c>
      <c r="D63" s="253"/>
      <c r="E63" s="154">
        <f t="shared" si="6"/>
        <v>0</v>
      </c>
      <c r="G63" s="254">
        <f t="shared" si="9"/>
        <v>0</v>
      </c>
      <c r="I63" s="154">
        <f t="shared" si="7"/>
        <v>1440.5297058760821</v>
      </c>
      <c r="J63" s="254">
        <f t="shared" si="10"/>
        <v>5.4952082600398869E-2</v>
      </c>
      <c r="L63" s="154">
        <f t="shared" si="8"/>
        <v>1440.5297058760821</v>
      </c>
      <c r="N63" s="254">
        <f t="shared" si="11"/>
        <v>5.4952082600398869E-2</v>
      </c>
      <c r="Q63" s="154"/>
    </row>
    <row r="64" spans="1:17" ht="14" x14ac:dyDescent="0.3">
      <c r="A64" s="151">
        <f>IF(B64&lt;&gt;"",COUNTA($B$13:B64),"")</f>
        <v>47</v>
      </c>
      <c r="B64" s="130" t="str">
        <f>+'G7 SOUTH'!B64</f>
        <v>Tax Act Credit Factor</v>
      </c>
      <c r="C64" s="253" t="str">
        <f>+'G7 SOUTH'!C64</f>
        <v>TACF</v>
      </c>
      <c r="D64" s="253"/>
      <c r="E64" s="154">
        <f t="shared" si="6"/>
        <v>0</v>
      </c>
      <c r="G64" s="254">
        <f t="shared" si="9"/>
        <v>0</v>
      </c>
      <c r="I64" s="154">
        <f t="shared" si="7"/>
        <v>-2180.7213222392766</v>
      </c>
      <c r="J64" s="254">
        <f t="shared" si="10"/>
        <v>-8.3188272854994E-2</v>
      </c>
      <c r="L64" s="154">
        <f t="shared" si="8"/>
        <v>-2180.7213222392766</v>
      </c>
      <c r="N64" s="254">
        <f t="shared" si="11"/>
        <v>-8.3188272854994E-2</v>
      </c>
      <c r="Q64" s="154"/>
    </row>
    <row r="65" spans="1:17" ht="14" x14ac:dyDescent="0.3">
      <c r="A65" s="151">
        <f>IF(B65&lt;&gt;"",COUNTA($B$13:B65),"")</f>
        <v>48</v>
      </c>
      <c r="B65" s="130" t="str">
        <f>+'G7 SOUTH'!B65</f>
        <v>Transition</v>
      </c>
      <c r="C65" s="253" t="str">
        <f>+'G7 SOUTH'!C65</f>
        <v>TRNSN</v>
      </c>
      <c r="D65" s="253"/>
      <c r="E65" s="154">
        <f t="shared" si="6"/>
        <v>-1599.0715528914855</v>
      </c>
      <c r="G65" s="254">
        <f t="shared" si="9"/>
        <v>-6.0999999999999999E-2</v>
      </c>
      <c r="I65" s="154">
        <f t="shared" si="7"/>
        <v>-1366.0087458512482</v>
      </c>
      <c r="J65" s="254">
        <f t="shared" si="10"/>
        <v>-5.2109321403568713E-2</v>
      </c>
      <c r="L65" s="154">
        <f t="shared" si="8"/>
        <v>233.0628070402372</v>
      </c>
      <c r="N65" s="254">
        <f t="shared" si="11"/>
        <v>8.8906785964312854E-3</v>
      </c>
      <c r="Q65" s="154"/>
    </row>
    <row r="66" spans="1:17" ht="14" x14ac:dyDescent="0.3">
      <c r="A66" s="151">
        <f>IF(B66&lt;&gt;"",COUNTA($B$13:B66),"")</f>
        <v>49</v>
      </c>
      <c r="B66" s="130" t="str">
        <f>+'G7 SOUTH'!B66</f>
        <v>Transmission</v>
      </c>
      <c r="C66" s="253" t="str">
        <f>+'G7 SOUTH'!C66</f>
        <v>TRNSM</v>
      </c>
      <c r="D66" s="253"/>
      <c r="E66" s="154">
        <f>SUM(SUMIF($C$13:$C$41,{"TMKW","TMKWH"},$I$13:$I$41))</f>
        <v>68613.327883862177</v>
      </c>
      <c r="G66" s="254">
        <f t="shared" si="9"/>
        <v>2.6174019501174999</v>
      </c>
      <c r="I66" s="154">
        <f>SUM(SUMIF($C$13:$C$41,{"TMKW","TMKWH"},$N$13:$N$41))</f>
        <v>41364.935350501466</v>
      </c>
      <c r="J66" s="254">
        <f t="shared" si="10"/>
        <v>1.5779538143980854</v>
      </c>
      <c r="L66" s="154">
        <f t="shared" si="8"/>
        <v>-27248.392533360711</v>
      </c>
      <c r="N66" s="254">
        <f t="shared" si="11"/>
        <v>-1.0394481357194143</v>
      </c>
      <c r="Q66" s="154"/>
    </row>
    <row r="67" spans="1:17" ht="14" x14ac:dyDescent="0.3">
      <c r="A67" s="151">
        <f>IF(B67&lt;&gt;"",COUNTA($B$13:B67),"")</f>
        <v>50</v>
      </c>
      <c r="B67" s="130" t="str">
        <f>+'G7 SOUTH'!B67</f>
        <v>Energy Efficiency Reconciliation Factor</v>
      </c>
      <c r="C67" s="253" t="str">
        <f>+'G7 SOUTH'!C67</f>
        <v>EERF</v>
      </c>
      <c r="D67" s="253"/>
      <c r="E67" s="154">
        <f>SUMIF($C$13:$C$41,$C67,$I$13:$I$41)</f>
        <v>22177.287438462245</v>
      </c>
      <c r="G67" s="254">
        <f t="shared" si="9"/>
        <v>0.84600000000000009</v>
      </c>
      <c r="I67" s="154">
        <f>SUMIF($C$13:$C$41,$C67,$N$13:$N$41)</f>
        <v>22177.287438462245</v>
      </c>
      <c r="J67" s="254">
        <f t="shared" si="10"/>
        <v>0.84600000000000009</v>
      </c>
      <c r="L67" s="154">
        <f t="shared" si="8"/>
        <v>0</v>
      </c>
      <c r="N67" s="254">
        <f t="shared" si="11"/>
        <v>0</v>
      </c>
      <c r="Q67" s="154"/>
    </row>
    <row r="68" spans="1:17" ht="14" x14ac:dyDescent="0.3">
      <c r="A68" s="151">
        <f>IF(B68&lt;&gt;"",COUNTA($B$13:B68),"")</f>
        <v>51</v>
      </c>
      <c r="B68" s="130" t="str">
        <f>+'G7 SOUTH'!B68</f>
        <v>System Benefits Charge</v>
      </c>
      <c r="C68" s="253" t="str">
        <f>+'G7 SOUTH'!C68</f>
        <v>SBC</v>
      </c>
      <c r="D68" s="253"/>
      <c r="E68" s="154">
        <f>SUMIF($C$13:$C$41,$C68,$I$13:$I$41)</f>
        <v>6553.5719380798591</v>
      </c>
      <c r="G68" s="254">
        <f t="shared" si="9"/>
        <v>0.25</v>
      </c>
      <c r="I68" s="154">
        <f>SUMIF($C$13:$C$41,$C68,$N$13:$N$41)</f>
        <v>6553.5719380798591</v>
      </c>
      <c r="J68" s="254">
        <f t="shared" si="10"/>
        <v>0.25</v>
      </c>
      <c r="L68" s="154">
        <f t="shared" si="8"/>
        <v>0</v>
      </c>
      <c r="N68" s="254">
        <f t="shared" si="11"/>
        <v>0</v>
      </c>
      <c r="Q68" s="154"/>
    </row>
    <row r="69" spans="1:17" ht="14" x14ac:dyDescent="0.3">
      <c r="A69" s="151">
        <f>IF(B69&lt;&gt;"",COUNTA($B$13:B69),"")</f>
        <v>52</v>
      </c>
      <c r="B69" s="130" t="str">
        <f>+'G7 SOUTH'!B69</f>
        <v>Renewable Energy Charge</v>
      </c>
      <c r="C69" s="253" t="str">
        <f>+'G7 SOUTH'!C69</f>
        <v>RNEW</v>
      </c>
      <c r="D69" s="253"/>
      <c r="E69" s="154">
        <f>SUMIF($C$13:$C$41,$C69,$I$13:$I$41)</f>
        <v>1310.7143876159719</v>
      </c>
      <c r="G69" s="254">
        <f t="shared" si="9"/>
        <v>0.05</v>
      </c>
      <c r="I69" s="154">
        <f>SUMIF($C$13:$C$41,$C69,$N$13:$N$41)</f>
        <v>1310.7143876159719</v>
      </c>
      <c r="J69" s="254">
        <f t="shared" si="10"/>
        <v>0.05</v>
      </c>
      <c r="L69" s="154">
        <f>I69-E69</f>
        <v>0</v>
      </c>
      <c r="N69" s="254">
        <f t="shared" si="11"/>
        <v>0</v>
      </c>
      <c r="Q69" s="154"/>
    </row>
    <row r="70" spans="1:17" ht="14" x14ac:dyDescent="0.3">
      <c r="A70" s="151">
        <f>IF(B70&lt;&gt;"",COUNTA($B$13:B70),"")</f>
        <v>53</v>
      </c>
      <c r="B70" s="130" t="str">
        <f>+'G7 SOUTH'!B70</f>
        <v>Basic Service Charge</v>
      </c>
      <c r="C70" s="253" t="str">
        <f>+'G7 SOUTH'!C70</f>
        <v>BS</v>
      </c>
      <c r="D70" s="253"/>
      <c r="E70" s="255">
        <f>SUMIF($C$13:$C$41,$C70,$I$13:$I$41)</f>
        <v>298921.52323969855</v>
      </c>
      <c r="F70" s="256"/>
      <c r="G70" s="257">
        <f t="shared" si="9"/>
        <v>11.403000000000002</v>
      </c>
      <c r="H70" s="258"/>
      <c r="I70" s="255">
        <f>SUMIF($C$13:$C$41,$C70,$N$13:$N$41)</f>
        <v>345635.38401433179</v>
      </c>
      <c r="J70" s="257">
        <f t="shared" si="10"/>
        <v>13.185000000000002</v>
      </c>
      <c r="K70" s="255"/>
      <c r="L70" s="255">
        <f t="shared" si="8"/>
        <v>46713.860774633242</v>
      </c>
      <c r="M70" s="259"/>
      <c r="N70" s="257">
        <f t="shared" si="11"/>
        <v>1.7820000000000003</v>
      </c>
      <c r="Q70" s="154"/>
    </row>
    <row r="71" spans="1:17" ht="14" x14ac:dyDescent="0.3">
      <c r="A71" s="151">
        <f>IF(B71&lt;&gt;"",COUNTA($B$13:B71),"")</f>
        <v>54</v>
      </c>
      <c r="B71" s="130" t="str">
        <f>+'G7 SOUTH'!B71</f>
        <v>Total</v>
      </c>
      <c r="C71" s="130"/>
      <c r="D71" s="130"/>
      <c r="E71" s="154">
        <f>SUM(E50:E70)</f>
        <v>585934.3055079456</v>
      </c>
      <c r="G71" s="254">
        <f t="shared" si="9"/>
        <v>22.35171563858729</v>
      </c>
      <c r="I71" s="154">
        <f>SUM(I50:I70)</f>
        <v>613167.05877597712</v>
      </c>
      <c r="J71" s="254">
        <f t="shared" si="10"/>
        <v>23.39056718112527</v>
      </c>
      <c r="L71" s="154">
        <f>SUM(L50:L70)</f>
        <v>27232.753268031534</v>
      </c>
      <c r="N71" s="254">
        <f t="shared" si="11"/>
        <v>1.0388515425379805</v>
      </c>
      <c r="Q71" s="154"/>
    </row>
    <row r="72" spans="1:17" ht="14" x14ac:dyDescent="0.3">
      <c r="A72" s="151" t="str">
        <f>IF(B72&lt;&gt;"",COUNTA($B$13:B72),"")</f>
        <v/>
      </c>
      <c r="Q72" s="154"/>
    </row>
    <row r="73" spans="1:17" ht="14" x14ac:dyDescent="0.3">
      <c r="A73" s="151"/>
      <c r="B73" s="256" t="s">
        <v>164</v>
      </c>
      <c r="E73" s="188"/>
      <c r="G73" s="188"/>
      <c r="H73" s="188"/>
      <c r="I73" s="188"/>
      <c r="J73" s="188"/>
      <c r="K73" s="188"/>
      <c r="L73" s="188"/>
      <c r="M73" s="188"/>
      <c r="N73" s="188"/>
      <c r="Q73" s="154"/>
    </row>
    <row r="74" spans="1:17" ht="14" x14ac:dyDescent="0.3">
      <c r="A74" s="151"/>
      <c r="B74" s="130" t="str">
        <f>+'G7 SOUTH'!B74</f>
        <v>Col. (a): Company Forecast</v>
      </c>
      <c r="Q74" s="154"/>
    </row>
    <row r="75" spans="1:17" ht="14" x14ac:dyDescent="0.3">
      <c r="A75" s="151"/>
      <c r="B75" s="130" t="str">
        <f>+'G7 SOUTH'!B75</f>
        <v>Col. (b): Current rates</v>
      </c>
      <c r="Q75" s="154"/>
    </row>
    <row r="76" spans="1:17" ht="14" x14ac:dyDescent="0.3">
      <c r="A76" s="151"/>
      <c r="B76" s="130" t="str">
        <f>+'G7 SOUTH'!B76</f>
        <v>Col. (c): Col. (a) x Col. (b)</v>
      </c>
    </row>
    <row r="77" spans="1:17" ht="14" x14ac:dyDescent="0.3">
      <c r="A77" s="151"/>
      <c r="B77" s="130" t="str">
        <f>+'G7 SOUTH'!B77</f>
        <v>Col. (e) Proposed rates</v>
      </c>
    </row>
    <row r="78" spans="1:17" ht="14" x14ac:dyDescent="0.3">
      <c r="A78" s="151"/>
      <c r="B78" s="130" t="str">
        <f>+'G7 SOUTH'!B78</f>
        <v>Col. (f): Col. (a), Line 1 through Line 5 (as appropriate) x Col. (e)</v>
      </c>
    </row>
  </sheetData>
  <mergeCells count="6">
    <mergeCell ref="A4:N4"/>
    <mergeCell ref="A5:N5"/>
    <mergeCell ref="A7:N7"/>
    <mergeCell ref="A8:N8"/>
    <mergeCell ref="G10:I10"/>
    <mergeCell ref="L10:N10"/>
  </mergeCells>
  <pageMargins left="0.7" right="0.7" top="0.75" bottom="0.75" header="0.3" footer="0.3"/>
  <pageSetup scale="63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16A2F-1D56-45B4-B22D-AF7C638EA30A}">
  <sheetPr>
    <tabColor theme="9" tint="0.59999389629810485"/>
    <pageSetUpPr fitToPage="1"/>
  </sheetPr>
  <dimension ref="A3:Q74"/>
  <sheetViews>
    <sheetView workbookViewId="0"/>
  </sheetViews>
  <sheetFormatPr defaultRowHeight="12.5" x14ac:dyDescent="0.25"/>
  <cols>
    <col min="1" max="1" width="3.26953125" bestFit="1" customWidth="1"/>
    <col min="2" max="2" width="41.1796875" customWidth="1"/>
    <col min="3" max="3" width="8.81640625" bestFit="1" customWidth="1"/>
    <col min="4" max="4" width="1.453125" customWidth="1"/>
    <col min="5" max="5" width="13.7265625" bestFit="1" customWidth="1"/>
    <col min="6" max="6" width="1.453125" customWidth="1"/>
    <col min="7" max="7" width="12.7265625" customWidth="1"/>
    <col min="8" max="8" width="1.453125" customWidth="1"/>
    <col min="9" max="9" width="12.7265625" customWidth="1"/>
    <col min="11" max="11" width="1.453125" customWidth="1"/>
    <col min="12" max="12" width="12.7265625" customWidth="1"/>
    <col min="13" max="13" width="1.453125" customWidth="1"/>
    <col min="14" max="14" width="12.7265625" customWidth="1"/>
  </cols>
  <sheetData>
    <row r="3" spans="1:17" ht="14" x14ac:dyDescent="0.3">
      <c r="A3" s="268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</row>
    <row r="4" spans="1:17" ht="14" x14ac:dyDescent="0.3">
      <c r="A4" s="748" t="str">
        <f>'R4 WMA'!A4:N4</f>
        <v>Western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7" ht="14" x14ac:dyDescent="0.3">
      <c r="A5" s="748" t="str">
        <f>'G7S SOUTH'!A5:N5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7" ht="14" x14ac:dyDescent="0.3">
      <c r="A6" s="268"/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</row>
    <row r="7" spans="1:17" ht="14" x14ac:dyDescent="0.3">
      <c r="A7" s="268"/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</row>
    <row r="8" spans="1:17" ht="14" x14ac:dyDescent="0.3">
      <c r="A8" s="748" t="s">
        <v>506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7" ht="14" x14ac:dyDescent="0.3">
      <c r="B9" s="207"/>
      <c r="C9" s="207"/>
      <c r="D9" s="207"/>
      <c r="E9" s="213"/>
      <c r="F9" s="207"/>
      <c r="I9" s="210"/>
      <c r="J9" s="210"/>
      <c r="K9" s="210"/>
      <c r="L9" s="214"/>
      <c r="M9" s="214"/>
      <c r="N9" s="215"/>
    </row>
    <row r="10" spans="1:17" ht="14.5" thickBot="1" x14ac:dyDescent="0.35">
      <c r="A10" s="151"/>
      <c r="B10" s="216" t="s">
        <v>46</v>
      </c>
      <c r="C10" s="216"/>
      <c r="D10" s="216"/>
      <c r="E10" s="217" t="s">
        <v>144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7" ht="14" x14ac:dyDescent="0.3">
      <c r="A11" s="151"/>
      <c r="B11" s="219" t="s">
        <v>293</v>
      </c>
      <c r="C11" s="220" t="s">
        <v>294</v>
      </c>
      <c r="D11" s="220"/>
      <c r="E11" s="221" t="s">
        <v>295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7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7" ht="14" x14ac:dyDescent="0.3">
      <c r="A13" s="151">
        <f>IF(B13&lt;&gt;"",COUNTA($B$13:B13),"")</f>
        <v>1</v>
      </c>
      <c r="B13" s="232" t="str">
        <f>'R1 EMA'!B12</f>
        <v>Customer Charge</v>
      </c>
      <c r="C13" s="233" t="str">
        <f>'R1 EMA'!C12</f>
        <v>CUST</v>
      </c>
      <c r="D13" s="233"/>
      <c r="E13" s="234">
        <v>291.47510479136696</v>
      </c>
      <c r="F13" s="207"/>
      <c r="G13" s="306">
        <v>17</v>
      </c>
      <c r="H13" s="209"/>
      <c r="I13" s="210">
        <f>G13*E13</f>
        <v>4955.0767814532383</v>
      </c>
      <c r="J13" s="235"/>
      <c r="K13" s="210"/>
      <c r="L13" s="238">
        <v>17</v>
      </c>
      <c r="M13" s="211"/>
      <c r="N13" s="210">
        <f>L13*E13</f>
        <v>4955.0767814532383</v>
      </c>
      <c r="O13" s="272"/>
      <c r="P13" s="234"/>
      <c r="Q13" s="154"/>
    </row>
    <row r="14" spans="1:17" ht="14" x14ac:dyDescent="0.3">
      <c r="A14" s="151">
        <f>IF(B14&lt;&gt;"",COUNTA($B$13:B14),"")</f>
        <v>2</v>
      </c>
      <c r="B14" s="207" t="str">
        <f>'R1 EMA'!B13</f>
        <v>Distribution Energy</v>
      </c>
      <c r="C14" s="233" t="str">
        <f>'R1 EMA'!C13</f>
        <v>DKWH</v>
      </c>
      <c r="D14" s="233"/>
      <c r="E14" s="234">
        <v>158316.06615004761</v>
      </c>
      <c r="F14" s="207"/>
      <c r="G14" s="281">
        <v>2.3990000000000001E-2</v>
      </c>
      <c r="H14" s="209"/>
      <c r="I14" s="237">
        <f t="shared" ref="I14" si="0">G14*E14</f>
        <v>3798.0024269396422</v>
      </c>
      <c r="J14" s="235"/>
      <c r="K14" s="210"/>
      <c r="L14" s="281">
        <v>2.5739999999999999E-2</v>
      </c>
      <c r="M14" s="211"/>
      <c r="N14" s="237">
        <f t="shared" ref="N14" si="1">L14*E14</f>
        <v>4075.0555427022255</v>
      </c>
      <c r="O14" s="272"/>
      <c r="P14" s="273"/>
    </row>
    <row r="15" spans="1:17" ht="14" x14ac:dyDescent="0.3">
      <c r="A15" s="151">
        <f>IF(B15&lt;&gt;"",COUNTA($B$13:B15),"")</f>
        <v>3</v>
      </c>
      <c r="B15" s="207" t="str">
        <f>'R1 EMA'!B14</f>
        <v>Total Distribution</v>
      </c>
      <c r="C15" s="233" t="str">
        <f>'R1 EMA'!C14</f>
        <v>DIST</v>
      </c>
      <c r="D15" s="233"/>
      <c r="E15" s="234"/>
      <c r="F15" s="207"/>
      <c r="G15" s="209"/>
      <c r="H15" s="209"/>
      <c r="I15" s="210">
        <f>SUM(I13:I14)</f>
        <v>8753.0792083928809</v>
      </c>
      <c r="J15" s="235"/>
      <c r="K15" s="210"/>
      <c r="L15" s="238"/>
      <c r="M15" s="211"/>
      <c r="N15" s="210">
        <f>SUM(N13:N14)</f>
        <v>9030.1323241554637</v>
      </c>
      <c r="O15" s="272"/>
      <c r="P15" s="273"/>
    </row>
    <row r="16" spans="1:17" ht="14" x14ac:dyDescent="0.3">
      <c r="A16" s="151" t="str">
        <f>IF(B16&lt;&gt;"",COUNTA($B$13:B16),"")</f>
        <v/>
      </c>
      <c r="B16" s="207"/>
      <c r="C16" s="233"/>
      <c r="D16" s="233"/>
      <c r="E16" s="234"/>
      <c r="F16" s="207"/>
      <c r="G16" s="209"/>
      <c r="H16" s="209"/>
      <c r="I16" s="210"/>
      <c r="J16" s="235"/>
      <c r="K16" s="210"/>
      <c r="L16" s="238"/>
      <c r="M16" s="211"/>
      <c r="N16" s="210"/>
      <c r="O16" s="272"/>
      <c r="P16" s="273"/>
    </row>
    <row r="17" spans="1:17" ht="14" x14ac:dyDescent="0.3">
      <c r="A17" s="151">
        <f>IF(B17&lt;&gt;"",COUNTA($B$13:B17),"")</f>
        <v>4</v>
      </c>
      <c r="B17" s="228" t="s">
        <v>302</v>
      </c>
      <c r="F17" s="239"/>
      <c r="G17" s="240"/>
      <c r="H17" s="211"/>
      <c r="I17" s="210"/>
      <c r="K17" s="210"/>
      <c r="L17" s="241"/>
      <c r="M17" s="211"/>
      <c r="N17" s="210"/>
      <c r="O17" s="272"/>
    </row>
    <row r="18" spans="1:17" ht="14" x14ac:dyDescent="0.3">
      <c r="A18" s="151">
        <f>IF(B18&lt;&gt;"",COUNTA($B$13:B18),"")</f>
        <v>5</v>
      </c>
      <c r="B18" s="207" t="str">
        <f>'R1 EMA'!B17</f>
        <v>Revenue Decoupling</v>
      </c>
      <c r="C18" s="233" t="str">
        <f>'R1 EMA'!C17</f>
        <v>RDAF</v>
      </c>
      <c r="D18" s="233"/>
      <c r="E18" s="242"/>
      <c r="F18" s="239"/>
      <c r="G18" s="236">
        <v>5.6999999999999998E-4</v>
      </c>
      <c r="H18" s="211"/>
      <c r="I18" s="210">
        <f>G18*$E$14</f>
        <v>90.240157705527139</v>
      </c>
      <c r="K18" s="210"/>
      <c r="L18" s="236">
        <v>-4.3262934243450975E-4</v>
      </c>
      <c r="M18" s="211"/>
      <c r="N18" s="210">
        <f>L18*$E$14</f>
        <v>-68.492175595313441</v>
      </c>
      <c r="O18" s="272"/>
      <c r="P18" s="234"/>
    </row>
    <row r="19" spans="1:17" ht="14" x14ac:dyDescent="0.3">
      <c r="A19" s="151">
        <f>IF(B19&lt;&gt;"",COUNTA($B$13:B19),"")</f>
        <v>6</v>
      </c>
      <c r="B19" s="207" t="str">
        <f>'R1 EMA'!B18</f>
        <v>Residential Assistance Adjustment Factor</v>
      </c>
      <c r="C19" s="233" t="str">
        <f>'R1 EMA'!C18</f>
        <v>RAAF</v>
      </c>
      <c r="D19" s="243"/>
      <c r="E19" s="206"/>
      <c r="F19" s="239"/>
      <c r="G19" s="236">
        <v>1.0189999999999999E-2</v>
      </c>
      <c r="H19" s="211"/>
      <c r="I19" s="210">
        <f t="shared" ref="I19:I37" si="2">G19*$E$14</f>
        <v>1613.240714068985</v>
      </c>
      <c r="K19" s="210"/>
      <c r="L19" s="236">
        <v>3.6549690375720515E-3</v>
      </c>
      <c r="M19" s="211"/>
      <c r="N19" s="210">
        <f t="shared" ref="N19:N37" si="3">L19*$E$14</f>
        <v>578.64031992863272</v>
      </c>
      <c r="O19" s="272"/>
      <c r="P19" s="234"/>
      <c r="Q19" s="210"/>
    </row>
    <row r="20" spans="1:17" ht="14" x14ac:dyDescent="0.3">
      <c r="A20" s="151">
        <f>IF(B20&lt;&gt;"",COUNTA($B$13:B20),"")</f>
        <v>7</v>
      </c>
      <c r="B20" s="207" t="str">
        <f>'R1 EMA'!B19</f>
        <v>Pension Adjustment Factor</v>
      </c>
      <c r="C20" s="233" t="str">
        <f>'R1 EMA'!C19</f>
        <v>PAF</v>
      </c>
      <c r="D20" s="243"/>
      <c r="E20" s="206"/>
      <c r="F20" s="239"/>
      <c r="G20" s="236">
        <v>1.1100000000000001E-3</v>
      </c>
      <c r="H20" s="211"/>
      <c r="I20" s="210">
        <f t="shared" si="2"/>
        <v>175.73083342655286</v>
      </c>
      <c r="K20" s="210"/>
      <c r="L20" s="236">
        <v>6.3544669373927351E-4</v>
      </c>
      <c r="M20" s="211"/>
      <c r="N20" s="210">
        <f t="shared" si="3"/>
        <v>100.60142080085588</v>
      </c>
      <c r="O20" s="272"/>
      <c r="P20" s="274"/>
    </row>
    <row r="21" spans="1:17" ht="14" x14ac:dyDescent="0.3">
      <c r="A21" s="151">
        <f>IF(B21&lt;&gt;"",COUNTA($B$13:B21),"")</f>
        <v>8</v>
      </c>
      <c r="B21" s="207" t="str">
        <f>'R1 EMA'!B20</f>
        <v>Net Metering Recovery Surcharge</v>
      </c>
      <c r="C21" s="233" t="str">
        <f>'R1 EMA'!C20</f>
        <v>NMRS</v>
      </c>
      <c r="D21" s="243"/>
      <c r="E21" s="206"/>
      <c r="F21" s="239"/>
      <c r="G21" s="236">
        <v>4.4299999999999999E-3</v>
      </c>
      <c r="H21" s="211"/>
      <c r="I21" s="210">
        <f t="shared" si="2"/>
        <v>701.34017304471092</v>
      </c>
      <c r="K21" s="210"/>
      <c r="L21" s="236">
        <v>4.765786445615483E-3</v>
      </c>
      <c r="M21" s="211"/>
      <c r="N21" s="210">
        <f t="shared" si="3"/>
        <v>754.50056218106113</v>
      </c>
      <c r="O21" s="272"/>
      <c r="P21" s="274"/>
    </row>
    <row r="22" spans="1:17" ht="14" x14ac:dyDescent="0.3">
      <c r="A22" s="151">
        <f>IF(B22&lt;&gt;"",COUNTA($B$13:B22),"")</f>
        <v>9</v>
      </c>
      <c r="B22" s="207" t="str">
        <f>'R1 EMA'!B21</f>
        <v>Long Term Renewable Contract Adjustment</v>
      </c>
      <c r="C22" s="233" t="str">
        <f>'R1 EMA'!C21</f>
        <v>LTRCA</v>
      </c>
      <c r="D22" s="243"/>
      <c r="E22" s="206"/>
      <c r="F22" s="239"/>
      <c r="G22" s="236">
        <v>3.31E-3</v>
      </c>
      <c r="H22" s="211"/>
      <c r="I22" s="210">
        <f t="shared" si="2"/>
        <v>524.02617895665765</v>
      </c>
      <c r="K22" s="210"/>
      <c r="L22" s="236">
        <v>1.7357128782064517E-3</v>
      </c>
      <c r="M22" s="211"/>
      <c r="N22" s="210">
        <f t="shared" si="3"/>
        <v>274.79123484362214</v>
      </c>
      <c r="O22" s="272"/>
      <c r="P22" s="275"/>
    </row>
    <row r="23" spans="1:17" ht="14" x14ac:dyDescent="0.3">
      <c r="A23" s="151">
        <f>IF(B23&lt;&gt;"",COUNTA($B$13:B23),"")</f>
        <v>10</v>
      </c>
      <c r="B23" s="207" t="str">
        <f>'R1 EMA'!B22</f>
        <v>AG Consulting Expense</v>
      </c>
      <c r="C23" s="233" t="str">
        <f>'R1 EMA'!C22</f>
        <v>AGCE</v>
      </c>
      <c r="D23" s="243"/>
      <c r="E23" s="206"/>
      <c r="F23" s="239"/>
      <c r="G23" s="236">
        <v>3.0000000000000001E-5</v>
      </c>
      <c r="H23" s="211"/>
      <c r="I23" s="210">
        <f t="shared" si="2"/>
        <v>4.7494819845014282</v>
      </c>
      <c r="K23" s="210"/>
      <c r="L23" s="236">
        <v>7.6740715608879795E-6</v>
      </c>
      <c r="M23" s="211"/>
      <c r="N23" s="210">
        <f t="shared" si="3"/>
        <v>1.2149288208737405</v>
      </c>
      <c r="O23" s="272"/>
      <c r="P23" s="274"/>
    </row>
    <row r="24" spans="1:17" ht="14" x14ac:dyDescent="0.3">
      <c r="A24" s="151">
        <f>IF(B24&lt;&gt;"",COUNTA($B$13:B24),"")</f>
        <v>11</v>
      </c>
      <c r="B24" s="207" t="str">
        <f>'R1 EMA'!B23</f>
        <v>Storm Cost Recovery Adjustment Factor</v>
      </c>
      <c r="C24" s="233" t="str">
        <f>'R1 EMA'!C23</f>
        <v>SCRA</v>
      </c>
      <c r="D24" s="243"/>
      <c r="E24" s="206"/>
      <c r="F24" s="239"/>
      <c r="G24" s="236">
        <v>2.3700000000000001E-3</v>
      </c>
      <c r="H24" s="211"/>
      <c r="I24" s="210">
        <f t="shared" si="2"/>
        <v>375.20907677561286</v>
      </c>
      <c r="K24" s="210"/>
      <c r="L24" s="236">
        <v>2.7455944627379335E-3</v>
      </c>
      <c r="M24" s="211"/>
      <c r="N24" s="210">
        <f t="shared" si="3"/>
        <v>434.67171458402311</v>
      </c>
      <c r="O24" s="272"/>
      <c r="P24" s="274"/>
    </row>
    <row r="25" spans="1:17" ht="14" x14ac:dyDescent="0.3">
      <c r="A25" s="151">
        <f>IF(B25&lt;&gt;"",COUNTA($B$13:B25),"")</f>
        <v>12</v>
      </c>
      <c r="B25" s="207" t="str">
        <f>'R1 EMA'!B24</f>
        <v>Storm Reserve Adjustment</v>
      </c>
      <c r="C25" s="233" t="str">
        <f>'R1 EMA'!C24</f>
        <v>SRA</v>
      </c>
      <c r="D25" s="243"/>
      <c r="E25" s="206"/>
      <c r="F25" s="239"/>
      <c r="G25" s="236">
        <v>0</v>
      </c>
      <c r="H25" s="211"/>
      <c r="I25" s="210">
        <f t="shared" si="2"/>
        <v>0</v>
      </c>
      <c r="K25" s="210"/>
      <c r="L25" s="236">
        <v>0</v>
      </c>
      <c r="M25" s="211"/>
      <c r="N25" s="210">
        <f t="shared" si="3"/>
        <v>0</v>
      </c>
      <c r="O25" s="272"/>
      <c r="P25" s="274"/>
    </row>
    <row r="26" spans="1:17" ht="14" x14ac:dyDescent="0.3">
      <c r="A26" s="151">
        <f>IF(B26&lt;&gt;"",COUNTA($B$13:B26),"")</f>
        <v>13</v>
      </c>
      <c r="B26" s="207" t="str">
        <f>'R1 EMA'!B25</f>
        <v>Basic Service Cost True Up Factor</v>
      </c>
      <c r="C26" s="233" t="str">
        <f>'R1 EMA'!C25</f>
        <v>BSTF</v>
      </c>
      <c r="D26" s="243"/>
      <c r="E26" s="206"/>
      <c r="F26" s="239"/>
      <c r="G26" s="236">
        <v>2.1000000000000001E-4</v>
      </c>
      <c r="H26" s="211"/>
      <c r="I26" s="210">
        <f t="shared" si="2"/>
        <v>33.246373891509997</v>
      </c>
      <c r="K26" s="210"/>
      <c r="L26" s="236">
        <v>-1.8136851998509521E-4</v>
      </c>
      <c r="M26" s="211"/>
      <c r="N26" s="210">
        <f t="shared" si="3"/>
        <v>-28.713550607496565</v>
      </c>
      <c r="O26" s="272"/>
      <c r="P26" s="274"/>
    </row>
    <row r="27" spans="1:17" ht="14" x14ac:dyDescent="0.3">
      <c r="A27" s="151">
        <f>IF(B27&lt;&gt;"",COUNTA($B$13:B27),"")</f>
        <v>14</v>
      </c>
      <c r="B27" s="207" t="str">
        <f>'R1 EMA'!B26</f>
        <v>Solar Program Cost Adjustment Factor</v>
      </c>
      <c r="C27" s="233" t="str">
        <f>'R1 EMA'!C26</f>
        <v>SPCA</v>
      </c>
      <c r="D27" s="233"/>
      <c r="E27" s="206"/>
      <c r="F27" s="239"/>
      <c r="G27" s="236">
        <v>-1.2999999999999999E-4</v>
      </c>
      <c r="H27" s="211"/>
      <c r="I27" s="210">
        <f t="shared" si="2"/>
        <v>-20.581088599506188</v>
      </c>
      <c r="K27" s="210"/>
      <c r="L27" s="236">
        <v>3.2277161169624727E-5</v>
      </c>
      <c r="M27" s="211"/>
      <c r="N27" s="210">
        <f t="shared" si="3"/>
        <v>5.1099931828660567</v>
      </c>
      <c r="O27" s="272"/>
      <c r="P27" s="276"/>
    </row>
    <row r="28" spans="1:17" ht="14" x14ac:dyDescent="0.3">
      <c r="A28" s="151">
        <f>IF(B28&lt;&gt;"",COUNTA($B$13:B28),"")</f>
        <v>15</v>
      </c>
      <c r="B28" s="207" t="str">
        <f>'R1 EMA'!B27</f>
        <v>Solar Expansion Cost Recovery Factor</v>
      </c>
      <c r="C28" s="233" t="str">
        <f>'R1 EMA'!C27</f>
        <v>SECRF</v>
      </c>
      <c r="D28" s="233"/>
      <c r="E28" s="206"/>
      <c r="F28" s="239"/>
      <c r="G28" s="236">
        <v>0</v>
      </c>
      <c r="H28" s="211"/>
      <c r="I28" s="210">
        <f t="shared" si="2"/>
        <v>0</v>
      </c>
      <c r="K28" s="210"/>
      <c r="L28" s="236">
        <v>5.6929528173503476E-4</v>
      </c>
      <c r="M28" s="211"/>
      <c r="N28" s="210">
        <f t="shared" si="3"/>
        <v>90.12858948207375</v>
      </c>
      <c r="O28" s="272"/>
      <c r="P28" s="276"/>
    </row>
    <row r="29" spans="1:17" ht="14" x14ac:dyDescent="0.3">
      <c r="A29" s="151">
        <f>IF(B29&lt;&gt;"",COUNTA($B$13:B29),"")</f>
        <v>16</v>
      </c>
      <c r="B29" s="207" t="str">
        <f>'R1 EMA'!B28</f>
        <v>Vegetation Management</v>
      </c>
      <c r="C29" s="233" t="str">
        <f>'R1 EMA'!C28</f>
        <v>RTWF</v>
      </c>
      <c r="D29" s="233"/>
      <c r="E29" s="206"/>
      <c r="F29" s="239"/>
      <c r="G29" s="236">
        <v>0</v>
      </c>
      <c r="H29" s="211"/>
      <c r="I29" s="210">
        <f t="shared" si="2"/>
        <v>0</v>
      </c>
      <c r="K29" s="210"/>
      <c r="L29" s="236">
        <v>1.1376643527601861E-3</v>
      </c>
      <c r="M29" s="211"/>
      <c r="N29" s="210">
        <f t="shared" si="3"/>
        <v>180.11054492813273</v>
      </c>
      <c r="O29" s="272"/>
      <c r="P29" s="276"/>
    </row>
    <row r="30" spans="1:17" ht="14" x14ac:dyDescent="0.3">
      <c r="A30" s="151">
        <f>IF(B30&lt;&gt;"",COUNTA($B$13:B30),"")</f>
        <v>17</v>
      </c>
      <c r="B30" s="207" t="str">
        <f>'R1 EMA'!B29</f>
        <v>Solar Massachusetts Renewable Target</v>
      </c>
      <c r="C30" s="233" t="str">
        <f>'R1 EMA'!C29</f>
        <v>SMART</v>
      </c>
      <c r="D30" s="233"/>
      <c r="E30" s="206"/>
      <c r="F30" s="239"/>
      <c r="G30" s="236">
        <v>0</v>
      </c>
      <c r="H30" s="211"/>
      <c r="I30" s="210">
        <f t="shared" si="2"/>
        <v>0</v>
      </c>
      <c r="K30" s="210"/>
      <c r="L30" s="236">
        <v>6.6700931088392763E-4</v>
      </c>
      <c r="M30" s="211"/>
      <c r="N30" s="210">
        <f t="shared" si="3"/>
        <v>105.59829018459756</v>
      </c>
      <c r="O30" s="272"/>
      <c r="P30" s="276"/>
    </row>
    <row r="31" spans="1:17" ht="14" x14ac:dyDescent="0.3">
      <c r="A31" s="151">
        <f>IF(B31&lt;&gt;"",COUNTA($B$13:B31),"")</f>
        <v>18</v>
      </c>
      <c r="B31" s="207" t="str">
        <f>'R1 EMA'!B30</f>
        <v>Tax Act Credit Factor</v>
      </c>
      <c r="C31" s="233" t="str">
        <f>'R1 EMA'!C30</f>
        <v>TACF</v>
      </c>
      <c r="D31" s="233"/>
      <c r="E31" s="206"/>
      <c r="F31" s="239"/>
      <c r="G31" s="236">
        <v>0</v>
      </c>
      <c r="H31" s="211"/>
      <c r="I31" s="210">
        <f t="shared" si="2"/>
        <v>0</v>
      </c>
      <c r="K31" s="210"/>
      <c r="L31" s="236">
        <v>-1.0097406672305252E-3</v>
      </c>
      <c r="M31" s="211"/>
      <c r="N31" s="210">
        <f t="shared" si="3"/>
        <v>-159.85817026766105</v>
      </c>
      <c r="O31" s="272"/>
      <c r="P31" s="276"/>
    </row>
    <row r="32" spans="1:17" ht="14" x14ac:dyDescent="0.3">
      <c r="A32" s="151">
        <f>IF(B32&lt;&gt;"",COUNTA($B$13:B32),"")</f>
        <v>19</v>
      </c>
      <c r="B32" s="207" t="str">
        <f>'R1 EMA'!B31</f>
        <v>Transition</v>
      </c>
      <c r="C32" s="233" t="str">
        <f>'R1 EMA'!C31</f>
        <v>TRNSN</v>
      </c>
      <c r="D32" s="233"/>
      <c r="E32" s="206"/>
      <c r="F32" s="239"/>
      <c r="G32" s="236">
        <v>-1.7099999999999999E-3</v>
      </c>
      <c r="H32" s="211"/>
      <c r="I32" s="210">
        <f t="shared" si="2"/>
        <v>-270.72047311658139</v>
      </c>
      <c r="K32" s="210"/>
      <c r="L32" s="236">
        <v>-5.210932140356871E-4</v>
      </c>
      <c r="M32" s="211"/>
      <c r="N32" s="210">
        <f t="shared" si="3"/>
        <v>-82.497427743614764</v>
      </c>
      <c r="O32" s="272"/>
      <c r="P32" s="275"/>
    </row>
    <row r="33" spans="1:16" ht="14" x14ac:dyDescent="0.3">
      <c r="A33" s="151">
        <f>IF(B33&lt;&gt;"",COUNTA($B$13:B33),"")</f>
        <v>20</v>
      </c>
      <c r="B33" s="207" t="str">
        <f>'R1 EMA'!B32</f>
        <v>Transmission Energy</v>
      </c>
      <c r="C33" s="233" t="str">
        <f>'R1 EMA'!C32</f>
        <v>TMKWH</v>
      </c>
      <c r="D33" s="233"/>
      <c r="E33" s="206"/>
      <c r="F33" s="239"/>
      <c r="G33" s="241">
        <v>2.121E-2</v>
      </c>
      <c r="H33" s="211"/>
      <c r="I33" s="210">
        <f t="shared" si="2"/>
        <v>3357.8837630425096</v>
      </c>
      <c r="K33" s="210"/>
      <c r="L33" s="241">
        <v>1.9359221508223598E-2</v>
      </c>
      <c r="M33" s="211"/>
      <c r="N33" s="210">
        <f t="shared" si="3"/>
        <v>3064.8757929093517</v>
      </c>
      <c r="O33" s="272"/>
      <c r="P33" s="275"/>
    </row>
    <row r="34" spans="1:16" ht="14" x14ac:dyDescent="0.3">
      <c r="A34" s="151">
        <f>IF(B34&lt;&gt;"",COUNTA($B$13:B34),"")</f>
        <v>21</v>
      </c>
      <c r="B34" s="207" t="str">
        <f>'R1 EMA'!B33</f>
        <v>Energy Efficiency Reconciliation Factor</v>
      </c>
      <c r="C34" s="233" t="str">
        <f>'R1 EMA'!C33</f>
        <v>EERF</v>
      </c>
      <c r="D34" s="233"/>
      <c r="E34" s="206"/>
      <c r="F34" s="239"/>
      <c r="G34" s="241">
        <v>9.7199999999999995E-3</v>
      </c>
      <c r="H34" s="211"/>
      <c r="I34" s="210">
        <f t="shared" si="2"/>
        <v>1538.8321629784627</v>
      </c>
      <c r="K34" s="210"/>
      <c r="L34" s="241">
        <v>9.7199999999999995E-3</v>
      </c>
      <c r="M34" s="211"/>
      <c r="N34" s="210">
        <f t="shared" si="3"/>
        <v>1538.8321629784627</v>
      </c>
      <c r="O34" s="272"/>
      <c r="P34" s="232"/>
    </row>
    <row r="35" spans="1:16" ht="14" x14ac:dyDescent="0.3">
      <c r="A35" s="151">
        <f>IF(B35&lt;&gt;"",COUNTA($B$13:B35),"")</f>
        <v>22</v>
      </c>
      <c r="B35" s="207" t="str">
        <f>'R1 EMA'!B34</f>
        <v>System Benefits Charge</v>
      </c>
      <c r="C35" s="233" t="str">
        <f>'R1 EMA'!C34</f>
        <v>SBC</v>
      </c>
      <c r="D35" s="233"/>
      <c r="E35" s="206"/>
      <c r="F35" s="239"/>
      <c r="G35" s="241">
        <v>2.5000000000000001E-3</v>
      </c>
      <c r="H35" s="211"/>
      <c r="I35" s="210">
        <f t="shared" si="2"/>
        <v>395.79016537511905</v>
      </c>
      <c r="K35" s="210"/>
      <c r="L35" s="236">
        <f>+G35</f>
        <v>2.5000000000000001E-3</v>
      </c>
      <c r="M35" s="211"/>
      <c r="N35" s="210">
        <f t="shared" si="3"/>
        <v>395.79016537511905</v>
      </c>
      <c r="O35" s="272"/>
      <c r="P35" s="275"/>
    </row>
    <row r="36" spans="1:16" ht="14" x14ac:dyDescent="0.3">
      <c r="A36" s="151">
        <f>IF(B36&lt;&gt;"",COUNTA($B$13:B36),"")</f>
        <v>23</v>
      </c>
      <c r="B36" s="207" t="str">
        <f>'R1 EMA'!B35</f>
        <v>Renewable Energy Charge</v>
      </c>
      <c r="C36" s="233" t="str">
        <f>'R1 EMA'!C35</f>
        <v>RNEW</v>
      </c>
      <c r="D36" s="233"/>
      <c r="E36" s="206"/>
      <c r="F36" s="239"/>
      <c r="G36" s="241">
        <v>5.0000000000000001E-4</v>
      </c>
      <c r="H36" s="211"/>
      <c r="I36" s="210">
        <f t="shared" si="2"/>
        <v>79.158033075023809</v>
      </c>
      <c r="K36" s="210"/>
      <c r="L36" s="236">
        <f>+G36</f>
        <v>5.0000000000000001E-4</v>
      </c>
      <c r="M36" s="211"/>
      <c r="N36" s="210">
        <f t="shared" si="3"/>
        <v>79.158033075023809</v>
      </c>
      <c r="O36" s="272"/>
      <c r="P36" s="275"/>
    </row>
    <row r="37" spans="1:16" ht="14" x14ac:dyDescent="0.3">
      <c r="A37" s="151">
        <f>IF(B37&lt;&gt;"",COUNTA($B$13:B37),"")</f>
        <v>24</v>
      </c>
      <c r="B37" s="207" t="str">
        <f>'R1 EMA'!B36</f>
        <v>Basic Service Charge</v>
      </c>
      <c r="C37" s="233" t="str">
        <f>'R1 EMA'!C36</f>
        <v>BS</v>
      </c>
      <c r="D37" s="233"/>
      <c r="E37" s="206"/>
      <c r="F37" s="239"/>
      <c r="G37" s="241">
        <v>0.10859000000000001</v>
      </c>
      <c r="H37" s="211"/>
      <c r="I37" s="237">
        <f t="shared" si="2"/>
        <v>17191.541623233672</v>
      </c>
      <c r="K37" s="210"/>
      <c r="L37" s="236">
        <v>0.12354999999999999</v>
      </c>
      <c r="M37" s="211"/>
      <c r="N37" s="237">
        <f t="shared" si="3"/>
        <v>19559.949972838382</v>
      </c>
      <c r="O37" s="272"/>
      <c r="P37" s="232"/>
    </row>
    <row r="38" spans="1:16" ht="14" x14ac:dyDescent="0.3">
      <c r="A38" s="151" t="str">
        <f>IF(B38&lt;&gt;"",COUNTA($B$13:B38),"")</f>
        <v/>
      </c>
      <c r="B38" s="207"/>
      <c r="E38" s="206"/>
      <c r="F38" s="239"/>
      <c r="G38" s="241"/>
      <c r="H38" s="211"/>
      <c r="I38" s="244"/>
      <c r="K38" s="210"/>
      <c r="L38" s="241"/>
      <c r="M38" s="211"/>
      <c r="N38" s="244"/>
      <c r="O38" s="272"/>
    </row>
    <row r="39" spans="1:16" ht="14" x14ac:dyDescent="0.3">
      <c r="A39" s="151">
        <f>IF(B39&lt;&gt;"",COUNTA($B$13:B39),"")</f>
        <v>25</v>
      </c>
      <c r="B39" s="188" t="s">
        <v>46</v>
      </c>
      <c r="E39" s="188"/>
      <c r="G39" s="245" t="s">
        <v>324</v>
      </c>
      <c r="H39" s="246"/>
      <c r="I39" s="154">
        <f>SUM(I15:I38)</f>
        <v>34542.766384235634</v>
      </c>
      <c r="K39" s="247"/>
      <c r="L39" s="245"/>
      <c r="N39" s="154">
        <f>SUM(N15:N38)</f>
        <v>35854.544726054461</v>
      </c>
      <c r="P39" s="154"/>
    </row>
    <row r="40" spans="1:16" ht="14" x14ac:dyDescent="0.3">
      <c r="A40" s="151" t="str">
        <f>IF(B40&lt;&gt;"",COUNTA($B$13:B40),"")</f>
        <v/>
      </c>
      <c r="E40" s="188"/>
      <c r="H40" s="188"/>
      <c r="I40" s="154"/>
      <c r="K40" s="265"/>
      <c r="L40" s="278"/>
      <c r="N40" s="265"/>
      <c r="P40" s="154"/>
    </row>
    <row r="41" spans="1:16" ht="14" x14ac:dyDescent="0.3">
      <c r="A41" s="151">
        <f>IF(B41&lt;&gt;"",COUNTA($B$13:B41),"")</f>
        <v>26</v>
      </c>
      <c r="B41" s="188" t="s">
        <v>46</v>
      </c>
      <c r="E41" s="188"/>
      <c r="G41" s="188"/>
      <c r="H41" s="188"/>
      <c r="I41" s="188"/>
      <c r="J41" s="188"/>
      <c r="L41" s="248" t="s">
        <v>325</v>
      </c>
      <c r="N41" s="160">
        <f>+N39/I39-1</f>
        <v>3.7975486017167492E-2</v>
      </c>
    </row>
    <row r="42" spans="1:16" ht="14" x14ac:dyDescent="0.3">
      <c r="A42" s="151" t="str">
        <f>IF(B42&lt;&gt;"",COUNTA($B$13:B42),"")</f>
        <v/>
      </c>
      <c r="E42" s="188"/>
      <c r="G42" s="188"/>
      <c r="H42" s="188"/>
      <c r="I42" s="188"/>
      <c r="J42" s="188"/>
      <c r="L42" s="248"/>
      <c r="N42" s="160"/>
    </row>
    <row r="43" spans="1:16" ht="14" x14ac:dyDescent="0.3">
      <c r="A43" s="151" t="str">
        <f>IF(B43&lt;&gt;"",COUNTA($B$13:B43),"")</f>
        <v/>
      </c>
      <c r="E43" s="188"/>
      <c r="G43" s="186"/>
      <c r="H43" s="188"/>
      <c r="I43" s="188"/>
      <c r="L43" s="248"/>
      <c r="N43" s="160"/>
    </row>
    <row r="44" spans="1:16" ht="14.5" thickBot="1" x14ac:dyDescent="0.35">
      <c r="A44" s="151">
        <f>IF(B44&lt;&gt;"",COUNTA($B$13:B44),"")</f>
        <v>27</v>
      </c>
      <c r="B44" s="188" t="s">
        <v>46</v>
      </c>
      <c r="E44" s="279" t="s">
        <v>326</v>
      </c>
      <c r="F44" s="135"/>
      <c r="G44" s="280"/>
      <c r="I44" s="279" t="s">
        <v>327</v>
      </c>
      <c r="J44" s="135"/>
      <c r="L44" s="279" t="s">
        <v>328</v>
      </c>
      <c r="M44" s="135"/>
      <c r="N44" s="137"/>
    </row>
    <row r="45" spans="1:16" ht="14" x14ac:dyDescent="0.3">
      <c r="A45" s="151">
        <f>IF(B45&lt;&gt;"",COUNTA($B$13:B45),"")</f>
        <v>28</v>
      </c>
      <c r="B45" s="144" t="s">
        <v>329</v>
      </c>
      <c r="C45" s="144"/>
      <c r="D45" s="144"/>
      <c r="E45" s="249" t="s">
        <v>148</v>
      </c>
      <c r="F45" s="250"/>
      <c r="G45" s="251" t="s">
        <v>330</v>
      </c>
      <c r="I45" s="249" t="s">
        <v>148</v>
      </c>
      <c r="J45" s="251" t="s">
        <v>330</v>
      </c>
      <c r="K45" s="212"/>
      <c r="L45" s="249" t="s">
        <v>148</v>
      </c>
      <c r="M45" s="252"/>
      <c r="N45" s="251" t="s">
        <v>330</v>
      </c>
    </row>
    <row r="46" spans="1:16" ht="14" x14ac:dyDescent="0.3">
      <c r="A46" s="151">
        <f>IF(B46&lt;&gt;"",COUNTA($B$13:B46),"")</f>
        <v>29</v>
      </c>
      <c r="B46" s="130" t="str">
        <f>'R1 EMA'!B45</f>
        <v>Distribution</v>
      </c>
      <c r="C46" s="253" t="str">
        <f>'R1 EMA'!C45</f>
        <v>DIST</v>
      </c>
      <c r="D46" s="253"/>
      <c r="E46" s="154">
        <f t="shared" ref="E46:E61" si="4">SUMIF($C$13:$C$37,$C46,$I$13:$I$37)</f>
        <v>8753.0792083928809</v>
      </c>
      <c r="G46" s="254">
        <f>+E46/$E$14*100</f>
        <v>5.5288635078242487</v>
      </c>
      <c r="I46" s="154">
        <f t="shared" ref="I46:I60" si="5">SUMIF($C$13:$C$37,$C46,$N$13:$N$37)</f>
        <v>9030.1323241554637</v>
      </c>
      <c r="J46" s="254">
        <f>+I46/$E$14*100</f>
        <v>5.7038635078242486</v>
      </c>
      <c r="L46" s="154">
        <f t="shared" ref="L46:L66" si="6">I46-E46</f>
        <v>277.05311576258282</v>
      </c>
      <c r="N46" s="254">
        <f>+L46/$E$14*100</f>
        <v>0.17499999999999968</v>
      </c>
      <c r="O46" s="272"/>
    </row>
    <row r="47" spans="1:16" ht="14" x14ac:dyDescent="0.3">
      <c r="A47" s="151">
        <f>IF(B47&lt;&gt;"",COUNTA($B$13:B47),"")</f>
        <v>30</v>
      </c>
      <c r="B47" s="130" t="str">
        <f>'R1 EMA'!B46</f>
        <v>Revenue Decoupling</v>
      </c>
      <c r="C47" s="253" t="str">
        <f>'R1 EMA'!C46</f>
        <v>RDAF</v>
      </c>
      <c r="D47" s="253"/>
      <c r="E47" s="154">
        <f t="shared" si="4"/>
        <v>90.240157705527139</v>
      </c>
      <c r="G47" s="254">
        <f t="shared" ref="G47:G67" si="7">+E47/$E$14*100</f>
        <v>5.6999999999999995E-2</v>
      </c>
      <c r="I47" s="154">
        <f t="shared" si="5"/>
        <v>-68.492175595313441</v>
      </c>
      <c r="J47" s="254">
        <f t="shared" ref="J47:J67" si="8">+I47/$E$14*100</f>
        <v>-4.3262934243450971E-2</v>
      </c>
      <c r="L47" s="154">
        <f>I47-E47</f>
        <v>-158.73233330084059</v>
      </c>
      <c r="N47" s="254">
        <f t="shared" ref="N47:N67" si="9">+L47/$E$14*100</f>
        <v>-0.10026293424345099</v>
      </c>
      <c r="O47" s="272"/>
    </row>
    <row r="48" spans="1:16" ht="14" x14ac:dyDescent="0.3">
      <c r="A48" s="151">
        <f>IF(B48&lt;&gt;"",COUNTA($B$13:B48),"")</f>
        <v>31</v>
      </c>
      <c r="B48" s="130" t="str">
        <f>'R1 EMA'!B47</f>
        <v>Residential Assistance Adjustment Factor</v>
      </c>
      <c r="C48" s="253" t="str">
        <f>'R1 EMA'!C47</f>
        <v>RAAF</v>
      </c>
      <c r="D48" s="253"/>
      <c r="E48" s="154">
        <f t="shared" si="4"/>
        <v>1613.240714068985</v>
      </c>
      <c r="G48" s="254">
        <f t="shared" si="7"/>
        <v>1.0189999999999999</v>
      </c>
      <c r="I48" s="154">
        <f t="shared" si="5"/>
        <v>578.64031992863272</v>
      </c>
      <c r="J48" s="254">
        <f t="shared" si="8"/>
        <v>0.36549690375720512</v>
      </c>
      <c r="L48" s="154">
        <f t="shared" si="6"/>
        <v>-1034.6003941403524</v>
      </c>
      <c r="N48" s="254">
        <f t="shared" si="9"/>
        <v>-0.65350309624279479</v>
      </c>
      <c r="O48" s="272"/>
    </row>
    <row r="49" spans="1:15" ht="14" x14ac:dyDescent="0.3">
      <c r="A49" s="151">
        <f>IF(B49&lt;&gt;"",COUNTA($B$13:B49),"")</f>
        <v>32</v>
      </c>
      <c r="B49" s="130" t="str">
        <f>'R1 EMA'!B48</f>
        <v>Pension Adjustment Factor</v>
      </c>
      <c r="C49" s="253" t="str">
        <f>'R1 EMA'!C48</f>
        <v>PAF</v>
      </c>
      <c r="D49" s="253"/>
      <c r="E49" s="154">
        <f t="shared" si="4"/>
        <v>175.73083342655286</v>
      </c>
      <c r="G49" s="254">
        <f t="shared" si="7"/>
        <v>0.11100000000000002</v>
      </c>
      <c r="I49" s="154">
        <f t="shared" si="5"/>
        <v>100.60142080085588</v>
      </c>
      <c r="J49" s="254">
        <f t="shared" si="8"/>
        <v>6.3544669373927345E-2</v>
      </c>
      <c r="L49" s="154">
        <f t="shared" si="6"/>
        <v>-75.129412625696986</v>
      </c>
      <c r="N49" s="254">
        <f t="shared" si="9"/>
        <v>-4.7455330626072656E-2</v>
      </c>
      <c r="O49" s="272"/>
    </row>
    <row r="50" spans="1:15" ht="14" x14ac:dyDescent="0.3">
      <c r="A50" s="151">
        <f>IF(B50&lt;&gt;"",COUNTA($B$13:B50),"")</f>
        <v>33</v>
      </c>
      <c r="B50" s="130" t="str">
        <f>'R1 EMA'!B49</f>
        <v>Net Metering Recovery Surcharge</v>
      </c>
      <c r="C50" s="253" t="str">
        <f>'R1 EMA'!C49</f>
        <v>NMRS</v>
      </c>
      <c r="D50" s="253"/>
      <c r="E50" s="154">
        <f t="shared" si="4"/>
        <v>701.34017304471092</v>
      </c>
      <c r="G50" s="254">
        <f t="shared" si="7"/>
        <v>0.443</v>
      </c>
      <c r="I50" s="154">
        <f t="shared" si="5"/>
        <v>754.50056218106113</v>
      </c>
      <c r="J50" s="254">
        <f t="shared" si="8"/>
        <v>0.4765786445615483</v>
      </c>
      <c r="L50" s="154">
        <f t="shared" si="6"/>
        <v>53.160389136350204</v>
      </c>
      <c r="N50" s="254">
        <f t="shared" si="9"/>
        <v>3.357864456154832E-2</v>
      </c>
      <c r="O50" s="272"/>
    </row>
    <row r="51" spans="1:15" ht="14" x14ac:dyDescent="0.3">
      <c r="A51" s="151">
        <f>IF(B51&lt;&gt;"",COUNTA($B$13:B51),"")</f>
        <v>34</v>
      </c>
      <c r="B51" s="130" t="str">
        <f>'R1 EMA'!B50</f>
        <v>Long Term Renewable Contract Adjustment</v>
      </c>
      <c r="C51" s="253" t="str">
        <f>'R1 EMA'!C50</f>
        <v>LTRCA</v>
      </c>
      <c r="D51" s="253"/>
      <c r="E51" s="154">
        <f t="shared" si="4"/>
        <v>524.02617895665765</v>
      </c>
      <c r="G51" s="254">
        <f t="shared" si="7"/>
        <v>0.33100000000000007</v>
      </c>
      <c r="I51" s="154">
        <f t="shared" si="5"/>
        <v>274.79123484362214</v>
      </c>
      <c r="J51" s="254">
        <f t="shared" si="8"/>
        <v>0.17357128782064518</v>
      </c>
      <c r="L51" s="154">
        <f t="shared" si="6"/>
        <v>-249.23494411303551</v>
      </c>
      <c r="N51" s="254">
        <f t="shared" si="9"/>
        <v>-0.15742871217935486</v>
      </c>
      <c r="O51" s="272"/>
    </row>
    <row r="52" spans="1:15" ht="14" x14ac:dyDescent="0.3">
      <c r="A52" s="151">
        <f>IF(B52&lt;&gt;"",COUNTA($B$13:B52),"")</f>
        <v>35</v>
      </c>
      <c r="B52" s="130" t="str">
        <f>'R1 EMA'!B51</f>
        <v>AG Consulting Expense</v>
      </c>
      <c r="C52" s="253" t="str">
        <f>'R1 EMA'!C51</f>
        <v>AGCE</v>
      </c>
      <c r="D52" s="253"/>
      <c r="E52" s="154">
        <f t="shared" si="4"/>
        <v>4.7494819845014282</v>
      </c>
      <c r="G52" s="254">
        <f t="shared" si="7"/>
        <v>2.9999999999999996E-3</v>
      </c>
      <c r="I52" s="154">
        <f t="shared" si="5"/>
        <v>1.2149288208737405</v>
      </c>
      <c r="J52" s="254">
        <f t="shared" si="8"/>
        <v>7.6740715608879793E-4</v>
      </c>
      <c r="L52" s="154">
        <f t="shared" si="6"/>
        <v>-3.5345531636276877</v>
      </c>
      <c r="N52" s="254">
        <f t="shared" si="9"/>
        <v>-2.232592843911202E-3</v>
      </c>
      <c r="O52" s="272"/>
    </row>
    <row r="53" spans="1:15" ht="14" x14ac:dyDescent="0.3">
      <c r="A53" s="151">
        <f>IF(B53&lt;&gt;"",COUNTA($B$13:B53),"")</f>
        <v>36</v>
      </c>
      <c r="B53" s="130" t="str">
        <f>'R1 EMA'!B52</f>
        <v>Storm Cost Recovery Adjustment Factor</v>
      </c>
      <c r="C53" s="253" t="str">
        <f>'R1 EMA'!C52</f>
        <v>SCRA</v>
      </c>
      <c r="D53" s="253"/>
      <c r="E53" s="154">
        <f t="shared" si="4"/>
        <v>375.20907677561286</v>
      </c>
      <c r="G53" s="254">
        <f t="shared" si="7"/>
        <v>0.23700000000000002</v>
      </c>
      <c r="I53" s="154">
        <f t="shared" si="5"/>
        <v>434.67171458402311</v>
      </c>
      <c r="J53" s="254">
        <f t="shared" si="8"/>
        <v>0.27455944627379336</v>
      </c>
      <c r="L53" s="154">
        <f>I53-E53</f>
        <v>59.46263780841025</v>
      </c>
      <c r="N53" s="254">
        <f t="shared" si="9"/>
        <v>3.7559446273793332E-2</v>
      </c>
      <c r="O53" s="272"/>
    </row>
    <row r="54" spans="1:15" ht="14" x14ac:dyDescent="0.3">
      <c r="A54" s="151">
        <f>IF(B54&lt;&gt;"",COUNTA($B$13:B54),"")</f>
        <v>37</v>
      </c>
      <c r="B54" s="130" t="str">
        <f>'R1 EMA'!B53</f>
        <v>Storm Reserve Adjustment</v>
      </c>
      <c r="C54" s="253" t="str">
        <f>'R1 EMA'!C53</f>
        <v>SRA</v>
      </c>
      <c r="D54" s="253"/>
      <c r="E54" s="154">
        <f t="shared" si="4"/>
        <v>0</v>
      </c>
      <c r="G54" s="254">
        <f t="shared" si="7"/>
        <v>0</v>
      </c>
      <c r="I54" s="154">
        <f t="shared" si="5"/>
        <v>0</v>
      </c>
      <c r="J54" s="254">
        <f t="shared" si="8"/>
        <v>0</v>
      </c>
      <c r="L54" s="154">
        <f>I54-E54</f>
        <v>0</v>
      </c>
      <c r="N54" s="254">
        <f t="shared" si="9"/>
        <v>0</v>
      </c>
      <c r="O54" s="272"/>
    </row>
    <row r="55" spans="1:15" ht="14" x14ac:dyDescent="0.3">
      <c r="A55" s="151">
        <f>IF(B55&lt;&gt;"",COUNTA($B$13:B55),"")</f>
        <v>38</v>
      </c>
      <c r="B55" s="130" t="str">
        <f>'R1 EMA'!B54</f>
        <v>Basic Service Cost True Up Factor</v>
      </c>
      <c r="C55" s="253" t="str">
        <f>'R1 EMA'!C54</f>
        <v>BSTF</v>
      </c>
      <c r="D55" s="253"/>
      <c r="E55" s="154">
        <f t="shared" si="4"/>
        <v>33.246373891509997</v>
      </c>
      <c r="G55" s="254">
        <f t="shared" si="7"/>
        <v>2.0999999999999998E-2</v>
      </c>
      <c r="I55" s="154">
        <f t="shared" si="5"/>
        <v>-28.713550607496565</v>
      </c>
      <c r="J55" s="254">
        <f t="shared" si="8"/>
        <v>-1.8136851998509521E-2</v>
      </c>
      <c r="L55" s="154">
        <f t="shared" ref="L55:L62" si="10">I55-E55</f>
        <v>-61.959924499006561</v>
      </c>
      <c r="N55" s="254">
        <f t="shared" si="9"/>
        <v>-3.9136851998509518E-2</v>
      </c>
      <c r="O55" s="272"/>
    </row>
    <row r="56" spans="1:15" ht="14" x14ac:dyDescent="0.3">
      <c r="A56" s="151">
        <f>IF(B56&lt;&gt;"",COUNTA($B$13:B56),"")</f>
        <v>39</v>
      </c>
      <c r="B56" s="130" t="str">
        <f>'R1 EMA'!B55</f>
        <v>Solar Program Cost Adjustment Factor</v>
      </c>
      <c r="C56" s="253" t="str">
        <f>'R1 EMA'!C55</f>
        <v>SPCA</v>
      </c>
      <c r="D56" s="253"/>
      <c r="E56" s="154">
        <f t="shared" si="4"/>
        <v>-20.581088599506188</v>
      </c>
      <c r="G56" s="254">
        <f t="shared" si="7"/>
        <v>-1.2999999999999999E-2</v>
      </c>
      <c r="I56" s="154">
        <f t="shared" si="5"/>
        <v>5.1099931828660567</v>
      </c>
      <c r="J56" s="254">
        <f t="shared" si="8"/>
        <v>3.227716116962473E-3</v>
      </c>
      <c r="L56" s="154">
        <f t="shared" si="10"/>
        <v>25.691081782372244</v>
      </c>
      <c r="N56" s="254">
        <f t="shared" si="9"/>
        <v>1.6227716116962471E-2</v>
      </c>
    </row>
    <row r="57" spans="1:15" ht="14" x14ac:dyDescent="0.3">
      <c r="A57" s="151">
        <f>IF(B57&lt;&gt;"",COUNTA($B$13:B57),"")</f>
        <v>40</v>
      </c>
      <c r="B57" s="130" t="str">
        <f>'R1 EMA'!B56</f>
        <v>Solar Expansion Cost Recovery Factor</v>
      </c>
      <c r="C57" s="253" t="str">
        <f>'R1 EMA'!C56</f>
        <v>SECRF</v>
      </c>
      <c r="D57" s="253"/>
      <c r="E57" s="154">
        <f t="shared" si="4"/>
        <v>0</v>
      </c>
      <c r="G57" s="254">
        <f t="shared" si="7"/>
        <v>0</v>
      </c>
      <c r="I57" s="154">
        <f t="shared" si="5"/>
        <v>90.12858948207375</v>
      </c>
      <c r="J57" s="254">
        <f t="shared" si="8"/>
        <v>5.6929528173503476E-2</v>
      </c>
      <c r="L57" s="154">
        <f t="shared" si="10"/>
        <v>90.12858948207375</v>
      </c>
      <c r="N57" s="254">
        <f t="shared" si="9"/>
        <v>5.6929528173503476E-2</v>
      </c>
    </row>
    <row r="58" spans="1:15" ht="14" x14ac:dyDescent="0.3">
      <c r="A58" s="151">
        <f>IF(B58&lt;&gt;"",COUNTA($B$13:B58),"")</f>
        <v>41</v>
      </c>
      <c r="B58" s="130" t="str">
        <f>'R1 EMA'!B57</f>
        <v>Vegetation Management</v>
      </c>
      <c r="C58" s="253" t="str">
        <f>'R1 EMA'!C57</f>
        <v>RTWF</v>
      </c>
      <c r="D58" s="253"/>
      <c r="E58" s="154">
        <f t="shared" si="4"/>
        <v>0</v>
      </c>
      <c r="G58" s="254">
        <f t="shared" si="7"/>
        <v>0</v>
      </c>
      <c r="I58" s="154">
        <f t="shared" si="5"/>
        <v>180.11054492813273</v>
      </c>
      <c r="J58" s="254">
        <f t="shared" si="8"/>
        <v>0.11376643527601861</v>
      </c>
      <c r="L58" s="154">
        <f t="shared" si="10"/>
        <v>180.11054492813273</v>
      </c>
      <c r="N58" s="254">
        <f t="shared" si="9"/>
        <v>0.11376643527601861</v>
      </c>
    </row>
    <row r="59" spans="1:15" ht="14" x14ac:dyDescent="0.3">
      <c r="A59" s="151">
        <f>IF(B59&lt;&gt;"",COUNTA($B$13:B59),"")</f>
        <v>42</v>
      </c>
      <c r="B59" s="130" t="str">
        <f>'R1 EMA'!B58</f>
        <v>Solar Massachusetts Renewable Target</v>
      </c>
      <c r="C59" s="253" t="str">
        <f>'R1 EMA'!C58</f>
        <v>SMART</v>
      </c>
      <c r="D59" s="253"/>
      <c r="E59" s="154">
        <f t="shared" si="4"/>
        <v>0</v>
      </c>
      <c r="G59" s="254">
        <f t="shared" si="7"/>
        <v>0</v>
      </c>
      <c r="I59" s="154">
        <f t="shared" si="5"/>
        <v>105.59829018459756</v>
      </c>
      <c r="J59" s="254">
        <f t="shared" si="8"/>
        <v>6.6700931088392756E-2</v>
      </c>
      <c r="L59" s="154">
        <f t="shared" si="10"/>
        <v>105.59829018459756</v>
      </c>
      <c r="N59" s="254">
        <f t="shared" si="9"/>
        <v>6.6700931088392756E-2</v>
      </c>
    </row>
    <row r="60" spans="1:15" ht="14" x14ac:dyDescent="0.3">
      <c r="A60" s="151">
        <f>IF(B60&lt;&gt;"",COUNTA($B$13:B60),"")</f>
        <v>43</v>
      </c>
      <c r="B60" s="130" t="str">
        <f>'R1 EMA'!B59</f>
        <v>Tax Act Credit Factor</v>
      </c>
      <c r="C60" s="253" t="str">
        <f>'R1 EMA'!C59</f>
        <v>TACF</v>
      </c>
      <c r="D60" s="253"/>
      <c r="E60" s="154">
        <f t="shared" si="4"/>
        <v>0</v>
      </c>
      <c r="G60" s="254">
        <f t="shared" si="7"/>
        <v>0</v>
      </c>
      <c r="I60" s="154">
        <f t="shared" si="5"/>
        <v>-159.85817026766105</v>
      </c>
      <c r="J60" s="254">
        <f t="shared" si="8"/>
        <v>-0.10097406672305252</v>
      </c>
      <c r="L60" s="154">
        <f t="shared" si="10"/>
        <v>-159.85817026766105</v>
      </c>
      <c r="N60" s="254">
        <f t="shared" si="9"/>
        <v>-0.10097406672305252</v>
      </c>
    </row>
    <row r="61" spans="1:15" ht="14" x14ac:dyDescent="0.3">
      <c r="A61" s="151">
        <f>IF(B61&lt;&gt;"",COUNTA($B$13:B61),"")</f>
        <v>44</v>
      </c>
      <c r="B61" s="130" t="str">
        <f>'R1 EMA'!B60</f>
        <v>Transition</v>
      </c>
      <c r="C61" s="253" t="str">
        <f>'R1 EMA'!C60</f>
        <v>TRNSN</v>
      </c>
      <c r="D61" s="253"/>
      <c r="E61" s="154">
        <f t="shared" si="4"/>
        <v>-270.72047311658139</v>
      </c>
      <c r="G61" s="254">
        <f t="shared" si="7"/>
        <v>-0.17099999999999999</v>
      </c>
      <c r="I61" s="154">
        <f>SUMIF($C$13:$C$37,$C61,$N$13:$N$37)</f>
        <v>-82.497427743614764</v>
      </c>
      <c r="J61" s="254">
        <f t="shared" si="8"/>
        <v>-5.2109321403568713E-2</v>
      </c>
      <c r="L61" s="154">
        <f t="shared" si="10"/>
        <v>188.22304537296662</v>
      </c>
      <c r="N61" s="254">
        <f t="shared" si="9"/>
        <v>0.11889067859643127</v>
      </c>
    </row>
    <row r="62" spans="1:15" ht="14" x14ac:dyDescent="0.3">
      <c r="A62" s="151">
        <f>IF(B62&lt;&gt;"",COUNTA($B$13:B62),"")</f>
        <v>45</v>
      </c>
      <c r="B62" s="130" t="str">
        <f>'R1 EMA'!B61</f>
        <v>Transmission</v>
      </c>
      <c r="C62" s="253" t="str">
        <f>'R1 EMA'!C61</f>
        <v>TRNSM</v>
      </c>
      <c r="D62" s="253"/>
      <c r="E62" s="154">
        <f>SUM(SUMIF($C$13:$C$37,{"TMKW","TMKWH"},$I$13:$I$37))</f>
        <v>3357.8837630425096</v>
      </c>
      <c r="G62" s="254">
        <f t="shared" si="7"/>
        <v>2.121</v>
      </c>
      <c r="I62" s="154">
        <f>SUM(SUMIF($C$13:$C$37,{"TMKW","TMKWH"},$N$13:$N$37))</f>
        <v>3064.8757929093517</v>
      </c>
      <c r="J62" s="254">
        <f t="shared" si="8"/>
        <v>1.9359221508223599</v>
      </c>
      <c r="L62" s="154">
        <f t="shared" si="10"/>
        <v>-293.00797013315787</v>
      </c>
      <c r="N62" s="254">
        <f t="shared" si="9"/>
        <v>-0.18507784917763997</v>
      </c>
    </row>
    <row r="63" spans="1:15" ht="14" x14ac:dyDescent="0.3">
      <c r="A63" s="151">
        <f>IF(B63&lt;&gt;"",COUNTA($B$13:B63),"")</f>
        <v>46</v>
      </c>
      <c r="B63" s="130" t="str">
        <f>'R1 EMA'!B62</f>
        <v>Energy Efficiency Reconciliation Factor</v>
      </c>
      <c r="C63" s="253" t="str">
        <f>'R1 EMA'!C62</f>
        <v>EERF</v>
      </c>
      <c r="D63" s="253"/>
      <c r="E63" s="154">
        <f>SUMIF($C$13:$C$37,$C63,$I$13:$I$37)</f>
        <v>1538.8321629784627</v>
      </c>
      <c r="G63" s="254">
        <f t="shared" si="7"/>
        <v>0.97199999999999998</v>
      </c>
      <c r="I63" s="154">
        <f>SUMIF($C$13:$C$37,$C63,$N$13:$N$37)</f>
        <v>1538.8321629784627</v>
      </c>
      <c r="J63" s="254">
        <f t="shared" si="8"/>
        <v>0.97199999999999998</v>
      </c>
      <c r="L63" s="154">
        <f t="shared" si="6"/>
        <v>0</v>
      </c>
      <c r="N63" s="254">
        <f t="shared" si="9"/>
        <v>0</v>
      </c>
    </row>
    <row r="64" spans="1:15" ht="14" x14ac:dyDescent="0.3">
      <c r="A64" s="151">
        <f>IF(B64&lt;&gt;"",COUNTA($B$13:B64),"")</f>
        <v>47</v>
      </c>
      <c r="B64" s="130" t="str">
        <f>'R1 EMA'!B63</f>
        <v>System Benefits Charge</v>
      </c>
      <c r="C64" s="253" t="str">
        <f>'R1 EMA'!C63</f>
        <v>SBC</v>
      </c>
      <c r="D64" s="253"/>
      <c r="E64" s="154">
        <f>SUMIF($C$13:$C$37,$C64,$I$13:$I$37)</f>
        <v>395.79016537511905</v>
      </c>
      <c r="G64" s="254">
        <f t="shared" si="7"/>
        <v>0.25</v>
      </c>
      <c r="I64" s="154">
        <f>SUMIF($C$13:$C$37,$C64,$N$13:$N$37)</f>
        <v>395.79016537511905</v>
      </c>
      <c r="J64" s="254">
        <f t="shared" si="8"/>
        <v>0.25</v>
      </c>
      <c r="L64" s="154">
        <f t="shared" si="6"/>
        <v>0</v>
      </c>
      <c r="N64" s="254">
        <f t="shared" si="9"/>
        <v>0</v>
      </c>
    </row>
    <row r="65" spans="1:14" ht="14" x14ac:dyDescent="0.3">
      <c r="A65" s="151">
        <f>IF(B65&lt;&gt;"",COUNTA($B$13:B65),"")</f>
        <v>48</v>
      </c>
      <c r="B65" s="130" t="str">
        <f>'R1 EMA'!B64</f>
        <v>Renewable Energy Charge</v>
      </c>
      <c r="C65" s="253" t="str">
        <f>'R1 EMA'!C64</f>
        <v>RNEW</v>
      </c>
      <c r="D65" s="253"/>
      <c r="E65" s="154">
        <f>SUMIF($C$13:$C$37,$C65,$I$13:$I$37)</f>
        <v>79.158033075023809</v>
      </c>
      <c r="G65" s="254">
        <f t="shared" si="7"/>
        <v>0.05</v>
      </c>
      <c r="I65" s="154">
        <f>SUMIF($C$13:$C$37,$C65,$N$13:$N$37)</f>
        <v>79.158033075023809</v>
      </c>
      <c r="J65" s="254">
        <f t="shared" si="8"/>
        <v>0.05</v>
      </c>
      <c r="L65" s="154">
        <f>I65-E65</f>
        <v>0</v>
      </c>
      <c r="N65" s="254">
        <f t="shared" si="9"/>
        <v>0</v>
      </c>
    </row>
    <row r="66" spans="1:14" ht="14" x14ac:dyDescent="0.3">
      <c r="A66" s="151">
        <f>IF(B66&lt;&gt;"",COUNTA($B$13:B66),"")</f>
        <v>49</v>
      </c>
      <c r="B66" s="130" t="str">
        <f>'R1 EMA'!B65</f>
        <v>Basic Service Charge</v>
      </c>
      <c r="C66" s="253" t="str">
        <f>'R1 EMA'!C65</f>
        <v>BS</v>
      </c>
      <c r="D66" s="253"/>
      <c r="E66" s="255">
        <f>SUMIF($C$13:$C$37,$C66,$I$13:$I$37)</f>
        <v>17191.541623233672</v>
      </c>
      <c r="F66" s="256"/>
      <c r="G66" s="257">
        <f t="shared" si="7"/>
        <v>10.859</v>
      </c>
      <c r="H66" s="258"/>
      <c r="I66" s="255">
        <f>SUMIF($C$13:$C$37,$C66,$N$13:$N$37)</f>
        <v>19559.949972838382</v>
      </c>
      <c r="J66" s="257">
        <f t="shared" si="8"/>
        <v>12.354999999999999</v>
      </c>
      <c r="K66" s="255"/>
      <c r="L66" s="255">
        <f t="shared" si="6"/>
        <v>2368.4083496047097</v>
      </c>
      <c r="M66" s="259"/>
      <c r="N66" s="257">
        <f t="shared" si="9"/>
        <v>1.4959999999999984</v>
      </c>
    </row>
    <row r="67" spans="1:14" ht="14" x14ac:dyDescent="0.3">
      <c r="A67" s="151">
        <f>IF(B67&lt;&gt;"",COUNTA($B$13:B67),"")</f>
        <v>50</v>
      </c>
      <c r="B67" s="130" t="str">
        <f>'R1 EMA'!B66</f>
        <v>Total</v>
      </c>
      <c r="C67" s="130"/>
      <c r="D67" s="130"/>
      <c r="E67" s="154">
        <f>SUM(E46:E66)</f>
        <v>34542.766384235634</v>
      </c>
      <c r="G67" s="254">
        <f t="shared" si="7"/>
        <v>21.818863507824247</v>
      </c>
      <c r="I67" s="154">
        <f>SUM(I46:I66)</f>
        <v>35854.544726054461</v>
      </c>
      <c r="J67" s="254">
        <f t="shared" si="8"/>
        <v>22.647445453876113</v>
      </c>
      <c r="L67" s="154">
        <f>SUM(L46:L66)</f>
        <v>1311.7783418188171</v>
      </c>
      <c r="N67" s="254">
        <f t="shared" si="9"/>
        <v>0.82858194605186164</v>
      </c>
    </row>
    <row r="68" spans="1:14" ht="14" x14ac:dyDescent="0.3">
      <c r="A68" s="151" t="str">
        <f>IF(B68&lt;&gt;"",COUNTA($B$10:B68),"")</f>
        <v/>
      </c>
    </row>
    <row r="69" spans="1:14" ht="14" x14ac:dyDescent="0.3">
      <c r="A69" s="151"/>
      <c r="B69" s="256" t="s">
        <v>164</v>
      </c>
      <c r="E69" s="188"/>
      <c r="G69" s="188"/>
      <c r="H69" s="188"/>
      <c r="I69" s="188"/>
      <c r="J69" s="188"/>
      <c r="K69" s="188"/>
      <c r="L69" s="188"/>
      <c r="M69" s="188"/>
      <c r="N69" s="188"/>
    </row>
    <row r="70" spans="1:14" ht="14" x14ac:dyDescent="0.3">
      <c r="A70" s="151"/>
      <c r="B70" s="130" t="str">
        <f>'R1 EMA'!B69</f>
        <v>Col. (a): Company's forecast</v>
      </c>
    </row>
    <row r="71" spans="1:14" ht="14" x14ac:dyDescent="0.3">
      <c r="A71" s="151"/>
      <c r="B71" s="130" t="str">
        <f>'R1 EMA'!B70</f>
        <v>Col. (b): Current rates</v>
      </c>
    </row>
    <row r="72" spans="1:14" ht="14" x14ac:dyDescent="0.3">
      <c r="A72" s="151"/>
      <c r="B72" s="130" t="str">
        <f>'R1 EMA'!B71</f>
        <v>Col. (c): Col. (a) x Col. (b)</v>
      </c>
    </row>
    <row r="73" spans="1:14" ht="14" x14ac:dyDescent="0.3">
      <c r="A73" s="151"/>
      <c r="B73" s="130" t="str">
        <f>'R1 EMA'!B72</f>
        <v>Col. (e): Proposed rates</v>
      </c>
    </row>
    <row r="74" spans="1:14" ht="14" x14ac:dyDescent="0.3">
      <c r="A74" s="151"/>
      <c r="B74" s="130" t="str">
        <f>'R1 EMA'!B73</f>
        <v>Col. (f): Col. (a), Line 1 or Line 2  x Col. (e)</v>
      </c>
    </row>
  </sheetData>
  <mergeCells count="5">
    <mergeCell ref="A4:N4"/>
    <mergeCell ref="A5:N5"/>
    <mergeCell ref="A8:N8"/>
    <mergeCell ref="G10:I10"/>
    <mergeCell ref="L10:N10"/>
  </mergeCells>
  <pageMargins left="0.7" right="0.7" top="0.75" bottom="0.75" header="0.3" footer="0.3"/>
  <pageSetup scale="67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05A9E-5C45-4C0E-B70E-F10058157A37}">
  <sheetPr>
    <tabColor theme="9" tint="0.59999389629810485"/>
    <pageSetUpPr fitToPage="1"/>
  </sheetPr>
  <dimension ref="A4:AJ101"/>
  <sheetViews>
    <sheetView zoomScaleNormal="100" workbookViewId="0">
      <pane xSplit="7" ySplit="10" topLeftCell="H11" activePane="bottomRight" state="frozen"/>
      <selection activeCell="J15" sqref="J15"/>
      <selection pane="topRight" activeCell="J15" sqref="J15"/>
      <selection pane="bottomLeft" activeCell="J15" sqref="J15"/>
      <selection pane="bottomRight"/>
    </sheetView>
  </sheetViews>
  <sheetFormatPr defaultRowHeight="12.5" x14ac:dyDescent="0.25"/>
  <cols>
    <col min="1" max="1" width="4.81640625" bestFit="1" customWidth="1"/>
    <col min="2" max="2" width="11.7265625" style="129" bestFit="1" customWidth="1"/>
    <col min="3" max="3" width="10.26953125" style="129" customWidth="1"/>
    <col min="4" max="4" width="17.1796875" customWidth="1"/>
    <col min="5" max="5" width="12.7265625" bestFit="1" customWidth="1"/>
    <col min="6" max="6" width="16.1796875" bestFit="1" customWidth="1"/>
    <col min="7" max="7" width="1.81640625" customWidth="1"/>
    <col min="8" max="8" width="14.453125" bestFit="1" customWidth="1"/>
    <col min="9" max="9" width="9.26953125" customWidth="1"/>
    <col min="10" max="10" width="1.81640625" customWidth="1"/>
    <col min="11" max="11" width="13.26953125" bestFit="1" customWidth="1"/>
    <col min="12" max="12" width="9.26953125" customWidth="1"/>
    <col min="13" max="13" width="1.81640625" customWidth="1"/>
    <col min="14" max="14" width="14.453125" bestFit="1" customWidth="1"/>
    <col min="15" max="15" width="9.26953125" customWidth="1"/>
    <col min="16" max="16" width="1.81640625" customWidth="1"/>
    <col min="17" max="17" width="13.26953125" bestFit="1" customWidth="1"/>
    <col min="18" max="18" width="9.26953125" customWidth="1"/>
    <col min="19" max="19" width="1.81640625" customWidth="1"/>
    <col min="20" max="20" width="14.453125" bestFit="1" customWidth="1"/>
    <col min="21" max="21" width="9.26953125" customWidth="1"/>
    <col min="22" max="22" width="1.81640625" style="150" customWidth="1"/>
    <col min="23" max="23" width="14.453125" bestFit="1" customWidth="1"/>
    <col min="24" max="24" width="9.26953125" customWidth="1"/>
    <col min="25" max="25" width="1.81640625" customWidth="1"/>
    <col min="26" max="26" width="14" customWidth="1"/>
    <col min="27" max="27" width="9.26953125" customWidth="1"/>
    <col min="28" max="28" width="1.81640625" customWidth="1"/>
    <col min="29" max="29" width="16.1796875" bestFit="1" customWidth="1"/>
    <col min="30" max="30" width="9.26953125" customWidth="1"/>
    <col min="31" max="31" width="1.81640625" customWidth="1"/>
    <col min="32" max="32" width="16.1796875" bestFit="1" customWidth="1"/>
    <col min="33" max="33" width="9.26953125" customWidth="1"/>
    <col min="34" max="34" width="1.7265625" customWidth="1"/>
  </cols>
  <sheetData>
    <row r="4" spans="1:34" ht="14" x14ac:dyDescent="0.3">
      <c r="A4" s="744" t="s">
        <v>229</v>
      </c>
      <c r="B4" s="744"/>
      <c r="C4" s="744"/>
      <c r="D4" s="744"/>
      <c r="E4" s="744"/>
      <c r="F4" s="744"/>
      <c r="G4" s="744"/>
      <c r="H4" s="744"/>
      <c r="I4" s="744"/>
      <c r="J4" s="744"/>
      <c r="K4" s="744"/>
      <c r="L4" s="744"/>
      <c r="M4" s="744"/>
      <c r="N4" s="744"/>
      <c r="O4" s="744"/>
      <c r="P4" s="744"/>
      <c r="Q4" s="744"/>
      <c r="R4" s="744"/>
      <c r="S4" s="744"/>
      <c r="T4" s="744"/>
      <c r="U4" s="744"/>
      <c r="V4" s="744"/>
      <c r="W4" s="744"/>
      <c r="X4" s="744"/>
      <c r="Y4" s="744"/>
      <c r="Z4" s="744"/>
      <c r="AA4" s="744"/>
      <c r="AB4" s="744"/>
      <c r="AC4" s="744"/>
      <c r="AD4" s="744"/>
      <c r="AE4" s="744"/>
      <c r="AF4" s="744"/>
      <c r="AG4" s="744"/>
      <c r="AH4" s="126"/>
    </row>
    <row r="5" spans="1:34" ht="14" x14ac:dyDescent="0.3">
      <c r="A5" s="744" t="s">
        <v>230</v>
      </c>
      <c r="B5" s="744"/>
      <c r="C5" s="744"/>
      <c r="D5" s="744"/>
      <c r="E5" s="744"/>
      <c r="F5" s="744"/>
      <c r="G5" s="744"/>
      <c r="H5" s="744"/>
      <c r="I5" s="744"/>
      <c r="J5" s="744"/>
      <c r="K5" s="744"/>
      <c r="L5" s="744"/>
      <c r="M5" s="744"/>
      <c r="N5" s="744"/>
      <c r="O5" s="744"/>
      <c r="P5" s="744"/>
      <c r="Q5" s="744"/>
      <c r="R5" s="744"/>
      <c r="S5" s="744"/>
      <c r="T5" s="744"/>
      <c r="U5" s="744"/>
      <c r="V5" s="744"/>
      <c r="W5" s="744"/>
      <c r="X5" s="744"/>
      <c r="Y5" s="744"/>
      <c r="Z5" s="744"/>
      <c r="AA5" s="744"/>
      <c r="AB5" s="744"/>
      <c r="AC5" s="744"/>
      <c r="AD5" s="744"/>
      <c r="AE5" s="744"/>
      <c r="AF5" s="744"/>
      <c r="AG5" s="744"/>
      <c r="AH5" s="126"/>
    </row>
    <row r="6" spans="1:34" ht="14" x14ac:dyDescent="0.3">
      <c r="A6" s="126"/>
      <c r="B6" s="127"/>
      <c r="C6" s="127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8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</row>
    <row r="7" spans="1:34" ht="14.5" thickBot="1" x14ac:dyDescent="0.35">
      <c r="C7" s="130"/>
      <c r="D7" s="131"/>
      <c r="E7" s="131"/>
      <c r="F7" s="132"/>
      <c r="G7" s="133"/>
      <c r="H7" s="134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6"/>
      <c r="X7" s="135"/>
      <c r="Y7" s="135"/>
      <c r="Z7" s="137"/>
      <c r="AA7" s="135"/>
      <c r="AB7" s="135"/>
      <c r="AC7" s="136"/>
      <c r="AD7" s="135"/>
      <c r="AE7" s="135"/>
      <c r="AF7" s="136"/>
      <c r="AG7" s="135"/>
      <c r="AH7" s="133"/>
    </row>
    <row r="8" spans="1:34" ht="14.5" thickBot="1" x14ac:dyDescent="0.35">
      <c r="A8" s="138" t="s">
        <v>44</v>
      </c>
      <c r="B8" s="130" t="s">
        <v>231</v>
      </c>
      <c r="D8" s="139" t="s">
        <v>144</v>
      </c>
      <c r="E8" s="139" t="s">
        <v>144</v>
      </c>
      <c r="F8" s="140" t="s">
        <v>63</v>
      </c>
      <c r="H8" s="743" t="s">
        <v>142</v>
      </c>
      <c r="I8" s="743"/>
      <c r="J8" s="141"/>
      <c r="K8" s="743" t="s">
        <v>232</v>
      </c>
      <c r="L8" s="743"/>
      <c r="M8" s="141"/>
      <c r="N8" s="743" t="s">
        <v>233</v>
      </c>
      <c r="O8" s="743"/>
      <c r="P8" s="142"/>
      <c r="Q8" s="743" t="s">
        <v>234</v>
      </c>
      <c r="R8" s="743"/>
      <c r="S8" s="141"/>
      <c r="T8" s="743" t="s">
        <v>235</v>
      </c>
      <c r="U8" s="743"/>
      <c r="V8" s="141"/>
      <c r="W8" s="743" t="s">
        <v>236</v>
      </c>
      <c r="X8" s="743"/>
      <c r="Y8" s="141"/>
      <c r="Z8" s="743" t="s">
        <v>53</v>
      </c>
      <c r="AA8" s="743"/>
      <c r="AC8" s="743" t="s">
        <v>237</v>
      </c>
      <c r="AD8" s="743"/>
      <c r="AF8" s="743" t="s">
        <v>47</v>
      </c>
      <c r="AG8" s="743"/>
    </row>
    <row r="9" spans="1:34" ht="14" x14ac:dyDescent="0.3">
      <c r="A9" s="143" t="s">
        <v>60</v>
      </c>
      <c r="B9" s="144" t="s">
        <v>238</v>
      </c>
      <c r="C9" s="144" t="s">
        <v>239</v>
      </c>
      <c r="D9" s="145" t="s">
        <v>240</v>
      </c>
      <c r="E9" s="145" t="s">
        <v>241</v>
      </c>
      <c r="F9" s="146" t="s">
        <v>242</v>
      </c>
      <c r="H9" s="146" t="s">
        <v>148</v>
      </c>
      <c r="I9" s="143" t="s">
        <v>243</v>
      </c>
      <c r="J9" s="143"/>
      <c r="K9" s="146" t="s">
        <v>148</v>
      </c>
      <c r="L9" s="143" t="s">
        <v>243</v>
      </c>
      <c r="M9" s="143"/>
      <c r="N9" s="146" t="s">
        <v>148</v>
      </c>
      <c r="O9" s="143" t="s">
        <v>243</v>
      </c>
      <c r="P9" s="143"/>
      <c r="Q9" s="146" t="s">
        <v>148</v>
      </c>
      <c r="R9" s="143" t="s">
        <v>243</v>
      </c>
      <c r="S9" s="143"/>
      <c r="T9" s="146" t="s">
        <v>148</v>
      </c>
      <c r="U9" s="143" t="s">
        <v>243</v>
      </c>
      <c r="V9" s="147"/>
      <c r="W9" s="148" t="s">
        <v>148</v>
      </c>
      <c r="X9" s="143" t="s">
        <v>243</v>
      </c>
      <c r="Y9" s="143"/>
      <c r="Z9" s="146" t="s">
        <v>148</v>
      </c>
      <c r="AA9" s="143" t="s">
        <v>243</v>
      </c>
      <c r="AB9" s="138"/>
      <c r="AC9" s="148" t="s">
        <v>148</v>
      </c>
      <c r="AD9" s="143" t="s">
        <v>243</v>
      </c>
      <c r="AE9" s="138"/>
      <c r="AF9" s="148" t="s">
        <v>148</v>
      </c>
      <c r="AG9" s="143" t="s">
        <v>243</v>
      </c>
      <c r="AH9" s="138"/>
    </row>
    <row r="10" spans="1:34" ht="14" x14ac:dyDescent="0.3">
      <c r="C10" s="144"/>
      <c r="D10" s="139" t="s">
        <v>66</v>
      </c>
      <c r="E10" s="139" t="s">
        <v>67</v>
      </c>
      <c r="F10" s="139" t="s">
        <v>68</v>
      </c>
      <c r="H10" s="138" t="s">
        <v>69</v>
      </c>
      <c r="I10" s="138" t="s">
        <v>70</v>
      </c>
      <c r="K10" s="138" t="s">
        <v>71</v>
      </c>
      <c r="L10" s="138" t="s">
        <v>72</v>
      </c>
      <c r="N10" s="138" t="s">
        <v>73</v>
      </c>
      <c r="O10" s="140" t="s">
        <v>74</v>
      </c>
      <c r="Q10" s="138" t="s">
        <v>75</v>
      </c>
      <c r="R10" s="140" t="s">
        <v>76</v>
      </c>
      <c r="T10" s="138" t="s">
        <v>77</v>
      </c>
      <c r="U10" s="149" t="s">
        <v>78</v>
      </c>
      <c r="W10" s="138" t="s">
        <v>79</v>
      </c>
      <c r="X10" s="140" t="s">
        <v>80</v>
      </c>
      <c r="Z10" s="138" t="s">
        <v>81</v>
      </c>
      <c r="AA10" s="149" t="s">
        <v>82</v>
      </c>
      <c r="AC10" s="138" t="s">
        <v>83</v>
      </c>
      <c r="AD10" s="149" t="s">
        <v>84</v>
      </c>
      <c r="AF10" s="138" t="s">
        <v>85</v>
      </c>
      <c r="AG10" s="138" t="s">
        <v>86</v>
      </c>
      <c r="AH10" s="138"/>
    </row>
    <row r="11" spans="1:34" ht="14" x14ac:dyDescent="0.3">
      <c r="A11" s="151">
        <f>IF(C11&lt;&gt;"",COUNTA($C$11:C11),"")</f>
        <v>1</v>
      </c>
      <c r="B11" s="152" t="s">
        <v>163</v>
      </c>
      <c r="C11" s="130" t="s">
        <v>244</v>
      </c>
      <c r="D11" s="153">
        <v>6103737992.3741732</v>
      </c>
      <c r="E11" s="153">
        <v>12104039.855987545</v>
      </c>
      <c r="F11" s="154">
        <v>1439714702.7108679</v>
      </c>
      <c r="H11" s="155">
        <f>VLOOKUP("DIST",'R1 EMA'!$C$45:$I$65,7,FALSE)+VLOOKUP("DIST",'R1 WMA'!$C$45:$I$65,7,FALSE)</f>
        <v>363241843.58394629</v>
      </c>
      <c r="I11" s="156">
        <f>+H11/($D11)*100</f>
        <v>5.9511375494454333</v>
      </c>
      <c r="J11" s="157"/>
      <c r="K11" s="158">
        <f>VLOOKUP("SBC",'R1 EMA'!$C$45:$I$65,7,FALSE)+VLOOKUP("SBC",'R1 WMA'!$C$45:$I$65,7,FALSE)</f>
        <v>15259344.980935432</v>
      </c>
      <c r="L11" s="157">
        <f>+K11/($D11)*100</f>
        <v>0.25</v>
      </c>
      <c r="M11" s="154"/>
      <c r="N11" s="158">
        <f>VLOOKUP("EERF",'R1 EMA'!$C$45:$I$65,7,FALSE)+VLOOKUP("EERF",'R1 WMA'!$C$45:$I$65,7,FALSE)</f>
        <v>89423102.075574264</v>
      </c>
      <c r="O11" s="157">
        <f>+N11/($D11)*100</f>
        <v>1.4650547285498952</v>
      </c>
      <c r="P11" s="157"/>
      <c r="Q11" s="158">
        <f>VLOOKUP("RNEW",'R1 EMA'!$C$45:$I$65,7,FALSE)+VLOOKUP("RNEW",'R1 WMA'!$C$45:$I$65,7,FALSE)</f>
        <v>3051868.9961870867</v>
      </c>
      <c r="R11" s="157">
        <f>+Q11/($D11)*100</f>
        <v>0.05</v>
      </c>
      <c r="S11" s="157"/>
      <c r="T11" s="155">
        <f>'Exh 9_Proposed Track p2'!AV11</f>
        <v>113726338.64100555</v>
      </c>
      <c r="U11" s="156">
        <f>+T11/($D11)*100</f>
        <v>1.8632244500516211</v>
      </c>
      <c r="V11" s="159"/>
      <c r="W11" s="158">
        <f>VLOOKUP("TRNSM",'R1 EMA'!$C$45:$I$65,7,FALSE)+VLOOKUP("TRNSM",'R1 WMA'!$C$45:$I$65,7,FALSE)</f>
        <v>157783890.14102024</v>
      </c>
      <c r="X11" s="157">
        <f>+W11/($D11)*100</f>
        <v>2.5850370762662269</v>
      </c>
      <c r="Y11" s="157"/>
      <c r="Z11" s="158">
        <f>VLOOKUP("TRNSN",'R1 EMA'!$C$45:$I$65,7,FALSE)+VLOOKUP("TRNSN",'R1 WMA'!$C$45:$I$65,7,FALSE)</f>
        <v>-3180616.4480779902</v>
      </c>
      <c r="AA11" s="157">
        <f>+Z11/($D11)*100</f>
        <v>-5.2109321403568713E-2</v>
      </c>
      <c r="AC11" s="158">
        <f>VLOOKUP("BS",'R1 EMA'!$C$45:$I$65,7,FALSE)+VLOOKUP("BS",'R1 WMA'!$C$45:$I$65,7,FALSE)</f>
        <v>813493265.99538445</v>
      </c>
      <c r="AD11" s="157">
        <f>+AC11/($D11)*100</f>
        <v>13.327788103154797</v>
      </c>
      <c r="AF11" s="158">
        <f>H11+K11+N11+Q11+T11+W11+Z11+AC11</f>
        <v>1552799037.9659753</v>
      </c>
      <c r="AG11" s="157">
        <f>+AF11/($D11)*100</f>
        <v>25.440132586064408</v>
      </c>
    </row>
    <row r="12" spans="1:34" ht="14" x14ac:dyDescent="0.3">
      <c r="A12" s="151" t="str">
        <f>IF(C12&lt;&gt;"",COUNTA($C$11:C12),"")</f>
        <v/>
      </c>
      <c r="B12" s="152"/>
      <c r="D12" s="153"/>
      <c r="E12" s="153"/>
      <c r="H12" s="155"/>
      <c r="I12" s="156"/>
      <c r="J12" s="157"/>
      <c r="K12" s="161"/>
      <c r="L12" s="157"/>
      <c r="M12" s="154"/>
      <c r="N12" s="161"/>
      <c r="O12" s="157"/>
      <c r="P12" s="157"/>
      <c r="Q12" s="161"/>
      <c r="R12" s="157"/>
      <c r="S12" s="157"/>
      <c r="T12" s="155"/>
      <c r="U12" s="156"/>
      <c r="V12" s="159"/>
      <c r="W12" s="161" t="s">
        <v>245</v>
      </c>
      <c r="X12" s="157"/>
      <c r="Y12" s="157"/>
      <c r="Z12" s="161"/>
      <c r="AA12" s="157"/>
      <c r="AC12" s="161"/>
      <c r="AD12" s="157"/>
      <c r="AF12" s="161"/>
      <c r="AG12" s="157"/>
    </row>
    <row r="13" spans="1:34" ht="14" x14ac:dyDescent="0.3">
      <c r="A13" s="151">
        <f>IF(C13&lt;&gt;"",COUNTA($C$11:C13),"")</f>
        <v>2</v>
      </c>
      <c r="B13" s="152" t="s">
        <v>163</v>
      </c>
      <c r="C13" s="130" t="s">
        <v>246</v>
      </c>
      <c r="D13" s="153">
        <v>668510182.94304335</v>
      </c>
      <c r="E13" s="153">
        <v>1415234.9254616059</v>
      </c>
      <c r="F13" s="154">
        <v>94907817.410247698</v>
      </c>
      <c r="H13" s="155">
        <f>VLOOKUP("DIST",'R2 EMA'!$C$47:$I$67,7,FALSE)+VLOOKUP("DIST",'R2 WMA'!$C$47:$I$67,7,FALSE)</f>
        <v>-16964468.561625451</v>
      </c>
      <c r="I13" s="156">
        <f>+H13/($D13)*100</f>
        <v>-2.5376529773923897</v>
      </c>
      <c r="J13" s="157"/>
      <c r="K13" s="158">
        <f>VLOOKUP("SBC",'R2 EMA'!$C$47:$I$67,7,FALSE)+VLOOKUP("SBC",'R2 WMA'!$C$47:$I$67,7,FALSE)</f>
        <v>1671275.4573576082</v>
      </c>
      <c r="L13" s="157">
        <f>+K13/($D13)*100</f>
        <v>0.24999999999999997</v>
      </c>
      <c r="M13" s="154"/>
      <c r="N13" s="158">
        <f>VLOOKUP("EERF",'R2 EMA'!$C$47:$I$67,7,FALSE)+VLOOKUP("EERF",'R2 WMA'!$C$47:$I$67,7,FALSE)</f>
        <v>656747.23054768145</v>
      </c>
      <c r="O13" s="157">
        <f>+N13/($D13)*100</f>
        <v>9.8240422854357023E-2</v>
      </c>
      <c r="P13" s="157"/>
      <c r="Q13" s="158">
        <f>VLOOKUP("RNEW",'R2 EMA'!$C$47:$I$67,7,FALSE)+VLOOKUP("RNEW",'R2 WMA'!$C$47:$I$67,7,FALSE)</f>
        <v>334255.09147152165</v>
      </c>
      <c r="R13" s="157">
        <f>+Q13/($D13)*100</f>
        <v>0.05</v>
      </c>
      <c r="S13" s="157"/>
      <c r="T13" s="155">
        <f>'Exh 9_Proposed Track p2'!AV13</f>
        <v>12458775.770766575</v>
      </c>
      <c r="U13" s="156">
        <f>+T13/($D13)*100</f>
        <v>1.8636628264835353</v>
      </c>
      <c r="V13" s="159"/>
      <c r="W13" s="158">
        <f>VLOOKUP("TRNSM",'R2 EMA'!$C$47:$I$67,7,FALSE)+VLOOKUP("TRNSM",'R2 WMA'!$C$47:$I$67,7,FALSE)</f>
        <v>17281236.087692853</v>
      </c>
      <c r="X13" s="157">
        <f>+W13/($D13)*100</f>
        <v>2.5850370762662269</v>
      </c>
      <c r="Y13" s="157"/>
      <c r="Z13" s="158">
        <f>VLOOKUP("TRNSN",'R2 EMA'!$C$47:$I$67,7,FALSE)+VLOOKUP("TRNSN",'R2 WMA'!$C$47:$I$67,7,FALSE)</f>
        <v>-348356.11984537565</v>
      </c>
      <c r="AA13" s="157">
        <f>+Z13/($D13)*100</f>
        <v>-5.2109321403568713E-2</v>
      </c>
      <c r="AC13" s="158">
        <f>VLOOKUP("BS",'R2 EMA'!$C$47:$I$67,7,FALSE)+VLOOKUP("BS",'R2 WMA'!$C$47:$I$67,7,FALSE)</f>
        <v>86910948.710386172</v>
      </c>
      <c r="AD13" s="157">
        <f>+AC13/($D13)*100</f>
        <v>13.000691826079624</v>
      </c>
      <c r="AF13" s="158">
        <f t="shared" ref="AF13:AF17" si="0">H13+K13+N13+Q13+T13+W13+Z13+AC13</f>
        <v>102000413.66675158</v>
      </c>
      <c r="AG13" s="157">
        <f>+AF13/($D13)*100</f>
        <v>15.257869852887785</v>
      </c>
    </row>
    <row r="14" spans="1:34" ht="14" x14ac:dyDescent="0.3">
      <c r="A14" s="151" t="str">
        <f>IF(C14&lt;&gt;"",COUNTA($C$11:C14),"")</f>
        <v/>
      </c>
      <c r="B14" s="152"/>
      <c r="D14" s="153"/>
      <c r="E14" s="153"/>
      <c r="H14" s="155"/>
      <c r="I14" s="156"/>
      <c r="J14" s="157"/>
      <c r="K14" s="161"/>
      <c r="L14" s="157"/>
      <c r="M14" s="154"/>
      <c r="N14" s="161"/>
      <c r="O14" s="157"/>
      <c r="P14" s="157"/>
      <c r="Q14" s="161"/>
      <c r="R14" s="157"/>
      <c r="S14" s="157"/>
      <c r="T14" s="155"/>
      <c r="U14" s="156"/>
      <c r="V14" s="159"/>
      <c r="W14" s="161"/>
      <c r="X14" s="157"/>
      <c r="Y14" s="157"/>
      <c r="Z14" s="161"/>
      <c r="AA14" s="157"/>
      <c r="AC14" s="161"/>
      <c r="AD14" s="157"/>
      <c r="AF14" s="161"/>
      <c r="AG14" s="157"/>
    </row>
    <row r="15" spans="1:34" ht="14" x14ac:dyDescent="0.3">
      <c r="A15" s="151">
        <f>IF(C15&lt;&gt;"",COUNTA($C$11:C15),"")</f>
        <v>3</v>
      </c>
      <c r="B15" s="152" t="s">
        <v>163</v>
      </c>
      <c r="C15" s="130" t="s">
        <v>247</v>
      </c>
      <c r="D15" s="153">
        <v>805283813.93916249</v>
      </c>
      <c r="E15" s="153">
        <v>1092807.8904306667</v>
      </c>
      <c r="F15" s="154">
        <v>177790366.63720724</v>
      </c>
      <c r="H15" s="155">
        <f>VLOOKUP("DIST",'R3 EMA'!$C$45:$I$65,7,FALSE)+VLOOKUP("DIST",'R3 WMA'!$C$45:$I$65,7,FALSE)</f>
        <v>39812690.76174482</v>
      </c>
      <c r="I15" s="156">
        <f>+H15/($D15)*100</f>
        <v>4.9439328187903433</v>
      </c>
      <c r="J15" s="157"/>
      <c r="K15" s="158">
        <f>VLOOKUP("SBC",'R3 EMA'!$C$45:$I$65,7,FALSE)+VLOOKUP("SBC",'R3 WMA'!$C$45:$I$65,7,FALSE)</f>
        <v>2013209.5348479063</v>
      </c>
      <c r="L15" s="157">
        <f>+K15/($D15)*100</f>
        <v>0.25</v>
      </c>
      <c r="M15" s="154"/>
      <c r="N15" s="158">
        <f>VLOOKUP("EERF",'R3 EMA'!$C$45:$I$65,7,FALSE)+VLOOKUP("EERF",'R3 WMA'!$C$45:$I$65,7,FALSE)</f>
        <v>11752911.550085917</v>
      </c>
      <c r="O15" s="157">
        <f>+N15/($D15)*100</f>
        <v>1.4594744544280416</v>
      </c>
      <c r="P15" s="157"/>
      <c r="Q15" s="158">
        <f>VLOOKUP("RNEW",'R3 EMA'!$C$45:$I$65,7,FALSE)+VLOOKUP("RNEW",'R3 WMA'!$C$45:$I$65,7,FALSE)</f>
        <v>402641.90696958127</v>
      </c>
      <c r="R15" s="157">
        <f>+Q15/($D15)*100</f>
        <v>0.05</v>
      </c>
      <c r="S15" s="157"/>
      <c r="T15" s="155">
        <f>'Exh 9_Proposed Track p2'!AV15</f>
        <v>12813619.550590593</v>
      </c>
      <c r="U15" s="156">
        <f>+T15/($D15)*100</f>
        <v>1.5911929842363175</v>
      </c>
      <c r="V15" s="159"/>
      <c r="W15" s="158">
        <f>VLOOKUP("TRNSM",'R3 EMA'!$C$45:$I$65,7,FALSE)+VLOOKUP("TRNSM",'R3 WMA'!$C$45:$I$65,7,FALSE)</f>
        <v>20161830.21372401</v>
      </c>
      <c r="X15" s="157">
        <f>+W15/($D15)*100</f>
        <v>2.5036924702484078</v>
      </c>
      <c r="Y15" s="157"/>
      <c r="Z15" s="158">
        <f>VLOOKUP("TRNSN",'R3 EMA'!$C$45:$I$65,7,FALSE)+VLOOKUP("TRNSN",'R3 WMA'!$C$45:$I$65,7,FALSE)</f>
        <v>-419627.93081647449</v>
      </c>
      <c r="AA15" s="157">
        <f>+Z15/($D15)*100</f>
        <v>-5.210932140356872E-2</v>
      </c>
      <c r="AC15" s="158">
        <f>VLOOKUP("BS",'R3 EMA'!$C$45:$I$65,7,FALSE)+VLOOKUP("BS",'R3 WMA'!$C$45:$I$65,7,FALSE)</f>
        <v>106150770.28823213</v>
      </c>
      <c r="AD15" s="157">
        <f>+AC15/($D15)*100</f>
        <v>13.1817836706515</v>
      </c>
      <c r="AF15" s="158">
        <f t="shared" si="0"/>
        <v>192688045.87537849</v>
      </c>
      <c r="AG15" s="157">
        <f>+AF15/($D15)*100</f>
        <v>23.927967076951042</v>
      </c>
    </row>
    <row r="16" spans="1:34" ht="14" x14ac:dyDescent="0.3">
      <c r="A16" s="151" t="str">
        <f>IF(C16&lt;&gt;"",COUNTA($C$11:C16),"")</f>
        <v/>
      </c>
      <c r="B16" s="152"/>
      <c r="D16" s="153"/>
      <c r="E16" s="153"/>
      <c r="H16" s="155"/>
      <c r="I16" s="156"/>
      <c r="J16" s="157"/>
      <c r="K16" s="161"/>
      <c r="L16" s="157"/>
      <c r="M16" s="154"/>
      <c r="N16" s="161"/>
      <c r="O16" s="157"/>
      <c r="P16" s="157"/>
      <c r="Q16" s="161"/>
      <c r="R16" s="157"/>
      <c r="S16" s="157"/>
      <c r="T16" s="155"/>
      <c r="U16" s="156"/>
      <c r="V16" s="159"/>
      <c r="W16" s="161"/>
      <c r="X16" s="157"/>
      <c r="Y16" s="157"/>
      <c r="Z16" s="161"/>
      <c r="AA16" s="157"/>
      <c r="AC16" s="161"/>
      <c r="AD16" s="157"/>
      <c r="AF16" s="161"/>
      <c r="AG16" s="157"/>
    </row>
    <row r="17" spans="1:36" ht="14" x14ac:dyDescent="0.3">
      <c r="A17" s="151">
        <f>IF(C17&lt;&gt;"",COUNTA($C$11:C17),"")</f>
        <v>4</v>
      </c>
      <c r="B17" s="152" t="s">
        <v>163</v>
      </c>
      <c r="C17" s="130" t="s">
        <v>248</v>
      </c>
      <c r="D17" s="153">
        <v>121716415.3544133</v>
      </c>
      <c r="E17" s="153">
        <v>140430.1259166089</v>
      </c>
      <c r="F17" s="154">
        <v>15931801.204888508</v>
      </c>
      <c r="H17" s="155">
        <f>VLOOKUP("DIST",'R4 EMA'!$C$47:$I$67,7,FALSE)+VLOOKUP("DIST",'R4 WMA'!$C$47:$I$67,7,FALSE)</f>
        <v>-3830734.2105320268</v>
      </c>
      <c r="I17" s="156">
        <f>+H17/($D17)*100</f>
        <v>-3.1472617718634845</v>
      </c>
      <c r="J17" s="157"/>
      <c r="K17" s="158">
        <f>VLOOKUP("SBC",'R4 EMA'!$C$47:$I$67,7,FALSE)+VLOOKUP("SBC",'R4 WMA'!$C$47:$I$67,7,FALSE)</f>
        <v>304291.03838603327</v>
      </c>
      <c r="L17" s="157">
        <f>+K17/($D17)*100</f>
        <v>0.25</v>
      </c>
      <c r="M17" s="154"/>
      <c r="N17" s="158">
        <f>VLOOKUP("EERF",'R4 EMA'!$C$47:$I$67,7,FALSE)+VLOOKUP("EERF",'R4 WMA'!$C$47:$I$67,7,FALSE)</f>
        <v>114708.72097431449</v>
      </c>
      <c r="O17" s="157">
        <f>+N17/($D17)*100</f>
        <v>9.4242605354673131E-2</v>
      </c>
      <c r="P17" s="157"/>
      <c r="Q17" s="158">
        <f>VLOOKUP("RNEW",'R4 EMA'!$C$47:$I$67,7,FALSE)+VLOOKUP("RNEW",'R4 WMA'!$C$47:$I$67,7,FALSE)</f>
        <v>60858.20767720665</v>
      </c>
      <c r="R17" s="157">
        <f>+Q17/($D17)*100</f>
        <v>0.05</v>
      </c>
      <c r="S17" s="157"/>
      <c r="T17" s="155">
        <f>'Exh 9_Proposed Track p2'!AV17</f>
        <v>1936722.813760417</v>
      </c>
      <c r="U17" s="156">
        <f>+T17/($D17)*100</f>
        <v>1.5911763488277866</v>
      </c>
      <c r="V17" s="159"/>
      <c r="W17" s="158">
        <f>VLOOKUP("TRNSM",'R4 EMA'!$C$47:$I$67,7,FALSE)+VLOOKUP("TRNSM",'R4 WMA'!$C$47:$I$67,7,FALSE)</f>
        <v>3047404.7262847228</v>
      </c>
      <c r="X17" s="157">
        <f>+W17/($D17)*100</f>
        <v>2.5036924702484078</v>
      </c>
      <c r="Y17" s="157"/>
      <c r="Z17" s="158">
        <f>VLOOKUP("TRNSN",'R4 EMA'!$C$47:$I$67,7,FALSE)+VLOOKUP("TRNSN",'R4 WMA'!$C$47:$I$67,7,FALSE)</f>
        <v>-63425.598077933879</v>
      </c>
      <c r="AA17" s="157">
        <f>+Z17/($D17)*100</f>
        <v>-5.2109321403568713E-2</v>
      </c>
      <c r="AC17" s="158">
        <f>VLOOKUP("BS",'R4 EMA'!$C$47:$I$67,7,FALSE)+VLOOKUP("BS",'R4 WMA'!$C$47:$I$67,7,FALSE)</f>
        <v>15630349.805889146</v>
      </c>
      <c r="AD17" s="157">
        <f>+AC17/($D17)*100</f>
        <v>12.841612004738035</v>
      </c>
      <c r="AF17" s="158">
        <f t="shared" si="0"/>
        <v>17200175.504361879</v>
      </c>
      <c r="AG17" s="157">
        <f>+AF17/($D17)*100</f>
        <v>14.131352335901848</v>
      </c>
    </row>
    <row r="18" spans="1:36" ht="14" x14ac:dyDescent="0.3">
      <c r="A18" s="151"/>
      <c r="B18" s="152"/>
      <c r="D18" s="153"/>
      <c r="E18" s="153"/>
      <c r="H18" s="155"/>
      <c r="I18" s="156"/>
      <c r="J18" s="157"/>
      <c r="K18" s="161"/>
      <c r="L18" s="157"/>
      <c r="M18" s="154"/>
      <c r="N18" s="161"/>
      <c r="O18" s="157"/>
      <c r="P18" s="157"/>
      <c r="Q18" s="161"/>
      <c r="R18" s="157"/>
      <c r="S18" s="157"/>
      <c r="T18" s="155"/>
      <c r="U18" s="156"/>
      <c r="V18" s="159"/>
      <c r="W18" s="161"/>
      <c r="X18" s="157"/>
      <c r="Y18" s="157"/>
      <c r="Z18" s="161"/>
      <c r="AA18" s="157"/>
      <c r="AC18" s="161"/>
      <c r="AD18" s="157"/>
      <c r="AF18" s="161"/>
      <c r="AG18" s="157"/>
    </row>
    <row r="19" spans="1:36" ht="14" x14ac:dyDescent="0.3">
      <c r="A19" s="151">
        <f>IF(C19&lt;&gt;"",COUNTA($C$11:C19),"")</f>
        <v>5</v>
      </c>
      <c r="B19" s="152" t="s">
        <v>249</v>
      </c>
      <c r="C19" s="130" t="s">
        <v>250</v>
      </c>
      <c r="D19" s="153">
        <v>311135538.56988484</v>
      </c>
      <c r="E19" s="153">
        <v>684001.73553994775</v>
      </c>
      <c r="F19" s="154">
        <v>74518077.263205439</v>
      </c>
      <c r="H19" s="155">
        <f>VLOOKUP("DIST",'G1NDMD BOST'!$C$48:$I$68,7,FALSE)</f>
        <v>22398018.849943239</v>
      </c>
      <c r="I19" s="156">
        <f>+H19/($D19)*100</f>
        <v>7.1987979749579045</v>
      </c>
      <c r="J19" s="157"/>
      <c r="K19" s="158">
        <f>VLOOKUP("SBC",'G1NDMD BOST'!$C$48:$I$68,7,FALSE)</f>
        <v>777838.8464247121</v>
      </c>
      <c r="L19" s="157">
        <f>+K19/($D19)*100</f>
        <v>0.25</v>
      </c>
      <c r="M19" s="154"/>
      <c r="N19" s="158">
        <f>VLOOKUP("EERF",'G1NDMD BOST'!$C$48:$I$68,7,FALSE)</f>
        <v>2632206.656301226</v>
      </c>
      <c r="O19" s="157">
        <f>+N19/($D19)*100</f>
        <v>0.84600000000000009</v>
      </c>
      <c r="P19" s="157"/>
      <c r="Q19" s="158">
        <f>VLOOKUP("RNEW",'G1NDMD BOST'!$C$48:$I$68,7,FALSE)</f>
        <v>155567.76928494242</v>
      </c>
      <c r="R19" s="157">
        <f>+Q19/($D19)*100</f>
        <v>0.05</v>
      </c>
      <c r="S19" s="157"/>
      <c r="T19" s="155">
        <f>'Exh 9_Proposed Track p2'!AV19</f>
        <v>6508995.185932612</v>
      </c>
      <c r="U19" s="156">
        <f>+T19/($D19)*100</f>
        <v>2.0920127658353667</v>
      </c>
      <c r="V19" s="159"/>
      <c r="W19" s="158">
        <f>VLOOKUP("TRNSM",'G1NDMD BOST'!$C$48:$I$68,7,FALSE)</f>
        <v>7087752.6483433349</v>
      </c>
      <c r="X19" s="157">
        <f>+W19/($D19)*100</f>
        <v>2.278027344906258</v>
      </c>
      <c r="Y19" s="157"/>
      <c r="Z19" s="158">
        <f>VLOOKUP("TRNSN",'G1NDMD BOST'!$C$48:$I$68,7,FALSE)</f>
        <v>-162130.61779410578</v>
      </c>
      <c r="AA19" s="157">
        <f>+Z19/($D19)*100</f>
        <v>-5.2109321403568713E-2</v>
      </c>
      <c r="AC19" s="158">
        <f>VLOOKUP("BS",'G1NDMD BOST'!$C$48:$I$68,7,FALSE)</f>
        <v>41023220.760439321</v>
      </c>
      <c r="AD19" s="157">
        <f>+AC19/($D19)*100</f>
        <v>13.185000000000002</v>
      </c>
      <c r="AF19" s="158">
        <f t="shared" ref="AF19" si="1">H19+K19+N19+Q19+T19+W19+Z19+AC19</f>
        <v>80421470.098875284</v>
      </c>
      <c r="AG19" s="157">
        <f>+AF19/($D19)*100</f>
        <v>25.847728764295962</v>
      </c>
      <c r="AJ19" s="163"/>
    </row>
    <row r="20" spans="1:36" ht="14" x14ac:dyDescent="0.3">
      <c r="A20" s="151" t="str">
        <f>IF(C20&lt;&gt;"",COUNTA($C$11:C20),"")</f>
        <v/>
      </c>
      <c r="B20" s="152"/>
      <c r="D20" s="153"/>
      <c r="E20" s="153"/>
      <c r="H20" s="155"/>
      <c r="I20" s="156"/>
      <c r="J20" s="157"/>
      <c r="K20" s="158"/>
      <c r="L20" s="157"/>
      <c r="M20" s="154"/>
      <c r="N20" s="158"/>
      <c r="O20" s="157"/>
      <c r="P20" s="157"/>
      <c r="Q20" s="158"/>
      <c r="R20" s="157"/>
      <c r="S20" s="157"/>
      <c r="T20" s="155"/>
      <c r="U20" s="156"/>
      <c r="V20" s="159"/>
      <c r="W20" s="158"/>
      <c r="X20" s="157"/>
      <c r="Y20" s="157"/>
      <c r="Z20" s="158"/>
      <c r="AA20" s="157"/>
      <c r="AC20" s="158"/>
      <c r="AD20" s="157"/>
      <c r="AF20" s="158"/>
      <c r="AG20" s="157"/>
      <c r="AJ20" s="163"/>
    </row>
    <row r="21" spans="1:36" ht="14" x14ac:dyDescent="0.3">
      <c r="A21" s="151">
        <f>IF(C21&lt;&gt;"",COUNTA($C$11:C21),"")</f>
        <v>6</v>
      </c>
      <c r="B21" s="152" t="s">
        <v>249</v>
      </c>
      <c r="C21" s="130" t="s">
        <v>251</v>
      </c>
      <c r="D21" s="153">
        <v>180797799.9774242</v>
      </c>
      <c r="E21" s="153">
        <v>211398.9541687945</v>
      </c>
      <c r="F21" s="154">
        <v>41511491.360703327</v>
      </c>
      <c r="H21" s="155">
        <f>VLOOKUP("DIST",'G1DMD BOST'!$C$64:$I$84,7,FALSE)</f>
        <v>11106695.144870648</v>
      </c>
      <c r="I21" s="156">
        <f>+H21/($D21)*100</f>
        <v>6.1431583494143815</v>
      </c>
      <c r="J21" s="157"/>
      <c r="K21" s="158">
        <f>VLOOKUP("SBC",'G1DMD BOST'!$C$64:$I$84,7,FALSE)</f>
        <v>451994.49994356051</v>
      </c>
      <c r="L21" s="157">
        <f>+K21/($D21)*100</f>
        <v>0.25</v>
      </c>
      <c r="M21" s="154"/>
      <c r="N21" s="158">
        <f>VLOOKUP("EERF",'G1DMD BOST'!$C$64:$I$84,7,FALSE)</f>
        <v>1529549.3878090088</v>
      </c>
      <c r="O21" s="157">
        <f>+N21/($D21)*100</f>
        <v>0.84600000000000009</v>
      </c>
      <c r="P21" s="157"/>
      <c r="Q21" s="158">
        <f>VLOOKUP("RNEW",'G1DMD BOST'!$C$64:$I$84,7,FALSE)</f>
        <v>90398.899988712103</v>
      </c>
      <c r="R21" s="157">
        <f>+Q21/($D21)*100</f>
        <v>0.05</v>
      </c>
      <c r="S21" s="157"/>
      <c r="T21" s="155">
        <f>'Exh 9_Proposed Track p2'!AV21</f>
        <v>3782313.0558772064</v>
      </c>
      <c r="U21" s="156">
        <f>+T21/($D21)*100</f>
        <v>2.0920127658353667</v>
      </c>
      <c r="V21" s="159"/>
      <c r="W21" s="158">
        <f>VLOOKUP("TRNSM",'G1DMD BOST'!$C$64:$I$84,7,FALSE)</f>
        <v>4118623.3224746441</v>
      </c>
      <c r="X21" s="157">
        <f>+W21/($D21)*100</f>
        <v>2.278027344906258</v>
      </c>
      <c r="Y21" s="157"/>
      <c r="Z21" s="158">
        <f>VLOOKUP("TRNSN",'G1DMD BOST'!$C$64:$I$84,7,FALSE)</f>
        <v>-94212.506680817256</v>
      </c>
      <c r="AA21" s="157">
        <f>+Z21/($D21)*100</f>
        <v>-5.2109321403568713E-2</v>
      </c>
      <c r="AC21" s="158">
        <f>VLOOKUP("BS",'G1DMD BOST'!$C$64:$I$84,7,FALSE)</f>
        <v>23838189.927023385</v>
      </c>
      <c r="AD21" s="157">
        <f>+AC21/($D21)*100</f>
        <v>13.185000000000002</v>
      </c>
      <c r="AF21" s="158">
        <f t="shared" ref="AF21" si="2">H21+K21+N21+Q21+T21+W21+Z21+AC21</f>
        <v>44823551.731306344</v>
      </c>
      <c r="AG21" s="157">
        <f>+AF21/($D21)*100</f>
        <v>24.792089138752438</v>
      </c>
      <c r="AJ21" s="163"/>
    </row>
    <row r="22" spans="1:36" ht="14" x14ac:dyDescent="0.3">
      <c r="A22" s="151" t="str">
        <f>IF(C22&lt;&gt;"",COUNTA($C$11:C22),"")</f>
        <v/>
      </c>
      <c r="B22" s="152"/>
      <c r="D22" s="153"/>
      <c r="E22" s="153"/>
      <c r="H22" s="155"/>
      <c r="I22" s="156"/>
      <c r="J22" s="157"/>
      <c r="K22" s="161"/>
      <c r="L22" s="157"/>
      <c r="M22" s="154"/>
      <c r="N22" s="161"/>
      <c r="O22" s="157"/>
      <c r="P22" s="157"/>
      <c r="Q22" s="161"/>
      <c r="R22" s="157"/>
      <c r="S22" s="157"/>
      <c r="T22" s="155"/>
      <c r="U22" s="156"/>
      <c r="V22" s="159"/>
      <c r="W22" s="161"/>
      <c r="X22" s="157"/>
      <c r="Y22" s="157"/>
      <c r="Z22" s="161"/>
      <c r="AA22" s="157"/>
      <c r="AC22" s="161"/>
      <c r="AD22" s="157"/>
      <c r="AF22" s="161"/>
      <c r="AG22" s="157"/>
      <c r="AJ22" s="163"/>
    </row>
    <row r="23" spans="1:36" ht="14" x14ac:dyDescent="0.3">
      <c r="A23" s="151">
        <f>IF(C23&lt;&gt;"",COUNTA($C$11:C23),"")</f>
        <v>7</v>
      </c>
      <c r="B23" s="152" t="s">
        <v>249</v>
      </c>
      <c r="C23" s="130" t="s">
        <v>252</v>
      </c>
      <c r="D23" s="153">
        <v>2564497548.2849832</v>
      </c>
      <c r="E23" s="153">
        <v>361558.35775051103</v>
      </c>
      <c r="F23" s="154">
        <v>553298446.00133121</v>
      </c>
      <c r="H23" s="155">
        <f>VLOOKUP("DIST",'G2 BOST'!$C$76:$I$96,7,FALSE)</f>
        <v>123266176.68288432</v>
      </c>
      <c r="I23" s="156">
        <f>+H23/($D23)*100</f>
        <v>4.8066404573215138</v>
      </c>
      <c r="J23" s="157"/>
      <c r="K23" s="161">
        <f>VLOOKUP("SBC",'G2 BOST'!$C$76:$I$96,7,FALSE)</f>
        <v>6411243.8707124582</v>
      </c>
      <c r="L23" s="157">
        <f>+K23/($D23)*100</f>
        <v>0.25</v>
      </c>
      <c r="M23" s="154"/>
      <c r="N23" s="161">
        <f>VLOOKUP("EERF",'G2 BOST'!$C$76:$I$96,7,FALSE)</f>
        <v>21695649.258490957</v>
      </c>
      <c r="O23" s="157">
        <f>+N23/($D23)*100</f>
        <v>0.84600000000000009</v>
      </c>
      <c r="P23" s="157"/>
      <c r="Q23" s="161">
        <f>VLOOKUP("RNEW",'G2 BOST'!$C$76:$I$96,7,FALSE)</f>
        <v>1282248.7741424916</v>
      </c>
      <c r="R23" s="157">
        <f>+Q23/($D23)*100</f>
        <v>0.05</v>
      </c>
      <c r="S23" s="157"/>
      <c r="T23" s="155">
        <f>'Exh 9_Proposed Track p2'!AV23</f>
        <v>34072338.394176841</v>
      </c>
      <c r="U23" s="156">
        <f>+T23/($D23)*100</f>
        <v>1.3286165321921573</v>
      </c>
      <c r="V23" s="159"/>
      <c r="W23" s="161">
        <f>VLOOKUP("TRNSM",'G2 BOST'!$C$76:$I$96,7,FALSE)</f>
        <v>69753617.078184277</v>
      </c>
      <c r="X23" s="157">
        <f>+W23/($D23)*100</f>
        <v>2.7199720711307469</v>
      </c>
      <c r="Y23" s="157"/>
      <c r="Z23" s="161">
        <f>VLOOKUP("TRNSN",'G2 BOST'!$C$76:$I$96,7,FALSE)</f>
        <v>-1336342.2698224615</v>
      </c>
      <c r="AA23" s="157">
        <f>+Z23/($D23)*100</f>
        <v>-5.2109321403568713E-2</v>
      </c>
      <c r="AC23" s="161">
        <f>VLOOKUP("BS",'G2 BOST'!$C$76:$I$96,7,FALSE)</f>
        <v>338129001.74137509</v>
      </c>
      <c r="AD23" s="157">
        <f>+AC23/($D23)*100</f>
        <v>13.185000000000002</v>
      </c>
      <c r="AF23" s="161">
        <f t="shared" ref="AF23" si="3">H23+K23+N23+Q23+T23+W23+Z23+AC23</f>
        <v>593273933.53014398</v>
      </c>
      <c r="AG23" s="157">
        <f>+AF23/($D23)*100</f>
        <v>23.134119739240852</v>
      </c>
      <c r="AJ23" s="163"/>
    </row>
    <row r="24" spans="1:36" ht="14" x14ac:dyDescent="0.3">
      <c r="A24" s="151" t="str">
        <f>IF(C24&lt;&gt;"",COUNTA($C$11:C24),"")</f>
        <v/>
      </c>
      <c r="B24" s="152"/>
      <c r="D24" s="153"/>
      <c r="E24" s="153"/>
      <c r="H24" s="155"/>
      <c r="I24" s="156"/>
      <c r="J24" s="157"/>
      <c r="K24" s="161"/>
      <c r="L24" s="157"/>
      <c r="M24" s="154"/>
      <c r="N24" s="161"/>
      <c r="O24" s="157"/>
      <c r="P24" s="157"/>
      <c r="Q24" s="161"/>
      <c r="R24" s="157"/>
      <c r="S24" s="157"/>
      <c r="T24" s="155"/>
      <c r="U24" s="156"/>
      <c r="V24" s="159"/>
      <c r="W24" s="161"/>
      <c r="X24" s="157"/>
      <c r="Y24" s="157"/>
      <c r="Z24" s="161"/>
      <c r="AA24" s="157"/>
      <c r="AC24" s="161"/>
      <c r="AD24" s="157"/>
      <c r="AF24" s="161"/>
      <c r="AG24" s="157"/>
      <c r="AJ24" s="163"/>
    </row>
    <row r="25" spans="1:36" ht="14" x14ac:dyDescent="0.3">
      <c r="A25" s="151">
        <f>IF(C25&lt;&gt;"",COUNTA($C$11:C25),"")</f>
        <v>8</v>
      </c>
      <c r="B25" s="152" t="s">
        <v>249</v>
      </c>
      <c r="C25" s="130" t="s">
        <v>253</v>
      </c>
      <c r="D25" s="153">
        <v>3031837282.793479</v>
      </c>
      <c r="E25" s="153">
        <v>5629.5660375498055</v>
      </c>
      <c r="F25" s="154">
        <v>596650199.81572759</v>
      </c>
      <c r="H25" s="155">
        <f>VLOOKUP("DIST",'G3 BOST'!$C$52:$I$72,7,FALSE)</f>
        <v>72671424.986113846</v>
      </c>
      <c r="I25" s="156">
        <f>+H25/($D25)*100</f>
        <v>2.3969434441137203</v>
      </c>
      <c r="J25" s="157"/>
      <c r="K25" s="161">
        <f>VLOOKUP("SBC",'G3 BOST'!$C$52:$I$72,7,FALSE)</f>
        <v>7579593.2069836976</v>
      </c>
      <c r="L25" s="157">
        <f>+K25/($D25)*100</f>
        <v>0.25</v>
      </c>
      <c r="M25" s="154"/>
      <c r="N25" s="161">
        <f>VLOOKUP("EERF",'G3 BOST'!$C$52:$I$72,7,FALSE)</f>
        <v>25649343.412432835</v>
      </c>
      <c r="O25" s="157">
        <f>+N25/($D25)*100</f>
        <v>0.84600000000000009</v>
      </c>
      <c r="P25" s="157"/>
      <c r="Q25" s="161">
        <f>VLOOKUP("RNEW",'G3 BOST'!$C$52:$I$72,7,FALSE)</f>
        <v>1515918.6413967395</v>
      </c>
      <c r="R25" s="157">
        <f>+Q25/($D25)*100</f>
        <v>0.05</v>
      </c>
      <c r="S25" s="157"/>
      <c r="T25" s="155">
        <f>'Exh 9_Proposed Track p2'!AV25</f>
        <v>26008173.297875334</v>
      </c>
      <c r="U25" s="156">
        <f>+T25/($D25)*100</f>
        <v>0.85783539392034536</v>
      </c>
      <c r="V25" s="159"/>
      <c r="W25" s="161">
        <f>VLOOKUP("TRNSM",'G3 BOST'!$C$52:$I$72,7,FALSE)</f>
        <v>58032671.011307724</v>
      </c>
      <c r="X25" s="157">
        <f>+W25/($D25)*100</f>
        <v>1.9141090236161187</v>
      </c>
      <c r="Y25" s="157"/>
      <c r="Z25" s="161">
        <f>VLOOKUP("TRNSN",'G3 BOST'!$C$52:$I$72,7,FALSE)</f>
        <v>-1579869.8341240783</v>
      </c>
      <c r="AA25" s="157">
        <f>+Z25/($D25)*100</f>
        <v>-5.2109321403568713E-2</v>
      </c>
      <c r="AC25" s="161">
        <f>VLOOKUP("BS",'G3 BOST'!$C$52:$I$72,7,FALSE)</f>
        <v>523446706.87429422</v>
      </c>
      <c r="AD25" s="157">
        <f>+AC25/($D25)*100</f>
        <v>17.265000000000004</v>
      </c>
      <c r="AF25" s="161">
        <f t="shared" ref="AF25" si="4">H25+K25+N25+Q25+T25+W25+Z25+AC25</f>
        <v>713323961.59628034</v>
      </c>
      <c r="AG25" s="157">
        <f>+AF25/($D25)*100</f>
        <v>23.527778540246619</v>
      </c>
      <c r="AJ25" s="163"/>
    </row>
    <row r="26" spans="1:36" ht="14" x14ac:dyDescent="0.3">
      <c r="A26" s="151" t="str">
        <f>IF(C26&lt;&gt;"",COUNTA($C$11:C26),"")</f>
        <v/>
      </c>
      <c r="B26" s="152"/>
      <c r="D26" s="153"/>
      <c r="E26" s="153"/>
      <c r="H26" s="155"/>
      <c r="I26" s="156"/>
      <c r="J26" s="157"/>
      <c r="K26" s="161"/>
      <c r="L26" s="157"/>
      <c r="M26" s="154"/>
      <c r="N26" s="161"/>
      <c r="O26" s="157"/>
      <c r="P26" s="157"/>
      <c r="Q26" s="161"/>
      <c r="R26" s="157"/>
      <c r="S26" s="157"/>
      <c r="T26" s="155"/>
      <c r="U26" s="156"/>
      <c r="V26" s="159"/>
      <c r="W26" s="161"/>
      <c r="X26" s="157"/>
      <c r="Y26" s="157"/>
      <c r="Z26" s="161"/>
      <c r="AA26" s="157"/>
      <c r="AC26" s="161"/>
      <c r="AD26" s="157"/>
      <c r="AF26" s="161"/>
      <c r="AG26" s="157"/>
      <c r="AJ26" s="163"/>
    </row>
    <row r="27" spans="1:36" ht="14" x14ac:dyDescent="0.3">
      <c r="A27" s="151">
        <f>IF(C27&lt;&gt;"",COUNTA($C$11:C27),"")</f>
        <v>9</v>
      </c>
      <c r="B27" s="152" t="s">
        <v>249</v>
      </c>
      <c r="C27" s="130" t="s">
        <v>254</v>
      </c>
      <c r="D27" s="153">
        <v>261823.68963648711</v>
      </c>
      <c r="E27" s="153">
        <v>691.96255897375204</v>
      </c>
      <c r="F27" s="154">
        <v>63496.929865547514</v>
      </c>
      <c r="H27" s="155">
        <f>VLOOKUP("DIST",'T1 BOST'!$C$56:$I$76,7,FALSE)</f>
        <v>18013.2971167016</v>
      </c>
      <c r="I27" s="156">
        <f>+H27/($D27)*100</f>
        <v>6.8799340280136789</v>
      </c>
      <c r="J27" s="157"/>
      <c r="K27" s="161">
        <f>VLOOKUP("SBC",'T1 BOST'!$C$56:$I$76,7,FALSE)</f>
        <v>654.55922409121774</v>
      </c>
      <c r="L27" s="157">
        <f>+K27/($D27)*100</f>
        <v>0.25</v>
      </c>
      <c r="M27" s="154"/>
      <c r="N27" s="161">
        <f>VLOOKUP("EERF",'T1 BOST'!$C$56:$I$76,7,FALSE)</f>
        <v>2215.0284143246809</v>
      </c>
      <c r="O27" s="157">
        <f>+N27/($D27)*100</f>
        <v>0.84600000000000009</v>
      </c>
      <c r="P27" s="157"/>
      <c r="Q27" s="161">
        <f>VLOOKUP("RNEW",'T1 BOST'!$C$56:$I$76,7,FALSE)</f>
        <v>130.91184481824357</v>
      </c>
      <c r="R27" s="157">
        <f>+Q27/($D27)*100</f>
        <v>0.05</v>
      </c>
      <c r="S27" s="157"/>
      <c r="T27" s="155">
        <f>'Exh 9_Proposed Track p2'!AV27</f>
        <v>5477.3850111764814</v>
      </c>
      <c r="U27" s="156">
        <f>+T27/($D27)*100</f>
        <v>2.0920127658353671</v>
      </c>
      <c r="V27" s="159"/>
      <c r="W27" s="161">
        <f>VLOOKUP("TRNSM",'T1 BOST'!$C$56:$I$76,7,FALSE)</f>
        <v>5964.4152453616698</v>
      </c>
      <c r="X27" s="157">
        <f>+W27/($D27)*100</f>
        <v>2.2780273449062585</v>
      </c>
      <c r="Y27" s="157"/>
      <c r="Z27" s="161">
        <f>VLOOKUP("TRNSN",'T1 BOST'!$C$56:$I$76,7,FALSE)</f>
        <v>-136.43454794335929</v>
      </c>
      <c r="AA27" s="157">
        <f>+Z27/($D27)*100</f>
        <v>-5.2109321403568713E-2</v>
      </c>
      <c r="AC27" s="161">
        <f>VLOOKUP("BS",'T1 BOST'!$C$56:$I$76,7,FALSE)</f>
        <v>34521.453478570831</v>
      </c>
      <c r="AD27" s="157">
        <f>+AC27/($D27)*100</f>
        <v>13.185000000000002</v>
      </c>
      <c r="AF27" s="161">
        <f t="shared" ref="AF27" si="5">H27+K27+N27+Q27+T27+W27+Z27+AC27</f>
        <v>66840.615787101371</v>
      </c>
      <c r="AG27" s="157">
        <f>+AF27/($D27)*100</f>
        <v>25.528864817351739</v>
      </c>
      <c r="AJ27" s="163"/>
    </row>
    <row r="28" spans="1:36" ht="14" x14ac:dyDescent="0.3">
      <c r="A28" s="151" t="str">
        <f>IF(C28&lt;&gt;"",COUNTA($C$11:C28),"")</f>
        <v/>
      </c>
      <c r="B28" s="152"/>
      <c r="D28" s="153"/>
      <c r="E28" s="153"/>
      <c r="H28" s="155"/>
      <c r="I28" s="156"/>
      <c r="J28" s="157"/>
      <c r="K28" s="161"/>
      <c r="L28" s="157"/>
      <c r="M28" s="154"/>
      <c r="N28" s="161"/>
      <c r="O28" s="157"/>
      <c r="P28" s="157"/>
      <c r="Q28" s="161"/>
      <c r="R28" s="157"/>
      <c r="S28" s="157"/>
      <c r="T28" s="155"/>
      <c r="U28" s="156"/>
      <c r="V28" s="159"/>
      <c r="W28" s="161"/>
      <c r="X28" s="157"/>
      <c r="Y28" s="157"/>
      <c r="Z28" s="161"/>
      <c r="AA28" s="157"/>
      <c r="AC28" s="161"/>
      <c r="AD28" s="157"/>
      <c r="AF28" s="161"/>
      <c r="AG28" s="157"/>
      <c r="AJ28" s="163"/>
    </row>
    <row r="29" spans="1:36" ht="14" x14ac:dyDescent="0.3">
      <c r="A29" s="151">
        <f>IF(C29&lt;&gt;"",COUNTA($C$11:C29),"")</f>
        <v>10</v>
      </c>
      <c r="B29" s="152" t="s">
        <v>249</v>
      </c>
      <c r="C29" s="130" t="s">
        <v>255</v>
      </c>
      <c r="D29" s="153">
        <v>3845423355.5168753</v>
      </c>
      <c r="E29" s="153">
        <v>37132.778341569472</v>
      </c>
      <c r="F29" s="154">
        <v>839144218.60450709</v>
      </c>
      <c r="H29" s="155">
        <f>VLOOKUP("DIST",'T2 BOST'!$C$56:$I$76,7,FALSE)</f>
        <v>152317400.52769315</v>
      </c>
      <c r="I29" s="156">
        <f>+H29/($D29)*100</f>
        <v>3.9610047177034349</v>
      </c>
      <c r="J29" s="157"/>
      <c r="K29" s="161">
        <f>VLOOKUP("SBC",'T2 BOST'!$C$56:$I$76,7,FALSE)</f>
        <v>9613558.3887921888</v>
      </c>
      <c r="L29" s="157">
        <f>+K29/($D29)*100</f>
        <v>0.25</v>
      </c>
      <c r="M29" s="154"/>
      <c r="N29" s="161">
        <f>VLOOKUP("EERF",'T2 BOST'!$C$56:$I$76,7,FALSE)</f>
        <v>32532281.587672766</v>
      </c>
      <c r="O29" s="157">
        <f>+N29/($D29)*100</f>
        <v>0.84600000000000009</v>
      </c>
      <c r="P29" s="157"/>
      <c r="Q29" s="161">
        <f>VLOOKUP("RNEW",'T2 BOST'!$C$56:$I$76,7,FALSE)</f>
        <v>1922711.6777584376</v>
      </c>
      <c r="R29" s="157">
        <f>+Q29/($D29)*100</f>
        <v>0.05</v>
      </c>
      <c r="S29" s="157"/>
      <c r="T29" s="155">
        <f>'Exh 9_Proposed Track p2'!AV29</f>
        <v>51090930.434175596</v>
      </c>
      <c r="U29" s="156">
        <f>+T29/($D29)*100</f>
        <v>1.3286165321921573</v>
      </c>
      <c r="V29" s="159"/>
      <c r="W29" s="161">
        <f>VLOOKUP("TRNSM",'T2 BOST'!$C$56:$I$76,7,FALSE)</f>
        <v>78492860.845278502</v>
      </c>
      <c r="X29" s="157">
        <f>+W29/($D29)*100</f>
        <v>2.0412020625158975</v>
      </c>
      <c r="Y29" s="157"/>
      <c r="Z29" s="161">
        <f>VLOOKUP("TRNSN",'T2 BOST'!$C$56:$I$76,7,FALSE)</f>
        <v>-2003824.0156541851</v>
      </c>
      <c r="AA29" s="157">
        <f>+Z29/($D29)*100</f>
        <v>-5.2109321403568713E-2</v>
      </c>
      <c r="AC29" s="161">
        <f>VLOOKUP("BS",'T2 BOST'!$C$56:$I$76,7,FALSE)</f>
        <v>663912342.3299886</v>
      </c>
      <c r="AD29" s="157">
        <f>+AC29/($D29)*100</f>
        <v>17.265000000000004</v>
      </c>
      <c r="AF29" s="161">
        <f t="shared" ref="AF29" si="6">H29+K29+N29+Q29+T29+W29+Z29+AC29</f>
        <v>987878261.7757051</v>
      </c>
      <c r="AG29" s="157">
        <f>+AF29/($D29)*100</f>
        <v>25.689713991007924</v>
      </c>
      <c r="AJ29" s="163"/>
    </row>
    <row r="30" spans="1:36" ht="14" x14ac:dyDescent="0.3">
      <c r="A30" s="151" t="str">
        <f>IF(C30&lt;&gt;"",COUNTA($C$11:C30),"")</f>
        <v/>
      </c>
      <c r="B30" s="152"/>
      <c r="D30" s="153"/>
      <c r="E30" s="153"/>
      <c r="H30" s="155"/>
      <c r="I30" s="156"/>
      <c r="J30" s="157"/>
      <c r="K30" s="161"/>
      <c r="L30" s="157"/>
      <c r="M30" s="154"/>
      <c r="N30" s="161"/>
      <c r="O30" s="157"/>
      <c r="P30" s="157"/>
      <c r="Q30" s="161"/>
      <c r="R30" s="157"/>
      <c r="S30" s="157"/>
      <c r="T30" s="155"/>
      <c r="U30" s="156"/>
      <c r="V30" s="159"/>
      <c r="W30" s="161"/>
      <c r="X30" s="157"/>
      <c r="Y30" s="157"/>
      <c r="Z30" s="161"/>
      <c r="AA30" s="157"/>
      <c r="AC30" s="161"/>
      <c r="AD30" s="157"/>
      <c r="AF30" s="161"/>
      <c r="AG30" s="157"/>
      <c r="AJ30" s="163"/>
    </row>
    <row r="31" spans="1:36" ht="14" x14ac:dyDescent="0.3">
      <c r="A31" s="151">
        <f>IF(C31&lt;&gt;"",COUNTA($C$11:C31),"")</f>
        <v>11</v>
      </c>
      <c r="B31" s="152" t="s">
        <v>249</v>
      </c>
      <c r="C31" s="130" t="s">
        <v>256</v>
      </c>
      <c r="D31" s="153">
        <v>98756484.628564417</v>
      </c>
      <c r="E31" s="153">
        <v>11.76327855652921</v>
      </c>
      <c r="F31" s="154">
        <v>16256213.737050978</v>
      </c>
      <c r="G31" s="154"/>
      <c r="H31" s="155">
        <f>VLOOKUP("DIST",'WR BOST'!$C$50:$I$70,7,FALSE)</f>
        <v>1770.1381571865154</v>
      </c>
      <c r="I31" s="156">
        <v>0</v>
      </c>
      <c r="J31" s="157"/>
      <c r="K31" s="161">
        <f>VLOOKUP("SBC",'WR BOST'!$C$50:$I$70,7,FALSE)</f>
        <v>246891.21157141106</v>
      </c>
      <c r="L31" s="157">
        <f>+K31/($D31)*100</f>
        <v>0.25</v>
      </c>
      <c r="M31" s="154"/>
      <c r="N31" s="161">
        <f>VLOOKUP("EERF",'WR BOST'!$C$50:$I$70,7,FALSE)</f>
        <v>835479.85995765508</v>
      </c>
      <c r="O31" s="157">
        <f>+N31/($D31)*100</f>
        <v>0.84600000000000009</v>
      </c>
      <c r="P31" s="157"/>
      <c r="Q31" s="161">
        <f>VLOOKUP("RNEW",'WR BOST'!$C$50:$I$70,7,FALSE)</f>
        <v>49378.242314282208</v>
      </c>
      <c r="R31" s="157">
        <f>+Q31/($D31)*100</f>
        <v>0.05</v>
      </c>
      <c r="S31" s="157"/>
      <c r="T31" s="155">
        <f>'Exh 9_Proposed Track p2'!AV31</f>
        <v>847168.07893533097</v>
      </c>
      <c r="U31" s="156">
        <f>+T31/($D31)*100</f>
        <v>0.85783539392034547</v>
      </c>
      <c r="V31" s="159"/>
      <c r="W31" s="161">
        <f>VLOOKUP("TRNSM",'WR BOST'!$C$50:$I$70,7,FALSE)</f>
        <v>1273883.7699525799</v>
      </c>
      <c r="X31" s="157">
        <f>+W31/($D31)*100</f>
        <v>1.2899241753529576</v>
      </c>
      <c r="Y31" s="157"/>
      <c r="Z31" s="161">
        <f>VLOOKUP("TRNSN",'WR BOST'!$C$50:$I$70,7,FALSE)</f>
        <v>-51461.333981964563</v>
      </c>
      <c r="AA31" s="157">
        <f>+Z31/($D31)*100</f>
        <v>-5.2109321403568713E-2</v>
      </c>
      <c r="AC31" s="161">
        <f>VLOOKUP("BS",'WR BOST'!$C$50:$I$70,7,FALSE)</f>
        <v>17050307.071121648</v>
      </c>
      <c r="AD31" s="157">
        <f>+AC31/($D31)*100</f>
        <v>17.265000000000004</v>
      </c>
      <c r="AF31" s="161">
        <f t="shared" ref="AF31" si="7">H31+K31+N31+Q31+T31+W31+Z31+AC31</f>
        <v>20253417.038028128</v>
      </c>
      <c r="AG31" s="157">
        <f>+AF31/($D31)*100</f>
        <v>20.508442675135495</v>
      </c>
      <c r="AJ31" s="163"/>
    </row>
    <row r="32" spans="1:36" ht="14" x14ac:dyDescent="0.3">
      <c r="A32" s="151" t="str">
        <f>IF(C32&lt;&gt;"",COUNTA($C$11:C32),"")</f>
        <v/>
      </c>
      <c r="B32" s="152"/>
      <c r="D32" s="153"/>
      <c r="E32" s="153"/>
      <c r="G32" s="154"/>
      <c r="H32" s="155"/>
      <c r="I32" s="156"/>
      <c r="J32" s="157"/>
      <c r="K32" s="161"/>
      <c r="L32" s="157"/>
      <c r="M32" s="154"/>
      <c r="N32" s="161"/>
      <c r="O32" s="157"/>
      <c r="P32" s="157"/>
      <c r="Q32" s="161"/>
      <c r="R32" s="157"/>
      <c r="S32" s="157"/>
      <c r="T32" s="155"/>
      <c r="U32" s="156"/>
      <c r="V32" s="159"/>
      <c r="W32" s="161"/>
      <c r="X32" s="157"/>
      <c r="Y32" s="157"/>
      <c r="Z32" s="161"/>
      <c r="AA32" s="157"/>
      <c r="AC32" s="161"/>
      <c r="AD32" s="157"/>
      <c r="AF32" s="161"/>
      <c r="AG32" s="157"/>
      <c r="AJ32" s="163"/>
    </row>
    <row r="33" spans="1:36" ht="14" x14ac:dyDescent="0.3">
      <c r="A33" s="151">
        <f>IF(C33&lt;&gt;"",COUNTA($C$11:C33),"")</f>
        <v>12</v>
      </c>
      <c r="B33" s="152" t="s">
        <v>119</v>
      </c>
      <c r="C33" s="130" t="s">
        <v>257</v>
      </c>
      <c r="D33" s="153">
        <v>38388378.771134883</v>
      </c>
      <c r="E33" s="153">
        <v>65874.242262828629</v>
      </c>
      <c r="F33" s="154">
        <v>7850038.4963671789</v>
      </c>
      <c r="G33" s="154"/>
      <c r="H33" s="155">
        <f>VLOOKUP("DIST",'G0 CAMB'!$C$46:$I$66,7,FALSE)</f>
        <v>1649163.6734657604</v>
      </c>
      <c r="I33" s="156">
        <f>+H33/($D33)*100</f>
        <v>4.295997190446097</v>
      </c>
      <c r="J33" s="157"/>
      <c r="K33" s="161">
        <f>VLOOKUP("SBC",'G0 CAMB'!$C$46:$I$66,7,FALSE)</f>
        <v>95970.946927837213</v>
      </c>
      <c r="L33" s="157">
        <f>+K33/($D33)*100</f>
        <v>0.25</v>
      </c>
      <c r="M33" s="154"/>
      <c r="N33" s="161">
        <f>VLOOKUP("EERF",'G0 CAMB'!$C$46:$I$66,7,FALSE)</f>
        <v>324765.6844038011</v>
      </c>
      <c r="O33" s="157">
        <f>+N33/($D33)*100</f>
        <v>0.84600000000000009</v>
      </c>
      <c r="P33" s="157"/>
      <c r="Q33" s="161">
        <f>VLOOKUP("RNEW",'G0 CAMB'!$C$46:$I$66,7,FALSE)</f>
        <v>19194.189385567443</v>
      </c>
      <c r="R33" s="157">
        <f>+Q33/($D33)*100</f>
        <v>0.05</v>
      </c>
      <c r="S33" s="157"/>
      <c r="T33" s="155">
        <f>'Exh 9_Proposed Track p2'!AV33</f>
        <v>436100.4368565816</v>
      </c>
      <c r="U33" s="156">
        <f>+T33/($D33)*100</f>
        <v>1.1360220223326953</v>
      </c>
      <c r="V33" s="159"/>
      <c r="W33" s="161">
        <f>VLOOKUP("TRNSM",'G0 CAMB'!$C$46:$I$66,7,FALSE)</f>
        <v>893617.40399281075</v>
      </c>
      <c r="X33" s="157">
        <f>+W33/($D33)*100</f>
        <v>2.3278331427341823</v>
      </c>
      <c r="Y33" s="157"/>
      <c r="Z33" s="161">
        <f>VLOOKUP("TRNSN",'G0 CAMB'!$C$46:$I$66,7,FALSE)</f>
        <v>-20003.923675470018</v>
      </c>
      <c r="AA33" s="157">
        <f>+Z33/($D33)*100</f>
        <v>-5.2109321403568713E-2</v>
      </c>
      <c r="AC33" s="161">
        <f>VLOOKUP("BS",'G0 CAMB'!$C$46:$I$66,7,FALSE)</f>
        <v>5061507.7409741348</v>
      </c>
      <c r="AD33" s="157">
        <f>+AC33/($D33)*100</f>
        <v>13.185000000000002</v>
      </c>
      <c r="AE33" s="154"/>
      <c r="AF33" s="161">
        <f t="shared" ref="AF33" si="8">H33+K33+N33+Q33+T33+W33+Z33+AC33</f>
        <v>8460316.1523310225</v>
      </c>
      <c r="AG33" s="157">
        <f>+AF33/($D33)*100</f>
        <v>22.038743034109405</v>
      </c>
      <c r="AJ33" s="163"/>
    </row>
    <row r="34" spans="1:36" ht="14" x14ac:dyDescent="0.3">
      <c r="A34" s="151" t="str">
        <f>IF(C34&lt;&gt;"",COUNTA($C$11:C34),"")</f>
        <v/>
      </c>
      <c r="B34" s="152"/>
      <c r="D34" s="153"/>
      <c r="E34" s="153"/>
      <c r="G34" s="154"/>
      <c r="H34" s="155"/>
      <c r="I34" s="156"/>
      <c r="J34" s="157"/>
      <c r="K34" s="161"/>
      <c r="L34" s="157"/>
      <c r="M34" s="154"/>
      <c r="N34" s="161"/>
      <c r="O34" s="157"/>
      <c r="P34" s="157"/>
      <c r="Q34" s="161"/>
      <c r="R34" s="157"/>
      <c r="S34" s="157"/>
      <c r="T34" s="155"/>
      <c r="U34" s="156"/>
      <c r="V34" s="159"/>
      <c r="W34" s="161"/>
      <c r="X34" s="157"/>
      <c r="Y34" s="157"/>
      <c r="Z34" s="161"/>
      <c r="AA34" s="157"/>
      <c r="AC34" s="161"/>
      <c r="AD34" s="157"/>
      <c r="AE34" s="154"/>
      <c r="AF34" s="161"/>
      <c r="AG34" s="157"/>
      <c r="AJ34" s="163"/>
    </row>
    <row r="35" spans="1:36" ht="14" x14ac:dyDescent="0.3">
      <c r="A35" s="151">
        <f>IF(C35&lt;&gt;"",COUNTA($C$11:C35),"")</f>
        <v>13</v>
      </c>
      <c r="B35" s="152" t="s">
        <v>119</v>
      </c>
      <c r="C35" s="130" t="s">
        <v>258</v>
      </c>
      <c r="D35" s="153">
        <v>202368259.97120696</v>
      </c>
      <c r="E35" s="153">
        <v>25480.091646196306</v>
      </c>
      <c r="F35" s="154">
        <v>39504758.163639635</v>
      </c>
      <c r="G35" s="154"/>
      <c r="H35" s="155">
        <f>VLOOKUP("DIST",'G1 CAMB'!$C$49:$I$69,7,FALSE)</f>
        <v>6535517.5885668388</v>
      </c>
      <c r="I35" s="156">
        <f>+H35/($D35)*100</f>
        <v>3.2295171137493175</v>
      </c>
      <c r="J35" s="157"/>
      <c r="K35" s="161">
        <f>VLOOKUP("SBC",'G1 CAMB'!$C$49:$I$69,7,FALSE)</f>
        <v>505920.6499280174</v>
      </c>
      <c r="L35" s="157">
        <f>+K35/($D35)*100</f>
        <v>0.25</v>
      </c>
      <c r="M35" s="154"/>
      <c r="N35" s="161">
        <f>VLOOKUP("EERF",'G1 CAMB'!$C$49:$I$69,7,FALSE)</f>
        <v>1712035.4793564109</v>
      </c>
      <c r="O35" s="157">
        <f>+N35/($D35)*100</f>
        <v>0.84600000000000009</v>
      </c>
      <c r="P35" s="157"/>
      <c r="Q35" s="161">
        <f>VLOOKUP("RNEW",'G1 CAMB'!$C$49:$I$69,7,FALSE)</f>
        <v>101184.12998560349</v>
      </c>
      <c r="R35" s="157">
        <f>+Q35/($D35)*100</f>
        <v>0.05</v>
      </c>
      <c r="S35" s="157"/>
      <c r="T35" s="155">
        <f>'Exh 9_Proposed Track p2'!AV35</f>
        <v>2298947.9994843914</v>
      </c>
      <c r="U35" s="156">
        <f>+T35/($D35)*100</f>
        <v>1.1360220223326951</v>
      </c>
      <c r="V35" s="159"/>
      <c r="W35" s="161">
        <f>VLOOKUP("TRNSM",'G1 CAMB'!$C$49:$I$69,7,FALSE)</f>
        <v>4710795.4259842271</v>
      </c>
      <c r="X35" s="157">
        <f>+W35/($D35)*100</f>
        <v>2.3278331427341823</v>
      </c>
      <c r="Y35" s="157"/>
      <c r="Z35" s="161">
        <f>VLOOKUP("TRNSN",'G1 CAMB'!$C$49:$I$69,7,FALSE)</f>
        <v>-105452.72700720571</v>
      </c>
      <c r="AA35" s="157">
        <f>+Z35/($D35)*100</f>
        <v>-5.2109321403568713E-2</v>
      </c>
      <c r="AC35" s="161">
        <f>VLOOKUP("BS",'G1 CAMB'!$C$49:$I$69,7,FALSE)</f>
        <v>26682255.077203643</v>
      </c>
      <c r="AD35" s="157">
        <f>+AC35/($D35)*100</f>
        <v>13.185000000000002</v>
      </c>
      <c r="AE35" s="154"/>
      <c r="AF35" s="161">
        <f t="shared" ref="AF35" si="9">H35+K35+N35+Q35+T35+W35+Z35+AC35</f>
        <v>42441203.623501927</v>
      </c>
      <c r="AG35" s="157">
        <f>+AF35/($D35)*100</f>
        <v>20.972262957412628</v>
      </c>
      <c r="AJ35" s="163"/>
    </row>
    <row r="36" spans="1:36" ht="14" x14ac:dyDescent="0.3">
      <c r="A36" s="151" t="str">
        <f>IF(C36&lt;&gt;"",COUNTA($C$11:C36),"")</f>
        <v/>
      </c>
      <c r="B36" s="152"/>
      <c r="D36" s="153"/>
      <c r="E36" s="153"/>
      <c r="G36" s="154"/>
      <c r="H36" s="155"/>
      <c r="I36" s="156"/>
      <c r="J36" s="157"/>
      <c r="K36" s="161"/>
      <c r="L36" s="157"/>
      <c r="M36" s="154"/>
      <c r="N36" s="161"/>
      <c r="O36" s="157"/>
      <c r="P36" s="157"/>
      <c r="Q36" s="161"/>
      <c r="R36" s="157"/>
      <c r="S36" s="157"/>
      <c r="T36" s="155"/>
      <c r="U36" s="156"/>
      <c r="V36" s="159"/>
      <c r="W36" s="161"/>
      <c r="X36" s="157"/>
      <c r="Y36" s="157"/>
      <c r="Z36" s="161"/>
      <c r="AA36" s="157"/>
      <c r="AC36" s="161"/>
      <c r="AD36" s="157"/>
      <c r="AE36" s="154"/>
      <c r="AF36" s="161"/>
      <c r="AG36" s="157"/>
      <c r="AJ36" s="163"/>
    </row>
    <row r="37" spans="1:36" ht="14" x14ac:dyDescent="0.3">
      <c r="A37" s="151">
        <f>IF(C37&lt;&gt;"",COUNTA($C$11:C37),"")</f>
        <v>14</v>
      </c>
      <c r="B37" s="152" t="s">
        <v>119</v>
      </c>
      <c r="C37" s="130" t="s">
        <v>252</v>
      </c>
      <c r="D37" s="153">
        <v>561519934.63065052</v>
      </c>
      <c r="E37" s="153">
        <v>5465.4475661663673</v>
      </c>
      <c r="F37" s="154">
        <v>112819092.1307658</v>
      </c>
      <c r="G37" s="154"/>
      <c r="H37" s="155">
        <f>VLOOKUP("DIST",'G2 CAMB'!$C$50:$I$70,7,FALSE)</f>
        <v>13542825.675820917</v>
      </c>
      <c r="I37" s="156">
        <f>+H37/($D37)*100</f>
        <v>2.4118156525874626</v>
      </c>
      <c r="J37" s="157"/>
      <c r="K37" s="161">
        <f>VLOOKUP("SBC",'G2 CAMB'!$C$50:$I$70,7,FALSE)</f>
        <v>1403799.8365766264</v>
      </c>
      <c r="L37" s="157">
        <f>+K37/($D37)*100</f>
        <v>0.25</v>
      </c>
      <c r="M37" s="154"/>
      <c r="N37" s="161">
        <f>VLOOKUP("EERF",'G2 CAMB'!$C$50:$I$70,7,FALSE)</f>
        <v>4750458.646975304</v>
      </c>
      <c r="O37" s="157">
        <f>+N37/($D37)*100</f>
        <v>0.84600000000000009</v>
      </c>
      <c r="P37" s="157"/>
      <c r="Q37" s="161">
        <f>VLOOKUP("RNEW",'G2 CAMB'!$C$50:$I$70,7,FALSE)</f>
        <v>280759.96731532528</v>
      </c>
      <c r="R37" s="157">
        <f>+Q37/($D37)*100</f>
        <v>0.05</v>
      </c>
      <c r="S37" s="157"/>
      <c r="T37" s="155">
        <f>'Exh 9_Proposed Track p2'!AV37</f>
        <v>4749115.1645237906</v>
      </c>
      <c r="U37" s="156">
        <f>+T37/($D37)*100</f>
        <v>0.84576074180654037</v>
      </c>
      <c r="V37" s="159"/>
      <c r="W37" s="161">
        <f>VLOOKUP("TRNSM",'G2 CAMB'!$C$50:$I$70,7,FALSE)</f>
        <v>12125413.779053515</v>
      </c>
      <c r="X37" s="157">
        <f>+W37/($D37)*100</f>
        <v>2.1593915070939049</v>
      </c>
      <c r="Y37" s="157"/>
      <c r="Z37" s="161">
        <f>VLOOKUP("TRNSN",'G2 CAMB'!$C$50:$I$70,7,FALSE)</f>
        <v>-292604.2274817946</v>
      </c>
      <c r="AA37" s="157">
        <f>+Z37/($D37)*100</f>
        <v>-5.2109321403568713E-2</v>
      </c>
      <c r="AC37" s="161">
        <f>VLOOKUP("BS",'G2 CAMB'!$C$50:$I$70,7,FALSE)</f>
        <v>96946416.713981822</v>
      </c>
      <c r="AD37" s="157">
        <f>+AC37/($D37)*100</f>
        <v>17.265000000000004</v>
      </c>
      <c r="AE37" s="154"/>
      <c r="AF37" s="161">
        <f t="shared" ref="AF37" si="10">H37+K37+N37+Q37+T37+W37+Z37+AC37</f>
        <v>133506185.5567655</v>
      </c>
      <c r="AG37" s="157">
        <f>+AF37/($D37)*100</f>
        <v>23.775858580084339</v>
      </c>
      <c r="AJ37" s="163"/>
    </row>
    <row r="38" spans="1:36" ht="14" x14ac:dyDescent="0.3">
      <c r="A38" s="151" t="str">
        <f>IF(C38&lt;&gt;"",COUNTA($C$11:C38),"")</f>
        <v/>
      </c>
      <c r="B38" s="152"/>
      <c r="D38" s="153"/>
      <c r="E38" s="153"/>
      <c r="G38" s="154"/>
      <c r="H38" s="155"/>
      <c r="I38" s="156"/>
      <c r="J38" s="157"/>
      <c r="K38" s="161"/>
      <c r="L38" s="157"/>
      <c r="M38" s="154"/>
      <c r="N38" s="161"/>
      <c r="O38" s="157"/>
      <c r="P38" s="157"/>
      <c r="Q38" s="161"/>
      <c r="R38" s="157"/>
      <c r="S38" s="157"/>
      <c r="T38" s="155"/>
      <c r="U38" s="156"/>
      <c r="V38" s="159"/>
      <c r="W38" s="161"/>
      <c r="X38" s="157"/>
      <c r="Y38" s="157"/>
      <c r="Z38" s="161"/>
      <c r="AA38" s="157"/>
      <c r="AC38" s="161"/>
      <c r="AD38" s="157"/>
      <c r="AE38" s="154"/>
      <c r="AF38" s="161"/>
      <c r="AG38" s="157"/>
      <c r="AJ38" s="163"/>
    </row>
    <row r="39" spans="1:36" ht="14" x14ac:dyDescent="0.3">
      <c r="A39" s="151">
        <f>IF(C39&lt;&gt;"",COUNTA($C$11:C39),"")</f>
        <v>15</v>
      </c>
      <c r="B39" s="152" t="s">
        <v>119</v>
      </c>
      <c r="C39" s="130" t="s">
        <v>253</v>
      </c>
      <c r="D39" s="153">
        <v>533792570.20151818</v>
      </c>
      <c r="E39" s="153">
        <v>892.25811274571925</v>
      </c>
      <c r="F39" s="154">
        <v>97446020.589960173</v>
      </c>
      <c r="G39" s="154"/>
      <c r="H39" s="155">
        <f>VLOOKUP("DIST",'G3 CAMB'!$C$50:$I$70,7,FALSE)</f>
        <v>7300780.1737906449</v>
      </c>
      <c r="I39" s="156">
        <f>+H39/($D39)*100</f>
        <v>1.3677185823389117</v>
      </c>
      <c r="J39" s="157"/>
      <c r="K39" s="161">
        <f>VLOOKUP("SBC",'G3 CAMB'!$C$50:$I$70,7,FALSE)</f>
        <v>1334481.4255037955</v>
      </c>
      <c r="L39" s="157">
        <f>+K39/($D39)*100</f>
        <v>0.25</v>
      </c>
      <c r="M39" s="154"/>
      <c r="N39" s="161">
        <f>VLOOKUP("EERF",'G3 CAMB'!$C$50:$I$70,7,FALSE)</f>
        <v>4515885.1439048443</v>
      </c>
      <c r="O39" s="157">
        <f>+N39/($D39)*100</f>
        <v>0.84600000000000009</v>
      </c>
      <c r="P39" s="157"/>
      <c r="Q39" s="161">
        <f>VLOOKUP("RNEW",'G3 CAMB'!$C$50:$I$70,7,FALSE)</f>
        <v>266896.28510075912</v>
      </c>
      <c r="R39" s="157">
        <f>+Q39/($D39)*100</f>
        <v>0.05</v>
      </c>
      <c r="S39" s="157"/>
      <c r="T39" s="155">
        <f>'Exh 9_Proposed Track p2'!AV39</f>
        <v>2995711.5686424845</v>
      </c>
      <c r="U39" s="156">
        <f>+T39/($D39)*100</f>
        <v>0.5612126762108246</v>
      </c>
      <c r="V39" s="159"/>
      <c r="W39" s="161">
        <f>VLOOKUP("TRNSM",'G3 CAMB'!$C$50:$I$70,7,FALSE)</f>
        <v>10618768.198570205</v>
      </c>
      <c r="X39" s="157">
        <f>+W39/($D39)*100</f>
        <v>1.9893061071572036</v>
      </c>
      <c r="Y39" s="157"/>
      <c r="Z39" s="161">
        <f>VLOOKUP("TRNSN",'G3 CAMB'!$C$50:$I$70,7,FALSE)</f>
        <v>-278155.68603467924</v>
      </c>
      <c r="AA39" s="157">
        <f>+Z39/($D39)*100</f>
        <v>-5.2109321403568713E-2</v>
      </c>
      <c r="AC39" s="161">
        <f>VLOOKUP("BS",'G3 CAMB'!$C$50:$I$70,7,FALSE)</f>
        <v>92159287.245292127</v>
      </c>
      <c r="AD39" s="157">
        <f>+AC39/($D39)*100</f>
        <v>17.265000000000004</v>
      </c>
      <c r="AE39" s="154"/>
      <c r="AF39" s="161">
        <f t="shared" ref="AF39" si="11">H39+K39+N39+Q39+T39+W39+Z39+AC39</f>
        <v>118913654.35477018</v>
      </c>
      <c r="AG39" s="157">
        <f>+AF39/($D39)*100</f>
        <v>22.277128044303375</v>
      </c>
      <c r="AJ39" s="163"/>
    </row>
    <row r="40" spans="1:36" ht="14" x14ac:dyDescent="0.3">
      <c r="A40" s="151" t="str">
        <f>IF(C40&lt;&gt;"",COUNTA($C$11:C40),"")</f>
        <v/>
      </c>
      <c r="B40" s="152"/>
      <c r="D40" s="153"/>
      <c r="E40" s="153"/>
      <c r="G40" s="154"/>
      <c r="H40" s="155"/>
      <c r="I40" s="156"/>
      <c r="J40" s="157"/>
      <c r="K40" s="161"/>
      <c r="L40" s="157"/>
      <c r="M40" s="154"/>
      <c r="N40" s="161"/>
      <c r="O40" s="157"/>
      <c r="P40" s="157"/>
      <c r="Q40" s="161"/>
      <c r="R40" s="157"/>
      <c r="S40" s="157"/>
      <c r="T40" s="155"/>
      <c r="U40" s="156"/>
      <c r="V40" s="159"/>
      <c r="W40" s="161"/>
      <c r="X40" s="157"/>
      <c r="Y40" s="157"/>
      <c r="Z40" s="161"/>
      <c r="AA40" s="157"/>
      <c r="AC40" s="161"/>
      <c r="AD40" s="157"/>
      <c r="AE40" s="154"/>
      <c r="AF40" s="161"/>
      <c r="AG40" s="157"/>
      <c r="AJ40" s="163"/>
    </row>
    <row r="41" spans="1:36" ht="14" x14ac:dyDescent="0.3">
      <c r="A41" s="151">
        <f>IF(C41&lt;&gt;"",COUNTA($C$11:C41),"")</f>
        <v>16</v>
      </c>
      <c r="B41" s="152" t="s">
        <v>119</v>
      </c>
      <c r="C41" s="130" t="s">
        <v>259</v>
      </c>
      <c r="D41" s="153">
        <v>5468456.2095517535</v>
      </c>
      <c r="E41" s="153">
        <v>446.68635230484699</v>
      </c>
      <c r="F41" s="154">
        <v>982248.17807357805</v>
      </c>
      <c r="G41" s="154"/>
      <c r="H41" s="155">
        <f>VLOOKUP("DIST",'G4 CAMB'!$C$47:$I$67,7,FALSE)</f>
        <v>123040.75120434977</v>
      </c>
      <c r="I41" s="156">
        <f>+H41/($D41)*100</f>
        <v>2.2500088962847409</v>
      </c>
      <c r="J41" s="157"/>
      <c r="K41" s="161">
        <f>VLOOKUP("SBC",'G4 CAMB'!$C$47:$I$67,7,FALSE)</f>
        <v>13671.140523879383</v>
      </c>
      <c r="L41" s="157">
        <f>+K41/($D41)*100</f>
        <v>0.25</v>
      </c>
      <c r="M41" s="154"/>
      <c r="N41" s="161">
        <f>VLOOKUP("EERF",'G4 CAMB'!$C$47:$I$67,7,FALSE)</f>
        <v>46263.139532807836</v>
      </c>
      <c r="O41" s="157">
        <f>+N41/($D41)*100</f>
        <v>0.84600000000000009</v>
      </c>
      <c r="P41" s="157"/>
      <c r="Q41" s="161">
        <f>VLOOKUP("RNEW",'G4 CAMB'!$C$47:$I$67,7,FALSE)</f>
        <v>2734.228104775877</v>
      </c>
      <c r="R41" s="157">
        <f>+Q41/($D41)*100</f>
        <v>0.05</v>
      </c>
      <c r="S41" s="157"/>
      <c r="T41" s="155">
        <f>'Exh 9_Proposed Track p2'!AV41</f>
        <v>48935.818823463502</v>
      </c>
      <c r="U41" s="156">
        <f>+T41/($D41)*100</f>
        <v>0.89487447550530441</v>
      </c>
      <c r="V41" s="159"/>
      <c r="W41" s="161">
        <f>VLOOKUP("TRNSM",'G4 CAMB'!$C$47:$I$67,7,FALSE)</f>
        <v>104719.46343147091</v>
      </c>
      <c r="X41" s="157">
        <f>+W41/($D41)*100</f>
        <v>1.9149730640351001</v>
      </c>
      <c r="Y41" s="157"/>
      <c r="Z41" s="161">
        <f>VLOOKUP("TRNSN",'G4 CAMB'!$C$47:$I$67,7,FALSE)</f>
        <v>-2849.5754220487343</v>
      </c>
      <c r="AA41" s="157">
        <f>+Z41/($D41)*100</f>
        <v>-5.2109321403568713E-2</v>
      </c>
      <c r="AC41" s="161">
        <f>VLOOKUP("BS",'G4 CAMB'!$C$47:$I$67,7,FALSE)</f>
        <v>721015.95122939884</v>
      </c>
      <c r="AD41" s="157">
        <f>+AC41/($D41)*100</f>
        <v>13.185000000000002</v>
      </c>
      <c r="AE41" s="154"/>
      <c r="AF41" s="161">
        <f t="shared" ref="AF41" si="12">H41+K41+N41+Q41+T41+W41+Z41+AC41</f>
        <v>1057530.9174280975</v>
      </c>
      <c r="AG41" s="157">
        <f>+AF41/($D41)*100</f>
        <v>19.338747114421579</v>
      </c>
      <c r="AJ41" s="163"/>
    </row>
    <row r="42" spans="1:36" ht="14" x14ac:dyDescent="0.3">
      <c r="A42" s="151" t="str">
        <f>IF(C42&lt;&gt;"",COUNTA($C$11:C42),"")</f>
        <v/>
      </c>
      <c r="B42" s="152"/>
      <c r="D42" s="153"/>
      <c r="E42" s="153"/>
      <c r="G42" s="154"/>
      <c r="H42" s="155"/>
      <c r="I42" s="156"/>
      <c r="J42" s="157"/>
      <c r="K42" s="161"/>
      <c r="L42" s="157"/>
      <c r="M42" s="154"/>
      <c r="N42" s="161"/>
      <c r="O42" s="157"/>
      <c r="P42" s="157"/>
      <c r="Q42" s="161"/>
      <c r="R42" s="157"/>
      <c r="S42" s="157"/>
      <c r="T42" s="155"/>
      <c r="U42" s="156"/>
      <c r="V42" s="159"/>
      <c r="W42" s="161"/>
      <c r="X42" s="157"/>
      <c r="Y42" s="157"/>
      <c r="Z42" s="161"/>
      <c r="AA42" s="157"/>
      <c r="AC42" s="161"/>
      <c r="AD42" s="157"/>
      <c r="AE42" s="154"/>
      <c r="AF42" s="161"/>
      <c r="AG42" s="157"/>
      <c r="AJ42" s="163"/>
    </row>
    <row r="43" spans="1:36" ht="14" x14ac:dyDescent="0.3">
      <c r="A43" s="151">
        <f>IF(C43&lt;&gt;"",COUNTA($C$11:C43),"")</f>
        <v>17</v>
      </c>
      <c r="B43" s="152" t="s">
        <v>119</v>
      </c>
      <c r="C43" s="130" t="s">
        <v>260</v>
      </c>
      <c r="D43" s="153">
        <v>7102901.0792861171</v>
      </c>
      <c r="E43" s="153">
        <v>715.30662747307429</v>
      </c>
      <c r="F43" s="154">
        <v>1326276.2215043129</v>
      </c>
      <c r="G43" s="154"/>
      <c r="H43" s="155">
        <f>VLOOKUP("DIST",'G5 CAMB'!$C$49:$I$69,7,FALSE)</f>
        <v>165220.00442060613</v>
      </c>
      <c r="I43" s="156">
        <f>+H43/($D43)*100</f>
        <v>2.3260918683272962</v>
      </c>
      <c r="J43" s="157"/>
      <c r="K43" s="161">
        <f>VLOOKUP("SBC",'G5 CAMB'!$C$49:$I$69,7,FALSE)</f>
        <v>17757.252698215292</v>
      </c>
      <c r="L43" s="157">
        <f>+K43/($D43)*100</f>
        <v>0.25</v>
      </c>
      <c r="M43" s="154"/>
      <c r="N43" s="161">
        <f>VLOOKUP("EERF",'G5 CAMB'!$C$49:$I$69,7,FALSE)</f>
        <v>60090.543130760554</v>
      </c>
      <c r="O43" s="157">
        <f>+N43/($D43)*100</f>
        <v>0.84600000000000009</v>
      </c>
      <c r="P43" s="157"/>
      <c r="Q43" s="161">
        <f>VLOOKUP("RNEW",'G5 CAMB'!$C$49:$I$69,7,FALSE)</f>
        <v>3551.4505396430586</v>
      </c>
      <c r="R43" s="157">
        <f>+Q43/($D43)*100</f>
        <v>0.05</v>
      </c>
      <c r="S43" s="157"/>
      <c r="T43" s="155">
        <f>'Exh 9_Proposed Track p2'!AV43</f>
        <v>71960.285003170065</v>
      </c>
      <c r="U43" s="156">
        <f>+T43/($D43)*100</f>
        <v>1.0131111809092306</v>
      </c>
      <c r="V43" s="159"/>
      <c r="W43" s="161">
        <f>VLOOKUP("TRNSM",'G5 CAMB'!$C$49:$I$69,7,FALSE)</f>
        <v>186855.55838561361</v>
      </c>
      <c r="X43" s="157">
        <f>+W43/($D43)*100</f>
        <v>2.630693519448446</v>
      </c>
      <c r="Y43" s="157"/>
      <c r="Z43" s="161">
        <f>VLOOKUP("TRNSN",'G5 CAMB'!$C$49:$I$69,7,FALSE)</f>
        <v>-3701.2735523827537</v>
      </c>
      <c r="AA43" s="157">
        <f>+Z43/($D43)*100</f>
        <v>-5.2109321403568713E-2</v>
      </c>
      <c r="AC43" s="161">
        <f>VLOOKUP("BS",'G5 CAMB'!$C$49:$I$69,7,FALSE)</f>
        <v>936517.50730387471</v>
      </c>
      <c r="AD43" s="157">
        <f>+AC43/($D43)*100</f>
        <v>13.185000000000002</v>
      </c>
      <c r="AE43" s="154"/>
      <c r="AF43" s="161">
        <f t="shared" ref="AF43" si="13">H43+K43+N43+Q43+T43+W43+Z43+AC43</f>
        <v>1438251.3279295007</v>
      </c>
      <c r="AG43" s="157">
        <f>+AF43/($D43)*100</f>
        <v>20.248787247281406</v>
      </c>
      <c r="AJ43" s="163"/>
    </row>
    <row r="44" spans="1:36" ht="14" x14ac:dyDescent="0.3">
      <c r="A44" s="151" t="str">
        <f>IF(C44&lt;&gt;"",COUNTA($C$11:C44),"")</f>
        <v/>
      </c>
      <c r="B44" s="152"/>
      <c r="D44" s="153"/>
      <c r="E44" s="153"/>
      <c r="G44" s="154"/>
      <c r="H44" s="155"/>
      <c r="I44" s="156"/>
      <c r="J44" s="157"/>
      <c r="K44" s="161"/>
      <c r="L44" s="157"/>
      <c r="M44" s="154"/>
      <c r="N44" s="161"/>
      <c r="O44" s="157"/>
      <c r="P44" s="157"/>
      <c r="Q44" s="161"/>
      <c r="R44" s="157"/>
      <c r="S44" s="157"/>
      <c r="T44" s="155"/>
      <c r="U44" s="156"/>
      <c r="V44" s="159"/>
      <c r="W44" s="161"/>
      <c r="X44" s="157"/>
      <c r="Y44" s="157"/>
      <c r="Z44" s="161"/>
      <c r="AA44" s="157"/>
      <c r="AC44" s="161"/>
      <c r="AD44" s="157"/>
      <c r="AE44" s="154"/>
      <c r="AF44" s="161"/>
      <c r="AG44" s="157"/>
      <c r="AJ44" s="163"/>
    </row>
    <row r="45" spans="1:36" ht="14" x14ac:dyDescent="0.3">
      <c r="A45" s="151">
        <f>IF(C45&lt;&gt;"",COUNTA($C$11:C45),"")</f>
        <v>18</v>
      </c>
      <c r="B45" s="152" t="s">
        <v>119</v>
      </c>
      <c r="C45" s="130" t="s">
        <v>261</v>
      </c>
      <c r="D45" s="153">
        <v>10.230856707354228</v>
      </c>
      <c r="E45" s="153">
        <v>37.932619074644421</v>
      </c>
      <c r="F45" s="154">
        <v>314.12208782642091</v>
      </c>
      <c r="G45" s="154"/>
      <c r="H45" s="155">
        <f>VLOOKUP("DIST",'G6 CAMB'!$C$49:$I$69,7,FALSE)</f>
        <v>323.05635314497124</v>
      </c>
      <c r="I45" s="164" t="s">
        <v>262</v>
      </c>
      <c r="J45" s="157"/>
      <c r="K45" s="161">
        <f>VLOOKUP("SBC",'G6 CAMB'!$C$49:$I$69,7,FALSE)</f>
        <v>2.5577141768385572E-2</v>
      </c>
      <c r="L45" s="157">
        <f>+K45/($D45)*100</f>
        <v>0.25</v>
      </c>
      <c r="M45" s="154"/>
      <c r="N45" s="161">
        <f>VLOOKUP("EERF",'G6 CAMB'!$C$49:$I$69,7,FALSE)</f>
        <v>8.6553047744216766E-2</v>
      </c>
      <c r="O45" s="157">
        <f>+N45/($D45)*100</f>
        <v>0.84600000000000009</v>
      </c>
      <c r="P45" s="157"/>
      <c r="Q45" s="161">
        <f>VLOOKUP("RNEW",'G6 CAMB'!$C$49:$I$69,7,FALSE)</f>
        <v>5.1154283536771136E-3</v>
      </c>
      <c r="R45" s="157">
        <f>+Q45/($D45)*100</f>
        <v>0.05</v>
      </c>
      <c r="S45" s="157"/>
      <c r="T45" s="155">
        <f>'Exh 9_Proposed Track p2'!AV45</f>
        <v>0.11622478526884571</v>
      </c>
      <c r="U45" s="156">
        <f>+T45/($D45)*100</f>
        <v>1.1360220223326953</v>
      </c>
      <c r="V45" s="159"/>
      <c r="W45" s="161">
        <f>VLOOKUP("TRNSM",'G6 CAMB'!$C$49:$I$69,7,FALSE)</f>
        <v>0.23815727321943478</v>
      </c>
      <c r="X45" s="157">
        <f>+W45/($D45)*100</f>
        <v>2.3278331427341823</v>
      </c>
      <c r="Y45" s="157"/>
      <c r="Z45" s="161">
        <f>VLOOKUP("TRNSN",'G6 CAMB'!$C$49:$I$69,7,FALSE)</f>
        <v>-5.3312300039737815E-3</v>
      </c>
      <c r="AA45" s="157">
        <f>+Z45/($D45)*100</f>
        <v>-5.2109321403568713E-2</v>
      </c>
      <c r="AC45" s="161">
        <f>VLOOKUP("BS",'G6 CAMB'!$C$49:$I$69,7,FALSE)</f>
        <v>1.3489384568646552</v>
      </c>
      <c r="AD45" s="157">
        <f>+AC45/($D45)*100</f>
        <v>13.185000000000002</v>
      </c>
      <c r="AE45" s="154"/>
      <c r="AF45" s="161">
        <f t="shared" ref="AF45" si="14">H45+K45+N45+Q45+T45+W45+Z45+AC45</f>
        <v>324.87158804818648</v>
      </c>
      <c r="AG45" s="165" t="s">
        <v>262</v>
      </c>
      <c r="AJ45" s="163"/>
    </row>
    <row r="46" spans="1:36" ht="14" x14ac:dyDescent="0.3">
      <c r="A46" s="151" t="str">
        <f>IF(C46&lt;&gt;"",COUNTA($C$11:C46),"")</f>
        <v/>
      </c>
      <c r="B46" s="152"/>
      <c r="D46" s="153"/>
      <c r="E46" s="153"/>
      <c r="G46" s="154"/>
      <c r="H46" s="155"/>
      <c r="I46" s="156"/>
      <c r="J46" s="157"/>
      <c r="K46" s="161"/>
      <c r="L46" s="157"/>
      <c r="M46" s="154"/>
      <c r="N46" s="161"/>
      <c r="O46" s="157"/>
      <c r="P46" s="157"/>
      <c r="Q46" s="161"/>
      <c r="R46" s="157"/>
      <c r="S46" s="157"/>
      <c r="T46" s="155"/>
      <c r="U46" s="156"/>
      <c r="V46" s="159"/>
      <c r="W46" s="161"/>
      <c r="X46" s="157"/>
      <c r="Y46" s="157"/>
      <c r="Z46" s="161"/>
      <c r="AA46" s="157"/>
      <c r="AC46" s="161"/>
      <c r="AD46" s="157"/>
      <c r="AE46" s="154"/>
      <c r="AF46" s="161"/>
      <c r="AG46" s="157"/>
      <c r="AJ46" s="163"/>
    </row>
    <row r="47" spans="1:36" ht="14" x14ac:dyDescent="0.3">
      <c r="A47" s="151">
        <f>IF(C47&lt;&gt;"",COUNTA($C$11:C47),"")</f>
        <v>19</v>
      </c>
      <c r="B47" s="152" t="s">
        <v>119</v>
      </c>
      <c r="C47" s="130" t="s">
        <v>263</v>
      </c>
      <c r="D47" s="153">
        <v>131081455.97392654</v>
      </c>
      <c r="E47" s="153">
        <v>24</v>
      </c>
      <c r="F47" s="154">
        <v>24203973.25196512</v>
      </c>
      <c r="G47" s="154"/>
      <c r="H47" s="155">
        <f>VLOOKUP("DIST",'SB1 CAMB'!$C$59:$I$79,7,FALSE)</f>
        <v>1239664.9706038325</v>
      </c>
      <c r="I47" s="156">
        <f>+H47/($D47)*100</f>
        <v>0.94572108723785819</v>
      </c>
      <c r="J47" s="157"/>
      <c r="K47" s="161">
        <f>VLOOKUP("SBC",'SB1 CAMB'!$C$59:$I$79,7,FALSE)</f>
        <v>327703.63993481634</v>
      </c>
      <c r="L47" s="157">
        <f>+K47/($D47)*100</f>
        <v>0.25</v>
      </c>
      <c r="M47" s="154"/>
      <c r="N47" s="161">
        <f>VLOOKUP("EERF",'SB1 CAMB'!$C$59:$I$79,7,FALSE)</f>
        <v>1108949.1175394186</v>
      </c>
      <c r="O47" s="157">
        <f>+N47/($D47)*100</f>
        <v>0.84600000000000009</v>
      </c>
      <c r="P47" s="157"/>
      <c r="Q47" s="161">
        <f>VLOOKUP("RNEW",'SB1 CAMB'!$C$59:$I$79,7,FALSE)</f>
        <v>65540.727986963277</v>
      </c>
      <c r="R47" s="157">
        <f>+Q47/($D47)*100</f>
        <v>0.05</v>
      </c>
      <c r="S47" s="157"/>
      <c r="T47" s="155">
        <f>'Exh 9_Proposed Track p2'!AV47</f>
        <v>735645.74708738702</v>
      </c>
      <c r="U47" s="156">
        <f>+T47/($D47)*100</f>
        <v>0.56121267621082471</v>
      </c>
      <c r="V47" s="159"/>
      <c r="W47" s="161">
        <f>VLOOKUP("TRNSM",'SB1 CAMB'!$C$59:$I$79,7,FALSE)</f>
        <v>2761269.830771578</v>
      </c>
      <c r="X47" s="157">
        <f>+W47/($D47)*100</f>
        <v>2.106529722496234</v>
      </c>
      <c r="Y47" s="157"/>
      <c r="Z47" s="161">
        <f>VLOOKUP("TRNSN",'SB1 CAMB'!$C$59:$I$79,7,FALSE)</f>
        <v>-68305.657193930805</v>
      </c>
      <c r="AA47" s="157">
        <f>+Z47/($D47)*100</f>
        <v>-5.2109321403568713E-2</v>
      </c>
      <c r="AC47" s="161">
        <f>VLOOKUP("BS",'SB1 CAMB'!$C$59:$I$79,7,FALSE)</f>
        <v>22631213.37389842</v>
      </c>
      <c r="AD47" s="157">
        <f>+AC47/($D47)*100</f>
        <v>17.265000000000004</v>
      </c>
      <c r="AE47" s="154"/>
      <c r="AF47" s="161">
        <f t="shared" ref="AF47" si="15">H47+K47+N47+Q47+T47+W47+Z47+AC47</f>
        <v>28801681.750628486</v>
      </c>
      <c r="AG47" s="157">
        <f>+AF47/($D47)*100</f>
        <v>21.97235416454135</v>
      </c>
      <c r="AJ47" s="163"/>
    </row>
    <row r="48" spans="1:36" ht="14" x14ac:dyDescent="0.3">
      <c r="A48" s="151" t="str">
        <f>IF(C48&lt;&gt;"",COUNTA($C$11:C48),"")</f>
        <v/>
      </c>
      <c r="B48" s="152"/>
      <c r="D48" s="153"/>
      <c r="E48" s="153"/>
      <c r="G48" s="154"/>
      <c r="H48" s="155"/>
      <c r="I48" s="156"/>
      <c r="J48" s="157"/>
      <c r="K48" s="161"/>
      <c r="L48" s="157"/>
      <c r="M48" s="154"/>
      <c r="N48" s="161"/>
      <c r="O48" s="157"/>
      <c r="P48" s="157"/>
      <c r="Q48" s="161"/>
      <c r="R48" s="157"/>
      <c r="S48" s="157"/>
      <c r="T48" s="155"/>
      <c r="U48" s="156"/>
      <c r="V48" s="159"/>
      <c r="W48" s="161"/>
      <c r="X48" s="157"/>
      <c r="Y48" s="157"/>
      <c r="Z48" s="161"/>
      <c r="AA48" s="157"/>
      <c r="AC48" s="161"/>
      <c r="AD48" s="157"/>
      <c r="AE48" s="154"/>
      <c r="AF48" s="161"/>
      <c r="AG48" s="157"/>
      <c r="AJ48" s="163"/>
    </row>
    <row r="49" spans="1:36" ht="14" x14ac:dyDescent="0.3">
      <c r="A49" s="151">
        <f>IF(C49&lt;&gt;"",COUNTA($C$11:C49),"")</f>
        <v>20</v>
      </c>
      <c r="B49" s="152" t="s">
        <v>119</v>
      </c>
      <c r="C49" s="130" t="s">
        <v>264</v>
      </c>
      <c r="D49" s="153">
        <v>1707272.3867975136</v>
      </c>
      <c r="E49" s="153">
        <v>12</v>
      </c>
      <c r="F49" s="154">
        <v>276580.74925216939</v>
      </c>
      <c r="G49" s="154"/>
      <c r="H49" s="155">
        <f>VLOOKUP("DIST",'CON CAMB'!$C$49:$I$69,7,FALSE)</f>
        <v>0</v>
      </c>
      <c r="I49" s="156">
        <f>+H49/($D49)*100</f>
        <v>0</v>
      </c>
      <c r="J49" s="157"/>
      <c r="K49" s="161">
        <f>VLOOKUP("SBC",'CON CAMB'!$C$49:$I$69,7,FALSE)</f>
        <v>4268.1809669937838</v>
      </c>
      <c r="L49" s="157">
        <f>+K49/($D49)*100</f>
        <v>0.25</v>
      </c>
      <c r="M49" s="154"/>
      <c r="N49" s="161">
        <f>VLOOKUP("EERF",'CON CAMB'!$C$49:$I$69,7,FALSE)</f>
        <v>14443.524392306967</v>
      </c>
      <c r="O49" s="157">
        <f>+N49/($D49)*100</f>
        <v>0.84600000000000009</v>
      </c>
      <c r="P49" s="157"/>
      <c r="Q49" s="161">
        <f>VLOOKUP("RNEW",'CON CAMB'!$C$49:$I$69,7,FALSE)</f>
        <v>853.63619339875686</v>
      </c>
      <c r="R49" s="157">
        <f>+Q49/($D49)*100</f>
        <v>0.05</v>
      </c>
      <c r="S49" s="157"/>
      <c r="T49" s="155">
        <f>'Exh 9_Proposed Track p2'!AV49</f>
        <v>9581.4290521547464</v>
      </c>
      <c r="U49" s="156">
        <f>+T49/($D49)*100</f>
        <v>0.5612126762108246</v>
      </c>
      <c r="V49" s="159"/>
      <c r="W49" s="161">
        <f>VLOOKUP("TRNSM",'CON CAMB'!$C$49:$I$69,7,FALSE)</f>
        <v>21874.562487685052</v>
      </c>
      <c r="X49" s="157">
        <f>+W49/($D49)*100</f>
        <v>1.2812579092148948</v>
      </c>
      <c r="Y49" s="157"/>
      <c r="Z49" s="161">
        <f>VLOOKUP("TRNSN",'CON CAMB'!$C$49:$I$69,7,FALSE)</f>
        <v>-889.64805527069507</v>
      </c>
      <c r="AA49" s="157">
        <f>+Z49/($D49)*100</f>
        <v>-5.2109321403568713E-2</v>
      </c>
      <c r="AC49" s="161">
        <f>VLOOKUP("BS",'CON CAMB'!$C$49:$I$69,7,FALSE)</f>
        <v>294760.57758059079</v>
      </c>
      <c r="AD49" s="157">
        <f>+AC49/($D49)*100</f>
        <v>17.265000000000004</v>
      </c>
      <c r="AE49" s="154"/>
      <c r="AF49" s="161">
        <f t="shared" ref="AF49" si="16">H49+K49+N49+Q49+T49+W49+Z49+AC49</f>
        <v>344892.26261785941</v>
      </c>
      <c r="AG49" s="157">
        <f>+AF49/($D49)*100</f>
        <v>20.201361264022154</v>
      </c>
      <c r="AJ49" s="163"/>
    </row>
    <row r="50" spans="1:36" ht="14" x14ac:dyDescent="0.3">
      <c r="A50" s="151"/>
      <c r="B50" s="152"/>
      <c r="D50" s="153"/>
      <c r="E50" s="153"/>
      <c r="G50" s="154"/>
      <c r="H50" s="155"/>
      <c r="I50" s="156"/>
      <c r="J50" s="157"/>
      <c r="K50" s="161"/>
      <c r="L50" s="157"/>
      <c r="M50" s="154"/>
      <c r="N50" s="161"/>
      <c r="O50" s="157"/>
      <c r="P50" s="157"/>
      <c r="Q50" s="161"/>
      <c r="R50" s="157"/>
      <c r="S50" s="157"/>
      <c r="T50" s="155"/>
      <c r="U50" s="156"/>
      <c r="V50" s="159"/>
      <c r="W50" s="161"/>
      <c r="X50" s="157"/>
      <c r="Y50" s="157"/>
      <c r="Z50" s="161"/>
      <c r="AA50" s="157"/>
      <c r="AC50" s="161"/>
      <c r="AD50" s="157"/>
      <c r="AE50" s="154"/>
      <c r="AF50" s="161"/>
      <c r="AG50" s="157"/>
      <c r="AJ50" s="163"/>
    </row>
    <row r="51" spans="1:36" ht="14" x14ac:dyDescent="0.3">
      <c r="A51" s="151">
        <f>IF(C51&lt;&gt;"",COUNTA($C$11:C51),"")</f>
        <v>21</v>
      </c>
      <c r="B51" s="152" t="s">
        <v>125</v>
      </c>
      <c r="C51" s="130" t="s">
        <v>258</v>
      </c>
      <c r="D51" s="153">
        <v>957223368.41082382</v>
      </c>
      <c r="E51" s="153">
        <v>506707.88581628626</v>
      </c>
      <c r="F51" s="154">
        <v>190196059.31728041</v>
      </c>
      <c r="G51" s="154"/>
      <c r="H51" s="155">
        <f>VLOOKUP("DIST",'G1 SOUTH'!$C$58:$I$78,7,FALSE)</f>
        <v>35291436.52073545</v>
      </c>
      <c r="I51" s="156">
        <f>+H51/($D51-'G1 SOUTH'!E27)*100</f>
        <v>3.6869208675186025</v>
      </c>
      <c r="J51" s="157"/>
      <c r="K51" s="161">
        <f>VLOOKUP("SBC",'G1 SOUTH'!$C$58:$I$78,7,FALSE)</f>
        <v>2393058.4210270597</v>
      </c>
      <c r="L51" s="157">
        <f>+K51/($D51)*100</f>
        <v>0.25</v>
      </c>
      <c r="M51" s="154"/>
      <c r="N51" s="161">
        <f>VLOOKUP("EERF",'G1 SOUTH'!$C$58:$I$78,7,FALSE)</f>
        <v>8098109.6967555704</v>
      </c>
      <c r="O51" s="157">
        <f>+N51/($D51)*100</f>
        <v>0.84600000000000009</v>
      </c>
      <c r="P51" s="157"/>
      <c r="Q51" s="161">
        <f>VLOOKUP("RNEW",'G1 SOUTH'!$C$58:$I$78,7,FALSE)</f>
        <v>478611.68420541193</v>
      </c>
      <c r="R51" s="157">
        <f>+Q51/($D51)*100</f>
        <v>0.05</v>
      </c>
      <c r="S51" s="157"/>
      <c r="T51" s="155">
        <f>'Exh 9_Proposed Track p2'!AV51</f>
        <v>12084501.57649168</v>
      </c>
      <c r="U51" s="156">
        <f>+T51/($D51)*100</f>
        <v>1.2624536733316796</v>
      </c>
      <c r="V51" s="159"/>
      <c r="W51" s="161">
        <f>VLOOKUP("TRNSM",'G1 SOUTH'!$C$58:$I$78,7,FALSE)</f>
        <v>21870482.726644292</v>
      </c>
      <c r="X51" s="157">
        <f>+W51/($D51)*100</f>
        <v>2.2847836198309208</v>
      </c>
      <c r="Y51" s="157"/>
      <c r="Z51" s="161">
        <f>VLOOKUP("TRNSN",'G1 SOUTH'!$C$58:$I$78,7,FALSE)</f>
        <v>-498802.60159526276</v>
      </c>
      <c r="AA51" s="157">
        <f>+Z51/($D51)*100</f>
        <v>-5.2109321403568713E-2</v>
      </c>
      <c r="AC51" s="161">
        <f>VLOOKUP("BS",'G1 SOUTH'!$C$58:$I$78,7,FALSE)</f>
        <v>126209901.12496714</v>
      </c>
      <c r="AD51" s="157">
        <f>+AC51/($D51)*100</f>
        <v>13.185000000000002</v>
      </c>
      <c r="AE51" s="154"/>
      <c r="AF51" s="161">
        <f t="shared" ref="AF51" si="17">H51+K51+N51+Q51+T51+W51+Z51+AC51</f>
        <v>205927299.14923134</v>
      </c>
      <c r="AG51" s="157">
        <f>+AF51/($D51)*100</f>
        <v>21.51298285698045</v>
      </c>
      <c r="AJ51" s="163"/>
    </row>
    <row r="52" spans="1:36" ht="14" x14ac:dyDescent="0.3">
      <c r="A52" s="151"/>
      <c r="B52" s="152"/>
      <c r="D52" s="153"/>
      <c r="E52" s="153"/>
      <c r="G52" s="154"/>
      <c r="H52" s="155"/>
      <c r="I52" s="156"/>
      <c r="J52" s="157"/>
      <c r="K52" s="161"/>
      <c r="L52" s="157"/>
      <c r="M52" s="154"/>
      <c r="N52" s="161"/>
      <c r="O52" s="157"/>
      <c r="P52" s="157"/>
      <c r="Q52" s="161"/>
      <c r="R52" s="157"/>
      <c r="S52" s="157"/>
      <c r="T52" s="155"/>
      <c r="U52" s="156"/>
      <c r="V52" s="159"/>
      <c r="W52" s="161"/>
      <c r="X52" s="157"/>
      <c r="Y52" s="157"/>
      <c r="Z52" s="161"/>
      <c r="AA52" s="157"/>
      <c r="AC52" s="161"/>
      <c r="AD52" s="157"/>
      <c r="AE52" s="154"/>
      <c r="AF52" s="161"/>
      <c r="AG52" s="157"/>
      <c r="AJ52" s="163"/>
    </row>
    <row r="53" spans="1:36" ht="14" x14ac:dyDescent="0.3">
      <c r="A53" s="151">
        <f>IF(C53&lt;&gt;"",COUNTA($C$11:C53),"")</f>
        <v>22</v>
      </c>
      <c r="B53" s="152" t="s">
        <v>125</v>
      </c>
      <c r="C53" s="130" t="s">
        <v>265</v>
      </c>
      <c r="D53" s="153">
        <v>25640939.874135047</v>
      </c>
      <c r="E53" s="153">
        <v>41394.975327192202</v>
      </c>
      <c r="F53" s="154">
        <v>5891162.3461074792</v>
      </c>
      <c r="G53" s="154"/>
      <c r="H53" s="155">
        <f>VLOOKUP("DIST",'G1S SOUTH'!$C$51:$I$71,7,FALSE)</f>
        <v>1766997.809453299</v>
      </c>
      <c r="I53" s="156">
        <f>+H53/($D53)*100</f>
        <v>6.8913145076859461</v>
      </c>
      <c r="J53" s="157"/>
      <c r="K53" s="161">
        <f>VLOOKUP("SBC",'G1S SOUTH'!$C$51:$I$71,7,FALSE)</f>
        <v>64102.34968533762</v>
      </c>
      <c r="L53" s="157">
        <f>+K53/($D53)*100</f>
        <v>0.25</v>
      </c>
      <c r="M53" s="154"/>
      <c r="N53" s="161">
        <f>VLOOKUP("EERF",'G1S SOUTH'!$C$51:$I$71,7,FALSE)</f>
        <v>216922.35133518252</v>
      </c>
      <c r="O53" s="157">
        <f>+N53/($D53)*100</f>
        <v>0.84600000000000009</v>
      </c>
      <c r="P53" s="157"/>
      <c r="Q53" s="161">
        <f>VLOOKUP("RNEW",'G1S SOUTH'!$C$51:$I$71,7,FALSE)</f>
        <v>12820.469937067524</v>
      </c>
      <c r="R53" s="157">
        <f>+Q53/($D53)*100</f>
        <v>0.05</v>
      </c>
      <c r="S53" s="157"/>
      <c r="T53" s="155">
        <f>'Exh 9_Proposed Track p2'!AV53</f>
        <v>323704.98731778533</v>
      </c>
      <c r="U53" s="156">
        <f>+T53/($D53)*100</f>
        <v>1.26245367333168</v>
      </c>
      <c r="V53" s="159"/>
      <c r="W53" s="161">
        <f>VLOOKUP("TRNSM",'G1S SOUTH'!$C$51:$I$71,7,FALSE)</f>
        <v>585839.99421493267</v>
      </c>
      <c r="X53" s="157">
        <f>+W53/($D53)*100</f>
        <v>2.2847836198309208</v>
      </c>
      <c r="Y53" s="157"/>
      <c r="Z53" s="161">
        <f>VLOOKUP("TRNSN",'G1S SOUTH'!$C$51:$I$71,7,FALSE)</f>
        <v>-13361.319769908838</v>
      </c>
      <c r="AA53" s="157">
        <f>+Z53/($D53)*100</f>
        <v>-5.2109321403568713E-2</v>
      </c>
      <c r="AC53" s="161">
        <f>VLOOKUP("BS",'G1S SOUTH'!$C$51:$I$71,7,FALSE)</f>
        <v>3380757.9224047065</v>
      </c>
      <c r="AD53" s="157">
        <f>+AC53/($D53)*100</f>
        <v>13.185000000000002</v>
      </c>
      <c r="AE53" s="154"/>
      <c r="AF53" s="161">
        <f t="shared" ref="AF53" si="18">H53+K53+N53+Q53+T53+W53+Z53+AC53</f>
        <v>6337784.5645784028</v>
      </c>
      <c r="AG53" s="157">
        <f>+AF53/($D53)*100</f>
        <v>24.71744247944498</v>
      </c>
      <c r="AJ53" s="163"/>
    </row>
    <row r="54" spans="1:36" ht="14" x14ac:dyDescent="0.3">
      <c r="A54" s="151" t="str">
        <f>IF(C54&lt;&gt;"",COUNTA($C$11:C54),"")</f>
        <v/>
      </c>
      <c r="B54" s="152"/>
      <c r="D54" s="153"/>
      <c r="E54" s="153"/>
      <c r="G54" s="154"/>
      <c r="H54" s="155"/>
      <c r="I54" s="156"/>
      <c r="J54" s="157"/>
      <c r="K54" s="161"/>
      <c r="L54" s="157"/>
      <c r="M54" s="154"/>
      <c r="N54" s="161"/>
      <c r="O54" s="157"/>
      <c r="P54" s="157"/>
      <c r="Q54" s="161"/>
      <c r="R54" s="157"/>
      <c r="S54" s="157"/>
      <c r="T54" s="155"/>
      <c r="U54" s="156"/>
      <c r="V54" s="159"/>
      <c r="W54" s="161"/>
      <c r="X54" s="157"/>
      <c r="Y54" s="157"/>
      <c r="Z54" s="161"/>
      <c r="AA54" s="157"/>
      <c r="AC54" s="161"/>
      <c r="AD54" s="157"/>
      <c r="AE54" s="154"/>
      <c r="AF54" s="161"/>
      <c r="AG54" s="157"/>
      <c r="AJ54" s="163"/>
    </row>
    <row r="55" spans="1:36" ht="14" x14ac:dyDescent="0.3">
      <c r="A55" s="151">
        <f>IF(C55&lt;&gt;"",COUNTA($C$11:C55),"")</f>
        <v>23</v>
      </c>
      <c r="B55" s="152" t="s">
        <v>125</v>
      </c>
      <c r="C55" s="130" t="s">
        <v>252</v>
      </c>
      <c r="D55" s="153">
        <v>470638348.86321914</v>
      </c>
      <c r="E55" s="153">
        <v>5863.6586254994472</v>
      </c>
      <c r="F55" s="154">
        <v>88476967.155348375</v>
      </c>
      <c r="G55" s="154"/>
      <c r="H55" s="155">
        <f>VLOOKUP("DIST",'G2 SOUTH'!$C$51:$I$71,7,FALSE)</f>
        <v>10613691.165319607</v>
      </c>
      <c r="I55" s="156">
        <f>+H55/($D55)*100</f>
        <v>2.255169216651371</v>
      </c>
      <c r="J55" s="157"/>
      <c r="K55" s="161">
        <f>VLOOKUP("SBC",'G2 SOUTH'!$C$51:$I$71,7,FALSE)</f>
        <v>1176595.872158048</v>
      </c>
      <c r="L55" s="157">
        <f>+K55/($D55)*100</f>
        <v>0.25</v>
      </c>
      <c r="M55" s="154"/>
      <c r="N55" s="161">
        <f>VLOOKUP("EERF",'G2 SOUTH'!$C$51:$I$71,7,FALSE)</f>
        <v>3981600.431382834</v>
      </c>
      <c r="O55" s="157">
        <f>+N55/($D55)*100</f>
        <v>0.84600000000000009</v>
      </c>
      <c r="P55" s="157"/>
      <c r="Q55" s="161">
        <f>VLOOKUP("RNEW",'G2 SOUTH'!$C$51:$I$71,7,FALSE)</f>
        <v>235319.17443160957</v>
      </c>
      <c r="R55" s="157">
        <f>+Q55/($D55)*100</f>
        <v>0.05</v>
      </c>
      <c r="S55" s="157"/>
      <c r="T55" s="155">
        <f>'Exh 9_Proposed Track p2'!AV55</f>
        <v>3954303.7233480252</v>
      </c>
      <c r="U55" s="156">
        <f>+T55/($D55)*100</f>
        <v>0.8402000671851878</v>
      </c>
      <c r="V55" s="159"/>
      <c r="W55" s="161">
        <f>VLOOKUP("TRNSM",'G2 SOUTH'!$C$51:$I$71,7,FALSE)</f>
        <v>9507710.9176372886</v>
      </c>
      <c r="X55" s="157">
        <f>+W55/($D55)*100</f>
        <v>2.0201734390328014</v>
      </c>
      <c r="Y55" s="157"/>
      <c r="Z55" s="161">
        <f>VLOOKUP("TRNSN",'G2 SOUTH'!$C$51:$I$71,7,FALSE)</f>
        <v>-245246.44985758382</v>
      </c>
      <c r="AA55" s="157">
        <f>+Z55/($D55)*100</f>
        <v>-5.2109321403568713E-2</v>
      </c>
      <c r="AC55" s="161">
        <f>VLOOKUP("BS",'G2 SOUTH'!$C$51:$I$71,7,FALSE)</f>
        <v>75998680.574432626</v>
      </c>
      <c r="AD55" s="157">
        <f>+AC55/($D55)*100</f>
        <v>16.148</v>
      </c>
      <c r="AE55" s="154"/>
      <c r="AF55" s="161">
        <f t="shared" ref="AF55" si="19">H55+K55+N55+Q55+T55+W55+Z55+AC55</f>
        <v>105222655.40885246</v>
      </c>
      <c r="AG55" s="157">
        <f>+AF55/($D55)*100</f>
        <v>22.357433401465794</v>
      </c>
      <c r="AJ55" s="163"/>
    </row>
    <row r="56" spans="1:36" ht="14" x14ac:dyDescent="0.3">
      <c r="A56" s="151" t="str">
        <f>IF(C56&lt;&gt;"",COUNTA($C$11:C56),"")</f>
        <v/>
      </c>
      <c r="B56" s="152"/>
      <c r="D56" s="153"/>
      <c r="E56" s="153"/>
      <c r="G56" s="154"/>
      <c r="H56" s="155"/>
      <c r="I56" s="156"/>
      <c r="J56" s="157"/>
      <c r="K56" s="161"/>
      <c r="L56" s="157"/>
      <c r="M56" s="154"/>
      <c r="N56" s="161"/>
      <c r="O56" s="157"/>
      <c r="P56" s="157"/>
      <c r="Q56" s="161"/>
      <c r="R56" s="157"/>
      <c r="S56" s="157"/>
      <c r="T56" s="155"/>
      <c r="U56" s="156"/>
      <c r="V56" s="159"/>
      <c r="W56" s="161"/>
      <c r="X56" s="157"/>
      <c r="Y56" s="157"/>
      <c r="Z56" s="161"/>
      <c r="AA56" s="157"/>
      <c r="AC56" s="161"/>
      <c r="AD56" s="157"/>
      <c r="AE56" s="154"/>
      <c r="AF56" s="161"/>
      <c r="AG56" s="157"/>
      <c r="AJ56" s="163"/>
    </row>
    <row r="57" spans="1:36" ht="14" x14ac:dyDescent="0.3">
      <c r="A57" s="151">
        <f>IF(C57&lt;&gt;"",COUNTA($C$11:C57),"")</f>
        <v>24</v>
      </c>
      <c r="B57" s="152" t="s">
        <v>125</v>
      </c>
      <c r="C57" s="130" t="s">
        <v>253</v>
      </c>
      <c r="D57" s="153">
        <v>391859635.2980696</v>
      </c>
      <c r="E57" s="153">
        <v>1043.997927866367</v>
      </c>
      <c r="F57" s="154">
        <v>69109643.570828333</v>
      </c>
      <c r="G57" s="154"/>
      <c r="H57" s="155">
        <f>VLOOKUP("DIST",'G3 SOUTH'!$C$54:$I$74,7,FALSE)</f>
        <v>5942118.2726647472</v>
      </c>
      <c r="I57" s="156">
        <f>+H57/($D57-'G3 SOUTH'!E22)*100</f>
        <v>1.5296270514502406</v>
      </c>
      <c r="J57" s="157"/>
      <c r="K57" s="161">
        <f>VLOOKUP("SBC",'G3 SOUTH'!$C$54:$I$74,7,FALSE)</f>
        <v>979649.08824517403</v>
      </c>
      <c r="L57" s="157">
        <f>+K57/($D57)*100</f>
        <v>0.25</v>
      </c>
      <c r="M57" s="154"/>
      <c r="N57" s="161">
        <f>VLOOKUP("EERF",'G3 SOUTH'!$C$54:$I$74,7,FALSE)</f>
        <v>3315132.514621669</v>
      </c>
      <c r="O57" s="157">
        <f>+N57/($D57)*100</f>
        <v>0.84600000000000009</v>
      </c>
      <c r="P57" s="157"/>
      <c r="Q57" s="161">
        <f>VLOOKUP("RNEW",'G3 SOUTH'!$C$54:$I$74,7,FALSE)</f>
        <v>195929.81764903481</v>
      </c>
      <c r="R57" s="157">
        <f>+Q57/($D57)*100</f>
        <v>0.05</v>
      </c>
      <c r="S57" s="157"/>
      <c r="T57" s="155">
        <f>'Exh 9_Proposed Track p2'!AV57</f>
        <v>2476449.954296622</v>
      </c>
      <c r="U57" s="156">
        <f>+T57/($D57)*100</f>
        <v>0.63197373018859171</v>
      </c>
      <c r="V57" s="159"/>
      <c r="W57" s="161">
        <f>VLOOKUP("TRNSM",'G3 SOUTH'!$C$54:$I$74,7,FALSE)</f>
        <v>7559484.7495673243</v>
      </c>
      <c r="X57" s="157">
        <f>+W57/($D57)*100</f>
        <v>1.9291307571950276</v>
      </c>
      <c r="Y57" s="157"/>
      <c r="Z57" s="161">
        <f>VLOOKUP("TRNSN",'G3 SOUTH'!$C$54:$I$74,7,FALSE)</f>
        <v>-204195.39680832328</v>
      </c>
      <c r="AA57" s="157">
        <f>+Z57/($D57)*100</f>
        <v>-5.2109321403568713E-2</v>
      </c>
      <c r="AC57" s="161">
        <f>VLOOKUP("BS",'G3 SOUTH'!$C$54:$I$74,7,FALSE)</f>
        <v>63277493.907932281</v>
      </c>
      <c r="AD57" s="157">
        <f>+AC57/($D57)*100</f>
        <v>16.148</v>
      </c>
      <c r="AE57" s="154"/>
      <c r="AF57" s="161">
        <f t="shared" ref="AF57" si="20">H57+K57+N57+Q57+T57+W57+Z57+AC57</f>
        <v>83542062.908168525</v>
      </c>
      <c r="AG57" s="157">
        <f>+AF57/($D57)*100</f>
        <v>21.31938464257027</v>
      </c>
      <c r="AJ57" s="163"/>
    </row>
    <row r="58" spans="1:36" ht="14" x14ac:dyDescent="0.3">
      <c r="A58" s="151" t="str">
        <f>IF(C58&lt;&gt;"",COUNTA($C$11:C58),"")</f>
        <v/>
      </c>
      <c r="B58" s="152"/>
      <c r="D58" s="153"/>
      <c r="E58" s="153"/>
      <c r="G58" s="154"/>
      <c r="H58" s="155"/>
      <c r="I58" s="156"/>
      <c r="J58" s="157"/>
      <c r="K58" s="161"/>
      <c r="L58" s="157"/>
      <c r="M58" s="154"/>
      <c r="N58" s="161"/>
      <c r="O58" s="157"/>
      <c r="P58" s="157"/>
      <c r="Q58" s="161"/>
      <c r="R58" s="157"/>
      <c r="S58" s="157"/>
      <c r="T58" s="155"/>
      <c r="U58" s="156"/>
      <c r="V58" s="159"/>
      <c r="W58" s="161"/>
      <c r="X58" s="157"/>
      <c r="Y58" s="157"/>
      <c r="Z58" s="161"/>
      <c r="AA58" s="157"/>
      <c r="AC58" s="161"/>
      <c r="AD58" s="157"/>
      <c r="AE58" s="154"/>
      <c r="AF58" s="161"/>
      <c r="AG58" s="157"/>
      <c r="AJ58" s="163"/>
    </row>
    <row r="59" spans="1:36" ht="14" x14ac:dyDescent="0.3">
      <c r="A59" s="151">
        <f>IF(C59&lt;&gt;"",COUNTA($C$11:C59),"")</f>
        <v>25</v>
      </c>
      <c r="B59" s="152" t="s">
        <v>125</v>
      </c>
      <c r="C59" s="130" t="s">
        <v>259</v>
      </c>
      <c r="D59" s="153">
        <v>2200252.1870891177</v>
      </c>
      <c r="E59" s="153">
        <v>333.35856333271494</v>
      </c>
      <c r="F59" s="154">
        <v>413630.86140162463</v>
      </c>
      <c r="G59" s="154"/>
      <c r="H59" s="155">
        <f>VLOOKUP("DIST",'G4 SOUTH'!$C$48:$I$68,7,FALSE)</f>
        <v>72800.720980773476</v>
      </c>
      <c r="I59" s="156">
        <f>+H59/($D59)*100</f>
        <v>3.3087443979359081</v>
      </c>
      <c r="J59" s="157"/>
      <c r="K59" s="161">
        <f>VLOOKUP("SBC",'G4 SOUTH'!$C$48:$I$68,7,FALSE)</f>
        <v>5500.6304677227945</v>
      </c>
      <c r="L59" s="157">
        <f>+K59/($D59)*100</f>
        <v>0.25</v>
      </c>
      <c r="M59" s="154"/>
      <c r="N59" s="161">
        <f>VLOOKUP("EERF",'G4 SOUTH'!$C$48:$I$68,7,FALSE)</f>
        <v>18614.133502773937</v>
      </c>
      <c r="O59" s="157">
        <f>+N59/($D59)*100</f>
        <v>0.84600000000000009</v>
      </c>
      <c r="P59" s="157"/>
      <c r="Q59" s="161">
        <f>VLOOKUP("RNEW",'G4 SOUTH'!$C$48:$I$68,7,FALSE)</f>
        <v>1100.1260935445589</v>
      </c>
      <c r="R59" s="157">
        <f>+Q59/($D59)*100</f>
        <v>0.05</v>
      </c>
      <c r="S59" s="157"/>
      <c r="T59" s="155">
        <f>'Exh 9_Proposed Track p2'!AV59</f>
        <v>27352.244076933017</v>
      </c>
      <c r="U59" s="156">
        <f>+T59/($D59)*100</f>
        <v>1.2431413197738663</v>
      </c>
      <c r="V59" s="159"/>
      <c r="W59" s="161">
        <f>VLOOKUP("TRNSM",'G4 SOUTH'!$C$48:$I$68,7,FALSE)</f>
        <v>41420.294806451544</v>
      </c>
      <c r="X59" s="157">
        <f>+W59/($D59)*100</f>
        <v>1.8825248782617789</v>
      </c>
      <c r="Y59" s="157"/>
      <c r="Z59" s="161">
        <f>VLOOKUP("TRNSN",'G4 SOUTH'!$C$48:$I$68,7,FALSE)</f>
        <v>-1146.5364838593182</v>
      </c>
      <c r="AA59" s="157">
        <f>+Z59/($D59)*100</f>
        <v>-5.2109321403568713E-2</v>
      </c>
      <c r="AC59" s="161">
        <f>VLOOKUP("BS",'G4 SOUTH'!$C$48:$I$68,7,FALSE)</f>
        <v>290103.2508677002</v>
      </c>
      <c r="AD59" s="157">
        <f>+AC59/($D59)*100</f>
        <v>13.185000000000002</v>
      </c>
      <c r="AE59" s="154"/>
      <c r="AF59" s="161">
        <f t="shared" ref="AF59" si="21">H59+K59+N59+Q59+T59+W59+Z59+AC59</f>
        <v>455744.86431204021</v>
      </c>
      <c r="AG59" s="157">
        <f>+AF59/($D59)*100</f>
        <v>20.713301274567986</v>
      </c>
      <c r="AJ59" s="163"/>
    </row>
    <row r="60" spans="1:36" ht="14" x14ac:dyDescent="0.3">
      <c r="A60" s="151" t="str">
        <f>IF(C60&lt;&gt;"",COUNTA($C$11:C60),"")</f>
        <v/>
      </c>
      <c r="B60" s="152"/>
      <c r="D60" s="153"/>
      <c r="E60" s="153"/>
      <c r="G60" s="154"/>
      <c r="H60" s="155"/>
      <c r="I60" s="156"/>
      <c r="J60" s="157"/>
      <c r="K60" s="161"/>
      <c r="L60" s="157"/>
      <c r="M60" s="154"/>
      <c r="N60" s="161"/>
      <c r="O60" s="157"/>
      <c r="P60" s="157"/>
      <c r="Q60" s="161"/>
      <c r="R60" s="157"/>
      <c r="S60" s="157"/>
      <c r="T60" s="155"/>
      <c r="U60" s="156"/>
      <c r="V60" s="159"/>
      <c r="W60" s="161"/>
      <c r="X60" s="157"/>
      <c r="Y60" s="157"/>
      <c r="Z60" s="161"/>
      <c r="AA60" s="157"/>
      <c r="AC60" s="161"/>
      <c r="AD60" s="157"/>
      <c r="AE60" s="154"/>
      <c r="AF60" s="161"/>
      <c r="AG60" s="157"/>
      <c r="AJ60" s="163"/>
    </row>
    <row r="61" spans="1:36" ht="14" x14ac:dyDescent="0.3">
      <c r="A61" s="151">
        <f>IF(C61&lt;&gt;"",COUNTA($C$11:C61),"")</f>
        <v>26</v>
      </c>
      <c r="B61" s="152" t="s">
        <v>125</v>
      </c>
      <c r="C61" s="130" t="s">
        <v>260</v>
      </c>
      <c r="D61" s="153">
        <v>12489479.78206725</v>
      </c>
      <c r="E61" s="153">
        <v>9480.954701797009</v>
      </c>
      <c r="F61" s="154">
        <v>2623848.507819064</v>
      </c>
      <c r="G61" s="154"/>
      <c r="H61" s="155">
        <f>VLOOKUP("DIST",'G5 SOUTH'!$C$46:$I$66,7,FALSE)</f>
        <v>518621.79575380834</v>
      </c>
      <c r="I61" s="156">
        <f>+H61/($D61)*100</f>
        <v>4.1524691564692731</v>
      </c>
      <c r="J61" s="157"/>
      <c r="K61" s="161">
        <f>VLOOKUP("SBC",'G5 SOUTH'!$C$46:$I$66,7,FALSE)</f>
        <v>31223.699455168127</v>
      </c>
      <c r="L61" s="157">
        <f>+K61/($D61)*100</f>
        <v>0.25</v>
      </c>
      <c r="M61" s="154"/>
      <c r="N61" s="161">
        <f>VLOOKUP("EERF",'G5 SOUTH'!$C$46:$I$66,7,FALSE)</f>
        <v>105660.99895628894</v>
      </c>
      <c r="O61" s="157">
        <f>+N61/($D61)*100</f>
        <v>0.84600000000000009</v>
      </c>
      <c r="P61" s="157"/>
      <c r="Q61" s="161">
        <f>VLOOKUP("RNEW",'G5 SOUTH'!$C$46:$I$66,7,FALSE)</f>
        <v>6244.7398910336251</v>
      </c>
      <c r="R61" s="157">
        <f>+Q61/($D61)*100</f>
        <v>0.05</v>
      </c>
      <c r="S61" s="157"/>
      <c r="T61" s="155">
        <f>'Exh 9_Proposed Track p2'!AV61</f>
        <v>191370.12336657397</v>
      </c>
      <c r="U61" s="156">
        <f>+T61/($D61)*100</f>
        <v>1.5322505557144872</v>
      </c>
      <c r="V61" s="159"/>
      <c r="W61" s="161">
        <f>VLOOKUP("TRNSM",'G5 SOUTH'!$C$46:$I$66,7,FALSE)</f>
        <v>316674.09719071537</v>
      </c>
      <c r="X61" s="157">
        <f>+W61/($D61)*100</f>
        <v>2.5355267210200783</v>
      </c>
      <c r="Y61" s="157"/>
      <c r="Z61" s="161">
        <f>VLOOKUP("TRNSN",'G5 SOUTH'!$C$46:$I$66,7,FALSE)</f>
        <v>-6508.1831612711567</v>
      </c>
      <c r="AA61" s="157">
        <f>+Z61/($D61)*100</f>
        <v>-5.2109321403568713E-2</v>
      </c>
      <c r="AC61" s="161">
        <f>VLOOKUP("BS",'G5 SOUTH'!$C$46:$I$66,7,FALSE)</f>
        <v>1646737.9092655673</v>
      </c>
      <c r="AD61" s="157">
        <f>+AC61/($D61)*100</f>
        <v>13.185000000000002</v>
      </c>
      <c r="AE61" s="154"/>
      <c r="AF61" s="161">
        <f t="shared" ref="AF61" si="22">H61+K61+N61+Q61+T61+W61+Z61+AC61</f>
        <v>2810025.1807178846</v>
      </c>
      <c r="AG61" s="157">
        <f>+AF61/($D61)*100</f>
        <v>22.499137111800273</v>
      </c>
      <c r="AJ61" s="163"/>
    </row>
    <row r="62" spans="1:36" ht="14" x14ac:dyDescent="0.3">
      <c r="A62" s="151" t="str">
        <f>IF(C62&lt;&gt;"",COUNTA($C$11:C62),"")</f>
        <v/>
      </c>
      <c r="B62" s="152"/>
      <c r="D62" s="153"/>
      <c r="E62" s="153"/>
      <c r="G62" s="154"/>
      <c r="H62" s="155"/>
      <c r="I62" s="156"/>
      <c r="J62" s="157"/>
      <c r="K62" s="161"/>
      <c r="L62" s="157"/>
      <c r="M62" s="154"/>
      <c r="N62" s="161"/>
      <c r="O62" s="157"/>
      <c r="P62" s="157"/>
      <c r="Q62" s="161"/>
      <c r="R62" s="157"/>
      <c r="S62" s="157"/>
      <c r="T62" s="155"/>
      <c r="U62" s="156"/>
      <c r="V62" s="159"/>
      <c r="W62" s="161"/>
      <c r="X62" s="157"/>
      <c r="Y62" s="157"/>
      <c r="Z62" s="161"/>
      <c r="AA62" s="157"/>
      <c r="AC62" s="161"/>
      <c r="AD62" s="157"/>
      <c r="AE62" s="154"/>
      <c r="AF62" s="161"/>
      <c r="AG62" s="157"/>
      <c r="AJ62" s="163"/>
    </row>
    <row r="63" spans="1:36" ht="14" x14ac:dyDescent="0.3">
      <c r="A63" s="151">
        <f>IF(C63&lt;&gt;"",COUNTA($C$11:C63),"")</f>
        <v>27</v>
      </c>
      <c r="B63" s="152" t="s">
        <v>125</v>
      </c>
      <c r="C63" s="130" t="s">
        <v>261</v>
      </c>
      <c r="D63" s="153">
        <v>4068827.6287779063</v>
      </c>
      <c r="E63" s="153">
        <v>77.426512622658436</v>
      </c>
      <c r="F63" s="154">
        <v>713838.68282307219</v>
      </c>
      <c r="G63" s="154"/>
      <c r="H63" s="155">
        <f>VLOOKUP("DIST",'G6 SOUTH'!$C$46:$I$66,7,FALSE)</f>
        <v>71045.294028738586</v>
      </c>
      <c r="I63" s="156">
        <f>+H63/($D63)*100</f>
        <v>1.7460875837121026</v>
      </c>
      <c r="J63" s="157"/>
      <c r="K63" s="161">
        <f>VLOOKUP("SBC",'G6 SOUTH'!$C$46:$I$66,7,FALSE)</f>
        <v>10172.069071944767</v>
      </c>
      <c r="L63" s="157">
        <f>+K63/($D63)*100</f>
        <v>0.25</v>
      </c>
      <c r="M63" s="154"/>
      <c r="N63" s="161">
        <f>VLOOKUP("EERF",'G6 SOUTH'!$C$46:$I$66,7,FALSE)</f>
        <v>34422.28173946109</v>
      </c>
      <c r="O63" s="157">
        <f>+N63/($D63)*100</f>
        <v>0.84600000000000009</v>
      </c>
      <c r="P63" s="157"/>
      <c r="Q63" s="161">
        <f>VLOOKUP("RNEW",'G6 SOUTH'!$C$46:$I$66,7,FALSE)</f>
        <v>2034.4138143889531</v>
      </c>
      <c r="R63" s="157">
        <f>+Q63/($D63)*100</f>
        <v>0.05</v>
      </c>
      <c r="S63" s="157"/>
      <c r="T63" s="155">
        <f>'Exh 9_Proposed Track p2'!AV63</f>
        <v>33380.933617168164</v>
      </c>
      <c r="U63" s="156">
        <f>+T63/($D63)*100</f>
        <v>0.82040667884459639</v>
      </c>
      <c r="V63" s="159"/>
      <c r="W63" s="161">
        <f>VLOOKUP("TRNSM",'G6 SOUTH'!$C$46:$I$66,7,FALSE)</f>
        <v>100791.40729408604</v>
      </c>
      <c r="X63" s="157">
        <f>+W63/($D63)*100</f>
        <v>2.4771609045615746</v>
      </c>
      <c r="Y63" s="157"/>
      <c r="Z63" s="161">
        <f>VLOOKUP("TRNSN",'G6 SOUTH'!$C$46:$I$66,7,FALSE)</f>
        <v>-2120.2384664370829</v>
      </c>
      <c r="AA63" s="157">
        <f>+Z63/($D63)*100</f>
        <v>-5.2109321403568713E-2</v>
      </c>
      <c r="AC63" s="161">
        <f>VLOOKUP("BS",'G6 SOUTH'!$C$46:$I$66,7,FALSE)</f>
        <v>536474.92285436706</v>
      </c>
      <c r="AD63" s="157">
        <f>+AC63/($D63)*100</f>
        <v>13.185000000000002</v>
      </c>
      <c r="AE63" s="154"/>
      <c r="AF63" s="161">
        <f t="shared" ref="AF63" si="23">H63+K63+N63+Q63+T63+W63+Z63+AC63</f>
        <v>786201.08395371761</v>
      </c>
      <c r="AG63" s="157">
        <f>+AF63/($D63)*100</f>
        <v>19.322545845714707</v>
      </c>
      <c r="AJ63" s="163"/>
    </row>
    <row r="64" spans="1:36" ht="14" x14ac:dyDescent="0.3">
      <c r="A64" s="151" t="str">
        <f>IF(C64&lt;&gt;"",COUNTA($C$11:C64),"")</f>
        <v/>
      </c>
      <c r="B64" s="152"/>
      <c r="D64" s="153"/>
      <c r="E64" s="153"/>
      <c r="G64" s="154"/>
      <c r="H64" s="155"/>
      <c r="I64" s="156"/>
      <c r="J64" s="157"/>
      <c r="K64" s="161"/>
      <c r="L64" s="157"/>
      <c r="M64" s="154"/>
      <c r="N64" s="161"/>
      <c r="O64" s="157"/>
      <c r="P64" s="157"/>
      <c r="Q64" s="161"/>
      <c r="R64" s="157"/>
      <c r="S64" s="157"/>
      <c r="T64" s="155"/>
      <c r="U64" s="156"/>
      <c r="V64" s="159"/>
      <c r="W64" s="161"/>
      <c r="X64" s="157"/>
      <c r="Y64" s="157"/>
      <c r="Z64" s="161"/>
      <c r="AA64" s="157"/>
      <c r="AC64" s="161"/>
      <c r="AD64" s="157"/>
      <c r="AE64" s="154"/>
      <c r="AF64" s="161"/>
      <c r="AG64" s="157"/>
      <c r="AJ64" s="163"/>
    </row>
    <row r="65" spans="1:36" ht="14" x14ac:dyDescent="0.3">
      <c r="A65" s="151">
        <f>IF(C65&lt;&gt;"",COUNTA($C$11:C65),"")</f>
        <v>28</v>
      </c>
      <c r="B65" s="152" t="s">
        <v>125</v>
      </c>
      <c r="C65" s="130" t="s">
        <v>266</v>
      </c>
      <c r="D65" s="153">
        <v>50373082.610290118</v>
      </c>
      <c r="E65" s="153">
        <v>5889.9037242548166</v>
      </c>
      <c r="F65" s="154">
        <v>9773317.621572677</v>
      </c>
      <c r="G65" s="154"/>
      <c r="H65" s="155">
        <f>VLOOKUP("DIST",'G7 SOUTH'!$C$50:$I$70,7,FALSE)</f>
        <v>1462154.7569842986</v>
      </c>
      <c r="I65" s="156">
        <f>+H65/($D65)*100</f>
        <v>2.90265094216333</v>
      </c>
      <c r="J65" s="157"/>
      <c r="K65" s="161">
        <f>VLOOKUP("SBC",'G7 SOUTH'!$C$50:$I$70,7,FALSE)</f>
        <v>125932.7065257253</v>
      </c>
      <c r="L65" s="157">
        <f>+K65/($D65)*100</f>
        <v>0.25</v>
      </c>
      <c r="M65" s="154"/>
      <c r="N65" s="161">
        <f>VLOOKUP("EERF",'G7 SOUTH'!$C$50:$I$70,7,FALSE)</f>
        <v>426156.27888305445</v>
      </c>
      <c r="O65" s="157">
        <f>+N65/($D65)*100</f>
        <v>0.84600000000000009</v>
      </c>
      <c r="P65" s="157"/>
      <c r="Q65" s="161">
        <f>VLOOKUP("RNEW",'G7 SOUTH'!$C$50:$I$70,7,FALSE)</f>
        <v>25186.54130514506</v>
      </c>
      <c r="R65" s="157">
        <f>+Q65/($D65)*100</f>
        <v>0.05</v>
      </c>
      <c r="S65" s="157"/>
      <c r="T65" s="155">
        <f>'Exh 9_Proposed Track p2'!AV65</f>
        <v>635936.831784009</v>
      </c>
      <c r="U65" s="156">
        <f>+T65/($D65)*100</f>
        <v>1.2624536733316793</v>
      </c>
      <c r="V65" s="159"/>
      <c r="W65" s="161">
        <f>VLOOKUP("TRNSM",'G7 SOUTH'!$C$50:$I$70,7,FALSE)</f>
        <v>987003.455744782</v>
      </c>
      <c r="X65" s="157">
        <f>+W65/($D65)*100</f>
        <v>1.9593866497722712</v>
      </c>
      <c r="Y65" s="157"/>
      <c r="Z65" s="161">
        <f>VLOOKUP("TRNSN",'G7 SOUTH'!$C$50:$I$70,7,FALSE)</f>
        <v>-26249.071518281256</v>
      </c>
      <c r="AA65" s="157">
        <f>+Z65/($D65)*100</f>
        <v>-5.2109321403568713E-2</v>
      </c>
      <c r="AC65" s="161">
        <f>VLOOKUP("BS",'G7 SOUTH'!$C$50:$I$70,7,FALSE)</f>
        <v>6641690.9421667531</v>
      </c>
      <c r="AD65" s="157">
        <f>+AC65/($D65)*100</f>
        <v>13.185000000000002</v>
      </c>
      <c r="AE65" s="154"/>
      <c r="AF65" s="161">
        <f t="shared" ref="AF65" si="24">H65+K65+N65+Q65+T65+W65+Z65+AC65</f>
        <v>10277812.441875486</v>
      </c>
      <c r="AG65" s="157">
        <f>+AF65/($D65)*100</f>
        <v>20.403381943863714</v>
      </c>
      <c r="AJ65" s="163"/>
    </row>
    <row r="66" spans="1:36" ht="14" x14ac:dyDescent="0.3">
      <c r="A66" s="151"/>
      <c r="B66" s="152"/>
      <c r="D66" s="153"/>
      <c r="E66" s="153"/>
      <c r="G66" s="154"/>
      <c r="H66" s="155"/>
      <c r="I66" s="156"/>
      <c r="J66" s="157"/>
      <c r="K66" s="161"/>
      <c r="L66" s="157"/>
      <c r="M66" s="154"/>
      <c r="N66" s="161"/>
      <c r="O66" s="157"/>
      <c r="P66" s="157"/>
      <c r="Q66" s="161"/>
      <c r="R66" s="157"/>
      <c r="S66" s="157"/>
      <c r="T66" s="155"/>
      <c r="U66" s="156"/>
      <c r="V66" s="159"/>
      <c r="W66" s="161"/>
      <c r="X66" s="157"/>
      <c r="Y66" s="157"/>
      <c r="Z66" s="161"/>
      <c r="AA66" s="157"/>
      <c r="AC66" s="161"/>
      <c r="AD66" s="157"/>
      <c r="AE66" s="154"/>
      <c r="AF66" s="161"/>
      <c r="AG66" s="157"/>
      <c r="AJ66" s="163"/>
    </row>
    <row r="67" spans="1:36" ht="14" x14ac:dyDescent="0.3">
      <c r="A67" s="151">
        <f>IF(C67&lt;&gt;"",COUNTA($C$11:C67),"")</f>
        <v>29</v>
      </c>
      <c r="B67" s="152" t="s">
        <v>125</v>
      </c>
      <c r="C67" s="130" t="s">
        <v>267</v>
      </c>
      <c r="D67" s="153">
        <v>2621428.7752319435</v>
      </c>
      <c r="E67" s="153">
        <v>1024.3563340369901</v>
      </c>
      <c r="F67" s="154">
        <v>585934.3055079456</v>
      </c>
      <c r="G67" s="154"/>
      <c r="H67" s="155">
        <f>VLOOKUP("DIST",'G7S SOUTH'!$C$50:$I$70,7,FALSE)</f>
        <v>164396.85052614773</v>
      </c>
      <c r="I67" s="156">
        <f>+H67/($D67)*100</f>
        <v>6.2712690147990733</v>
      </c>
      <c r="J67" s="157"/>
      <c r="K67" s="161">
        <f>VLOOKUP("SBC",'G7S SOUTH'!$C$50:$I$70,7,FALSE)</f>
        <v>6553.5719380798591</v>
      </c>
      <c r="L67" s="157">
        <f>+K67/($D67)*100</f>
        <v>0.25</v>
      </c>
      <c r="M67" s="154"/>
      <c r="N67" s="161">
        <f>VLOOKUP("EERF",'G7S SOUTH'!$C$50:$I$70,7,FALSE)</f>
        <v>22177.287438462245</v>
      </c>
      <c r="O67" s="157">
        <f>+N67/($D67)*100</f>
        <v>0.84600000000000009</v>
      </c>
      <c r="P67" s="157"/>
      <c r="Q67" s="161">
        <f>VLOOKUP("RNEW",'G7S SOUTH'!$C$50:$I$70,7,FALSE)</f>
        <v>1310.7143876159719</v>
      </c>
      <c r="R67" s="157">
        <f>+Q67/($D67)*100</f>
        <v>0.05</v>
      </c>
      <c r="S67" s="157"/>
      <c r="T67" s="155">
        <f>'Exh 9_Proposed Track p2'!AV67</f>
        <v>33094.32386668933</v>
      </c>
      <c r="U67" s="156">
        <f>+T67/($D67)*100</f>
        <v>1.2624536733316796</v>
      </c>
      <c r="V67" s="159"/>
      <c r="W67" s="161">
        <f>VLOOKUP("TRNSM",'G7S SOUTH'!$C$50:$I$70,7,FALSE)</f>
        <v>41364.935350501466</v>
      </c>
      <c r="X67" s="157">
        <f>+W67/($D67)*100</f>
        <v>1.5779538143980854</v>
      </c>
      <c r="Y67" s="157"/>
      <c r="Z67" s="161">
        <f>VLOOKUP("TRNSN",'G7S SOUTH'!$C$50:$I$70,7,FALSE)</f>
        <v>-1366.0087458512482</v>
      </c>
      <c r="AA67" s="157">
        <f>+Z67/($D67)*100</f>
        <v>-5.2109321403568713E-2</v>
      </c>
      <c r="AC67" s="161">
        <f>VLOOKUP("BS",'G7S SOUTH'!$C$50:$I$70,7,FALSE)</f>
        <v>345635.38401433179</v>
      </c>
      <c r="AD67" s="157">
        <f>+AC67/($D67)*100</f>
        <v>13.185000000000002</v>
      </c>
      <c r="AE67" s="154"/>
      <c r="AF67" s="161">
        <f t="shared" ref="AF67" si="25">H67+K67+N67+Q67+T67+W67+Z67+AC67</f>
        <v>613167.05877597723</v>
      </c>
      <c r="AG67" s="157">
        <f>+AF67/($D67)*100</f>
        <v>23.390567181125274</v>
      </c>
      <c r="AJ67" s="163"/>
    </row>
    <row r="68" spans="1:36" ht="14" x14ac:dyDescent="0.3">
      <c r="A68" s="151" t="str">
        <f>IF(C68&lt;&gt;"",COUNTA($C$11:C68),"")</f>
        <v/>
      </c>
      <c r="B68" s="152"/>
      <c r="D68" s="153"/>
      <c r="E68" s="153"/>
      <c r="H68" s="155"/>
      <c r="I68" s="156"/>
      <c r="J68" s="157"/>
      <c r="K68" s="161"/>
      <c r="L68" s="157"/>
      <c r="M68" s="154"/>
      <c r="N68" s="161"/>
      <c r="O68" s="157"/>
      <c r="P68" s="157"/>
      <c r="Q68" s="161"/>
      <c r="R68" s="157"/>
      <c r="S68" s="157"/>
      <c r="T68" s="155"/>
      <c r="U68" s="156"/>
      <c r="V68" s="159"/>
      <c r="W68" s="161"/>
      <c r="X68" s="157"/>
      <c r="Y68" s="157"/>
      <c r="Z68" s="161"/>
      <c r="AA68" s="157"/>
      <c r="AC68" s="161"/>
      <c r="AD68" s="157"/>
      <c r="AF68" s="161"/>
      <c r="AG68" s="157"/>
    </row>
    <row r="69" spans="1:36" ht="14" x14ac:dyDescent="0.3">
      <c r="A69" s="151">
        <f>IF(C69&lt;&gt;"",COUNTA($C$11:C69),"")</f>
        <v>30</v>
      </c>
      <c r="B69" s="152" t="s">
        <v>114</v>
      </c>
      <c r="C69" s="130">
        <v>23</v>
      </c>
      <c r="D69" s="153">
        <v>158316.06615004761</v>
      </c>
      <c r="E69" s="153">
        <v>291.47510479136696</v>
      </c>
      <c r="F69" s="154">
        <v>34542.766384235641</v>
      </c>
      <c r="H69" s="155">
        <f>VLOOKUP("DIST",'23 WMA'!$C$46:$I$66,7,FALSE)</f>
        <v>9030.1323241554637</v>
      </c>
      <c r="I69" s="156">
        <f>+H69/$D69*100</f>
        <v>5.7038635078242486</v>
      </c>
      <c r="J69" s="157"/>
      <c r="K69" s="161">
        <f>VLOOKUP("SBC",'23 WMA'!$C$46:$I$66,7,FALSE)</f>
        <v>395.79016537511905</v>
      </c>
      <c r="L69" s="157">
        <f>+K69/$D69*100</f>
        <v>0.25</v>
      </c>
      <c r="M69" s="157"/>
      <c r="N69" s="161">
        <f>VLOOKUP("EERF",'23 WMA'!$C$46:$I$66,7,FALSE)</f>
        <v>1538.8321629784627</v>
      </c>
      <c r="O69" s="157">
        <f>+N69/$D69*100</f>
        <v>0.97199999999999998</v>
      </c>
      <c r="P69" s="157"/>
      <c r="Q69" s="161">
        <f>VLOOKUP("RNEW",'23 WMA'!$C$46:$I$66,7,FALSE)</f>
        <v>79.158033075023809</v>
      </c>
      <c r="R69" s="157">
        <f>+Q69/$D69*100</f>
        <v>0.05</v>
      </c>
      <c r="S69" s="157"/>
      <c r="T69" s="155">
        <f>'Exh 9_Proposed Track p2'!AV69</f>
        <v>2268.3037024662681</v>
      </c>
      <c r="U69" s="156">
        <f>+T69/$D69*100</f>
        <v>1.4327691166330727</v>
      </c>
      <c r="V69" s="157"/>
      <c r="W69" s="161">
        <f>VLOOKUP("TRNSM",'23 WMA'!$C$46:$I$66,7,FALSE)</f>
        <v>3064.8757929093517</v>
      </c>
      <c r="X69" s="157">
        <f>+W69/$D69*100</f>
        <v>1.9359221508223599</v>
      </c>
      <c r="Y69" s="157"/>
      <c r="Z69" s="161">
        <f>VLOOKUP("TRNSN",'23 WMA'!$C$46:$I$66,7,FALSE)</f>
        <v>-82.497427743614764</v>
      </c>
      <c r="AA69" s="157">
        <f>+Z69/$D69*100</f>
        <v>-5.2109321403568713E-2</v>
      </c>
      <c r="AC69" s="161">
        <f>VLOOKUP("BS",'23 WMA'!$C$46:$I$66,7,FALSE)</f>
        <v>19559.949972838382</v>
      </c>
      <c r="AD69" s="157">
        <f>+AC69/$D69*100</f>
        <v>12.354999999999999</v>
      </c>
      <c r="AF69" s="161">
        <f>H69+K69+N69+Q69+T69+W69+Z69+AC69</f>
        <v>35854.544726054461</v>
      </c>
      <c r="AG69" s="157">
        <f>+AF69/$D69*100</f>
        <v>22.647445453876113</v>
      </c>
    </row>
    <row r="70" spans="1:36" ht="14" x14ac:dyDescent="0.3">
      <c r="A70" s="151" t="str">
        <f>IF(C70&lt;&gt;"",COUNTA($C$11:C70),"")</f>
        <v/>
      </c>
      <c r="B70" s="152"/>
      <c r="D70" s="153"/>
      <c r="E70" s="153"/>
      <c r="H70" s="155"/>
      <c r="I70" s="156"/>
      <c r="J70" s="157"/>
      <c r="K70" s="161"/>
      <c r="L70" s="157"/>
      <c r="M70" s="157"/>
      <c r="N70" s="161"/>
      <c r="O70" s="157"/>
      <c r="P70" s="157"/>
      <c r="Q70" s="161"/>
      <c r="R70" s="157"/>
      <c r="S70" s="157"/>
      <c r="T70" s="155"/>
      <c r="U70" s="156"/>
      <c r="V70" s="157"/>
      <c r="W70" s="161"/>
      <c r="X70" s="157"/>
      <c r="Y70" s="157"/>
      <c r="Z70" s="161"/>
      <c r="AA70" s="157"/>
      <c r="AC70" s="161"/>
      <c r="AD70" s="157"/>
      <c r="AF70" s="161"/>
      <c r="AG70" s="157"/>
    </row>
    <row r="71" spans="1:36" ht="14" x14ac:dyDescent="0.3">
      <c r="A71" s="151">
        <f>IF(C71&lt;&gt;"",COUNTA($C$11:C71),"")</f>
        <v>31</v>
      </c>
      <c r="B71" s="152" t="s">
        <v>114</v>
      </c>
      <c r="C71" s="130">
        <v>24</v>
      </c>
      <c r="D71" s="153">
        <v>5933293.4264163729</v>
      </c>
      <c r="E71" s="153">
        <v>2448.5239137532376</v>
      </c>
      <c r="F71" s="154">
        <v>1309170.68531572</v>
      </c>
      <c r="H71" s="155">
        <f>VLOOKUP("DIST",'24 WMA'!$C$47:$I$67,7,FALSE)</f>
        <v>345425.34493594372</v>
      </c>
      <c r="I71" s="156">
        <f>+H71/$D71*100</f>
        <v>5.8218146333035117</v>
      </c>
      <c r="J71" s="157"/>
      <c r="K71" s="161">
        <f>VLOOKUP("SBC",'24 WMA'!$C$47:$I$67,7,FALSE)</f>
        <v>14833.233566040932</v>
      </c>
      <c r="L71" s="157">
        <f>+K71/$D71*100</f>
        <v>0.25</v>
      </c>
      <c r="M71" s="157"/>
      <c r="N71" s="161">
        <f>VLOOKUP("EERF",'24 WMA'!$C$47:$I$67,7,FALSE)</f>
        <v>57671.61210476714</v>
      </c>
      <c r="O71" s="157">
        <f>+N71/$D71*100</f>
        <v>0.97199999999999998</v>
      </c>
      <c r="P71" s="157"/>
      <c r="Q71" s="161">
        <f>VLOOKUP("RNEW",'24 WMA'!$C$47:$I$67,7,FALSE)</f>
        <v>2966.6467132081866</v>
      </c>
      <c r="R71" s="157">
        <f>+Q71/$D71*100</f>
        <v>0.05</v>
      </c>
      <c r="S71" s="157"/>
      <c r="T71" s="155">
        <f>'Exh 9_Proposed Track p2'!AV71</f>
        <v>85010.395812914023</v>
      </c>
      <c r="U71" s="156">
        <f>+T71/$D71*100</f>
        <v>1.4327691166330725</v>
      </c>
      <c r="V71" s="157"/>
      <c r="W71" s="161">
        <f>VLOOKUP("TRNSM",'24 WMA'!$C$47:$I$67,7,FALSE)</f>
        <v>130950.52216737116</v>
      </c>
      <c r="X71" s="157">
        <f>+W71/$D71*100</f>
        <v>2.2070461168218927</v>
      </c>
      <c r="Y71" s="157"/>
      <c r="Z71" s="161">
        <f>VLOOKUP("TRNSN",'24 WMA'!$C$47:$I$67,7,FALSE)</f>
        <v>-3091.7989413881223</v>
      </c>
      <c r="AA71" s="157">
        <f>+Z71/$D71*100</f>
        <v>-5.2109321403568713E-2</v>
      </c>
      <c r="AC71" s="161">
        <f>VLOOKUP("BS",'24 WMA'!$C$47:$I$67,7,FALSE)</f>
        <v>733058.40283374279</v>
      </c>
      <c r="AD71" s="157">
        <f>+AC71/$D71*100</f>
        <v>12.354999999999999</v>
      </c>
      <c r="AF71" s="161">
        <f>H71+K71+N71+Q71+T71+W71+Z71+AC71</f>
        <v>1366824.3591925998</v>
      </c>
      <c r="AG71" s="157">
        <f>+AF71/$D71*100</f>
        <v>23.036520545354904</v>
      </c>
    </row>
    <row r="72" spans="1:36" ht="14" x14ac:dyDescent="0.3">
      <c r="A72" s="151" t="str">
        <f>IF(C72&lt;&gt;"",COUNTA($C$11:C72),"")</f>
        <v/>
      </c>
      <c r="B72" s="152"/>
      <c r="D72" s="153"/>
      <c r="E72" s="153"/>
      <c r="H72" s="155"/>
      <c r="I72" s="156"/>
      <c r="J72" s="157"/>
      <c r="K72" s="161"/>
      <c r="L72" s="157"/>
      <c r="M72" s="157"/>
      <c r="N72" s="161"/>
      <c r="O72" s="157"/>
      <c r="P72" s="157"/>
      <c r="Q72" s="161"/>
      <c r="R72" s="157"/>
      <c r="S72" s="157"/>
      <c r="T72" s="155"/>
      <c r="U72" s="156"/>
      <c r="V72" s="157"/>
      <c r="W72" s="161"/>
      <c r="X72" s="157"/>
      <c r="Y72" s="157"/>
      <c r="Z72" s="161"/>
      <c r="AA72" s="157"/>
      <c r="AC72" s="161"/>
      <c r="AD72" s="157"/>
      <c r="AF72" s="161"/>
      <c r="AG72" s="157"/>
    </row>
    <row r="73" spans="1:36" ht="14" x14ac:dyDescent="0.3">
      <c r="A73" s="151">
        <f>IF(C73&lt;&gt;"",COUNTA($C$11:C73),"")</f>
        <v>32</v>
      </c>
      <c r="B73" s="152" t="s">
        <v>114</v>
      </c>
      <c r="C73" s="130" t="s">
        <v>268</v>
      </c>
      <c r="D73" s="153">
        <v>562542914.19204509</v>
      </c>
      <c r="E73" s="153">
        <v>256087.8257628904</v>
      </c>
      <c r="F73" s="154">
        <v>118995253.54567547</v>
      </c>
      <c r="H73" s="155">
        <f>VLOOKUP("DIST",'G0 WMA'!$C$52:$I$72,7,FALSE)</f>
        <v>26218591.709507599</v>
      </c>
      <c r="I73" s="156">
        <f>+H73/$D73*100</f>
        <v>4.6607273948449208</v>
      </c>
      <c r="J73" s="157"/>
      <c r="K73" s="161">
        <f>VLOOKUP("SBC",'G0 WMA'!$C$52:$I$72,7,FALSE)</f>
        <v>1406357.2854801128</v>
      </c>
      <c r="L73" s="157">
        <f>+K73/$D73*100</f>
        <v>0.25</v>
      </c>
      <c r="M73" s="157"/>
      <c r="N73" s="161">
        <f>VLOOKUP("EERF",'G0 WMA'!$C$52:$I$72,7,FALSE)</f>
        <v>5467917.1259466782</v>
      </c>
      <c r="O73" s="157">
        <f>+N73/$D73*100</f>
        <v>0.97199999999999998</v>
      </c>
      <c r="P73" s="157"/>
      <c r="Q73" s="161">
        <f>VLOOKUP("RNEW",'G0 WMA'!$C$52:$I$72,7,FALSE)</f>
        <v>281271.45709602255</v>
      </c>
      <c r="R73" s="157">
        <f>+Q73/$D73*100</f>
        <v>0.05</v>
      </c>
      <c r="S73" s="157"/>
      <c r="T73" s="155">
        <f>'Exh 9_Proposed Track p2'!AV73</f>
        <v>8059941.1423513088</v>
      </c>
      <c r="U73" s="156">
        <f>+T73/$D73*100</f>
        <v>1.4327691166330727</v>
      </c>
      <c r="V73" s="157"/>
      <c r="W73" s="161">
        <f>VLOOKUP("TRNSM",'G0 WMA'!$C$52:$I$72,7,FALSE)</f>
        <v>13131882.83530435</v>
      </c>
      <c r="X73" s="157">
        <f>+W73/$D73*100</f>
        <v>2.3343788543075115</v>
      </c>
      <c r="Y73" s="157"/>
      <c r="Z73" s="161">
        <f>VLOOKUP("TRNSN",'G0 WMA'!$C$52:$I$72,7,FALSE)</f>
        <v>-293137.29518933455</v>
      </c>
      <c r="AA73" s="157">
        <f>+Z73/$D73*100</f>
        <v>-5.2109321403568713E-2</v>
      </c>
      <c r="AC73" s="161">
        <f>VLOOKUP("BS",'G0 WMA'!$C$52:$I$72,7,FALSE)</f>
        <v>69502177.048427165</v>
      </c>
      <c r="AD73" s="157">
        <f>+AC73/$D73*100</f>
        <v>12.354999999999999</v>
      </c>
      <c r="AF73" s="161">
        <f>H73+K73+N73+Q73+T73+W73+Z73+AC73</f>
        <v>123775001.3089239</v>
      </c>
      <c r="AG73" s="157">
        <f>+AF73/$D73*100</f>
        <v>22.002766044381936</v>
      </c>
    </row>
    <row r="74" spans="1:36" ht="14" x14ac:dyDescent="0.3">
      <c r="A74" s="151" t="str">
        <f>IF(C74&lt;&gt;"",COUNTA($C$11:C74),"")</f>
        <v/>
      </c>
      <c r="B74" s="152"/>
      <c r="D74" s="153"/>
      <c r="E74" s="153"/>
      <c r="H74" s="155"/>
      <c r="I74" s="156"/>
      <c r="J74" s="157"/>
      <c r="K74" s="161"/>
      <c r="L74" s="157"/>
      <c r="M74" s="157"/>
      <c r="N74" s="161"/>
      <c r="O74" s="157"/>
      <c r="P74" s="157"/>
      <c r="Q74" s="161"/>
      <c r="R74" s="157"/>
      <c r="S74" s="157"/>
      <c r="T74" s="155"/>
      <c r="U74" s="156"/>
      <c r="V74" s="157"/>
      <c r="W74" s="161"/>
      <c r="X74" s="157"/>
      <c r="Y74" s="157"/>
      <c r="Z74" s="161"/>
      <c r="AA74" s="157"/>
      <c r="AC74" s="161"/>
      <c r="AD74" s="157"/>
      <c r="AF74" s="161"/>
      <c r="AG74" s="157"/>
    </row>
    <row r="75" spans="1:36" ht="14" x14ac:dyDescent="0.3">
      <c r="A75" s="151">
        <f>IF(C75&lt;&gt;"",COUNTA($C$11:C75),"")</f>
        <v>33</v>
      </c>
      <c r="B75" s="152" t="s">
        <v>114</v>
      </c>
      <c r="C75" s="130" t="s">
        <v>269</v>
      </c>
      <c r="D75" s="153">
        <v>1601959.1533586292</v>
      </c>
      <c r="E75" s="153">
        <v>125.23541983622505</v>
      </c>
      <c r="F75" s="154">
        <v>340481.55426656862</v>
      </c>
      <c r="H75" s="155">
        <f>VLOOKUP("DIST",'T0 WMA'!$C$52:$I$72,7,FALSE)</f>
        <v>58716.185407792589</v>
      </c>
      <c r="I75" s="156">
        <f>+H75/$D75*100</f>
        <v>3.6652735673496819</v>
      </c>
      <c r="J75" s="157"/>
      <c r="K75" s="161">
        <f>VLOOKUP("SBC",'T0 WMA'!$C$52:$I$72,7,FALSE)</f>
        <v>4004.897883396573</v>
      </c>
      <c r="L75" s="157">
        <f>+K75/$D75*100</f>
        <v>0.25</v>
      </c>
      <c r="M75" s="157"/>
      <c r="N75" s="161">
        <f>VLOOKUP("EERF",'T0 WMA'!$C$52:$I$72,7,FALSE)</f>
        <v>15571.042970645874</v>
      </c>
      <c r="O75" s="157">
        <f>+N75/$D75*100</f>
        <v>0.97199999999999998</v>
      </c>
      <c r="P75" s="157"/>
      <c r="Q75" s="161">
        <f>VLOOKUP("RNEW",'T0 WMA'!$C$52:$I$72,7,FALSE)</f>
        <v>800.97957667931462</v>
      </c>
      <c r="R75" s="157">
        <f>+Q75/$D75*100</f>
        <v>0.05</v>
      </c>
      <c r="S75" s="157"/>
      <c r="T75" s="155">
        <f>'Exh 9_Proposed Track p2'!AV75</f>
        <v>22952.376010399072</v>
      </c>
      <c r="U75" s="156">
        <f>+T75/$D75*100</f>
        <v>1.432769116633072</v>
      </c>
      <c r="V75" s="157"/>
      <c r="W75" s="161">
        <f>VLOOKUP("TRNSM",'T0 WMA'!$C$52:$I$72,7,FALSE)</f>
        <v>39708.992592464594</v>
      </c>
      <c r="X75" s="157">
        <f>+W75/$D75*100</f>
        <v>2.4787768470383074</v>
      </c>
      <c r="Y75" s="157"/>
      <c r="Z75" s="161">
        <f>VLOOKUP("TRNSN",'T0 WMA'!$C$52:$I$72,7,FALSE)</f>
        <v>-834.77004397753626</v>
      </c>
      <c r="AA75" s="157">
        <f>+Z75/$D75*100</f>
        <v>-5.2109321403568713E-2</v>
      </c>
      <c r="AC75" s="161">
        <f>VLOOKUP("BS",'T0 WMA'!$C$52:$I$72,7,FALSE)</f>
        <v>197922.05339745863</v>
      </c>
      <c r="AD75" s="157">
        <f>+AC75/$D75*100</f>
        <v>12.354999999999999</v>
      </c>
      <c r="AF75" s="161">
        <f>H75+K75+N75+Q75+T75+W75+Z75+AC75</f>
        <v>338841.75779485912</v>
      </c>
      <c r="AG75" s="157">
        <f>+AF75/$D75*100</f>
        <v>21.151710209617491</v>
      </c>
    </row>
    <row r="76" spans="1:36" ht="14" x14ac:dyDescent="0.3">
      <c r="A76" s="151" t="str">
        <f>IF(C76&lt;&gt;"",COUNTA($C$11:C76),"")</f>
        <v/>
      </c>
      <c r="B76" s="152"/>
      <c r="D76" s="153"/>
      <c r="E76" s="153"/>
      <c r="H76" s="155"/>
      <c r="I76" s="156"/>
      <c r="J76" s="157"/>
      <c r="K76" s="161"/>
      <c r="L76" s="157"/>
      <c r="M76" s="157"/>
      <c r="N76" s="161"/>
      <c r="O76" s="157"/>
      <c r="P76" s="157"/>
      <c r="Q76" s="161"/>
      <c r="R76" s="157"/>
      <c r="S76" s="157"/>
      <c r="T76" s="155"/>
      <c r="U76" s="156"/>
      <c r="V76" s="157"/>
      <c r="W76" s="161"/>
      <c r="X76" s="157"/>
      <c r="Y76" s="157"/>
      <c r="Z76" s="161"/>
      <c r="AA76" s="157"/>
      <c r="AC76" s="161"/>
      <c r="AD76" s="157"/>
      <c r="AF76" s="161"/>
      <c r="AG76" s="157"/>
    </row>
    <row r="77" spans="1:36" ht="14" x14ac:dyDescent="0.3">
      <c r="A77" s="151">
        <f>IF(C77&lt;&gt;"",COUNTA($C$11:C77),"")</f>
        <v>34</v>
      </c>
      <c r="B77" s="152" t="s">
        <v>114</v>
      </c>
      <c r="C77" s="130" t="s">
        <v>121</v>
      </c>
      <c r="D77" s="153">
        <v>385981996.11299169</v>
      </c>
      <c r="E77" s="153">
        <v>12996.28598443386</v>
      </c>
      <c r="F77" s="154">
        <v>72908498.400269061</v>
      </c>
      <c r="H77" s="155">
        <f>VLOOKUP("DIST",'G2 WMA'!$C$52:$I$72,7,FALSE)</f>
        <v>11109328.375773761</v>
      </c>
      <c r="I77" s="156">
        <f>+H77/$D77*100</f>
        <v>2.8781985915533834</v>
      </c>
      <c r="J77" s="157"/>
      <c r="K77" s="161">
        <f>VLOOKUP("SBC",'G2 WMA'!$C$52:$I$72,7,FALSE)</f>
        <v>964954.99028247921</v>
      </c>
      <c r="L77" s="157">
        <f>+K77/$D77*100</f>
        <v>0.25</v>
      </c>
      <c r="M77" s="157"/>
      <c r="N77" s="161">
        <f>VLOOKUP("EERF",'G2 WMA'!$C$52:$I$72,7,FALSE)</f>
        <v>3751745.0022182791</v>
      </c>
      <c r="O77" s="157">
        <f>+N77/$D77*100</f>
        <v>0.97199999999999998</v>
      </c>
      <c r="P77" s="157"/>
      <c r="Q77" s="161">
        <f>VLOOKUP("RNEW",'G2 WMA'!$C$52:$I$72,7,FALSE)</f>
        <v>192990.99805649585</v>
      </c>
      <c r="R77" s="157">
        <f>+Q77/$D77*100</f>
        <v>0.05</v>
      </c>
      <c r="S77" s="157"/>
      <c r="T77" s="155">
        <f>'Exh 9_Proposed Track p2'!AV77</f>
        <v>3744476.7470322303</v>
      </c>
      <c r="U77" s="156">
        <f>+T77/$D77*100</f>
        <v>0.97011694450538022</v>
      </c>
      <c r="V77" s="157"/>
      <c r="W77" s="161">
        <f>VLOOKUP("TRNSM",'G2 WMA'!$C$52:$I$72,7,FALSE)</f>
        <v>8071128.3582732938</v>
      </c>
      <c r="X77" s="157">
        <f>+W77/$D77*100</f>
        <v>2.0910634277124589</v>
      </c>
      <c r="Y77" s="157"/>
      <c r="Z77" s="161">
        <f>VLOOKUP("TRNSN",'G2 WMA'!$C$52:$I$72,7,FALSE)</f>
        <v>-201132.59891442893</v>
      </c>
      <c r="AA77" s="157">
        <f>+Z77/$D77*100</f>
        <v>-5.2109321403568713E-2</v>
      </c>
      <c r="AC77" s="161">
        <f>VLOOKUP("BS",'G2 WMA'!$C$52:$I$72,7,FALSE)</f>
        <v>57275868.403206848</v>
      </c>
      <c r="AD77" s="157">
        <f>+AC77/$D77*100</f>
        <v>14.839000000000002</v>
      </c>
      <c r="AF77" s="161">
        <f>H77+K77+N77+Q77+T77+W77+Z77+AC77</f>
        <v>84909360.275928959</v>
      </c>
      <c r="AG77" s="157">
        <f>+AF77/$D77*100</f>
        <v>21.998269642367656</v>
      </c>
    </row>
    <row r="78" spans="1:36" ht="14" x14ac:dyDescent="0.3">
      <c r="A78" s="151" t="str">
        <f>IF(C78&lt;&gt;"",COUNTA($C$11:C78),"")</f>
        <v/>
      </c>
      <c r="B78" s="152"/>
      <c r="D78" s="153"/>
      <c r="E78" s="153"/>
      <c r="H78" s="155"/>
      <c r="I78" s="156"/>
      <c r="J78" s="157"/>
      <c r="K78" s="161"/>
      <c r="L78" s="157"/>
      <c r="M78" s="157"/>
      <c r="N78" s="161"/>
      <c r="O78" s="157"/>
      <c r="P78" s="157"/>
      <c r="Q78" s="161"/>
      <c r="R78" s="157"/>
      <c r="S78" s="157"/>
      <c r="T78" s="155"/>
      <c r="U78" s="156"/>
      <c r="V78" s="157"/>
      <c r="W78" s="161"/>
      <c r="X78" s="157"/>
      <c r="Y78" s="157"/>
      <c r="Z78" s="161"/>
      <c r="AA78" s="157"/>
      <c r="AC78" s="161"/>
      <c r="AD78" s="157"/>
      <c r="AF78" s="161"/>
      <c r="AG78" s="157"/>
    </row>
    <row r="79" spans="1:36" ht="14" x14ac:dyDescent="0.3">
      <c r="A79" s="151">
        <f>IF(C79&lt;&gt;"",COUNTA($C$11:C79),"")</f>
        <v>35</v>
      </c>
      <c r="B79" s="152" t="s">
        <v>114</v>
      </c>
      <c r="C79" s="130" t="s">
        <v>270</v>
      </c>
      <c r="D79" s="153">
        <v>6760183.4901927877</v>
      </c>
      <c r="E79" s="153">
        <v>188.45217000811408</v>
      </c>
      <c r="F79" s="154">
        <v>1276761.7142370383</v>
      </c>
      <c r="H79" s="155">
        <f>VLOOKUP("DIST",'T4 WMA'!$C$54:$I$74,7,FALSE)</f>
        <v>177902.84505176713</v>
      </c>
      <c r="I79" s="156">
        <f>+H79/$D79*100</f>
        <v>2.6316274596666855</v>
      </c>
      <c r="J79" s="157"/>
      <c r="K79" s="161">
        <f>VLOOKUP("SBC",'T4 WMA'!$C$54:$I$74,7,FALSE)</f>
        <v>16900.458725481971</v>
      </c>
      <c r="L79" s="157">
        <f>+K79/$D79*100</f>
        <v>0.25</v>
      </c>
      <c r="M79" s="157"/>
      <c r="N79" s="161">
        <f>VLOOKUP("EERF",'T4 WMA'!$C$54:$I$74,7,FALSE)</f>
        <v>65708.983524673895</v>
      </c>
      <c r="O79" s="157">
        <f>+N79/$D79*100</f>
        <v>0.97199999999999998</v>
      </c>
      <c r="P79" s="157"/>
      <c r="Q79" s="161">
        <f>VLOOKUP("RNEW",'T4 WMA'!$C$54:$I$74,7,FALSE)</f>
        <v>3380.0917450963939</v>
      </c>
      <c r="R79" s="157">
        <f>+Q79/$D79*100</f>
        <v>0.05</v>
      </c>
      <c r="S79" s="157"/>
      <c r="T79" s="155">
        <f>'Exh 9_Proposed Track p2'!AV79</f>
        <v>65581.685518015438</v>
      </c>
      <c r="U79" s="156">
        <f>+T79/$D79*100</f>
        <v>0.97011694450538022</v>
      </c>
      <c r="V79" s="157"/>
      <c r="W79" s="161">
        <f>VLOOKUP("TRNSM",'T4 WMA'!$C$54:$I$74,7,FALSE)</f>
        <v>140421.81362726886</v>
      </c>
      <c r="X79" s="157">
        <f>+W79/$D79*100</f>
        <v>2.0771893814862161</v>
      </c>
      <c r="Y79" s="157"/>
      <c r="Z79" s="161">
        <f>VLOOKUP("TRNSN",'T4 WMA'!$C$54:$I$74,7,FALSE)</f>
        <v>-3522.6857423755487</v>
      </c>
      <c r="AA79" s="157">
        <f>+Z79/$D79*100</f>
        <v>-5.2109321403568713E-2</v>
      </c>
      <c r="AC79" s="161">
        <f>VLOOKUP("BS",'T4 WMA'!$C$54:$I$74,7,FALSE)</f>
        <v>1003143.628109708</v>
      </c>
      <c r="AD79" s="157">
        <f>+AC79/$D79*100</f>
        <v>14.839000000000002</v>
      </c>
      <c r="AF79" s="161">
        <f>H79+K79+N79+Q79+T79+W79+Z79+AC79</f>
        <v>1469516.8205596362</v>
      </c>
      <c r="AG79" s="157">
        <f>+AF79/$D79*100</f>
        <v>21.737824464254718</v>
      </c>
    </row>
    <row r="80" spans="1:36" ht="14" x14ac:dyDescent="0.3">
      <c r="A80" s="151" t="str">
        <f>IF(C80&lt;&gt;"",COUNTA($C$11:C80),"")</f>
        <v/>
      </c>
      <c r="B80" s="152"/>
      <c r="D80" s="153"/>
      <c r="E80" s="153"/>
      <c r="H80" s="155"/>
      <c r="I80" s="156"/>
      <c r="J80" s="157"/>
      <c r="K80" s="161"/>
      <c r="L80" s="157"/>
      <c r="M80" s="157"/>
      <c r="N80" s="161"/>
      <c r="O80" s="157"/>
      <c r="P80" s="157"/>
      <c r="Q80" s="161"/>
      <c r="R80" s="157"/>
      <c r="S80" s="157"/>
      <c r="T80" s="155"/>
      <c r="U80" s="156"/>
      <c r="V80" s="157"/>
      <c r="W80" s="161"/>
      <c r="X80" s="157"/>
      <c r="Y80" s="157"/>
      <c r="Z80" s="161"/>
      <c r="AA80" s="157"/>
      <c r="AC80" s="161"/>
      <c r="AD80" s="157"/>
      <c r="AF80" s="161"/>
      <c r="AG80" s="157"/>
    </row>
    <row r="81" spans="1:34" ht="14" x14ac:dyDescent="0.3">
      <c r="A81" s="151">
        <f>IF(C81&lt;&gt;"",COUNTA($C$11:C81),"")</f>
        <v>36</v>
      </c>
      <c r="B81" s="152" t="s">
        <v>114</v>
      </c>
      <c r="C81" s="130" t="s">
        <v>131</v>
      </c>
      <c r="D81" s="153">
        <v>686733494.98012543</v>
      </c>
      <c r="E81" s="153">
        <v>3392.3276093645941</v>
      </c>
      <c r="F81" s="154">
        <v>123225624.16185108</v>
      </c>
      <c r="H81" s="155">
        <f>VLOOKUP("DIST",'T2 WMA'!$C$55:$I$75,7,FALSE)</f>
        <v>14856844.824130487</v>
      </c>
      <c r="I81" s="156">
        <f>+H81/$D81*100</f>
        <v>2.1634076294124047</v>
      </c>
      <c r="J81" s="157"/>
      <c r="K81" s="161">
        <f>VLOOKUP("SBC",'T2 WMA'!$C$55:$I$75,7,FALSE)</f>
        <v>1716833.7374503135</v>
      </c>
      <c r="L81" s="157">
        <f>+K81/$D81*100</f>
        <v>0.25</v>
      </c>
      <c r="M81" s="157"/>
      <c r="N81" s="161">
        <f>VLOOKUP("EERF",'T2 WMA'!$C$55:$I$75,7,FALSE)</f>
        <v>6675049.5712068183</v>
      </c>
      <c r="O81" s="157">
        <f>+N81/$D81*100</f>
        <v>0.97199999999999998</v>
      </c>
      <c r="P81" s="157"/>
      <c r="Q81" s="161">
        <f>VLOOKUP("RNEW",'T2 WMA'!$C$55:$I$75,7,FALSE)</f>
        <v>343366.74749006273</v>
      </c>
      <c r="R81" s="157">
        <f>+Q81/$D81*100</f>
        <v>0.05</v>
      </c>
      <c r="S81" s="157"/>
      <c r="T81" s="155">
        <f>'Exh 9_Proposed Track p2'!AV81</f>
        <v>5285517.4283484444</v>
      </c>
      <c r="U81" s="156">
        <f>+T81/$D81*100</f>
        <v>0.76966064229929709</v>
      </c>
      <c r="V81" s="157"/>
      <c r="W81" s="161">
        <f>VLOOKUP("TRNSM",'T2 WMA'!$C$55:$I$75,7,FALSE)</f>
        <v>13875334.544034604</v>
      </c>
      <c r="X81" s="157">
        <f>+W81/$D81*100</f>
        <v>2.020483148915893</v>
      </c>
      <c r="Y81" s="157"/>
      <c r="Z81" s="161">
        <f>VLOOKUP("TRNSN",'T2 WMA'!$C$55:$I$75,7,FALSE)</f>
        <v>-357852.16408515396</v>
      </c>
      <c r="AA81" s="157">
        <f>+Z81/$D81*100</f>
        <v>-5.2109321403568713E-2</v>
      </c>
      <c r="AC81" s="161">
        <f>VLOOKUP("BS",'T2 WMA'!$C$55:$I$75,7,FALSE)</f>
        <v>101904383.32010083</v>
      </c>
      <c r="AD81" s="157">
        <f>+AC81/$D81*100</f>
        <v>14.839000000000002</v>
      </c>
      <c r="AF81" s="161">
        <f>H81+K81+N81+Q81+T81+W81+Z81+AC81</f>
        <v>144299478.00867641</v>
      </c>
      <c r="AG81" s="157">
        <f>+AF81/$D81*100</f>
        <v>21.012442099224028</v>
      </c>
    </row>
    <row r="82" spans="1:34" ht="14" x14ac:dyDescent="0.3">
      <c r="A82" s="151" t="str">
        <f>IF(C82&lt;&gt;"",COUNTA($C$11:C82),"")</f>
        <v/>
      </c>
      <c r="B82" s="152"/>
      <c r="D82" s="153"/>
      <c r="E82" s="153"/>
      <c r="H82" s="155"/>
      <c r="I82" s="156"/>
      <c r="J82" s="157"/>
      <c r="K82" s="161"/>
      <c r="L82" s="157"/>
      <c r="M82" s="157"/>
      <c r="N82" s="161"/>
      <c r="O82" s="157"/>
      <c r="P82" s="157"/>
      <c r="Q82" s="161"/>
      <c r="R82" s="157"/>
      <c r="S82" s="157"/>
      <c r="T82" s="155"/>
      <c r="U82" s="156"/>
      <c r="V82" s="157"/>
      <c r="W82" s="161"/>
      <c r="X82" s="157"/>
      <c r="Y82" s="157"/>
      <c r="Z82" s="161"/>
      <c r="AA82" s="157"/>
      <c r="AC82" s="161"/>
      <c r="AD82" s="157"/>
      <c r="AF82" s="161"/>
      <c r="AG82" s="157"/>
    </row>
    <row r="83" spans="1:34" ht="14" x14ac:dyDescent="0.3">
      <c r="A83" s="151">
        <f>IF(C83&lt;&gt;"",COUNTA($C$11:C83),"")</f>
        <v>37</v>
      </c>
      <c r="B83" s="152" t="s">
        <v>114</v>
      </c>
      <c r="C83" s="130" t="s">
        <v>132</v>
      </c>
      <c r="D83" s="153">
        <v>413636239.33642119</v>
      </c>
      <c r="E83" s="153">
        <v>245.65262819460156</v>
      </c>
      <c r="F83" s="154">
        <v>64472338.344659567</v>
      </c>
      <c r="H83" s="155">
        <f>VLOOKUP("DIST",'T5 WMA'!$C$52:$I$72,7,FALSE)</f>
        <v>3969450.3583248006</v>
      </c>
      <c r="I83" s="156">
        <f>+H83/($D83-'T5 WMA'!E21)*100</f>
        <v>1.0688717821182414</v>
      </c>
      <c r="J83" s="157"/>
      <c r="K83" s="161">
        <f>VLOOKUP("SBC",'T5 WMA'!$C$52:$I$72,7,FALSE)</f>
        <v>1034090.5964132479</v>
      </c>
      <c r="L83" s="157">
        <f>+K83/$D83*100</f>
        <v>0.24999999953393709</v>
      </c>
      <c r="M83" s="157"/>
      <c r="N83" s="161">
        <f>VLOOKUP("EERF",'T5 WMA'!$C$52:$I$72,7,FALSE)</f>
        <v>4020544.2388547077</v>
      </c>
      <c r="O83" s="157">
        <f>+N83/$D83*100</f>
        <v>0.97199999818794736</v>
      </c>
      <c r="P83" s="157"/>
      <c r="Q83" s="161">
        <f>VLOOKUP("RNEW",'T5 WMA'!$C$52:$I$72,7,FALSE)</f>
        <v>206818.11928264957</v>
      </c>
      <c r="R83" s="157">
        <f>+Q83/$D83*100</f>
        <v>4.9999999906787412E-2</v>
      </c>
      <c r="S83" s="157"/>
      <c r="T83" s="155">
        <f>'Exh 9_Proposed Track p2'!AV83</f>
        <v>2108090.0661374382</v>
      </c>
      <c r="U83" s="156">
        <f>+T83/$D83*100</f>
        <v>0.50964830100944636</v>
      </c>
      <c r="V83" s="157"/>
      <c r="W83" s="161">
        <f>VLOOKUP("TRNSM",'T5 WMA'!$C$52:$I$72,7,FALSE)</f>
        <v>7718701.3462633397</v>
      </c>
      <c r="X83" s="157">
        <f>+W83/$D83*100</f>
        <v>1.8660602268906903</v>
      </c>
      <c r="Y83" s="157"/>
      <c r="Z83" s="161">
        <f>VLOOKUP("TRNSN",'T5 WMA'!$C$52:$I$72,7,FALSE)</f>
        <v>-215543.03699562396</v>
      </c>
      <c r="AA83" s="157">
        <f>+Z83/$D83*100</f>
        <v>-5.2109321306423817E-2</v>
      </c>
      <c r="AC83" s="161">
        <f>VLOOKUP("BS",'T5 WMA'!$C$52:$I$72,7,FALSE)</f>
        <v>61379481.440704748</v>
      </c>
      <c r="AD83" s="157">
        <f>+AC83/$D83*100</f>
        <v>14.838999972336373</v>
      </c>
      <c r="AF83" s="161">
        <f>H83+K83+N83+Q83+T83+W83+Z83+AC83</f>
        <v>80221633.128985316</v>
      </c>
      <c r="AG83" s="157">
        <f>+AF83/$D83*100</f>
        <v>19.394246804313237</v>
      </c>
    </row>
    <row r="84" spans="1:34" ht="14" x14ac:dyDescent="0.3">
      <c r="A84" s="151" t="str">
        <f>IF(C84&lt;&gt;"",COUNTA($C$11:C84),"")</f>
        <v/>
      </c>
      <c r="B84" s="152"/>
      <c r="C84" s="130"/>
      <c r="D84" s="153"/>
      <c r="E84" s="153"/>
      <c r="F84" s="154"/>
      <c r="H84" s="155"/>
      <c r="I84" s="156"/>
      <c r="J84" s="157"/>
      <c r="K84" s="161"/>
      <c r="L84" s="157"/>
      <c r="M84" s="157"/>
      <c r="N84" s="161"/>
      <c r="O84" s="157"/>
      <c r="P84" s="157"/>
      <c r="Q84" s="161"/>
      <c r="R84" s="157"/>
      <c r="S84" s="157"/>
      <c r="T84" s="155"/>
      <c r="U84" s="156"/>
      <c r="V84" s="157"/>
      <c r="W84" s="161"/>
      <c r="X84" s="157"/>
      <c r="Y84" s="157"/>
      <c r="Z84" s="161"/>
      <c r="AA84" s="157"/>
      <c r="AC84" s="161"/>
      <c r="AD84" s="157"/>
      <c r="AF84" s="161"/>
      <c r="AG84" s="157"/>
    </row>
    <row r="85" spans="1:34" ht="14" x14ac:dyDescent="0.3">
      <c r="A85" s="151">
        <f>IF(C85&lt;&gt;"",COUNTA($C$11:C85),"")</f>
        <v>38</v>
      </c>
      <c r="B85" s="152" t="s">
        <v>111</v>
      </c>
      <c r="C85" s="130" t="s">
        <v>133</v>
      </c>
      <c r="D85" s="153">
        <v>92440677.869065344</v>
      </c>
      <c r="E85" s="153">
        <v>152737.66768395898</v>
      </c>
      <c r="F85" s="154">
        <v>19756317.182327159</v>
      </c>
      <c r="H85" s="155">
        <f>VLOOKUP("DIST",'S1_S2 EMA'!$C$45:$I$65,7,FALSE)</f>
        <v>6276559.0945160864</v>
      </c>
      <c r="I85" s="156">
        <f>+H85/($D85)*100</f>
        <v>6.7898237434025734</v>
      </c>
      <c r="J85" s="157"/>
      <c r="K85" s="161">
        <f>VLOOKUP("SBC",'S1_S2 EMA'!$C$45:$I$65,7,FALSE)</f>
        <v>231101.69467266338</v>
      </c>
      <c r="L85" s="157">
        <f>+K85/($D85)*100</f>
        <v>0.25</v>
      </c>
      <c r="M85" s="154"/>
      <c r="N85" s="161">
        <f>VLOOKUP("EERF",'S1_S2 EMA'!$C$45:$I$65,7,FALSE)</f>
        <v>782048.1347722928</v>
      </c>
      <c r="O85" s="157">
        <f>+N85/($D85)*100</f>
        <v>0.84600000000000009</v>
      </c>
      <c r="P85" s="166"/>
      <c r="Q85" s="161">
        <f>VLOOKUP("RNEW",'S1_S2 EMA'!$C$45:$I$65,7,FALSE)</f>
        <v>46220.338934532672</v>
      </c>
      <c r="R85" s="157">
        <f>+Q85/($D85)*100</f>
        <v>0.05</v>
      </c>
      <c r="S85" s="166"/>
      <c r="T85" s="155">
        <f>'Exh 9_Proposed Track p2'!AV85</f>
        <v>1447842.2710770937</v>
      </c>
      <c r="U85" s="156">
        <f>+T85/($D85)*100</f>
        <v>1.5662393487938759</v>
      </c>
      <c r="V85" s="167"/>
      <c r="W85" s="161">
        <f>VLOOKUP("TRNSM",'S1_S2 EMA'!$C$45:$I$65,7,FALSE)</f>
        <v>838474.8944898824</v>
      </c>
      <c r="X85" s="157">
        <f>+W85/($D85)*100</f>
        <v>0.90704104926352169</v>
      </c>
      <c r="Y85" s="166"/>
      <c r="Z85" s="161">
        <f>VLOOKUP("TRNSN",'S1_S2 EMA'!$C$45:$I$65,7,FALSE)</f>
        <v>-48170.209938428874</v>
      </c>
      <c r="AA85" s="157">
        <f>+Z85/($D85)*100</f>
        <v>-5.2109321403568713E-2</v>
      </c>
      <c r="AB85" s="168"/>
      <c r="AC85" s="161">
        <f>VLOOKUP("BS",'S1_S2 EMA'!$C$45:$I$65,7,FALSE)</f>
        <v>12188303.377036268</v>
      </c>
      <c r="AD85" s="157">
        <f>+AC85/($D85)*100</f>
        <v>13.185000000000002</v>
      </c>
      <c r="AE85" s="168"/>
      <c r="AF85" s="161">
        <f>H85+K85+N85+Q85+T85+W85+Z85+AC85</f>
        <v>21762379.595560391</v>
      </c>
      <c r="AG85" s="157">
        <f>+AF85/($D85)*100</f>
        <v>23.541994820056406</v>
      </c>
    </row>
    <row r="86" spans="1:34" ht="14" x14ac:dyDescent="0.3">
      <c r="A86" s="151" t="str">
        <f>IF(C86&lt;&gt;"",COUNTA($C$11:C86),"")</f>
        <v/>
      </c>
      <c r="B86" s="152"/>
      <c r="C86" s="130"/>
      <c r="D86" s="153"/>
      <c r="E86" s="153"/>
      <c r="F86" s="154"/>
      <c r="H86" s="155"/>
      <c r="I86" s="156"/>
      <c r="J86" s="157"/>
      <c r="K86" s="161"/>
      <c r="L86" s="157"/>
      <c r="M86" s="154"/>
      <c r="N86" s="161"/>
      <c r="O86" s="157"/>
      <c r="P86" s="166"/>
      <c r="Q86" s="161"/>
      <c r="R86" s="157"/>
      <c r="S86" s="166"/>
      <c r="T86" s="155"/>
      <c r="U86" s="156"/>
      <c r="V86" s="167"/>
      <c r="W86" s="161"/>
      <c r="X86" s="157"/>
      <c r="Y86" s="166"/>
      <c r="Z86" s="161"/>
      <c r="AA86" s="157"/>
      <c r="AB86" s="168"/>
      <c r="AC86" s="161"/>
      <c r="AD86" s="157"/>
      <c r="AE86" s="168"/>
      <c r="AF86" s="161"/>
      <c r="AG86" s="157"/>
    </row>
    <row r="87" spans="1:34" ht="14" x14ac:dyDescent="0.3">
      <c r="A87" s="151">
        <f>IF(C87&lt;&gt;"",COUNTA($C$11:C87),"")</f>
        <v>39</v>
      </c>
      <c r="B87" s="152" t="s">
        <v>114</v>
      </c>
      <c r="C87" s="130" t="s">
        <v>133</v>
      </c>
      <c r="D87" s="153">
        <v>31271839.367078818</v>
      </c>
      <c r="E87" s="153">
        <v>56251.111627669357</v>
      </c>
      <c r="F87" s="154">
        <v>8039151.2264106264</v>
      </c>
      <c r="H87" s="155">
        <f>VLOOKUP("DIST",'S1_S2 WMA'!$C$45:$I$65,7,FALSE)</f>
        <v>4842647.7496475819</v>
      </c>
      <c r="I87" s="156">
        <f>+H87/$D87*100</f>
        <v>15.48565050108834</v>
      </c>
      <c r="J87" s="157"/>
      <c r="K87" s="161">
        <f>VLOOKUP("SBC",'S1_S2 WMA'!$C$45:$I$65,7,FALSE)</f>
        <v>78179.598417697052</v>
      </c>
      <c r="L87" s="157">
        <f>+K87/$D87*100</f>
        <v>0.25</v>
      </c>
      <c r="M87" s="157"/>
      <c r="N87" s="161">
        <f>VLOOKUP("EERF",'S1_S2 WMA'!$C$45:$I$65,7,FALSE)</f>
        <v>303962.27864800609</v>
      </c>
      <c r="O87" s="157">
        <f>+N87/$D87*100</f>
        <v>0.97199999999999998</v>
      </c>
      <c r="P87" s="157"/>
      <c r="Q87" s="161">
        <f>VLOOKUP("RNEW",'S1_S2 WMA'!$C$45:$I$65,7,FALSE)</f>
        <v>15635.919683539409</v>
      </c>
      <c r="R87" s="157">
        <f>+Q87/$D87*100</f>
        <v>0.05</v>
      </c>
      <c r="S87" s="157"/>
      <c r="T87" s="155">
        <f>'Exh 9_Proposed Track p2'!AV87</f>
        <v>475278.88736656745</v>
      </c>
      <c r="U87" s="156">
        <f>+T87/$D87*100</f>
        <v>1.5198302913608388</v>
      </c>
      <c r="V87" s="157"/>
      <c r="W87" s="161">
        <f>VLOOKUP("TRNSM",'S1_S2 WMA'!$C$45:$I$65,7,FALSE)</f>
        <v>347776.33834743901</v>
      </c>
      <c r="X87" s="157">
        <f>+W87/$D87*100</f>
        <v>1.1121070758426759</v>
      </c>
      <c r="Y87" s="157"/>
      <c r="Z87" s="161">
        <f>VLOOKUP("TRNSN",'S1_S2 WMA'!$C$45:$I$65,7,FALSE)</f>
        <v>-16295.543284598829</v>
      </c>
      <c r="AA87" s="157">
        <f>+Z87/$D87*100</f>
        <v>-5.2109321403568713E-2</v>
      </c>
      <c r="AC87" s="161">
        <f>VLOOKUP("BS",'S1_S2 WMA'!$C$45:$I$65,7,FALSE)</f>
        <v>2477667.8330536545</v>
      </c>
      <c r="AD87" s="157">
        <f>+AC87/$D87*100</f>
        <v>7.9229999999999992</v>
      </c>
      <c r="AF87" s="161">
        <f>H87+K87+N87+Q87+T87+W87+Z87+AC87</f>
        <v>8524853.0618798863</v>
      </c>
      <c r="AG87" s="157">
        <f>+AF87/$D87*100</f>
        <v>27.260478546888283</v>
      </c>
    </row>
    <row r="88" spans="1:34" ht="6.75" customHeight="1" thickBot="1" x14ac:dyDescent="0.35">
      <c r="A88" s="151" t="str">
        <f>IF(C88&lt;&gt;"",COUNTA($C$11:C88),"")</f>
        <v/>
      </c>
      <c r="B88" s="152"/>
      <c r="D88" s="169"/>
      <c r="E88" s="170"/>
      <c r="F88" s="171"/>
      <c r="G88" s="172"/>
      <c r="H88" s="173"/>
      <c r="I88" s="174"/>
      <c r="J88" s="175"/>
      <c r="K88" s="176"/>
      <c r="L88" s="175"/>
      <c r="M88" s="175"/>
      <c r="N88" s="176"/>
      <c r="O88" s="175"/>
      <c r="P88" s="175"/>
      <c r="Q88" s="176"/>
      <c r="R88" s="175"/>
      <c r="S88" s="175"/>
      <c r="T88" s="173"/>
      <c r="U88" s="174"/>
      <c r="V88" s="159"/>
      <c r="W88" s="176"/>
      <c r="X88" s="175"/>
      <c r="Y88" s="175"/>
      <c r="Z88" s="176"/>
      <c r="AA88" s="175"/>
      <c r="AB88" s="172"/>
      <c r="AC88" s="176"/>
      <c r="AD88" s="175"/>
      <c r="AE88" s="172"/>
      <c r="AF88" s="176" t="s">
        <v>46</v>
      </c>
      <c r="AG88" s="175"/>
      <c r="AH88" s="172"/>
    </row>
    <row r="89" spans="1:34" ht="6.75" customHeight="1" x14ac:dyDescent="0.3">
      <c r="A89" s="151" t="str">
        <f>IF(C89&lt;&gt;"",COUNTA($C$11:C89),"")</f>
        <v/>
      </c>
      <c r="B89" s="152"/>
      <c r="D89" s="177"/>
      <c r="E89" s="153"/>
      <c r="H89" s="155"/>
      <c r="I89" s="156"/>
      <c r="J89" s="157"/>
      <c r="K89" s="161"/>
      <c r="L89" s="157"/>
      <c r="M89" s="157"/>
      <c r="N89" s="161"/>
      <c r="O89" s="157"/>
      <c r="P89" s="157"/>
      <c r="Q89" s="161"/>
      <c r="R89" s="157"/>
      <c r="S89" s="157"/>
      <c r="T89" s="155"/>
      <c r="U89" s="156"/>
      <c r="V89" s="159"/>
      <c r="W89" s="161"/>
      <c r="X89" s="157"/>
      <c r="Y89" s="157"/>
      <c r="Z89" s="161"/>
      <c r="AA89" s="157"/>
      <c r="AC89" s="161"/>
      <c r="AD89" s="157"/>
      <c r="AF89" s="161" t="s">
        <v>46</v>
      </c>
      <c r="AG89" s="157"/>
    </row>
    <row r="90" spans="1:34" ht="14" x14ac:dyDescent="0.3">
      <c r="A90" s="151">
        <f>IF(C90&lt;&gt;"",COUNTA($C$11:C90),"")</f>
        <v>40</v>
      </c>
      <c r="B90" s="152"/>
      <c r="C90" s="130" t="s">
        <v>47</v>
      </c>
      <c r="D90" s="177">
        <f>SUM(D11:D88)</f>
        <v>23317563754.950111</v>
      </c>
      <c r="E90" s="153">
        <f>SUM(E11:E88)</f>
        <v>17208466.956096906</v>
      </c>
      <c r="F90" s="178">
        <f>SUM(F11:F88)</f>
        <v>4912338675.5293055</v>
      </c>
      <c r="G90" s="179"/>
      <c r="H90" s="155">
        <f>SUM(H11:H88)</f>
        <v>918363126.90060556</v>
      </c>
      <c r="I90" s="156">
        <f>+H90/($D90)*100</f>
        <v>3.9385037671684087</v>
      </c>
      <c r="J90" s="180"/>
      <c r="K90" s="161">
        <f>SUM(K11:K88)</f>
        <v>58293909.385447502</v>
      </c>
      <c r="L90" s="157">
        <f>+K90/($D90)*100</f>
        <v>0.24999999999173253</v>
      </c>
      <c r="M90" s="180"/>
      <c r="N90" s="161">
        <f>SUM(N11:N88)</f>
        <v>236717638.93107477</v>
      </c>
      <c r="O90" s="157">
        <f>+N90/($D90)*100</f>
        <v>1.0151902721004535</v>
      </c>
      <c r="P90" s="180"/>
      <c r="Q90" s="161">
        <f>SUM(Q11:Q88)</f>
        <v>11658781.8770895</v>
      </c>
      <c r="R90" s="157">
        <f>+Q90/($D90)*100</f>
        <v>4.9999999998346506E-2</v>
      </c>
      <c r="S90" s="180"/>
      <c r="T90" s="155">
        <f>SUM(T11:T88)</f>
        <v>315653905.17532784</v>
      </c>
      <c r="U90" s="156">
        <f>+T90/($D90)*100</f>
        <v>1.3537173458282807</v>
      </c>
      <c r="V90" s="181"/>
      <c r="W90" s="161">
        <f>SUM(W11:W88)</f>
        <v>533771265.81968588</v>
      </c>
      <c r="X90" s="157">
        <f>+W90/($D90)*100</f>
        <v>2.2891382282866966</v>
      </c>
      <c r="Y90" s="180"/>
      <c r="Z90" s="161">
        <f>SUM(Z11:Z88)</f>
        <v>-12150624.240147175</v>
      </c>
      <c r="AA90" s="157">
        <f>+Z90/($D90)*100</f>
        <v>-5.2109321401845446E-2</v>
      </c>
      <c r="AC90" s="161">
        <f>SUM(AC11:AC88)</f>
        <v>3460061641.8897643</v>
      </c>
      <c r="AD90" s="157">
        <f>+AC90/($D90)*100</f>
        <v>14.838864292395144</v>
      </c>
      <c r="AF90" s="161">
        <f>SUM(AF11:AF85)</f>
        <v>5513844792.6769676</v>
      </c>
      <c r="AG90" s="157">
        <f>+AF90/($D90)*100</f>
        <v>23.646744791279609</v>
      </c>
    </row>
    <row r="91" spans="1:34" ht="14" x14ac:dyDescent="0.3">
      <c r="A91" s="151"/>
      <c r="B91" s="152"/>
      <c r="C91" s="130"/>
      <c r="D91" s="177"/>
      <c r="E91" s="153"/>
      <c r="F91" s="178"/>
      <c r="G91" s="179"/>
      <c r="H91" s="161"/>
      <c r="I91" s="157"/>
      <c r="J91" s="180"/>
      <c r="K91" s="161"/>
      <c r="L91" s="157"/>
      <c r="M91" s="180"/>
      <c r="N91" s="161"/>
      <c r="O91" s="157"/>
      <c r="P91" s="180"/>
      <c r="Q91" s="161"/>
      <c r="R91" s="157"/>
      <c r="S91" s="180"/>
      <c r="T91" s="161"/>
      <c r="U91" s="157"/>
      <c r="V91" s="181"/>
      <c r="W91" s="161"/>
      <c r="X91" s="157"/>
      <c r="Y91" s="180"/>
      <c r="Z91" s="161"/>
      <c r="AA91" s="157"/>
      <c r="AC91" s="161"/>
      <c r="AD91" s="157"/>
      <c r="AF91" s="161"/>
      <c r="AG91" s="157"/>
    </row>
    <row r="92" spans="1:34" ht="14" x14ac:dyDescent="0.3">
      <c r="A92" s="151"/>
      <c r="B92" s="32" t="s">
        <v>164</v>
      </c>
      <c r="C92" s="130"/>
      <c r="D92" s="177"/>
      <c r="E92" s="153"/>
      <c r="F92" s="178"/>
      <c r="G92" s="179"/>
      <c r="H92" s="161"/>
      <c r="I92" s="157"/>
      <c r="J92" s="180"/>
      <c r="K92" s="161"/>
      <c r="L92" s="157"/>
      <c r="M92" s="180"/>
      <c r="N92" s="161"/>
      <c r="O92" s="157"/>
      <c r="P92" s="180"/>
      <c r="Q92" s="161"/>
      <c r="R92" s="157"/>
      <c r="S92" s="180"/>
      <c r="T92" s="161"/>
      <c r="U92" s="157"/>
      <c r="V92" s="181"/>
      <c r="W92" s="161"/>
      <c r="X92" s="157"/>
      <c r="Y92" s="180"/>
      <c r="Z92" s="161"/>
      <c r="AA92" s="157"/>
      <c r="AC92" s="161"/>
      <c r="AD92" s="157"/>
      <c r="AF92" s="161"/>
      <c r="AG92" s="157"/>
    </row>
    <row r="93" spans="1:34" ht="14" x14ac:dyDescent="0.3">
      <c r="A93" s="151"/>
      <c r="B93" s="32" t="s">
        <v>271</v>
      </c>
      <c r="C93" s="130"/>
      <c r="D93" s="177"/>
      <c r="E93" s="153"/>
      <c r="F93" s="178"/>
      <c r="G93" s="179"/>
      <c r="H93" s="161"/>
      <c r="I93" s="157"/>
      <c r="J93" s="180"/>
      <c r="K93" s="161"/>
      <c r="L93" s="157"/>
      <c r="M93" s="180"/>
      <c r="N93" s="161"/>
      <c r="O93" s="157"/>
      <c r="P93" s="180"/>
      <c r="Q93" s="161"/>
      <c r="R93" s="157"/>
      <c r="S93" s="180"/>
      <c r="T93" s="161"/>
      <c r="U93" s="157"/>
      <c r="V93" s="181"/>
      <c r="W93" s="161"/>
      <c r="X93" s="157"/>
      <c r="Y93" s="180"/>
      <c r="Z93" s="161"/>
      <c r="AA93" s="157"/>
      <c r="AC93" s="161"/>
      <c r="AD93" s="157"/>
      <c r="AF93" s="161"/>
      <c r="AG93" s="157"/>
    </row>
    <row r="94" spans="1:34" ht="14" x14ac:dyDescent="0.3">
      <c r="B94" s="32" t="s">
        <v>272</v>
      </c>
      <c r="D94" s="182"/>
      <c r="F94" s="178"/>
      <c r="G94" s="179"/>
      <c r="H94" s="183"/>
      <c r="I94" s="180"/>
      <c r="J94" s="180"/>
      <c r="K94" s="178"/>
      <c r="L94" s="180"/>
      <c r="M94" s="180"/>
      <c r="N94" s="178"/>
      <c r="O94" s="180"/>
      <c r="P94" s="180"/>
      <c r="Q94" s="178"/>
      <c r="R94" s="180"/>
      <c r="S94" s="180"/>
      <c r="T94" s="178"/>
      <c r="U94" s="180"/>
      <c r="V94" s="181"/>
      <c r="W94" s="178"/>
      <c r="X94" s="180"/>
      <c r="Y94" s="180"/>
      <c r="Z94" s="184"/>
      <c r="AA94" s="180"/>
      <c r="AC94" s="178"/>
      <c r="AD94" s="180"/>
      <c r="AF94" s="154"/>
      <c r="AG94" s="180"/>
    </row>
    <row r="95" spans="1:34" ht="14" x14ac:dyDescent="0.3">
      <c r="H95" s="185"/>
      <c r="I95" s="157"/>
      <c r="J95" s="154"/>
      <c r="K95" s="154"/>
      <c r="L95" s="157"/>
      <c r="M95" s="154"/>
      <c r="N95" s="154"/>
      <c r="O95" s="157"/>
      <c r="P95" s="154"/>
      <c r="Q95" s="186"/>
      <c r="R95" s="157"/>
      <c r="S95" s="154"/>
      <c r="U95" s="157"/>
      <c r="V95" s="187"/>
      <c r="X95" s="157"/>
      <c r="Y95" s="154"/>
      <c r="Z95" s="115"/>
      <c r="AA95" s="157"/>
      <c r="AB95" s="154"/>
      <c r="AC95" s="154"/>
      <c r="AD95" s="157"/>
      <c r="AE95" s="154"/>
      <c r="AF95" s="154"/>
      <c r="AG95" s="157"/>
    </row>
    <row r="96" spans="1:34" ht="14" x14ac:dyDescent="0.3">
      <c r="C96" s="130"/>
      <c r="I96" s="157"/>
      <c r="J96" s="154"/>
      <c r="K96" s="154"/>
      <c r="L96" s="157"/>
      <c r="M96" s="154"/>
      <c r="N96" s="154"/>
      <c r="O96" s="157"/>
      <c r="P96" s="154"/>
      <c r="Q96" s="186"/>
      <c r="R96" s="157"/>
      <c r="S96" s="154"/>
      <c r="U96" s="157"/>
      <c r="V96" s="187"/>
      <c r="W96" s="154"/>
      <c r="X96" s="157"/>
      <c r="Y96" s="154"/>
      <c r="Z96" s="115"/>
      <c r="AA96" s="157"/>
      <c r="AB96" s="154"/>
      <c r="AC96" s="154"/>
      <c r="AD96" s="157"/>
      <c r="AE96" s="154"/>
      <c r="AF96" s="154"/>
      <c r="AG96" s="157"/>
    </row>
    <row r="97" spans="1:32" ht="14" x14ac:dyDescent="0.3">
      <c r="A97" s="188"/>
      <c r="B97" s="130"/>
      <c r="C97" s="130"/>
      <c r="D97" s="188"/>
      <c r="E97" s="188"/>
      <c r="F97" s="188"/>
      <c r="W97" s="188"/>
      <c r="Z97" s="188"/>
      <c r="AC97" s="188"/>
      <c r="AF97" s="188"/>
    </row>
    <row r="98" spans="1:32" ht="14" x14ac:dyDescent="0.3">
      <c r="A98" s="188"/>
      <c r="B98" s="130"/>
      <c r="C98" s="130"/>
      <c r="D98" s="188"/>
      <c r="E98" s="188"/>
      <c r="F98" s="188"/>
      <c r="W98" s="188"/>
      <c r="Z98" s="188"/>
      <c r="AC98" s="188"/>
      <c r="AF98" s="188"/>
    </row>
    <row r="99" spans="1:32" ht="14" x14ac:dyDescent="0.3">
      <c r="A99" s="188"/>
      <c r="B99" s="130"/>
      <c r="C99" s="130"/>
      <c r="D99" s="188"/>
      <c r="E99" s="188"/>
      <c r="F99" s="188"/>
      <c r="W99" s="188"/>
      <c r="Z99" s="188"/>
      <c r="AC99" s="188"/>
      <c r="AF99" s="188"/>
    </row>
    <row r="100" spans="1:32" ht="14" x14ac:dyDescent="0.3">
      <c r="A100" s="188"/>
      <c r="B100" s="130"/>
      <c r="C100" s="130"/>
      <c r="D100" s="188"/>
      <c r="E100" s="188"/>
      <c r="F100" s="188"/>
      <c r="W100" s="188"/>
      <c r="Z100" s="188"/>
      <c r="AC100" s="188"/>
      <c r="AF100" s="188"/>
    </row>
    <row r="101" spans="1:32" ht="14" x14ac:dyDescent="0.3">
      <c r="A101" s="188"/>
      <c r="B101" s="130"/>
      <c r="C101" s="130"/>
      <c r="D101" s="188"/>
      <c r="E101" s="188"/>
      <c r="F101" s="188"/>
      <c r="W101" s="188"/>
      <c r="Z101" s="188"/>
      <c r="AC101" s="188"/>
      <c r="AF101" s="188"/>
    </row>
  </sheetData>
  <mergeCells count="11">
    <mergeCell ref="AF8:AG8"/>
    <mergeCell ref="A4:AG4"/>
    <mergeCell ref="A5:AG5"/>
    <mergeCell ref="H8:I8"/>
    <mergeCell ref="K8:L8"/>
    <mergeCell ref="N8:O8"/>
    <mergeCell ref="Q8:R8"/>
    <mergeCell ref="T8:U8"/>
    <mergeCell ref="W8:X8"/>
    <mergeCell ref="Z8:AA8"/>
    <mergeCell ref="AC8:AD8"/>
  </mergeCells>
  <pageMargins left="0.7" right="0.7" top="0.75" bottom="0.75" header="0.3" footer="0.3"/>
  <pageSetup scale="39" orientation="landscape" r:id="rId1"/>
  <headerFooter>
    <oddHeader>&amp;RNSTAR Electric Company
d/b/a Eversource Energy
D.P.U. 18-120 (Dec. 26, 2018)
Exhibit ES-MQ-9 (Revised)
Page &amp;P of &amp;N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912EE-B8A2-4D89-AB3F-E22457D94844}">
  <sheetPr>
    <tabColor theme="9" tint="0.59999389629810485"/>
    <pageSetUpPr fitToPage="1"/>
  </sheetPr>
  <dimension ref="A3:Q75"/>
  <sheetViews>
    <sheetView workbookViewId="0"/>
  </sheetViews>
  <sheetFormatPr defaultRowHeight="12.5" x14ac:dyDescent="0.25"/>
  <cols>
    <col min="1" max="1" width="3.26953125" bestFit="1" customWidth="1"/>
    <col min="2" max="2" width="41.453125" customWidth="1"/>
    <col min="3" max="3" width="8.26953125" bestFit="1" customWidth="1"/>
    <col min="4" max="4" width="1.453125" customWidth="1"/>
    <col min="5" max="5" width="13.7265625" bestFit="1" customWidth="1"/>
    <col min="6" max="6" width="1.453125" customWidth="1"/>
    <col min="7" max="7" width="12.7265625" customWidth="1"/>
    <col min="8" max="8" width="1.453125" customWidth="1"/>
    <col min="9" max="9" width="12.7265625" customWidth="1"/>
    <col min="11" max="11" width="1.453125" customWidth="1"/>
    <col min="12" max="12" width="12.7265625" customWidth="1"/>
    <col min="13" max="13" width="1.453125" customWidth="1"/>
    <col min="14" max="14" width="12.7265625" customWidth="1"/>
  </cols>
  <sheetData>
    <row r="3" spans="1:17" ht="14" x14ac:dyDescent="0.3">
      <c r="A3" s="268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</row>
    <row r="4" spans="1:17" ht="14" x14ac:dyDescent="0.3">
      <c r="A4" s="748" t="str">
        <f>'23 WMA'!A4:N4</f>
        <v>Western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7" ht="14" x14ac:dyDescent="0.3">
      <c r="A5" s="748" t="str">
        <f>+'23 WMA'!A5:N5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7" ht="14" x14ac:dyDescent="0.3">
      <c r="A6" s="268"/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</row>
    <row r="7" spans="1:17" ht="14" x14ac:dyDescent="0.3">
      <c r="A7" s="268"/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</row>
    <row r="8" spans="1:17" ht="14" x14ac:dyDescent="0.3">
      <c r="A8" s="748" t="s">
        <v>507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7" ht="14" x14ac:dyDescent="0.3">
      <c r="B9" s="207"/>
      <c r="C9" s="207"/>
      <c r="D9" s="207"/>
      <c r="E9" s="213"/>
      <c r="F9" s="207"/>
      <c r="I9" s="210"/>
      <c r="J9" s="210"/>
      <c r="K9" s="210"/>
      <c r="L9" s="214"/>
      <c r="M9" s="214"/>
      <c r="N9" s="215"/>
    </row>
    <row r="10" spans="1:17" ht="14.5" thickBot="1" x14ac:dyDescent="0.35">
      <c r="A10" s="151"/>
      <c r="B10" s="216" t="s">
        <v>46</v>
      </c>
      <c r="C10" s="216"/>
      <c r="D10" s="216"/>
      <c r="E10" s="217" t="s">
        <v>144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7" ht="14" x14ac:dyDescent="0.3">
      <c r="A11" s="151"/>
      <c r="B11" s="219" t="s">
        <v>293</v>
      </c>
      <c r="C11" s="220" t="s">
        <v>294</v>
      </c>
      <c r="D11" s="220"/>
      <c r="E11" s="221" t="s">
        <v>295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7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7" ht="14" x14ac:dyDescent="0.3">
      <c r="A13" s="151">
        <f>IF(B13&lt;&gt;"",COUNTA($B$13:B13),"")</f>
        <v>1</v>
      </c>
      <c r="B13" s="232" t="s">
        <v>296</v>
      </c>
      <c r="C13" s="233" t="s">
        <v>297</v>
      </c>
      <c r="D13" s="233"/>
      <c r="E13" s="234">
        <v>2448.5239137532376</v>
      </c>
      <c r="F13" s="207"/>
      <c r="G13" s="306">
        <v>65</v>
      </c>
      <c r="H13" s="209"/>
      <c r="I13" s="210">
        <f>G13*E13</f>
        <v>159154.05439396045</v>
      </c>
      <c r="J13" s="235"/>
      <c r="K13" s="210"/>
      <c r="L13" s="238">
        <v>65</v>
      </c>
      <c r="M13" s="211"/>
      <c r="N13" s="210">
        <f>L13*E13</f>
        <v>159154.05439396045</v>
      </c>
      <c r="O13" s="272"/>
      <c r="P13" s="234"/>
      <c r="Q13" s="154"/>
    </row>
    <row r="14" spans="1:17" ht="14" x14ac:dyDescent="0.3">
      <c r="A14" s="151">
        <f>IF(B14&lt;&gt;"",COUNTA($B$13:B14),"")</f>
        <v>2</v>
      </c>
      <c r="B14" s="232" t="s">
        <v>508</v>
      </c>
      <c r="C14" s="233" t="s">
        <v>431</v>
      </c>
      <c r="D14" s="233"/>
      <c r="E14" s="234">
        <v>38078.145046655387</v>
      </c>
      <c r="F14" s="207"/>
      <c r="G14" s="306">
        <v>3.84</v>
      </c>
      <c r="H14" s="209"/>
      <c r="I14" s="210">
        <f t="shared" ref="I14:I15" si="0">G14*E14</f>
        <v>146220.07697915667</v>
      </c>
      <c r="J14" s="235"/>
      <c r="K14" s="210"/>
      <c r="L14" s="238">
        <v>4.08</v>
      </c>
      <c r="M14" s="211"/>
      <c r="N14" s="210">
        <f t="shared" ref="N14:N15" si="1">L14*E14</f>
        <v>155358.83179035399</v>
      </c>
      <c r="O14" s="272"/>
      <c r="P14" s="234"/>
      <c r="Q14" s="154"/>
    </row>
    <row r="15" spans="1:17" ht="14" x14ac:dyDescent="0.3">
      <c r="A15" s="151">
        <f>IF(B15&lt;&gt;"",COUNTA($B$13:B15),"")</f>
        <v>3</v>
      </c>
      <c r="B15" s="207" t="s">
        <v>298</v>
      </c>
      <c r="C15" s="233" t="s">
        <v>299</v>
      </c>
      <c r="D15" s="233"/>
      <c r="E15" s="234">
        <v>5933293.4264163729</v>
      </c>
      <c r="F15" s="207"/>
      <c r="G15" s="307">
        <v>4.8999999999999998E-3</v>
      </c>
      <c r="H15" s="209"/>
      <c r="I15" s="237">
        <f t="shared" si="0"/>
        <v>29073.137789440225</v>
      </c>
      <c r="J15" s="235"/>
      <c r="K15" s="210"/>
      <c r="L15" s="281">
        <v>5.2100000000000002E-3</v>
      </c>
      <c r="M15" s="211"/>
      <c r="N15" s="237">
        <f t="shared" si="1"/>
        <v>30912.458751629303</v>
      </c>
      <c r="O15" s="272"/>
      <c r="P15" s="273"/>
    </row>
    <row r="16" spans="1:17" ht="14" x14ac:dyDescent="0.3">
      <c r="A16" s="151">
        <f>IF(B16&lt;&gt;"",COUNTA($B$13:B16),"")</f>
        <v>4</v>
      </c>
      <c r="B16" s="207" t="s">
        <v>300</v>
      </c>
      <c r="C16" s="233" t="s">
        <v>301</v>
      </c>
      <c r="D16" s="233"/>
      <c r="E16" s="234"/>
      <c r="F16" s="207"/>
      <c r="G16" s="209"/>
      <c r="H16" s="209"/>
      <c r="I16" s="210">
        <f>SUM(I13:I15)</f>
        <v>334447.26916255732</v>
      </c>
      <c r="J16" s="235"/>
      <c r="K16" s="210"/>
      <c r="L16" s="238"/>
      <c r="M16" s="211"/>
      <c r="N16" s="210">
        <f>SUM(N13:N15)</f>
        <v>345425.34493594372</v>
      </c>
      <c r="O16" s="272"/>
      <c r="P16" s="210"/>
      <c r="Q16" s="154"/>
    </row>
    <row r="17" spans="1:17" ht="14" x14ac:dyDescent="0.3">
      <c r="A17" s="151" t="str">
        <f>IF(B17&lt;&gt;"",COUNTA($B$13:B17),"")</f>
        <v/>
      </c>
      <c r="B17" s="207"/>
      <c r="C17" s="233"/>
      <c r="D17" s="233"/>
      <c r="E17" s="234"/>
      <c r="F17" s="207"/>
      <c r="G17" s="209"/>
      <c r="H17" s="209"/>
      <c r="I17" s="210"/>
      <c r="J17" s="235"/>
      <c r="K17" s="210"/>
      <c r="L17" s="238"/>
      <c r="M17" s="211"/>
      <c r="N17" s="210"/>
      <c r="O17" s="272"/>
      <c r="P17" s="210"/>
      <c r="Q17" s="154"/>
    </row>
    <row r="18" spans="1:17" ht="14" x14ac:dyDescent="0.3">
      <c r="A18" s="151">
        <f>IF(B18&lt;&gt;"",COUNTA($B$13:B18),"")</f>
        <v>5</v>
      </c>
      <c r="B18" s="228" t="s">
        <v>302</v>
      </c>
      <c r="F18" s="239"/>
      <c r="G18" s="240"/>
      <c r="H18" s="211"/>
      <c r="I18" s="210"/>
      <c r="K18" s="210"/>
      <c r="L18" s="241"/>
      <c r="M18" s="211"/>
      <c r="N18" s="210"/>
      <c r="O18" s="272"/>
    </row>
    <row r="19" spans="1:17" ht="14" x14ac:dyDescent="0.3">
      <c r="A19" s="151">
        <f>IF(B19&lt;&gt;"",COUNTA($B$13:B19),"")</f>
        <v>6</v>
      </c>
      <c r="B19" s="207" t="str">
        <f>'23 WMA'!B18</f>
        <v>Revenue Decoupling</v>
      </c>
      <c r="C19" s="233" t="str">
        <f>'23 WMA'!C18</f>
        <v>RDAF</v>
      </c>
      <c r="D19" s="233"/>
      <c r="E19" s="242"/>
      <c r="F19" s="239"/>
      <c r="G19" s="236">
        <v>5.6999999999999998E-4</v>
      </c>
      <c r="H19" s="211"/>
      <c r="I19" s="210">
        <f>G19*$E$15</f>
        <v>3381.9772530573323</v>
      </c>
      <c r="K19" s="210"/>
      <c r="L19" s="236">
        <v>-4.3262934243450975E-4</v>
      </c>
      <c r="M19" s="211"/>
      <c r="N19" s="210">
        <f>L19*$E$15</f>
        <v>-2566.9168335415147</v>
      </c>
      <c r="O19" s="272"/>
      <c r="P19" s="234"/>
    </row>
    <row r="20" spans="1:17" ht="14" x14ac:dyDescent="0.3">
      <c r="A20" s="151">
        <f>IF(B20&lt;&gt;"",COUNTA($B$13:B20),"")</f>
        <v>7</v>
      </c>
      <c r="B20" s="207" t="str">
        <f>'23 WMA'!B19</f>
        <v>Residential Assistance Adjustment Factor</v>
      </c>
      <c r="C20" s="233" t="str">
        <f>'23 WMA'!C19</f>
        <v>RAAF</v>
      </c>
      <c r="D20" s="243"/>
      <c r="E20" s="206"/>
      <c r="F20" s="239"/>
      <c r="G20" s="236">
        <v>1.0189999999999999E-2</v>
      </c>
      <c r="H20" s="211"/>
      <c r="I20" s="210">
        <f t="shared" ref="I20:I33" si="2">G20*$E$15</f>
        <v>60460.260015182837</v>
      </c>
      <c r="K20" s="210"/>
      <c r="L20" s="236">
        <v>3.6549690375720515E-3</v>
      </c>
      <c r="M20" s="211"/>
      <c r="N20" s="210">
        <f t="shared" ref="N20:N33" si="3">L20*$E$15</f>
        <v>21686.003764381629</v>
      </c>
      <c r="O20" s="272"/>
      <c r="P20" s="234"/>
      <c r="Q20" s="210"/>
    </row>
    <row r="21" spans="1:17" ht="14" x14ac:dyDescent="0.3">
      <c r="A21" s="151">
        <f>IF(B21&lt;&gt;"",COUNTA($B$13:B21),"")</f>
        <v>8</v>
      </c>
      <c r="B21" s="207" t="str">
        <f>'23 WMA'!B20</f>
        <v>Pension Adjustment Factor</v>
      </c>
      <c r="C21" s="233" t="str">
        <f>'23 WMA'!C20</f>
        <v>PAF</v>
      </c>
      <c r="D21" s="243"/>
      <c r="E21" s="206"/>
      <c r="F21" s="239"/>
      <c r="G21" s="236">
        <v>1.1100000000000001E-3</v>
      </c>
      <c r="H21" s="211"/>
      <c r="I21" s="210">
        <f t="shared" si="2"/>
        <v>6585.9557033221745</v>
      </c>
      <c r="K21" s="210"/>
      <c r="L21" s="236">
        <v>6.3544669373927351E-4</v>
      </c>
      <c r="M21" s="211"/>
      <c r="N21" s="210">
        <f t="shared" si="3"/>
        <v>3770.2916908012498</v>
      </c>
      <c r="O21" s="272"/>
      <c r="P21" s="274"/>
    </row>
    <row r="22" spans="1:17" ht="14" x14ac:dyDescent="0.3">
      <c r="A22" s="151">
        <f>IF(B22&lt;&gt;"",COUNTA($B$13:B22),"")</f>
        <v>9</v>
      </c>
      <c r="B22" s="207" t="str">
        <f>'23 WMA'!B21</f>
        <v>Net Metering Recovery Surcharge</v>
      </c>
      <c r="C22" s="233" t="str">
        <f>'23 WMA'!C21</f>
        <v>NMRS</v>
      </c>
      <c r="D22" s="243"/>
      <c r="E22" s="206"/>
      <c r="F22" s="239"/>
      <c r="G22" s="236">
        <v>4.4299999999999999E-3</v>
      </c>
      <c r="H22" s="211"/>
      <c r="I22" s="210">
        <f t="shared" si="2"/>
        <v>26284.489879024532</v>
      </c>
      <c r="K22" s="210"/>
      <c r="L22" s="236">
        <v>4.765786445615483E-3</v>
      </c>
      <c r="M22" s="211"/>
      <c r="N22" s="210">
        <f t="shared" si="3"/>
        <v>28276.809389474598</v>
      </c>
      <c r="O22" s="272"/>
      <c r="P22" s="274"/>
    </row>
    <row r="23" spans="1:17" ht="14" x14ac:dyDescent="0.3">
      <c r="A23" s="151">
        <f>IF(B23&lt;&gt;"",COUNTA($B$13:B23),"")</f>
        <v>10</v>
      </c>
      <c r="B23" s="207" t="str">
        <f>'23 WMA'!B22</f>
        <v>Long Term Renewable Contract Adjustment</v>
      </c>
      <c r="C23" s="233" t="str">
        <f>'23 WMA'!C22</f>
        <v>LTRCA</v>
      </c>
      <c r="D23" s="243"/>
      <c r="E23" s="206"/>
      <c r="F23" s="239"/>
      <c r="G23" s="236">
        <v>3.31E-3</v>
      </c>
      <c r="H23" s="211"/>
      <c r="I23" s="210">
        <f t="shared" si="2"/>
        <v>19639.201241438193</v>
      </c>
      <c r="K23" s="210"/>
      <c r="L23" s="236">
        <v>1.7357128782064517E-3</v>
      </c>
      <c r="M23" s="211"/>
      <c r="N23" s="210">
        <f t="shared" si="3"/>
        <v>10298.493810408583</v>
      </c>
      <c r="O23" s="272"/>
      <c r="P23" s="275"/>
    </row>
    <row r="24" spans="1:17" ht="14" x14ac:dyDescent="0.3">
      <c r="A24" s="151">
        <f>IF(B24&lt;&gt;"",COUNTA($B$13:B24),"")</f>
        <v>11</v>
      </c>
      <c r="B24" s="207" t="str">
        <f>'23 WMA'!B23</f>
        <v>AG Consulting Expense</v>
      </c>
      <c r="C24" s="233" t="str">
        <f>'23 WMA'!C23</f>
        <v>AGCE</v>
      </c>
      <c r="D24" s="243"/>
      <c r="E24" s="206"/>
      <c r="F24" s="239"/>
      <c r="G24" s="236">
        <v>3.0000000000000001E-5</v>
      </c>
      <c r="H24" s="211"/>
      <c r="I24" s="210">
        <f t="shared" si="2"/>
        <v>177.9988027924912</v>
      </c>
      <c r="K24" s="210"/>
      <c r="L24" s="236">
        <v>7.6740715608879795E-6</v>
      </c>
      <c r="M24" s="211"/>
      <c r="N24" s="210">
        <f t="shared" si="3"/>
        <v>45.53251834606548</v>
      </c>
      <c r="O24" s="272"/>
      <c r="P24" s="274"/>
    </row>
    <row r="25" spans="1:17" ht="14" x14ac:dyDescent="0.3">
      <c r="A25" s="151">
        <f>IF(B25&lt;&gt;"",COUNTA($B$13:B25),"")</f>
        <v>12</v>
      </c>
      <c r="B25" s="207" t="str">
        <f>'23 WMA'!B24</f>
        <v>Storm Cost Recovery Adjustment Factor</v>
      </c>
      <c r="C25" s="233" t="str">
        <f>'23 WMA'!C24</f>
        <v>SCRA</v>
      </c>
      <c r="D25" s="243"/>
      <c r="E25" s="206"/>
      <c r="F25" s="239"/>
      <c r="G25" s="236">
        <v>2.3700000000000001E-3</v>
      </c>
      <c r="H25" s="211"/>
      <c r="I25" s="210">
        <f t="shared" si="2"/>
        <v>14061.905420606805</v>
      </c>
      <c r="K25" s="210"/>
      <c r="L25" s="236">
        <v>2.7455944627379335E-3</v>
      </c>
      <c r="M25" s="211"/>
      <c r="N25" s="210">
        <f t="shared" si="3"/>
        <v>16290.417577368175</v>
      </c>
      <c r="O25" s="272"/>
      <c r="P25" s="274"/>
    </row>
    <row r="26" spans="1:17" ht="14" x14ac:dyDescent="0.3">
      <c r="A26" s="151">
        <f>IF(B26&lt;&gt;"",COUNTA($B$13:B26),"")</f>
        <v>13</v>
      </c>
      <c r="B26" s="207" t="str">
        <f>'23 WMA'!B25</f>
        <v>Storm Reserve Adjustment</v>
      </c>
      <c r="C26" s="233" t="str">
        <f>'23 WMA'!C25</f>
        <v>SRA</v>
      </c>
      <c r="D26" s="243"/>
      <c r="E26" s="206"/>
      <c r="F26" s="239"/>
      <c r="G26" s="236">
        <v>0</v>
      </c>
      <c r="H26" s="211"/>
      <c r="I26" s="210">
        <f t="shared" si="2"/>
        <v>0</v>
      </c>
      <c r="K26" s="210"/>
      <c r="L26" s="236">
        <v>0</v>
      </c>
      <c r="M26" s="211"/>
      <c r="N26" s="210">
        <f t="shared" si="3"/>
        <v>0</v>
      </c>
      <c r="O26" s="272"/>
      <c r="P26" s="274"/>
    </row>
    <row r="27" spans="1:17" ht="14" x14ac:dyDescent="0.3">
      <c r="A27" s="151">
        <f>IF(B27&lt;&gt;"",COUNTA($B$13:B27),"")</f>
        <v>14</v>
      </c>
      <c r="B27" s="207" t="str">
        <f>'23 WMA'!B26</f>
        <v>Basic Service Cost True Up Factor</v>
      </c>
      <c r="C27" s="233" t="str">
        <f>'23 WMA'!C26</f>
        <v>BSTF</v>
      </c>
      <c r="D27" s="243"/>
      <c r="E27" s="206"/>
      <c r="F27" s="239"/>
      <c r="G27" s="236">
        <v>2.1000000000000001E-4</v>
      </c>
      <c r="H27" s="211"/>
      <c r="I27" s="210">
        <f t="shared" si="2"/>
        <v>1245.9916195474384</v>
      </c>
      <c r="K27" s="210"/>
      <c r="L27" s="236">
        <v>-1.8136851998509521E-4</v>
      </c>
      <c r="M27" s="211"/>
      <c r="N27" s="210">
        <f t="shared" si="3"/>
        <v>-1076.1126473864319</v>
      </c>
      <c r="O27" s="272"/>
      <c r="P27" s="274"/>
    </row>
    <row r="28" spans="1:17" ht="14" x14ac:dyDescent="0.3">
      <c r="A28" s="151">
        <f>IF(B28&lt;&gt;"",COUNTA($B$13:B28),"")</f>
        <v>15</v>
      </c>
      <c r="B28" s="207" t="str">
        <f>'23 WMA'!B27</f>
        <v>Solar Program Cost Adjustment Factor</v>
      </c>
      <c r="C28" s="233" t="str">
        <f>'23 WMA'!C27</f>
        <v>SPCA</v>
      </c>
      <c r="D28" s="233"/>
      <c r="E28" s="206"/>
      <c r="F28" s="239"/>
      <c r="G28" s="236">
        <v>-1.2999999999999999E-4</v>
      </c>
      <c r="H28" s="211"/>
      <c r="I28" s="210">
        <f t="shared" si="2"/>
        <v>-771.32814543412837</v>
      </c>
      <c r="K28" s="210"/>
      <c r="L28" s="236">
        <v>3.2277161169624727E-5</v>
      </c>
      <c r="M28" s="211"/>
      <c r="N28" s="210">
        <f t="shared" si="3"/>
        <v>191.5098681911162</v>
      </c>
      <c r="O28" s="272"/>
      <c r="P28" s="276"/>
    </row>
    <row r="29" spans="1:17" ht="14" x14ac:dyDescent="0.3">
      <c r="A29" s="151">
        <f>IF(B29&lt;&gt;"",COUNTA($B$13:B29),"")</f>
        <v>16</v>
      </c>
      <c r="B29" s="207" t="str">
        <f>'23 WMA'!B28</f>
        <v>Solar Expansion Cost Recovery Factor</v>
      </c>
      <c r="C29" s="233" t="str">
        <f>'23 WMA'!C28</f>
        <v>SECRF</v>
      </c>
      <c r="D29" s="233"/>
      <c r="E29" s="206"/>
      <c r="F29" s="239"/>
      <c r="G29" s="236">
        <v>0</v>
      </c>
      <c r="H29" s="211"/>
      <c r="I29" s="210">
        <f t="shared" si="2"/>
        <v>0</v>
      </c>
      <c r="K29" s="210"/>
      <c r="L29" s="236">
        <v>5.6929528173503476E-4</v>
      </c>
      <c r="M29" s="211"/>
      <c r="N29" s="210">
        <f t="shared" si="3"/>
        <v>3377.7959528083388</v>
      </c>
      <c r="O29" s="272"/>
      <c r="P29" s="276"/>
    </row>
    <row r="30" spans="1:17" ht="14" x14ac:dyDescent="0.3">
      <c r="A30" s="151">
        <f>IF(B30&lt;&gt;"",COUNTA($B$13:B30),"")</f>
        <v>17</v>
      </c>
      <c r="B30" s="207" t="str">
        <f>'23 WMA'!B29</f>
        <v>Vegetation Management</v>
      </c>
      <c r="C30" s="233" t="str">
        <f>'23 WMA'!C29</f>
        <v>RTWF</v>
      </c>
      <c r="D30" s="233"/>
      <c r="E30" s="206"/>
      <c r="F30" s="239"/>
      <c r="G30" s="236">
        <v>0</v>
      </c>
      <c r="H30" s="211"/>
      <c r="I30" s="210">
        <f t="shared" si="2"/>
        <v>0</v>
      </c>
      <c r="K30" s="210"/>
      <c r="L30" s="236">
        <v>1.1376643527601861E-3</v>
      </c>
      <c r="M30" s="211"/>
      <c r="N30" s="210">
        <f t="shared" si="3"/>
        <v>6750.0964257002497</v>
      </c>
      <c r="O30" s="272"/>
      <c r="P30" s="276"/>
    </row>
    <row r="31" spans="1:17" ht="14" x14ac:dyDescent="0.3">
      <c r="A31" s="151">
        <f>IF(B31&lt;&gt;"",COUNTA($B$13:B31),"")</f>
        <v>18</v>
      </c>
      <c r="B31" s="207" t="str">
        <f>'23 WMA'!B30</f>
        <v>Solar Massachusetts Renewable Target</v>
      </c>
      <c r="C31" s="233" t="str">
        <f>'23 WMA'!C30</f>
        <v>SMART</v>
      </c>
      <c r="D31" s="233"/>
      <c r="E31" s="206"/>
      <c r="F31" s="239"/>
      <c r="G31" s="236">
        <v>0</v>
      </c>
      <c r="H31" s="211"/>
      <c r="I31" s="210">
        <f t="shared" si="2"/>
        <v>0</v>
      </c>
      <c r="K31" s="210"/>
      <c r="L31" s="236">
        <v>6.6700931088392763E-4</v>
      </c>
      <c r="M31" s="211"/>
      <c r="N31" s="210">
        <f t="shared" si="3"/>
        <v>3957.5619596261226</v>
      </c>
      <c r="O31" s="272"/>
      <c r="P31" s="276"/>
    </row>
    <row r="32" spans="1:17" ht="14" x14ac:dyDescent="0.3">
      <c r="A32" s="151">
        <f>IF(B32&lt;&gt;"",COUNTA($B$13:B32),"")</f>
        <v>19</v>
      </c>
      <c r="B32" s="207" t="str">
        <f>'23 WMA'!B31</f>
        <v>Tax Act Credit Factor</v>
      </c>
      <c r="C32" s="233" t="str">
        <f>'23 WMA'!C31</f>
        <v>TACF</v>
      </c>
      <c r="D32" s="233"/>
      <c r="E32" s="206"/>
      <c r="F32" s="239"/>
      <c r="G32" s="236">
        <v>0</v>
      </c>
      <c r="H32" s="211"/>
      <c r="I32" s="210">
        <f t="shared" si="2"/>
        <v>0</v>
      </c>
      <c r="K32" s="210"/>
      <c r="L32" s="236">
        <v>-1.0097406672305252E-3</v>
      </c>
      <c r="M32" s="211"/>
      <c r="N32" s="210">
        <f t="shared" si="3"/>
        <v>-5991.0876632641575</v>
      </c>
      <c r="O32" s="272"/>
      <c r="P32" s="276"/>
    </row>
    <row r="33" spans="1:16" ht="14" x14ac:dyDescent="0.3">
      <c r="A33" s="151">
        <f>IF(B33&lt;&gt;"",COUNTA($B$13:B33),"")</f>
        <v>20</v>
      </c>
      <c r="B33" s="207" t="str">
        <f>'23 WMA'!B32</f>
        <v>Transition</v>
      </c>
      <c r="C33" s="233" t="str">
        <f>'23 WMA'!C32</f>
        <v>TRNSN</v>
      </c>
      <c r="D33" s="233"/>
      <c r="E33" s="206"/>
      <c r="F33" s="239"/>
      <c r="G33" s="236">
        <v>-1.7099999999999999E-3</v>
      </c>
      <c r="H33" s="211"/>
      <c r="I33" s="210">
        <f t="shared" si="2"/>
        <v>-10145.931759171997</v>
      </c>
      <c r="K33" s="210"/>
      <c r="L33" s="236">
        <v>-5.210932140356871E-4</v>
      </c>
      <c r="M33" s="211"/>
      <c r="N33" s="210">
        <f t="shared" si="3"/>
        <v>-3091.7989413881223</v>
      </c>
      <c r="O33" s="272"/>
      <c r="P33" s="275"/>
    </row>
    <row r="34" spans="1:16" ht="14" x14ac:dyDescent="0.3">
      <c r="A34" s="151">
        <f>IF(B34&lt;&gt;"",COUNTA($B$13:B34),"")</f>
        <v>21</v>
      </c>
      <c r="B34" s="207" t="s">
        <v>509</v>
      </c>
      <c r="C34" s="233" t="s">
        <v>382</v>
      </c>
      <c r="D34" s="233"/>
      <c r="E34" s="206"/>
      <c r="F34" s="239"/>
      <c r="G34" s="283">
        <v>3.52</v>
      </c>
      <c r="H34" s="211"/>
      <c r="I34" s="210">
        <f>G34*$E$14</f>
        <v>134035.07056422697</v>
      </c>
      <c r="K34" s="210"/>
      <c r="L34" s="283">
        <v>3.438994257911554</v>
      </c>
      <c r="M34" s="211"/>
      <c r="N34" s="210">
        <f>L34*$E$14</f>
        <v>130950.52216737116</v>
      </c>
      <c r="O34" s="272"/>
      <c r="P34" s="275"/>
    </row>
    <row r="35" spans="1:16" ht="14" x14ac:dyDescent="0.3">
      <c r="A35" s="151">
        <f>IF(B35&lt;&gt;"",COUNTA($B$13:B35),"")</f>
        <v>22</v>
      </c>
      <c r="B35" s="207" t="str">
        <f>'23 WMA'!B34</f>
        <v>Energy Efficiency Reconciliation Factor</v>
      </c>
      <c r="C35" s="233" t="str">
        <f>'23 WMA'!C34</f>
        <v>EERF</v>
      </c>
      <c r="D35" s="233"/>
      <c r="E35" s="206"/>
      <c r="F35" s="239"/>
      <c r="G35" s="241">
        <v>9.7199999999999995E-3</v>
      </c>
      <c r="H35" s="211"/>
      <c r="I35" s="210">
        <f t="shared" ref="I35:I38" si="4">G35*$E$15</f>
        <v>57671.61210476714</v>
      </c>
      <c r="K35" s="210"/>
      <c r="L35" s="241">
        <v>9.7199999999999995E-3</v>
      </c>
      <c r="M35" s="211"/>
      <c r="N35" s="210">
        <f t="shared" ref="N35:N38" si="5">L35*$E$15</f>
        <v>57671.61210476714</v>
      </c>
      <c r="O35" s="272"/>
      <c r="P35" s="232"/>
    </row>
    <row r="36" spans="1:16" ht="14" x14ac:dyDescent="0.3">
      <c r="A36" s="151">
        <f>IF(B36&lt;&gt;"",COUNTA($B$13:B36),"")</f>
        <v>23</v>
      </c>
      <c r="B36" s="207" t="str">
        <f>'23 WMA'!B35</f>
        <v>System Benefits Charge</v>
      </c>
      <c r="C36" s="233" t="str">
        <f>'23 WMA'!C35</f>
        <v>SBC</v>
      </c>
      <c r="D36" s="233"/>
      <c r="E36" s="206"/>
      <c r="F36" s="239"/>
      <c r="G36" s="241">
        <v>2.5000000000000001E-3</v>
      </c>
      <c r="H36" s="211"/>
      <c r="I36" s="210">
        <f t="shared" si="4"/>
        <v>14833.233566040932</v>
      </c>
      <c r="K36" s="210"/>
      <c r="L36" s="236">
        <f>+G36</f>
        <v>2.5000000000000001E-3</v>
      </c>
      <c r="M36" s="211"/>
      <c r="N36" s="210">
        <f t="shared" si="5"/>
        <v>14833.233566040932</v>
      </c>
      <c r="O36" s="272"/>
      <c r="P36" s="275"/>
    </row>
    <row r="37" spans="1:16" ht="14" x14ac:dyDescent="0.3">
      <c r="A37" s="151">
        <f>IF(B37&lt;&gt;"",COUNTA($B$13:B37),"")</f>
        <v>24</v>
      </c>
      <c r="B37" s="207" t="str">
        <f>'23 WMA'!B36</f>
        <v>Renewable Energy Charge</v>
      </c>
      <c r="C37" s="233" t="str">
        <f>'23 WMA'!C36</f>
        <v>RNEW</v>
      </c>
      <c r="D37" s="233"/>
      <c r="E37" s="206"/>
      <c r="F37" s="239"/>
      <c r="G37" s="241">
        <v>5.0000000000000001E-4</v>
      </c>
      <c r="H37" s="211"/>
      <c r="I37" s="210">
        <f t="shared" si="4"/>
        <v>2966.6467132081866</v>
      </c>
      <c r="K37" s="210"/>
      <c r="L37" s="236">
        <f>+G37</f>
        <v>5.0000000000000001E-4</v>
      </c>
      <c r="M37" s="211"/>
      <c r="N37" s="210">
        <f t="shared" si="5"/>
        <v>2966.6467132081866</v>
      </c>
      <c r="O37" s="272"/>
      <c r="P37" s="275"/>
    </row>
    <row r="38" spans="1:16" ht="14" x14ac:dyDescent="0.3">
      <c r="A38" s="151">
        <f>IF(B38&lt;&gt;"",COUNTA($B$13:B38),"")</f>
        <v>25</v>
      </c>
      <c r="B38" s="207" t="str">
        <f>'23 WMA'!B37</f>
        <v>Basic Service Charge</v>
      </c>
      <c r="C38" s="233" t="str">
        <f>'23 WMA'!C37</f>
        <v>BS</v>
      </c>
      <c r="D38" s="233"/>
      <c r="E38" s="206"/>
      <c r="F38" s="239"/>
      <c r="G38" s="241">
        <v>0.10859000000000001</v>
      </c>
      <c r="H38" s="211"/>
      <c r="I38" s="237">
        <f t="shared" si="4"/>
        <v>644296.33317455393</v>
      </c>
      <c r="K38" s="210"/>
      <c r="L38" s="236">
        <v>0.12354999999999999</v>
      </c>
      <c r="M38" s="211"/>
      <c r="N38" s="237">
        <f t="shared" si="5"/>
        <v>733058.40283374279</v>
      </c>
      <c r="O38" s="272"/>
      <c r="P38" s="232"/>
    </row>
    <row r="39" spans="1:16" ht="14" x14ac:dyDescent="0.3">
      <c r="A39" s="151" t="str">
        <f>IF(B39&lt;&gt;"",COUNTA($B$13:B39),"")</f>
        <v/>
      </c>
      <c r="B39" s="207"/>
      <c r="E39" s="206"/>
      <c r="F39" s="239"/>
      <c r="G39" s="241"/>
      <c r="H39" s="211"/>
      <c r="I39" s="244"/>
      <c r="K39" s="210"/>
      <c r="L39" s="241"/>
      <c r="M39" s="211"/>
      <c r="N39" s="244"/>
      <c r="O39" s="272"/>
    </row>
    <row r="40" spans="1:16" ht="14" x14ac:dyDescent="0.3">
      <c r="A40" s="151">
        <f>IF(B40&lt;&gt;"",COUNTA($B$13:B40),"")</f>
        <v>26</v>
      </c>
      <c r="B40" s="188" t="s">
        <v>46</v>
      </c>
      <c r="E40" s="188"/>
      <c r="G40" s="245" t="s">
        <v>324</v>
      </c>
      <c r="H40" s="246"/>
      <c r="I40" s="154">
        <f>SUM(I16:I39)</f>
        <v>1309170.6853157203</v>
      </c>
      <c r="K40" s="247"/>
      <c r="L40" s="245"/>
      <c r="N40" s="154">
        <f>SUM(N16:N39)</f>
        <v>1366824.3591925998</v>
      </c>
      <c r="P40" s="154"/>
    </row>
    <row r="41" spans="1:16" ht="14" x14ac:dyDescent="0.3">
      <c r="A41" s="151" t="str">
        <f>IF(B41&lt;&gt;"",COUNTA($B$13:B41),"")</f>
        <v/>
      </c>
      <c r="E41" s="188"/>
      <c r="H41" s="188"/>
      <c r="I41" s="154"/>
      <c r="K41" s="265"/>
      <c r="L41" s="278"/>
      <c r="N41" s="265"/>
      <c r="P41" s="154"/>
    </row>
    <row r="42" spans="1:16" ht="14" x14ac:dyDescent="0.3">
      <c r="A42" s="151">
        <f>IF(B42&lt;&gt;"",COUNTA($B$13:B42),"")</f>
        <v>27</v>
      </c>
      <c r="B42" s="188" t="s">
        <v>46</v>
      </c>
      <c r="E42" s="188"/>
      <c r="G42" s="188"/>
      <c r="H42" s="188"/>
      <c r="I42" s="188"/>
      <c r="J42" s="188"/>
      <c r="L42" s="248" t="s">
        <v>325</v>
      </c>
      <c r="N42" s="160">
        <f>+N40/I40-1</f>
        <v>4.4038317175560504E-2</v>
      </c>
    </row>
    <row r="43" spans="1:16" ht="14" x14ac:dyDescent="0.3">
      <c r="A43" s="151" t="str">
        <f>IF(B43&lt;&gt;"",COUNTA($B$13:B43),"")</f>
        <v/>
      </c>
      <c r="E43" s="188"/>
      <c r="G43" s="188"/>
      <c r="H43" s="188"/>
      <c r="I43" s="188"/>
      <c r="J43" s="188"/>
      <c r="L43" s="248"/>
      <c r="N43" s="160"/>
    </row>
    <row r="44" spans="1:16" ht="14" x14ac:dyDescent="0.3">
      <c r="A44" s="151" t="str">
        <f>IF(B44&lt;&gt;"",COUNTA($B$13:B44),"")</f>
        <v/>
      </c>
      <c r="E44" s="188"/>
      <c r="G44" s="186"/>
      <c r="H44" s="188"/>
      <c r="I44" s="188"/>
      <c r="L44" s="248"/>
      <c r="N44" s="160"/>
    </row>
    <row r="45" spans="1:16" ht="14.5" thickBot="1" x14ac:dyDescent="0.35">
      <c r="A45" s="151">
        <f>IF(B45&lt;&gt;"",COUNTA($B$13:B45),"")</f>
        <v>28</v>
      </c>
      <c r="B45" s="188" t="s">
        <v>46</v>
      </c>
      <c r="E45" s="279" t="s">
        <v>326</v>
      </c>
      <c r="F45" s="135"/>
      <c r="G45" s="280"/>
      <c r="I45" s="279" t="s">
        <v>327</v>
      </c>
      <c r="J45" s="135"/>
      <c r="L45" s="279" t="s">
        <v>328</v>
      </c>
      <c r="M45" s="135"/>
      <c r="N45" s="137"/>
    </row>
    <row r="46" spans="1:16" ht="14" x14ac:dyDescent="0.3">
      <c r="A46" s="151">
        <f>IF(B46&lt;&gt;"",COUNTA($B$13:B46),"")</f>
        <v>29</v>
      </c>
      <c r="B46" s="144" t="s">
        <v>329</v>
      </c>
      <c r="C46" s="144"/>
      <c r="D46" s="144"/>
      <c r="E46" s="249" t="s">
        <v>148</v>
      </c>
      <c r="F46" s="250"/>
      <c r="G46" s="251" t="s">
        <v>330</v>
      </c>
      <c r="I46" s="249" t="s">
        <v>148</v>
      </c>
      <c r="J46" s="251" t="s">
        <v>330</v>
      </c>
      <c r="K46" s="212"/>
      <c r="L46" s="249" t="s">
        <v>148</v>
      </c>
      <c r="M46" s="252"/>
      <c r="N46" s="251" t="s">
        <v>330</v>
      </c>
    </row>
    <row r="47" spans="1:16" ht="14" x14ac:dyDescent="0.3">
      <c r="A47" s="151">
        <f>IF(B47&lt;&gt;"",COUNTA($B$13:B47),"")</f>
        <v>30</v>
      </c>
      <c r="B47" s="130" t="str">
        <f>+'23 WMA'!B46</f>
        <v>Distribution</v>
      </c>
      <c r="C47" s="253" t="str">
        <f>+'23 WMA'!C46</f>
        <v>DIST</v>
      </c>
      <c r="D47" s="253"/>
      <c r="E47" s="154">
        <f t="shared" ref="E47:E62" si="6">SUMIF($C$13:$C$38,$C47,$I$13:$I$38)</f>
        <v>334447.26916255732</v>
      </c>
      <c r="G47" s="254">
        <f>+E47/$E$15*100</f>
        <v>5.6367896398570467</v>
      </c>
      <c r="I47" s="154">
        <f t="shared" ref="I47:I62" si="7">SUMIF($C$13:$C$38,$C47,$N$13:$N$38)</f>
        <v>345425.34493594372</v>
      </c>
      <c r="J47" s="254">
        <f>+I47/$E$15*100</f>
        <v>5.8218146333035117</v>
      </c>
      <c r="L47" s="154">
        <f t="shared" ref="L47:L67" si="8">I47-E47</f>
        <v>10978.075773386401</v>
      </c>
      <c r="N47" s="254">
        <f>+L47/$E$15*100</f>
        <v>0.18502499344646448</v>
      </c>
      <c r="O47" s="272"/>
    </row>
    <row r="48" spans="1:16" ht="14" x14ac:dyDescent="0.3">
      <c r="A48" s="151">
        <f>IF(B48&lt;&gt;"",COUNTA($B$13:B48),"")</f>
        <v>31</v>
      </c>
      <c r="B48" s="130" t="str">
        <f>+'23 WMA'!B47</f>
        <v>Revenue Decoupling</v>
      </c>
      <c r="C48" s="253" t="str">
        <f>+'23 WMA'!C47</f>
        <v>RDAF</v>
      </c>
      <c r="D48" s="253"/>
      <c r="E48" s="154">
        <f t="shared" si="6"/>
        <v>3381.9772530573323</v>
      </c>
      <c r="G48" s="254">
        <f t="shared" ref="G48:G68" si="9">+E48/$E$15*100</f>
        <v>5.6999999999999995E-2</v>
      </c>
      <c r="I48" s="154">
        <f t="shared" si="7"/>
        <v>-2566.9168335415147</v>
      </c>
      <c r="J48" s="254">
        <f t="shared" ref="J48:J68" si="10">+I48/$E$15*100</f>
        <v>-4.3262934243450978E-2</v>
      </c>
      <c r="L48" s="154">
        <f>I48-E48</f>
        <v>-5948.894086598847</v>
      </c>
      <c r="N48" s="254">
        <f t="shared" ref="N48:N68" si="11">+L48/$E$15*100</f>
        <v>-0.10026293424345097</v>
      </c>
      <c r="O48" s="272"/>
    </row>
    <row r="49" spans="1:15" ht="14" x14ac:dyDescent="0.3">
      <c r="A49" s="151">
        <f>IF(B49&lt;&gt;"",COUNTA($B$13:B49),"")</f>
        <v>32</v>
      </c>
      <c r="B49" s="130" t="str">
        <f>+'23 WMA'!B48</f>
        <v>Residential Assistance Adjustment Factor</v>
      </c>
      <c r="C49" s="253" t="str">
        <f>+'23 WMA'!C48</f>
        <v>RAAF</v>
      </c>
      <c r="D49" s="253"/>
      <c r="E49" s="154">
        <f t="shared" si="6"/>
        <v>60460.260015182837</v>
      </c>
      <c r="G49" s="254">
        <f t="shared" si="9"/>
        <v>1.0189999999999999</v>
      </c>
      <c r="I49" s="154">
        <f t="shared" si="7"/>
        <v>21686.003764381629</v>
      </c>
      <c r="J49" s="254">
        <f t="shared" si="10"/>
        <v>0.36549690375720512</v>
      </c>
      <c r="L49" s="154">
        <f t="shared" si="8"/>
        <v>-38774.256250801205</v>
      </c>
      <c r="N49" s="254">
        <f t="shared" si="11"/>
        <v>-0.65350309624279479</v>
      </c>
      <c r="O49" s="272"/>
    </row>
    <row r="50" spans="1:15" ht="14" x14ac:dyDescent="0.3">
      <c r="A50" s="151">
        <f>IF(B50&lt;&gt;"",COUNTA($B$13:B50),"")</f>
        <v>33</v>
      </c>
      <c r="B50" s="130" t="str">
        <f>+'23 WMA'!B49</f>
        <v>Pension Adjustment Factor</v>
      </c>
      <c r="C50" s="253" t="str">
        <f>+'23 WMA'!C49</f>
        <v>PAF</v>
      </c>
      <c r="D50" s="253"/>
      <c r="E50" s="154">
        <f t="shared" si="6"/>
        <v>6585.9557033221745</v>
      </c>
      <c r="G50" s="254">
        <f t="shared" si="9"/>
        <v>0.11100000000000002</v>
      </c>
      <c r="I50" s="154">
        <f t="shared" si="7"/>
        <v>3770.2916908012498</v>
      </c>
      <c r="J50" s="254">
        <f t="shared" si="10"/>
        <v>6.3544669373927345E-2</v>
      </c>
      <c r="L50" s="154">
        <f t="shared" si="8"/>
        <v>-2815.6640125209246</v>
      </c>
      <c r="N50" s="254">
        <f t="shared" si="11"/>
        <v>-4.7455330626072656E-2</v>
      </c>
      <c r="O50" s="272"/>
    </row>
    <row r="51" spans="1:15" ht="14" x14ac:dyDescent="0.3">
      <c r="A51" s="151">
        <f>IF(B51&lt;&gt;"",COUNTA($B$13:B51),"")</f>
        <v>34</v>
      </c>
      <c r="B51" s="130" t="str">
        <f>+'23 WMA'!B50</f>
        <v>Net Metering Recovery Surcharge</v>
      </c>
      <c r="C51" s="253" t="str">
        <f>+'23 WMA'!C50</f>
        <v>NMRS</v>
      </c>
      <c r="D51" s="253"/>
      <c r="E51" s="154">
        <f t="shared" si="6"/>
        <v>26284.489879024532</v>
      </c>
      <c r="G51" s="254">
        <f t="shared" si="9"/>
        <v>0.443</v>
      </c>
      <c r="I51" s="154">
        <f t="shared" si="7"/>
        <v>28276.809389474598</v>
      </c>
      <c r="J51" s="254">
        <f t="shared" si="10"/>
        <v>0.4765786445615483</v>
      </c>
      <c r="L51" s="154">
        <f t="shared" si="8"/>
        <v>1992.3195104500664</v>
      </c>
      <c r="N51" s="254">
        <f t="shared" si="11"/>
        <v>3.357864456154834E-2</v>
      </c>
      <c r="O51" s="272"/>
    </row>
    <row r="52" spans="1:15" ht="14" x14ac:dyDescent="0.3">
      <c r="A52" s="151">
        <f>IF(B52&lt;&gt;"",COUNTA($B$13:B52),"")</f>
        <v>35</v>
      </c>
      <c r="B52" s="130" t="str">
        <f>+'23 WMA'!B51</f>
        <v>Long Term Renewable Contract Adjustment</v>
      </c>
      <c r="C52" s="253" t="str">
        <f>+'23 WMA'!C51</f>
        <v>LTRCA</v>
      </c>
      <c r="D52" s="253"/>
      <c r="E52" s="154">
        <f t="shared" si="6"/>
        <v>19639.201241438193</v>
      </c>
      <c r="G52" s="254">
        <f t="shared" si="9"/>
        <v>0.33100000000000002</v>
      </c>
      <c r="I52" s="154">
        <f t="shared" si="7"/>
        <v>10298.493810408583</v>
      </c>
      <c r="J52" s="254">
        <f t="shared" si="10"/>
        <v>0.17357128782064518</v>
      </c>
      <c r="L52" s="154">
        <f t="shared" si="8"/>
        <v>-9340.7074310296102</v>
      </c>
      <c r="N52" s="254">
        <f t="shared" si="11"/>
        <v>-0.15742871217935481</v>
      </c>
      <c r="O52" s="272"/>
    </row>
    <row r="53" spans="1:15" ht="14" x14ac:dyDescent="0.3">
      <c r="A53" s="151">
        <f>IF(B53&lt;&gt;"",COUNTA($B$13:B53),"")</f>
        <v>36</v>
      </c>
      <c r="B53" s="130" t="str">
        <f>+'23 WMA'!B52</f>
        <v>AG Consulting Expense</v>
      </c>
      <c r="C53" s="253" t="str">
        <f>+'23 WMA'!C52</f>
        <v>AGCE</v>
      </c>
      <c r="D53" s="253"/>
      <c r="E53" s="154">
        <f t="shared" si="6"/>
        <v>177.9988027924912</v>
      </c>
      <c r="G53" s="254">
        <f t="shared" si="9"/>
        <v>3.0000000000000005E-3</v>
      </c>
      <c r="I53" s="154">
        <f t="shared" si="7"/>
        <v>45.53251834606548</v>
      </c>
      <c r="J53" s="254">
        <f t="shared" si="10"/>
        <v>7.6740715608879793E-4</v>
      </c>
      <c r="L53" s="154">
        <f t="shared" si="8"/>
        <v>-132.46628444642573</v>
      </c>
      <c r="N53" s="254">
        <f t="shared" si="11"/>
        <v>-2.2325928439112025E-3</v>
      </c>
      <c r="O53" s="272"/>
    </row>
    <row r="54" spans="1:15" ht="14" x14ac:dyDescent="0.3">
      <c r="A54" s="151">
        <f>IF(B54&lt;&gt;"",COUNTA($B$13:B54),"")</f>
        <v>37</v>
      </c>
      <c r="B54" s="130" t="str">
        <f>+'23 WMA'!B53</f>
        <v>Storm Cost Recovery Adjustment Factor</v>
      </c>
      <c r="C54" s="253" t="str">
        <f>+'23 WMA'!C53</f>
        <v>SCRA</v>
      </c>
      <c r="D54" s="253"/>
      <c r="E54" s="154">
        <f t="shared" si="6"/>
        <v>14061.905420606805</v>
      </c>
      <c r="G54" s="254">
        <f t="shared" si="9"/>
        <v>0.23700000000000002</v>
      </c>
      <c r="I54" s="154">
        <f t="shared" si="7"/>
        <v>16290.417577368175</v>
      </c>
      <c r="J54" s="254">
        <f t="shared" si="10"/>
        <v>0.27455944627379336</v>
      </c>
      <c r="L54" s="154">
        <f>I54-E54</f>
        <v>2228.5121567613696</v>
      </c>
      <c r="N54" s="254">
        <f t="shared" si="11"/>
        <v>3.7559446273793338E-2</v>
      </c>
      <c r="O54" s="272"/>
    </row>
    <row r="55" spans="1:15" ht="14" x14ac:dyDescent="0.3">
      <c r="A55" s="151">
        <f>IF(B55&lt;&gt;"",COUNTA($B$13:B55),"")</f>
        <v>38</v>
      </c>
      <c r="B55" s="130" t="str">
        <f>+'23 WMA'!B54</f>
        <v>Storm Reserve Adjustment</v>
      </c>
      <c r="C55" s="253" t="str">
        <f>+'23 WMA'!C54</f>
        <v>SRA</v>
      </c>
      <c r="D55" s="253"/>
      <c r="E55" s="154">
        <f t="shared" si="6"/>
        <v>0</v>
      </c>
      <c r="G55" s="254">
        <f t="shared" si="9"/>
        <v>0</v>
      </c>
      <c r="I55" s="154">
        <f t="shared" si="7"/>
        <v>0</v>
      </c>
      <c r="J55" s="254">
        <f t="shared" si="10"/>
        <v>0</v>
      </c>
      <c r="L55" s="154">
        <f>I55-E55</f>
        <v>0</v>
      </c>
      <c r="N55" s="254">
        <f t="shared" si="11"/>
        <v>0</v>
      </c>
      <c r="O55" s="272"/>
    </row>
    <row r="56" spans="1:15" ht="14" x14ac:dyDescent="0.3">
      <c r="A56" s="151">
        <f>IF(B56&lt;&gt;"",COUNTA($B$13:B56),"")</f>
        <v>39</v>
      </c>
      <c r="B56" s="130" t="str">
        <f>+'23 WMA'!B55</f>
        <v>Basic Service Cost True Up Factor</v>
      </c>
      <c r="C56" s="253" t="str">
        <f>+'23 WMA'!C55</f>
        <v>BSTF</v>
      </c>
      <c r="D56" s="253"/>
      <c r="E56" s="154">
        <f t="shared" si="6"/>
        <v>1245.9916195474384</v>
      </c>
      <c r="G56" s="254">
        <f t="shared" si="9"/>
        <v>2.1000000000000001E-2</v>
      </c>
      <c r="I56" s="154">
        <f t="shared" si="7"/>
        <v>-1076.1126473864319</v>
      </c>
      <c r="J56" s="254">
        <f t="shared" si="10"/>
        <v>-1.8136851998509521E-2</v>
      </c>
      <c r="L56" s="154">
        <f>I56-E56</f>
        <v>-2322.1042669338703</v>
      </c>
      <c r="N56" s="254">
        <f t="shared" si="11"/>
        <v>-3.9136851998509525E-2</v>
      </c>
      <c r="O56" s="272"/>
    </row>
    <row r="57" spans="1:15" ht="14" x14ac:dyDescent="0.3">
      <c r="A57" s="151">
        <f>IF(B57&lt;&gt;"",COUNTA($B$13:B57),"")</f>
        <v>40</v>
      </c>
      <c r="B57" s="130" t="str">
        <f>+'23 WMA'!B56</f>
        <v>Solar Program Cost Adjustment Factor</v>
      </c>
      <c r="C57" s="253" t="str">
        <f>+'23 WMA'!C56</f>
        <v>SPCA</v>
      </c>
      <c r="D57" s="253"/>
      <c r="E57" s="154">
        <f t="shared" si="6"/>
        <v>-771.32814543412837</v>
      </c>
      <c r="G57" s="254">
        <f t="shared" si="9"/>
        <v>-1.2999999999999999E-2</v>
      </c>
      <c r="I57" s="154">
        <f t="shared" si="7"/>
        <v>191.5098681911162</v>
      </c>
      <c r="J57" s="254">
        <f t="shared" si="10"/>
        <v>3.227716116962473E-3</v>
      </c>
      <c r="L57" s="154">
        <f t="shared" si="8"/>
        <v>962.83801362524457</v>
      </c>
      <c r="N57" s="254">
        <f t="shared" si="11"/>
        <v>1.6227716116962471E-2</v>
      </c>
    </row>
    <row r="58" spans="1:15" ht="14" x14ac:dyDescent="0.3">
      <c r="A58" s="151">
        <f>IF(B58&lt;&gt;"",COUNTA($B$13:B58),"")</f>
        <v>41</v>
      </c>
      <c r="B58" s="130" t="str">
        <f>+'23 WMA'!B57</f>
        <v>Solar Expansion Cost Recovery Factor</v>
      </c>
      <c r="C58" s="253" t="str">
        <f>+'23 WMA'!C57</f>
        <v>SECRF</v>
      </c>
      <c r="D58" s="253"/>
      <c r="E58" s="154">
        <f t="shared" si="6"/>
        <v>0</v>
      </c>
      <c r="G58" s="254">
        <f t="shared" si="9"/>
        <v>0</v>
      </c>
      <c r="I58" s="154">
        <f t="shared" si="7"/>
        <v>3377.7959528083388</v>
      </c>
      <c r="J58" s="254">
        <f t="shared" si="10"/>
        <v>5.6929528173503476E-2</v>
      </c>
      <c r="L58" s="154">
        <f t="shared" si="8"/>
        <v>3377.7959528083388</v>
      </c>
      <c r="N58" s="254">
        <f t="shared" si="11"/>
        <v>5.6929528173503476E-2</v>
      </c>
    </row>
    <row r="59" spans="1:15" ht="14" x14ac:dyDescent="0.3">
      <c r="A59" s="151">
        <f>IF(B59&lt;&gt;"",COUNTA($B$13:B59),"")</f>
        <v>42</v>
      </c>
      <c r="B59" s="130" t="str">
        <f>+'23 WMA'!B58</f>
        <v>Vegetation Management</v>
      </c>
      <c r="C59" s="253" t="str">
        <f>+'23 WMA'!C58</f>
        <v>RTWF</v>
      </c>
      <c r="D59" s="253"/>
      <c r="E59" s="154">
        <f t="shared" si="6"/>
        <v>0</v>
      </c>
      <c r="G59" s="254">
        <f t="shared" si="9"/>
        <v>0</v>
      </c>
      <c r="I59" s="154">
        <f t="shared" si="7"/>
        <v>6750.0964257002497</v>
      </c>
      <c r="J59" s="254">
        <f t="shared" si="10"/>
        <v>0.11376643527601861</v>
      </c>
      <c r="L59" s="154">
        <f t="shared" si="8"/>
        <v>6750.0964257002497</v>
      </c>
      <c r="N59" s="254">
        <f t="shared" si="11"/>
        <v>0.11376643527601861</v>
      </c>
    </row>
    <row r="60" spans="1:15" ht="14" x14ac:dyDescent="0.3">
      <c r="A60" s="151">
        <f>IF(B60&lt;&gt;"",COUNTA($B$13:B60),"")</f>
        <v>43</v>
      </c>
      <c r="B60" s="130" t="str">
        <f>+'23 WMA'!B59</f>
        <v>Solar Massachusetts Renewable Target</v>
      </c>
      <c r="C60" s="253" t="str">
        <f>+'23 WMA'!C59</f>
        <v>SMART</v>
      </c>
      <c r="D60" s="253"/>
      <c r="E60" s="154">
        <f t="shared" si="6"/>
        <v>0</v>
      </c>
      <c r="G60" s="254">
        <f t="shared" si="9"/>
        <v>0</v>
      </c>
      <c r="I60" s="154">
        <f t="shared" si="7"/>
        <v>3957.5619596261226</v>
      </c>
      <c r="J60" s="254">
        <f t="shared" si="10"/>
        <v>6.6700931088392756E-2</v>
      </c>
      <c r="L60" s="154">
        <f t="shared" si="8"/>
        <v>3957.5619596261226</v>
      </c>
      <c r="N60" s="254">
        <f t="shared" si="11"/>
        <v>6.6700931088392756E-2</v>
      </c>
    </row>
    <row r="61" spans="1:15" ht="14" x14ac:dyDescent="0.3">
      <c r="A61" s="151">
        <f>IF(B61&lt;&gt;"",COUNTA($B$13:B61),"")</f>
        <v>44</v>
      </c>
      <c r="B61" s="130" t="str">
        <f>+'23 WMA'!B60</f>
        <v>Tax Act Credit Factor</v>
      </c>
      <c r="C61" s="253" t="str">
        <f>+'23 WMA'!C60</f>
        <v>TACF</v>
      </c>
      <c r="D61" s="253"/>
      <c r="E61" s="154">
        <f t="shared" si="6"/>
        <v>0</v>
      </c>
      <c r="G61" s="254">
        <f t="shared" si="9"/>
        <v>0</v>
      </c>
      <c r="I61" s="154">
        <f t="shared" si="7"/>
        <v>-5991.0876632641575</v>
      </c>
      <c r="J61" s="254">
        <f t="shared" si="10"/>
        <v>-0.10097406672305252</v>
      </c>
      <c r="L61" s="154">
        <f t="shared" si="8"/>
        <v>-5991.0876632641575</v>
      </c>
      <c r="N61" s="254">
        <f t="shared" si="11"/>
        <v>-0.10097406672305252</v>
      </c>
    </row>
    <row r="62" spans="1:15" ht="14" x14ac:dyDescent="0.3">
      <c r="A62" s="151">
        <f>IF(B62&lt;&gt;"",COUNTA($B$13:B62),"")</f>
        <v>45</v>
      </c>
      <c r="B62" s="130" t="str">
        <f>+'23 WMA'!B61</f>
        <v>Transition</v>
      </c>
      <c r="C62" s="253" t="str">
        <f>+'23 WMA'!C61</f>
        <v>TRNSN</v>
      </c>
      <c r="D62" s="253"/>
      <c r="E62" s="154">
        <f t="shared" si="6"/>
        <v>-10145.931759171997</v>
      </c>
      <c r="G62" s="254">
        <f t="shared" si="9"/>
        <v>-0.17099999999999999</v>
      </c>
      <c r="I62" s="154">
        <f t="shared" si="7"/>
        <v>-3091.7989413881223</v>
      </c>
      <c r="J62" s="254">
        <f t="shared" si="10"/>
        <v>-5.2109321403568713E-2</v>
      </c>
      <c r="L62" s="154">
        <f t="shared" si="8"/>
        <v>7054.132817783875</v>
      </c>
      <c r="N62" s="254">
        <f t="shared" si="11"/>
        <v>0.11889067859643129</v>
      </c>
    </row>
    <row r="63" spans="1:15" ht="14" x14ac:dyDescent="0.3">
      <c r="A63" s="151">
        <f>IF(B63&lt;&gt;"",COUNTA($B$13:B63),"")</f>
        <v>46</v>
      </c>
      <c r="B63" s="130" t="str">
        <f>+'23 WMA'!B62</f>
        <v>Transmission</v>
      </c>
      <c r="C63" s="253" t="str">
        <f>+'23 WMA'!C62</f>
        <v>TRNSM</v>
      </c>
      <c r="D63" s="253"/>
      <c r="E63" s="154">
        <f>SUM(SUMIF($C$13:$C$38,{"TMKW","TMKWH"},$I$13:$I$38))</f>
        <v>134035.07056422697</v>
      </c>
      <c r="G63" s="254">
        <f t="shared" si="9"/>
        <v>2.2590332372148043</v>
      </c>
      <c r="I63" s="154">
        <f>SUM(SUMIF($C$13:$C$38,{"TMKW","TMKWH"},$N$13:$N$38))</f>
        <v>130950.52216737116</v>
      </c>
      <c r="J63" s="254">
        <f t="shared" si="10"/>
        <v>2.2070461168218927</v>
      </c>
      <c r="L63" s="154">
        <f t="shared" si="8"/>
        <v>-3084.548396855811</v>
      </c>
      <c r="N63" s="254">
        <f t="shared" si="11"/>
        <v>-5.1987120392911958E-2</v>
      </c>
    </row>
    <row r="64" spans="1:15" ht="14" x14ac:dyDescent="0.3">
      <c r="A64" s="151">
        <f>IF(B64&lt;&gt;"",COUNTA($B$13:B64),"")</f>
        <v>47</v>
      </c>
      <c r="B64" s="130" t="str">
        <f>+'23 WMA'!B63</f>
        <v>Energy Efficiency Reconciliation Factor</v>
      </c>
      <c r="C64" s="253" t="str">
        <f>+'23 WMA'!C63</f>
        <v>EERF</v>
      </c>
      <c r="D64" s="253"/>
      <c r="E64" s="154">
        <f>SUMIF($C$13:$C$38,$C64,$I$13:$I$38)</f>
        <v>57671.61210476714</v>
      </c>
      <c r="G64" s="254">
        <f t="shared" si="9"/>
        <v>0.97199999999999998</v>
      </c>
      <c r="I64" s="154">
        <f>SUMIF($C$13:$C$38,$C64,$N$13:$N$38)</f>
        <v>57671.61210476714</v>
      </c>
      <c r="J64" s="254">
        <f t="shared" si="10"/>
        <v>0.97199999999999998</v>
      </c>
      <c r="L64" s="154">
        <f t="shared" si="8"/>
        <v>0</v>
      </c>
      <c r="N64" s="254">
        <f t="shared" si="11"/>
        <v>0</v>
      </c>
    </row>
    <row r="65" spans="1:14" ht="14" x14ac:dyDescent="0.3">
      <c r="A65" s="151">
        <f>IF(B65&lt;&gt;"",COUNTA($B$13:B65),"")</f>
        <v>48</v>
      </c>
      <c r="B65" s="130" t="str">
        <f>+'23 WMA'!B64</f>
        <v>System Benefits Charge</v>
      </c>
      <c r="C65" s="253" t="str">
        <f>+'23 WMA'!C64</f>
        <v>SBC</v>
      </c>
      <c r="D65" s="253"/>
      <c r="E65" s="154">
        <f>SUMIF($C$13:$C$38,$C65,$I$13:$I$38)</f>
        <v>14833.233566040932</v>
      </c>
      <c r="G65" s="254">
        <f t="shared" si="9"/>
        <v>0.25</v>
      </c>
      <c r="I65" s="154">
        <f>SUMIF($C$13:$C$38,$C65,$N$13:$N$38)</f>
        <v>14833.233566040932</v>
      </c>
      <c r="J65" s="254">
        <f t="shared" si="10"/>
        <v>0.25</v>
      </c>
      <c r="L65" s="154">
        <f t="shared" si="8"/>
        <v>0</v>
      </c>
      <c r="N65" s="254">
        <f t="shared" si="11"/>
        <v>0</v>
      </c>
    </row>
    <row r="66" spans="1:14" ht="14" x14ac:dyDescent="0.3">
      <c r="A66" s="151">
        <f>IF(B66&lt;&gt;"",COUNTA($B$13:B66),"")</f>
        <v>49</v>
      </c>
      <c r="B66" s="130" t="str">
        <f>+'23 WMA'!B65</f>
        <v>Renewable Energy Charge</v>
      </c>
      <c r="C66" s="253" t="str">
        <f>+'23 WMA'!C65</f>
        <v>RNEW</v>
      </c>
      <c r="D66" s="253"/>
      <c r="E66" s="154">
        <f>SUMIF($C$13:$C$38,$C66,$I$13:$I$38)</f>
        <v>2966.6467132081866</v>
      </c>
      <c r="G66" s="254">
        <f t="shared" si="9"/>
        <v>0.05</v>
      </c>
      <c r="I66" s="154">
        <f>SUMIF($C$13:$C$38,$C66,$N$13:$N$38)</f>
        <v>2966.6467132081866</v>
      </c>
      <c r="J66" s="254">
        <f t="shared" si="10"/>
        <v>0.05</v>
      </c>
      <c r="L66" s="154">
        <f>I66-E66</f>
        <v>0</v>
      </c>
      <c r="N66" s="254">
        <f t="shared" si="11"/>
        <v>0</v>
      </c>
    </row>
    <row r="67" spans="1:14" ht="14" x14ac:dyDescent="0.3">
      <c r="A67" s="151">
        <f>IF(B67&lt;&gt;"",COUNTA($B$13:B67),"")</f>
        <v>50</v>
      </c>
      <c r="B67" s="130" t="str">
        <f>+'23 WMA'!B66</f>
        <v>Basic Service Charge</v>
      </c>
      <c r="C67" s="253" t="str">
        <f>+'23 WMA'!C66</f>
        <v>BS</v>
      </c>
      <c r="D67" s="253"/>
      <c r="E67" s="255">
        <f>SUMIF($C$13:$C$38,$C67,$I$13:$I$38)</f>
        <v>644296.33317455393</v>
      </c>
      <c r="F67" s="256"/>
      <c r="G67" s="257">
        <f t="shared" si="9"/>
        <v>10.859</v>
      </c>
      <c r="H67" s="258"/>
      <c r="I67" s="255">
        <f>SUMIF($C$13:$C$38,$C67,$N$13:$N$38)</f>
        <v>733058.40283374279</v>
      </c>
      <c r="J67" s="257">
        <f t="shared" si="10"/>
        <v>12.354999999999999</v>
      </c>
      <c r="K67" s="255"/>
      <c r="L67" s="255">
        <f t="shared" si="8"/>
        <v>88762.069659188855</v>
      </c>
      <c r="M67" s="259"/>
      <c r="N67" s="257">
        <f t="shared" si="11"/>
        <v>1.4959999999999984</v>
      </c>
    </row>
    <row r="68" spans="1:14" ht="14" x14ac:dyDescent="0.3">
      <c r="A68" s="151">
        <f>IF(B68&lt;&gt;"",COUNTA($B$13:B68),"")</f>
        <v>51</v>
      </c>
      <c r="B68" s="130" t="str">
        <f>+'23 WMA'!B67</f>
        <v>Total</v>
      </c>
      <c r="C68" s="130"/>
      <c r="D68" s="130"/>
      <c r="E68" s="154">
        <f>SUM(E47:E67)</f>
        <v>1309170.6853157203</v>
      </c>
      <c r="G68" s="254">
        <f t="shared" si="9"/>
        <v>22.064822877071855</v>
      </c>
      <c r="I68" s="154">
        <f>SUM(I47:I67)</f>
        <v>1366824.3591925998</v>
      </c>
      <c r="J68" s="254">
        <f t="shared" si="10"/>
        <v>23.036520545354904</v>
      </c>
      <c r="L68" s="154">
        <f>SUM(L47:L67)</f>
        <v>57653.673876879671</v>
      </c>
      <c r="N68" s="254">
        <f t="shared" si="11"/>
        <v>0.97169766828305493</v>
      </c>
    </row>
    <row r="69" spans="1:14" ht="14" x14ac:dyDescent="0.3">
      <c r="A69" s="151" t="str">
        <f>IF(B69&lt;&gt;"",COUNTA($B$10:B69),"")</f>
        <v/>
      </c>
    </row>
    <row r="70" spans="1:14" ht="14" x14ac:dyDescent="0.3">
      <c r="A70" s="151"/>
      <c r="B70" s="256" t="s">
        <v>164</v>
      </c>
      <c r="E70" s="188"/>
      <c r="G70" s="188"/>
      <c r="H70" s="188"/>
      <c r="I70" s="188"/>
      <c r="J70" s="188"/>
      <c r="K70" s="188"/>
      <c r="L70" s="188"/>
      <c r="M70" s="188"/>
      <c r="N70" s="188"/>
    </row>
    <row r="71" spans="1:14" ht="14" x14ac:dyDescent="0.3">
      <c r="A71" s="151"/>
      <c r="B71" s="130" t="str">
        <f>+'23 WMA'!B70</f>
        <v>Col. (a): Company's forecast</v>
      </c>
    </row>
    <row r="72" spans="1:14" ht="14" x14ac:dyDescent="0.3">
      <c r="A72" s="151"/>
      <c r="B72" s="130" t="str">
        <f>+'23 WMA'!B71</f>
        <v>Col. (b): Current rates</v>
      </c>
    </row>
    <row r="73" spans="1:14" ht="14" x14ac:dyDescent="0.3">
      <c r="A73" s="151"/>
      <c r="B73" s="130" t="str">
        <f>+'23 WMA'!B72</f>
        <v>Col. (c): Col. (a) x Col. (b)</v>
      </c>
    </row>
    <row r="74" spans="1:14" ht="14" x14ac:dyDescent="0.3">
      <c r="A74" s="151"/>
      <c r="B74" s="130" t="str">
        <f>+'23 WMA'!B73</f>
        <v>Col. (e): Proposed rates</v>
      </c>
    </row>
    <row r="75" spans="1:14" ht="14" x14ac:dyDescent="0.3">
      <c r="A75" s="151"/>
      <c r="B75" s="130" t="s">
        <v>439</v>
      </c>
    </row>
  </sheetData>
  <mergeCells count="5">
    <mergeCell ref="A4:N4"/>
    <mergeCell ref="A5:N5"/>
    <mergeCell ref="A8:N8"/>
    <mergeCell ref="G10:I10"/>
    <mergeCell ref="L10:N10"/>
  </mergeCells>
  <pageMargins left="0.7" right="0.7" top="0.75" bottom="0.75" header="0.3" footer="0.3"/>
  <pageSetup scale="66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0E67C-71E0-4BA5-9F56-5B2827BE5B2D}">
  <sheetPr>
    <tabColor theme="9" tint="0.59999389629810485"/>
    <pageSetUpPr fitToPage="1"/>
  </sheetPr>
  <dimension ref="A3:Q80"/>
  <sheetViews>
    <sheetView workbookViewId="0"/>
  </sheetViews>
  <sheetFormatPr defaultRowHeight="12.5" x14ac:dyDescent="0.25"/>
  <cols>
    <col min="1" max="1" width="3.26953125" bestFit="1" customWidth="1"/>
    <col min="2" max="2" width="40.453125" customWidth="1"/>
    <col min="3" max="3" width="8.26953125" bestFit="1" customWidth="1"/>
    <col min="4" max="4" width="1.453125" customWidth="1"/>
    <col min="5" max="5" width="14.453125" bestFit="1" customWidth="1"/>
    <col min="6" max="6" width="1.453125" customWidth="1"/>
    <col min="7" max="7" width="12.7265625" customWidth="1"/>
    <col min="8" max="8" width="1.453125" customWidth="1"/>
    <col min="9" max="9" width="14" customWidth="1"/>
    <col min="11" max="11" width="1.453125" customWidth="1"/>
    <col min="12" max="12" width="13.7265625" customWidth="1"/>
    <col min="13" max="13" width="1.453125" customWidth="1"/>
    <col min="14" max="14" width="14.81640625" customWidth="1"/>
  </cols>
  <sheetData>
    <row r="3" spans="1:17" ht="14" x14ac:dyDescent="0.3">
      <c r="A3" s="268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</row>
    <row r="4" spans="1:17" ht="14" x14ac:dyDescent="0.3">
      <c r="A4" s="748" t="str">
        <f>'24 WMA'!A4:N4</f>
        <v>Western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7" ht="14" x14ac:dyDescent="0.3">
      <c r="A5" s="748" t="str">
        <f>+'23 WMA'!A5:N5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7" ht="14" x14ac:dyDescent="0.3">
      <c r="A6" s="268"/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</row>
    <row r="7" spans="1:17" ht="14" x14ac:dyDescent="0.3">
      <c r="A7" s="268"/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</row>
    <row r="8" spans="1:17" ht="14" x14ac:dyDescent="0.3">
      <c r="A8" s="748" t="s">
        <v>510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7" ht="14" x14ac:dyDescent="0.3">
      <c r="B9" s="207"/>
      <c r="C9" s="207"/>
      <c r="D9" s="207"/>
      <c r="E9" s="213"/>
      <c r="F9" s="207"/>
      <c r="I9" s="210"/>
      <c r="J9" s="210"/>
      <c r="K9" s="210"/>
      <c r="L9" s="214"/>
      <c r="M9" s="214"/>
      <c r="N9" s="215"/>
    </row>
    <row r="10" spans="1:17" ht="14.5" thickBot="1" x14ac:dyDescent="0.35">
      <c r="A10" s="151"/>
      <c r="B10" s="216" t="s">
        <v>46</v>
      </c>
      <c r="C10" s="216"/>
      <c r="D10" s="216"/>
      <c r="E10" s="217" t="s">
        <v>144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7" ht="14" x14ac:dyDescent="0.3">
      <c r="A11" s="151"/>
      <c r="B11" s="219" t="s">
        <v>293</v>
      </c>
      <c r="C11" s="220" t="s">
        <v>294</v>
      </c>
      <c r="D11" s="220"/>
      <c r="E11" s="221" t="s">
        <v>295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7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7" ht="14" x14ac:dyDescent="0.3">
      <c r="A13" s="151">
        <f>IF(B13&lt;&gt;"",COUNTA($B$13:B13),"")</f>
        <v>1</v>
      </c>
      <c r="B13" s="232" t="s">
        <v>511</v>
      </c>
      <c r="C13" s="233" t="s">
        <v>412</v>
      </c>
      <c r="D13" s="233"/>
      <c r="E13" s="234">
        <v>252082.34804165913</v>
      </c>
      <c r="F13" s="207"/>
      <c r="G13" s="209">
        <v>30</v>
      </c>
      <c r="H13" s="209"/>
      <c r="I13" s="210">
        <f>G13*E13</f>
        <v>7562470.4412497738</v>
      </c>
      <c r="J13" s="235"/>
      <c r="K13" s="210"/>
      <c r="L13" s="238">
        <v>30</v>
      </c>
      <c r="M13" s="211"/>
      <c r="N13" s="210">
        <f>L13*E13</f>
        <v>7562470.4412497738</v>
      </c>
      <c r="O13" s="272"/>
      <c r="P13" s="234"/>
      <c r="Q13" s="154"/>
    </row>
    <row r="14" spans="1:17" ht="14" x14ac:dyDescent="0.3">
      <c r="A14" s="151">
        <f>IF(B14&lt;&gt;"",COUNTA($B$13:B14),"")</f>
        <v>2</v>
      </c>
      <c r="B14" s="232" t="s">
        <v>512</v>
      </c>
      <c r="C14" s="233" t="s">
        <v>414</v>
      </c>
      <c r="D14" s="233"/>
      <c r="E14" s="234">
        <v>4005.4777212312674</v>
      </c>
      <c r="F14" s="207"/>
      <c r="G14" s="209">
        <v>15</v>
      </c>
      <c r="H14" s="209"/>
      <c r="I14" s="210">
        <f>G14*E14</f>
        <v>60082.16581846901</v>
      </c>
      <c r="J14" s="235"/>
      <c r="K14" s="210"/>
      <c r="L14" s="238">
        <v>15</v>
      </c>
      <c r="M14" s="211"/>
      <c r="N14" s="210">
        <f t="shared" ref="N14:N17" si="0">L14*E14</f>
        <v>60082.16581846901</v>
      </c>
      <c r="O14" s="272"/>
      <c r="P14" s="234"/>
      <c r="Q14" s="154"/>
    </row>
    <row r="15" spans="1:17" ht="14" x14ac:dyDescent="0.3">
      <c r="A15" s="151">
        <f>IF(B15&lt;&gt;"",COUNTA($B$13:B15),"")</f>
        <v>3</v>
      </c>
      <c r="B15" s="232" t="str">
        <f>+'24 WMA'!B13</f>
        <v>Customer Charge</v>
      </c>
      <c r="C15" s="233" t="s">
        <v>297</v>
      </c>
      <c r="D15" s="233"/>
      <c r="E15" s="234">
        <v>256087.8257628904</v>
      </c>
      <c r="F15" s="207"/>
      <c r="G15" s="209"/>
      <c r="H15" s="209"/>
      <c r="I15" s="210"/>
      <c r="J15" s="235"/>
      <c r="K15" s="210"/>
      <c r="L15" s="238"/>
      <c r="M15" s="211"/>
      <c r="N15" s="210"/>
      <c r="O15" s="272"/>
      <c r="P15" s="234"/>
      <c r="Q15" s="154"/>
    </row>
    <row r="16" spans="1:17" ht="14" x14ac:dyDescent="0.3">
      <c r="A16" s="151">
        <f>IF(B16&lt;&gt;"",COUNTA($B$13:B16),"")</f>
        <v>4</v>
      </c>
      <c r="B16" s="232" t="str">
        <f>+'24 WMA'!B14</f>
        <v>Distribution Demand &gt;2 kW</v>
      </c>
      <c r="C16" s="233" t="s">
        <v>431</v>
      </c>
      <c r="D16" s="233"/>
      <c r="E16" s="234">
        <v>1853189.9981037118</v>
      </c>
      <c r="F16" s="207"/>
      <c r="G16" s="209">
        <v>9.0299999999999994</v>
      </c>
      <c r="H16" s="209"/>
      <c r="I16" s="210">
        <f>G16*E16</f>
        <v>16734305.682876516</v>
      </c>
      <c r="J16" s="235"/>
      <c r="K16" s="210"/>
      <c r="L16" s="238">
        <v>9.4700000000000006</v>
      </c>
      <c r="M16" s="211"/>
      <c r="N16" s="210">
        <f t="shared" si="0"/>
        <v>17549709.282042153</v>
      </c>
      <c r="O16" s="272"/>
      <c r="P16" s="234"/>
      <c r="Q16" s="154"/>
    </row>
    <row r="17" spans="1:17" ht="14" x14ac:dyDescent="0.3">
      <c r="A17" s="151">
        <f>IF(B17&lt;&gt;"",COUNTA($B$13:B17),"")</f>
        <v>5</v>
      </c>
      <c r="B17" s="232" t="str">
        <f>+'24 WMA'!B15</f>
        <v>Distribution Energy</v>
      </c>
      <c r="C17" s="233" t="s">
        <v>299</v>
      </c>
      <c r="D17" s="233"/>
      <c r="E17" s="234">
        <v>562542914.19204509</v>
      </c>
      <c r="F17" s="207"/>
      <c r="G17" s="236">
        <v>1.7700000000000001E-3</v>
      </c>
      <c r="H17" s="209"/>
      <c r="I17" s="237">
        <f t="shared" ref="I17" si="1">G17*E17</f>
        <v>995700.95811991987</v>
      </c>
      <c r="J17" s="235"/>
      <c r="K17" s="210"/>
      <c r="L17" s="281">
        <v>1.8600000000000001E-3</v>
      </c>
      <c r="M17" s="211"/>
      <c r="N17" s="237">
        <f t="shared" si="0"/>
        <v>1046329.8203972039</v>
      </c>
      <c r="O17" s="272"/>
      <c r="P17" s="273"/>
    </row>
    <row r="18" spans="1:17" ht="14" x14ac:dyDescent="0.3">
      <c r="A18" s="151">
        <f>IF(B18&lt;&gt;"",COUNTA($B$13:B18),"")</f>
        <v>6</v>
      </c>
      <c r="B18" s="232" t="str">
        <f>+'24 WMA'!B16</f>
        <v>Total Distribution</v>
      </c>
      <c r="C18" s="233" t="s">
        <v>301</v>
      </c>
      <c r="D18" s="233"/>
      <c r="E18" s="234"/>
      <c r="F18" s="207"/>
      <c r="G18" s="209"/>
      <c r="H18" s="209"/>
      <c r="I18" s="210">
        <f>SUM(I13:I17)</f>
        <v>25352559.248064682</v>
      </c>
      <c r="J18" s="235"/>
      <c r="K18" s="210"/>
      <c r="L18" s="238"/>
      <c r="M18" s="211"/>
      <c r="N18" s="210">
        <f>SUM(N13:N17)</f>
        <v>26218591.709507599</v>
      </c>
      <c r="O18" s="272"/>
      <c r="P18" s="210"/>
      <c r="Q18" s="154"/>
    </row>
    <row r="19" spans="1:17" ht="14" x14ac:dyDescent="0.3">
      <c r="A19" s="151" t="str">
        <f>IF(B19&lt;&gt;"",COUNTA($B$13:B19),"")</f>
        <v/>
      </c>
      <c r="B19" s="207"/>
      <c r="C19" s="233"/>
      <c r="D19" s="233"/>
      <c r="E19" s="234"/>
      <c r="F19" s="207"/>
      <c r="G19" s="209"/>
      <c r="H19" s="209"/>
      <c r="I19" s="234"/>
      <c r="J19" s="235"/>
      <c r="K19" s="210"/>
      <c r="L19" s="283"/>
      <c r="M19" s="211"/>
      <c r="N19" s="210"/>
      <c r="O19" s="272"/>
    </row>
    <row r="20" spans="1:17" ht="14" x14ac:dyDescent="0.3">
      <c r="A20" s="151">
        <f>IF(B20&lt;&gt;"",COUNTA($B$13:B20),"")</f>
        <v>7</v>
      </c>
      <c r="B20" s="207" t="s">
        <v>377</v>
      </c>
      <c r="C20" s="233" t="s">
        <v>378</v>
      </c>
      <c r="D20" s="233"/>
      <c r="E20" s="234"/>
      <c r="F20" s="207"/>
      <c r="G20" s="209"/>
      <c r="H20" s="209"/>
      <c r="I20" s="210"/>
      <c r="J20" s="235"/>
      <c r="K20" s="210"/>
      <c r="L20" s="283"/>
      <c r="M20" s="211"/>
      <c r="N20" s="210"/>
      <c r="O20" s="272"/>
    </row>
    <row r="21" spans="1:17" ht="14" x14ac:dyDescent="0.3">
      <c r="A21" s="151">
        <f>IF(B21&lt;&gt;"",COUNTA($B$13:B21),"")</f>
        <v>8</v>
      </c>
      <c r="B21" s="207" t="s">
        <v>379</v>
      </c>
      <c r="C21" s="233" t="s">
        <v>380</v>
      </c>
      <c r="D21" s="233"/>
      <c r="E21" s="234"/>
      <c r="F21" s="207"/>
      <c r="G21" s="209"/>
      <c r="H21" s="209"/>
      <c r="I21" s="210"/>
      <c r="J21" s="235"/>
      <c r="K21" s="210"/>
      <c r="L21" s="283"/>
      <c r="M21" s="211"/>
      <c r="N21" s="210"/>
      <c r="O21" s="272"/>
    </row>
    <row r="22" spans="1:17" ht="14" x14ac:dyDescent="0.3">
      <c r="A22" s="151" t="str">
        <f>IF(B22&lt;&gt;"",COUNTA($B$13:B22),"")</f>
        <v/>
      </c>
      <c r="B22" s="207"/>
      <c r="C22" s="233"/>
      <c r="D22" s="233"/>
      <c r="E22" s="234"/>
      <c r="F22" s="207"/>
      <c r="G22" s="209"/>
      <c r="H22" s="209"/>
      <c r="I22" s="210"/>
      <c r="J22" s="235"/>
      <c r="K22" s="210"/>
      <c r="L22" s="283"/>
      <c r="M22" s="211"/>
      <c r="N22" s="210"/>
      <c r="O22" s="272"/>
    </row>
    <row r="23" spans="1:17" ht="14" x14ac:dyDescent="0.3">
      <c r="A23" s="151">
        <f>IF(B23&lt;&gt;"",COUNTA($B$13:B23),"")</f>
        <v>9</v>
      </c>
      <c r="B23" s="228" t="s">
        <v>302</v>
      </c>
      <c r="F23" s="239"/>
      <c r="G23" s="240"/>
      <c r="H23" s="211"/>
      <c r="I23" s="210"/>
      <c r="K23" s="210"/>
      <c r="L23" s="241"/>
      <c r="M23" s="211"/>
      <c r="N23" s="210"/>
      <c r="O23" s="272"/>
    </row>
    <row r="24" spans="1:17" ht="14" x14ac:dyDescent="0.3">
      <c r="A24" s="151">
        <f>IF(B24&lt;&gt;"",COUNTA($B$13:B24),"")</f>
        <v>10</v>
      </c>
      <c r="B24" s="207" t="str">
        <f>'24 WMA'!B19</f>
        <v>Revenue Decoupling</v>
      </c>
      <c r="C24" s="222" t="str">
        <f>'24 WMA'!C19</f>
        <v>RDAF</v>
      </c>
      <c r="D24" s="233"/>
      <c r="E24" s="242"/>
      <c r="F24" s="239"/>
      <c r="G24" s="236">
        <v>5.6999999999999998E-4</v>
      </c>
      <c r="H24" s="211"/>
      <c r="I24" s="210">
        <f>G24*$E$17</f>
        <v>320649.46108946571</v>
      </c>
      <c r="K24" s="210"/>
      <c r="L24" s="236">
        <v>-4.3262934243450975E-4</v>
      </c>
      <c r="M24" s="211"/>
      <c r="N24" s="210">
        <f>L24*$E$17</f>
        <v>-243372.57105809732</v>
      </c>
      <c r="O24" s="272"/>
      <c r="P24" s="234"/>
    </row>
    <row r="25" spans="1:17" ht="14" x14ac:dyDescent="0.3">
      <c r="A25" s="151">
        <f>IF(B25&lt;&gt;"",COUNTA($B$13:B25),"")</f>
        <v>11</v>
      </c>
      <c r="B25" s="207" t="str">
        <f>'24 WMA'!B20</f>
        <v>Residential Assistance Adjustment Factor</v>
      </c>
      <c r="C25" s="222" t="str">
        <f>'24 WMA'!C20</f>
        <v>RAAF</v>
      </c>
      <c r="D25" s="243"/>
      <c r="E25" s="206"/>
      <c r="F25" s="239"/>
      <c r="G25" s="236">
        <v>1.0189999999999999E-2</v>
      </c>
      <c r="H25" s="211"/>
      <c r="I25" s="210">
        <f t="shared" ref="I25:I38" si="2">G25*$E$17</f>
        <v>5732312.2956169387</v>
      </c>
      <c r="K25" s="210"/>
      <c r="L25" s="236">
        <v>3.6549690375720515E-3</v>
      </c>
      <c r="M25" s="211"/>
      <c r="N25" s="210">
        <f t="shared" ref="N25:N38" si="3">L25*$E$17</f>
        <v>2056076.9336774761</v>
      </c>
      <c r="O25" s="272"/>
      <c r="P25" s="234"/>
      <c r="Q25" s="210"/>
    </row>
    <row r="26" spans="1:17" ht="14" x14ac:dyDescent="0.3">
      <c r="A26" s="151">
        <f>IF(B26&lt;&gt;"",COUNTA($B$13:B26),"")</f>
        <v>12</v>
      </c>
      <c r="B26" s="207" t="str">
        <f>'24 WMA'!B21</f>
        <v>Pension Adjustment Factor</v>
      </c>
      <c r="C26" s="222" t="str">
        <f>'24 WMA'!C21</f>
        <v>PAF</v>
      </c>
      <c r="D26" s="243"/>
      <c r="E26" s="206"/>
      <c r="F26" s="239"/>
      <c r="G26" s="236">
        <v>1.1100000000000001E-3</v>
      </c>
      <c r="H26" s="211"/>
      <c r="I26" s="210">
        <f t="shared" si="2"/>
        <v>624422.63475317007</v>
      </c>
      <c r="K26" s="210"/>
      <c r="L26" s="236">
        <v>6.3544669373927351E-4</v>
      </c>
      <c r="M26" s="211"/>
      <c r="N26" s="210">
        <f t="shared" si="3"/>
        <v>357466.03490979091</v>
      </c>
      <c r="O26" s="272"/>
      <c r="P26" s="274"/>
    </row>
    <row r="27" spans="1:17" ht="14" x14ac:dyDescent="0.3">
      <c r="A27" s="151">
        <f>IF(B27&lt;&gt;"",COUNTA($B$13:B27),"")</f>
        <v>13</v>
      </c>
      <c r="B27" s="207" t="str">
        <f>'24 WMA'!B22</f>
        <v>Net Metering Recovery Surcharge</v>
      </c>
      <c r="C27" s="222" t="str">
        <f>'24 WMA'!C22</f>
        <v>NMRS</v>
      </c>
      <c r="D27" s="243"/>
      <c r="E27" s="206"/>
      <c r="F27" s="239"/>
      <c r="G27" s="236">
        <v>4.4299999999999999E-3</v>
      </c>
      <c r="H27" s="211"/>
      <c r="I27" s="210">
        <f t="shared" si="2"/>
        <v>2492065.1098707598</v>
      </c>
      <c r="K27" s="210"/>
      <c r="L27" s="236">
        <v>4.765786445615483E-3</v>
      </c>
      <c r="M27" s="211"/>
      <c r="N27" s="210">
        <f t="shared" si="3"/>
        <v>2680959.3955334821</v>
      </c>
      <c r="O27" s="272"/>
      <c r="P27" s="274"/>
    </row>
    <row r="28" spans="1:17" ht="14" x14ac:dyDescent="0.3">
      <c r="A28" s="151">
        <f>IF(B28&lt;&gt;"",COUNTA($B$13:B28),"")</f>
        <v>14</v>
      </c>
      <c r="B28" s="207" t="str">
        <f>'24 WMA'!B23</f>
        <v>Long Term Renewable Contract Adjustment</v>
      </c>
      <c r="C28" s="222" t="str">
        <f>'24 WMA'!C23</f>
        <v>LTRCA</v>
      </c>
      <c r="D28" s="243"/>
      <c r="E28" s="206"/>
      <c r="F28" s="239"/>
      <c r="G28" s="236">
        <v>3.31E-3</v>
      </c>
      <c r="H28" s="211"/>
      <c r="I28" s="210">
        <f t="shared" si="2"/>
        <v>1862017.0459756693</v>
      </c>
      <c r="K28" s="210"/>
      <c r="L28" s="236">
        <v>1.7357128782064517E-3</v>
      </c>
      <c r="M28" s="211"/>
      <c r="N28" s="210">
        <f t="shared" si="3"/>
        <v>976412.98070691957</v>
      </c>
      <c r="O28" s="272"/>
      <c r="P28" s="275"/>
    </row>
    <row r="29" spans="1:17" ht="14" x14ac:dyDescent="0.3">
      <c r="A29" s="151">
        <f>IF(B29&lt;&gt;"",COUNTA($B$13:B29),"")</f>
        <v>15</v>
      </c>
      <c r="B29" s="207" t="str">
        <f>'24 WMA'!B24</f>
        <v>AG Consulting Expense</v>
      </c>
      <c r="C29" s="222" t="str">
        <f>'24 WMA'!C24</f>
        <v>AGCE</v>
      </c>
      <c r="D29" s="243"/>
      <c r="E29" s="206"/>
      <c r="F29" s="239"/>
      <c r="G29" s="236">
        <v>3.0000000000000001E-5</v>
      </c>
      <c r="H29" s="211"/>
      <c r="I29" s="210">
        <f t="shared" si="2"/>
        <v>16876.287425761355</v>
      </c>
      <c r="K29" s="210"/>
      <c r="L29" s="236">
        <v>7.6740715608879795E-6</v>
      </c>
      <c r="M29" s="211"/>
      <c r="N29" s="210">
        <f t="shared" si="3"/>
        <v>4316.9945795802205</v>
      </c>
      <c r="O29" s="272"/>
      <c r="P29" s="274"/>
    </row>
    <row r="30" spans="1:17" ht="14" x14ac:dyDescent="0.3">
      <c r="A30" s="151">
        <f>IF(B30&lt;&gt;"",COUNTA($B$13:B30),"")</f>
        <v>16</v>
      </c>
      <c r="B30" s="207" t="str">
        <f>'24 WMA'!B25</f>
        <v>Storm Cost Recovery Adjustment Factor</v>
      </c>
      <c r="C30" s="222" t="str">
        <f>'24 WMA'!C25</f>
        <v>SCRA</v>
      </c>
      <c r="D30" s="243"/>
      <c r="E30" s="206"/>
      <c r="F30" s="239"/>
      <c r="G30" s="236">
        <v>2.3700000000000001E-3</v>
      </c>
      <c r="H30" s="211"/>
      <c r="I30" s="210">
        <f t="shared" si="2"/>
        <v>1333226.7066351469</v>
      </c>
      <c r="K30" s="210"/>
      <c r="L30" s="236">
        <v>2.7455944627379335E-3</v>
      </c>
      <c r="M30" s="211"/>
      <c r="N30" s="210">
        <f t="shared" si="3"/>
        <v>1544514.7102581395</v>
      </c>
      <c r="O30" s="272"/>
      <c r="P30" s="274"/>
    </row>
    <row r="31" spans="1:17" ht="14" x14ac:dyDescent="0.3">
      <c r="A31" s="151">
        <f>IF(B31&lt;&gt;"",COUNTA($B$13:B31),"")</f>
        <v>17</v>
      </c>
      <c r="B31" s="207" t="str">
        <f>'24 WMA'!B26</f>
        <v>Storm Reserve Adjustment</v>
      </c>
      <c r="C31" s="222" t="str">
        <f>'24 WMA'!C26</f>
        <v>SRA</v>
      </c>
      <c r="D31" s="243"/>
      <c r="E31" s="206"/>
      <c r="F31" s="239"/>
      <c r="G31" s="236">
        <v>0</v>
      </c>
      <c r="H31" s="211"/>
      <c r="I31" s="210">
        <f t="shared" si="2"/>
        <v>0</v>
      </c>
      <c r="K31" s="210"/>
      <c r="L31" s="236">
        <v>0</v>
      </c>
      <c r="M31" s="211"/>
      <c r="N31" s="210">
        <f t="shared" si="3"/>
        <v>0</v>
      </c>
      <c r="O31" s="272"/>
      <c r="P31" s="274"/>
    </row>
    <row r="32" spans="1:17" ht="14" x14ac:dyDescent="0.3">
      <c r="A32" s="151">
        <f>IF(B32&lt;&gt;"",COUNTA($B$13:B32),"")</f>
        <v>18</v>
      </c>
      <c r="B32" s="207" t="str">
        <f>'24 WMA'!B27</f>
        <v>Basic Service Cost True Up Factor</v>
      </c>
      <c r="C32" s="222" t="str">
        <f>'24 WMA'!C27</f>
        <v>BSTF</v>
      </c>
      <c r="D32" s="243"/>
      <c r="E32" s="206"/>
      <c r="F32" s="239"/>
      <c r="G32" s="236">
        <v>2.1000000000000001E-4</v>
      </c>
      <c r="H32" s="211"/>
      <c r="I32" s="210">
        <f t="shared" si="2"/>
        <v>118134.01198032948</v>
      </c>
      <c r="K32" s="210"/>
      <c r="L32" s="236">
        <v>-1.8136851998509521E-4</v>
      </c>
      <c r="M32" s="211"/>
      <c r="N32" s="210">
        <f t="shared" si="3"/>
        <v>-102027.57577511363</v>
      </c>
      <c r="O32" s="272"/>
      <c r="P32" s="274"/>
    </row>
    <row r="33" spans="1:16" ht="14" x14ac:dyDescent="0.3">
      <c r="A33" s="151">
        <f>IF(B33&lt;&gt;"",COUNTA($B$13:B33),"")</f>
        <v>19</v>
      </c>
      <c r="B33" s="207" t="str">
        <f>'24 WMA'!B28</f>
        <v>Solar Program Cost Adjustment Factor</v>
      </c>
      <c r="C33" s="222" t="str">
        <f>'24 WMA'!C28</f>
        <v>SPCA</v>
      </c>
      <c r="D33" s="233"/>
      <c r="E33" s="206"/>
      <c r="F33" s="239"/>
      <c r="G33" s="236">
        <v>-1.2999999999999999E-4</v>
      </c>
      <c r="H33" s="211"/>
      <c r="I33" s="210">
        <f t="shared" si="2"/>
        <v>-73130.578844965858</v>
      </c>
      <c r="K33" s="210"/>
      <c r="L33" s="236">
        <v>3.2277161169624727E-5</v>
      </c>
      <c r="M33" s="211"/>
      <c r="N33" s="210">
        <f t="shared" si="3"/>
        <v>18157.288306207014</v>
      </c>
      <c r="O33" s="272"/>
      <c r="P33" s="276"/>
    </row>
    <row r="34" spans="1:16" ht="14" x14ac:dyDescent="0.3">
      <c r="A34" s="151">
        <f>IF(B34&lt;&gt;"",COUNTA($B$13:B34),"")</f>
        <v>20</v>
      </c>
      <c r="B34" s="207" t="str">
        <f>'24 WMA'!B29</f>
        <v>Solar Expansion Cost Recovery Factor</v>
      </c>
      <c r="C34" s="222" t="str">
        <f>'24 WMA'!C29</f>
        <v>SECRF</v>
      </c>
      <c r="D34" s="233"/>
      <c r="E34" s="206"/>
      <c r="F34" s="239"/>
      <c r="G34" s="236">
        <v>0</v>
      </c>
      <c r="H34" s="211"/>
      <c r="I34" s="210">
        <f t="shared" si="2"/>
        <v>0</v>
      </c>
      <c r="K34" s="210"/>
      <c r="L34" s="236">
        <v>5.6929528173503476E-4</v>
      </c>
      <c r="M34" s="211"/>
      <c r="N34" s="210">
        <f t="shared" si="3"/>
        <v>320253.02682300779</v>
      </c>
      <c r="O34" s="272"/>
      <c r="P34" s="276"/>
    </row>
    <row r="35" spans="1:16" ht="14" x14ac:dyDescent="0.3">
      <c r="A35" s="151">
        <f>IF(B35&lt;&gt;"",COUNTA($B$13:B35),"")</f>
        <v>21</v>
      </c>
      <c r="B35" s="207" t="str">
        <f>'24 WMA'!B30</f>
        <v>Vegetation Management</v>
      </c>
      <c r="C35" s="222" t="str">
        <f>'24 WMA'!C30</f>
        <v>RTWF</v>
      </c>
      <c r="D35" s="233"/>
      <c r="E35" s="206"/>
      <c r="F35" s="239"/>
      <c r="G35" s="236">
        <v>0</v>
      </c>
      <c r="H35" s="211"/>
      <c r="I35" s="210">
        <f t="shared" si="2"/>
        <v>0</v>
      </c>
      <c r="K35" s="210"/>
      <c r="L35" s="236">
        <v>1.1376643527601861E-3</v>
      </c>
      <c r="M35" s="211"/>
      <c r="N35" s="210">
        <f t="shared" si="3"/>
        <v>639985.02037412184</v>
      </c>
      <c r="O35" s="272"/>
      <c r="P35" s="276"/>
    </row>
    <row r="36" spans="1:16" ht="14" x14ac:dyDescent="0.3">
      <c r="A36" s="151">
        <f>IF(B36&lt;&gt;"",COUNTA($B$13:B36),"")</f>
        <v>22</v>
      </c>
      <c r="B36" s="207" t="str">
        <f>'24 WMA'!B31</f>
        <v>Solar Massachusetts Renewable Target</v>
      </c>
      <c r="C36" s="222" t="str">
        <f>'24 WMA'!C31</f>
        <v>SMART</v>
      </c>
      <c r="D36" s="233"/>
      <c r="E36" s="206"/>
      <c r="F36" s="239"/>
      <c r="G36" s="236">
        <v>0</v>
      </c>
      <c r="H36" s="211"/>
      <c r="I36" s="210">
        <f t="shared" si="2"/>
        <v>0</v>
      </c>
      <c r="K36" s="210"/>
      <c r="L36" s="236">
        <v>6.6700931088392763E-4</v>
      </c>
      <c r="M36" s="211"/>
      <c r="N36" s="210">
        <f t="shared" si="3"/>
        <v>375221.36153787241</v>
      </c>
      <c r="O36" s="272"/>
      <c r="P36" s="276"/>
    </row>
    <row r="37" spans="1:16" ht="14" x14ac:dyDescent="0.3">
      <c r="A37" s="151">
        <f>IF(B37&lt;&gt;"",COUNTA($B$13:B37),"")</f>
        <v>23</v>
      </c>
      <c r="B37" s="207" t="str">
        <f>'24 WMA'!B32</f>
        <v>Tax Act Credit Factor</v>
      </c>
      <c r="C37" s="222" t="str">
        <f>'24 WMA'!C32</f>
        <v>TACF</v>
      </c>
      <c r="D37" s="233"/>
      <c r="E37" s="206"/>
      <c r="F37" s="239"/>
      <c r="G37" s="236">
        <v>0</v>
      </c>
      <c r="H37" s="211"/>
      <c r="I37" s="210">
        <f t="shared" si="2"/>
        <v>0</v>
      </c>
      <c r="K37" s="210"/>
      <c r="L37" s="236">
        <v>-1.0097406672305252E-3</v>
      </c>
      <c r="M37" s="211"/>
      <c r="N37" s="210">
        <f t="shared" si="3"/>
        <v>-568022.4575220797</v>
      </c>
      <c r="O37" s="272"/>
      <c r="P37" s="276"/>
    </row>
    <row r="38" spans="1:16" ht="14" x14ac:dyDescent="0.3">
      <c r="A38" s="151">
        <f>IF(B38&lt;&gt;"",COUNTA($B$13:B38),"")</f>
        <v>24</v>
      </c>
      <c r="B38" s="207" t="str">
        <f>'24 WMA'!B33</f>
        <v>Transition</v>
      </c>
      <c r="C38" s="222" t="str">
        <f>'24 WMA'!C33</f>
        <v>TRNSN</v>
      </c>
      <c r="D38" s="233"/>
      <c r="E38" s="206"/>
      <c r="F38" s="239"/>
      <c r="G38" s="236">
        <v>-1.7099999999999999E-3</v>
      </c>
      <c r="H38" s="211"/>
      <c r="I38" s="210">
        <f t="shared" si="2"/>
        <v>-961948.38326839707</v>
      </c>
      <c r="K38" s="210"/>
      <c r="L38" s="236">
        <v>-5.210932140356871E-4</v>
      </c>
      <c r="M38" s="211"/>
      <c r="N38" s="210">
        <f t="shared" si="3"/>
        <v>-293137.29518933455</v>
      </c>
      <c r="O38" s="272"/>
      <c r="P38" s="275"/>
    </row>
    <row r="39" spans="1:16" ht="14" x14ac:dyDescent="0.3">
      <c r="A39" s="151">
        <f>IF(B39&lt;&gt;"",COUNTA($B$13:B39),"")</f>
        <v>25</v>
      </c>
      <c r="B39" s="207" t="str">
        <f>'24 WMA'!B34</f>
        <v>Transmission Demand &gt;2 kW</v>
      </c>
      <c r="C39" s="222" t="str">
        <f>'24 WMA'!C34</f>
        <v>TMKW</v>
      </c>
      <c r="D39" s="233"/>
      <c r="E39" s="206"/>
      <c r="F39" s="239"/>
      <c r="G39" s="283">
        <v>7.52</v>
      </c>
      <c r="H39" s="211"/>
      <c r="I39" s="210">
        <f>G39*$E$16</f>
        <v>13935988.785739912</v>
      </c>
      <c r="K39" s="210"/>
      <c r="L39" s="283">
        <v>7.0860963251159514</v>
      </c>
      <c r="M39" s="211"/>
      <c r="N39" s="210">
        <f>L39*$E$16</f>
        <v>13131882.83530435</v>
      </c>
      <c r="O39" s="272"/>
      <c r="P39" s="275"/>
    </row>
    <row r="40" spans="1:16" ht="14" x14ac:dyDescent="0.3">
      <c r="A40" s="151">
        <f>IF(B40&lt;&gt;"",COUNTA($B$13:B40),"")</f>
        <v>26</v>
      </c>
      <c r="B40" s="207" t="str">
        <f>'24 WMA'!B35</f>
        <v>Energy Efficiency Reconciliation Factor</v>
      </c>
      <c r="C40" s="222" t="str">
        <f>'24 WMA'!C35</f>
        <v>EERF</v>
      </c>
      <c r="D40" s="233"/>
      <c r="E40" s="206"/>
      <c r="F40" s="239"/>
      <c r="G40" s="241">
        <v>9.7199999999999995E-3</v>
      </c>
      <c r="H40" s="211"/>
      <c r="I40" s="210">
        <f t="shared" ref="I40:I43" si="4">G40*$E$17</f>
        <v>5467917.1259466782</v>
      </c>
      <c r="K40" s="210"/>
      <c r="L40" s="241">
        <v>9.7199999999999995E-3</v>
      </c>
      <c r="M40" s="211"/>
      <c r="N40" s="210">
        <f t="shared" ref="N40:N43" si="5">L40*$E$17</f>
        <v>5467917.1259466782</v>
      </c>
      <c r="O40" s="272"/>
      <c r="P40" s="232"/>
    </row>
    <row r="41" spans="1:16" ht="14" x14ac:dyDescent="0.3">
      <c r="A41" s="151">
        <f>IF(B41&lt;&gt;"",COUNTA($B$13:B41),"")</f>
        <v>27</v>
      </c>
      <c r="B41" s="207" t="str">
        <f>'24 WMA'!B36</f>
        <v>System Benefits Charge</v>
      </c>
      <c r="C41" s="222" t="str">
        <f>'24 WMA'!C36</f>
        <v>SBC</v>
      </c>
      <c r="D41" s="233"/>
      <c r="E41" s="206"/>
      <c r="F41" s="239"/>
      <c r="G41" s="241">
        <v>2.5000000000000001E-3</v>
      </c>
      <c r="H41" s="211"/>
      <c r="I41" s="210">
        <f t="shared" si="4"/>
        <v>1406357.2854801128</v>
      </c>
      <c r="K41" s="210"/>
      <c r="L41" s="236">
        <f>+G41</f>
        <v>2.5000000000000001E-3</v>
      </c>
      <c r="M41" s="211"/>
      <c r="N41" s="210">
        <f t="shared" si="5"/>
        <v>1406357.2854801128</v>
      </c>
      <c r="O41" s="272"/>
      <c r="P41" s="275"/>
    </row>
    <row r="42" spans="1:16" ht="14" x14ac:dyDescent="0.3">
      <c r="A42" s="151">
        <f>IF(B42&lt;&gt;"",COUNTA($B$13:B42),"")</f>
        <v>28</v>
      </c>
      <c r="B42" s="207" t="str">
        <f>'24 WMA'!B37</f>
        <v>Renewable Energy Charge</v>
      </c>
      <c r="C42" s="222" t="str">
        <f>'24 WMA'!C37</f>
        <v>RNEW</v>
      </c>
      <c r="D42" s="233"/>
      <c r="E42" s="206"/>
      <c r="F42" s="239"/>
      <c r="G42" s="241">
        <v>5.0000000000000001E-4</v>
      </c>
      <c r="H42" s="211"/>
      <c r="I42" s="210">
        <f t="shared" si="4"/>
        <v>281271.45709602255</v>
      </c>
      <c r="K42" s="210"/>
      <c r="L42" s="236">
        <f>+G42</f>
        <v>5.0000000000000001E-4</v>
      </c>
      <c r="M42" s="211"/>
      <c r="N42" s="210">
        <f t="shared" si="5"/>
        <v>281271.45709602255</v>
      </c>
      <c r="O42" s="272"/>
      <c r="P42" s="275"/>
    </row>
    <row r="43" spans="1:16" ht="14" x14ac:dyDescent="0.3">
      <c r="A43" s="151">
        <f>IF(B43&lt;&gt;"",COUNTA($B$13:B43),"")</f>
        <v>29</v>
      </c>
      <c r="B43" s="207" t="str">
        <f>'24 WMA'!B38</f>
        <v>Basic Service Charge</v>
      </c>
      <c r="C43" s="222" t="str">
        <f>'24 WMA'!C38</f>
        <v>BS</v>
      </c>
      <c r="D43" s="233"/>
      <c r="E43" s="206"/>
      <c r="F43" s="239"/>
      <c r="G43" s="241">
        <v>0.10859000000000001</v>
      </c>
      <c r="H43" s="211"/>
      <c r="I43" s="237">
        <f t="shared" si="4"/>
        <v>61086535.052114181</v>
      </c>
      <c r="K43" s="210"/>
      <c r="L43" s="236">
        <v>0.12354999999999999</v>
      </c>
      <c r="M43" s="211"/>
      <c r="N43" s="237">
        <f t="shared" si="5"/>
        <v>69502177.048427165</v>
      </c>
      <c r="O43" s="272"/>
      <c r="P43" s="232"/>
    </row>
    <row r="44" spans="1:16" ht="14" x14ac:dyDescent="0.3">
      <c r="A44" s="151" t="str">
        <f>IF(B44&lt;&gt;"",COUNTA($B$13:B44),"")</f>
        <v/>
      </c>
      <c r="B44" s="207"/>
      <c r="E44" s="206"/>
      <c r="F44" s="239"/>
      <c r="G44" s="241"/>
      <c r="H44" s="211"/>
      <c r="I44" s="244"/>
      <c r="K44" s="210"/>
      <c r="L44" s="241"/>
      <c r="M44" s="211"/>
      <c r="N44" s="244"/>
      <c r="O44" s="272"/>
    </row>
    <row r="45" spans="1:16" ht="14" x14ac:dyDescent="0.3">
      <c r="A45" s="151">
        <f>IF(B45&lt;&gt;"",COUNTA($B$13:B45),"")</f>
        <v>30</v>
      </c>
      <c r="B45" s="188" t="s">
        <v>46</v>
      </c>
      <c r="E45" s="188"/>
      <c r="G45" s="245" t="s">
        <v>324</v>
      </c>
      <c r="H45" s="246"/>
      <c r="I45" s="154">
        <f>SUM(I18:I44)</f>
        <v>118995253.54567549</v>
      </c>
      <c r="K45" s="247"/>
      <c r="L45" s="245"/>
      <c r="N45" s="154">
        <f>SUM(N18:N44)</f>
        <v>123775001.3089239</v>
      </c>
      <c r="P45" s="154"/>
    </row>
    <row r="46" spans="1:16" ht="14" x14ac:dyDescent="0.3">
      <c r="A46" s="151" t="str">
        <f>IF(B46&lt;&gt;"",COUNTA($B$13:B46),"")</f>
        <v/>
      </c>
      <c r="E46" s="188"/>
      <c r="H46" s="188"/>
      <c r="I46" s="154"/>
      <c r="K46" s="265"/>
      <c r="L46" s="278"/>
      <c r="N46" s="265"/>
      <c r="P46" s="154"/>
    </row>
    <row r="47" spans="1:16" ht="14" x14ac:dyDescent="0.3">
      <c r="A47" s="151">
        <f>IF(B47&lt;&gt;"",COUNTA($B$13:B47),"")</f>
        <v>31</v>
      </c>
      <c r="B47" s="188" t="s">
        <v>46</v>
      </c>
      <c r="E47" s="188"/>
      <c r="G47" s="188"/>
      <c r="H47" s="188"/>
      <c r="I47" s="188"/>
      <c r="J47" s="188"/>
      <c r="L47" s="248" t="s">
        <v>325</v>
      </c>
      <c r="N47" s="160">
        <f>+N45/I45-1</f>
        <v>4.0167549720071305E-2</v>
      </c>
    </row>
    <row r="48" spans="1:16" ht="14" x14ac:dyDescent="0.3">
      <c r="A48" s="151" t="str">
        <f>IF(B48&lt;&gt;"",COUNTA($B$13:B48),"")</f>
        <v/>
      </c>
      <c r="E48" s="188"/>
      <c r="G48" s="188"/>
      <c r="H48" s="188"/>
      <c r="I48" s="188"/>
      <c r="J48" s="188"/>
      <c r="L48" s="248"/>
      <c r="N48" s="160"/>
    </row>
    <row r="49" spans="1:15" ht="14" x14ac:dyDescent="0.3">
      <c r="A49" s="151" t="str">
        <f>IF(B49&lt;&gt;"",COUNTA($B$13:B49),"")</f>
        <v/>
      </c>
      <c r="E49" s="188"/>
      <c r="G49" s="186"/>
      <c r="H49" s="188"/>
      <c r="I49" s="188"/>
      <c r="L49" s="248"/>
      <c r="N49" s="160"/>
    </row>
    <row r="50" spans="1:15" ht="14.5" thickBot="1" x14ac:dyDescent="0.35">
      <c r="A50" s="151">
        <f>IF(B50&lt;&gt;"",COUNTA($B$13:B50),"")</f>
        <v>32</v>
      </c>
      <c r="B50" s="188" t="s">
        <v>46</v>
      </c>
      <c r="E50" s="279" t="s">
        <v>326</v>
      </c>
      <c r="F50" s="135"/>
      <c r="G50" s="280"/>
      <c r="I50" s="279" t="s">
        <v>327</v>
      </c>
      <c r="J50" s="135"/>
      <c r="L50" s="279" t="s">
        <v>328</v>
      </c>
      <c r="M50" s="135"/>
      <c r="N50" s="137"/>
    </row>
    <row r="51" spans="1:15" ht="14" x14ac:dyDescent="0.3">
      <c r="A51" s="151">
        <f>IF(B51&lt;&gt;"",COUNTA($B$13:B51),"")</f>
        <v>33</v>
      </c>
      <c r="B51" s="144" t="s">
        <v>329</v>
      </c>
      <c r="C51" s="144"/>
      <c r="D51" s="144"/>
      <c r="E51" s="249" t="s">
        <v>148</v>
      </c>
      <c r="F51" s="250"/>
      <c r="G51" s="251" t="s">
        <v>330</v>
      </c>
      <c r="I51" s="249" t="s">
        <v>148</v>
      </c>
      <c r="J51" s="251" t="s">
        <v>330</v>
      </c>
      <c r="K51" s="212"/>
      <c r="L51" s="249" t="s">
        <v>148</v>
      </c>
      <c r="M51" s="252"/>
      <c r="N51" s="251" t="s">
        <v>330</v>
      </c>
    </row>
    <row r="52" spans="1:15" ht="14" x14ac:dyDescent="0.3">
      <c r="A52" s="151">
        <f>IF(B52&lt;&gt;"",COUNTA($B$13:B52),"")</f>
        <v>34</v>
      </c>
      <c r="B52" s="130" t="str">
        <f>'24 WMA'!B47</f>
        <v>Distribution</v>
      </c>
      <c r="C52" s="253" t="str">
        <f>'24 WMA'!C47</f>
        <v>DIST</v>
      </c>
      <c r="D52" s="253"/>
      <c r="E52" s="154">
        <f t="shared" ref="E52:E67" si="6">SUMIF($C$13:$C$43,$C52,$I$13:$I$43)</f>
        <v>25352559.248064682</v>
      </c>
      <c r="G52" s="254">
        <f>+E52/$E$17*100</f>
        <v>4.5067778134717802</v>
      </c>
      <c r="I52" s="154">
        <f t="shared" ref="I52:I67" si="7">SUMIF($C$13:$C$43,$C52,$N$13:$N$43)</f>
        <v>26218591.709507599</v>
      </c>
      <c r="J52" s="254">
        <f>+I52/$E$17*100</f>
        <v>4.6607273948449208</v>
      </c>
      <c r="L52" s="154">
        <f t="shared" ref="L52:L72" si="8">I52-E52</f>
        <v>866032.46144291759</v>
      </c>
      <c r="N52" s="254">
        <f>+L52/$E$17*100</f>
        <v>0.15394958137314035</v>
      </c>
      <c r="O52" s="272"/>
    </row>
    <row r="53" spans="1:15" ht="14" x14ac:dyDescent="0.3">
      <c r="A53" s="151">
        <f>IF(B53&lt;&gt;"",COUNTA($B$13:B53),"")</f>
        <v>35</v>
      </c>
      <c r="B53" s="130" t="str">
        <f>'24 WMA'!B48</f>
        <v>Revenue Decoupling</v>
      </c>
      <c r="C53" s="253" t="str">
        <f>'24 WMA'!C48</f>
        <v>RDAF</v>
      </c>
      <c r="D53" s="253"/>
      <c r="E53" s="154">
        <f t="shared" si="6"/>
        <v>320649.46108946571</v>
      </c>
      <c r="G53" s="254">
        <f t="shared" ref="G53:G73" si="9">+E53/$E$17*100</f>
        <v>5.6999999999999995E-2</v>
      </c>
      <c r="I53" s="154">
        <f t="shared" si="7"/>
        <v>-243372.57105809732</v>
      </c>
      <c r="J53" s="254">
        <f t="shared" ref="J53:J73" si="10">+I53/$E$17*100</f>
        <v>-4.3262934243450978E-2</v>
      </c>
      <c r="L53" s="154">
        <f>I53-E53</f>
        <v>-564022.03214756306</v>
      </c>
      <c r="N53" s="254">
        <f t="shared" ref="N53:N73" si="11">+L53/$E$17*100</f>
        <v>-0.10026293424345099</v>
      </c>
      <c r="O53" s="272"/>
    </row>
    <row r="54" spans="1:15" ht="14" x14ac:dyDescent="0.3">
      <c r="A54" s="151">
        <f>IF(B54&lt;&gt;"",COUNTA($B$13:B54),"")</f>
        <v>36</v>
      </c>
      <c r="B54" s="130" t="str">
        <f>'24 WMA'!B49</f>
        <v>Residential Assistance Adjustment Factor</v>
      </c>
      <c r="C54" s="253" t="str">
        <f>'24 WMA'!C49</f>
        <v>RAAF</v>
      </c>
      <c r="D54" s="253"/>
      <c r="E54" s="154">
        <f t="shared" si="6"/>
        <v>5732312.2956169387</v>
      </c>
      <c r="G54" s="254">
        <f t="shared" si="9"/>
        <v>1.0189999999999999</v>
      </c>
      <c r="I54" s="154">
        <f t="shared" si="7"/>
        <v>2056076.9336774761</v>
      </c>
      <c r="J54" s="254">
        <f t="shared" si="10"/>
        <v>0.36549690375720517</v>
      </c>
      <c r="L54" s="154">
        <f t="shared" si="8"/>
        <v>-3676235.3619394628</v>
      </c>
      <c r="N54" s="254">
        <f t="shared" si="11"/>
        <v>-0.65350309624279479</v>
      </c>
      <c r="O54" s="272"/>
    </row>
    <row r="55" spans="1:15" ht="14" x14ac:dyDescent="0.3">
      <c r="A55" s="151">
        <f>IF(B55&lt;&gt;"",COUNTA($B$13:B55),"")</f>
        <v>37</v>
      </c>
      <c r="B55" s="130" t="str">
        <f>'24 WMA'!B50</f>
        <v>Pension Adjustment Factor</v>
      </c>
      <c r="C55" s="253" t="str">
        <f>'24 WMA'!C50</f>
        <v>PAF</v>
      </c>
      <c r="D55" s="253"/>
      <c r="E55" s="154">
        <f t="shared" si="6"/>
        <v>624422.63475317007</v>
      </c>
      <c r="G55" s="254">
        <f t="shared" si="9"/>
        <v>0.11100000000000002</v>
      </c>
      <c r="I55" s="154">
        <f t="shared" si="7"/>
        <v>357466.03490979091</v>
      </c>
      <c r="J55" s="254">
        <f t="shared" si="10"/>
        <v>6.3544669373927345E-2</v>
      </c>
      <c r="L55" s="154">
        <f t="shared" si="8"/>
        <v>-266956.59984337917</v>
      </c>
      <c r="N55" s="254">
        <f t="shared" si="11"/>
        <v>-4.7455330626072656E-2</v>
      </c>
      <c r="O55" s="272"/>
    </row>
    <row r="56" spans="1:15" ht="14" x14ac:dyDescent="0.3">
      <c r="A56" s="151">
        <f>IF(B56&lt;&gt;"",COUNTA($B$13:B56),"")</f>
        <v>38</v>
      </c>
      <c r="B56" s="130" t="str">
        <f>'24 WMA'!B51</f>
        <v>Net Metering Recovery Surcharge</v>
      </c>
      <c r="C56" s="253" t="str">
        <f>'24 WMA'!C51</f>
        <v>NMRS</v>
      </c>
      <c r="D56" s="253"/>
      <c r="E56" s="154">
        <f t="shared" si="6"/>
        <v>2492065.1098707598</v>
      </c>
      <c r="G56" s="254">
        <f t="shared" si="9"/>
        <v>0.443</v>
      </c>
      <c r="I56" s="154">
        <f t="shared" si="7"/>
        <v>2680959.3955334821</v>
      </c>
      <c r="J56" s="254">
        <f t="shared" si="10"/>
        <v>0.4765786445615483</v>
      </c>
      <c r="L56" s="154">
        <f t="shared" si="8"/>
        <v>188894.28566272231</v>
      </c>
      <c r="N56" s="254">
        <f t="shared" si="11"/>
        <v>3.3578644561548271E-2</v>
      </c>
      <c r="O56" s="272"/>
    </row>
    <row r="57" spans="1:15" ht="14" x14ac:dyDescent="0.3">
      <c r="A57" s="151">
        <f>IF(B57&lt;&gt;"",COUNTA($B$13:B57),"")</f>
        <v>39</v>
      </c>
      <c r="B57" s="130" t="str">
        <f>'24 WMA'!B52</f>
        <v>Long Term Renewable Contract Adjustment</v>
      </c>
      <c r="C57" s="253" t="str">
        <f>'24 WMA'!C52</f>
        <v>LTRCA</v>
      </c>
      <c r="D57" s="253"/>
      <c r="E57" s="154">
        <f t="shared" si="6"/>
        <v>1862017.0459756693</v>
      </c>
      <c r="G57" s="254">
        <f t="shared" si="9"/>
        <v>0.33100000000000002</v>
      </c>
      <c r="I57" s="154">
        <f t="shared" si="7"/>
        <v>976412.98070691957</v>
      </c>
      <c r="J57" s="254">
        <f t="shared" si="10"/>
        <v>0.17357128782064518</v>
      </c>
      <c r="L57" s="154">
        <f t="shared" si="8"/>
        <v>-885604.06526874972</v>
      </c>
      <c r="N57" s="254">
        <f t="shared" si="11"/>
        <v>-0.15742871217935483</v>
      </c>
      <c r="O57" s="272"/>
    </row>
    <row r="58" spans="1:15" ht="14" x14ac:dyDescent="0.3">
      <c r="A58" s="151">
        <f>IF(B58&lt;&gt;"",COUNTA($B$13:B58),"")</f>
        <v>40</v>
      </c>
      <c r="B58" s="130" t="str">
        <f>'24 WMA'!B53</f>
        <v>AG Consulting Expense</v>
      </c>
      <c r="C58" s="253" t="str">
        <f>'24 WMA'!C53</f>
        <v>AGCE</v>
      </c>
      <c r="D58" s="253"/>
      <c r="E58" s="154">
        <f t="shared" si="6"/>
        <v>16876.287425761355</v>
      </c>
      <c r="G58" s="254">
        <f t="shared" si="9"/>
        <v>3.0000000000000005E-3</v>
      </c>
      <c r="I58" s="154">
        <f t="shared" si="7"/>
        <v>4316.9945795802205</v>
      </c>
      <c r="J58" s="254">
        <f t="shared" si="10"/>
        <v>7.6740715608879793E-4</v>
      </c>
      <c r="L58" s="154">
        <f t="shared" si="8"/>
        <v>-12559.292846181135</v>
      </c>
      <c r="N58" s="254">
        <f t="shared" si="11"/>
        <v>-2.2325928439112025E-3</v>
      </c>
      <c r="O58" s="272"/>
    </row>
    <row r="59" spans="1:15" ht="14" x14ac:dyDescent="0.3">
      <c r="A59" s="151">
        <f>IF(B59&lt;&gt;"",COUNTA($B$13:B59),"")</f>
        <v>41</v>
      </c>
      <c r="B59" s="130" t="str">
        <f>'24 WMA'!B54</f>
        <v>Storm Cost Recovery Adjustment Factor</v>
      </c>
      <c r="C59" s="253" t="str">
        <f>'24 WMA'!C54</f>
        <v>SCRA</v>
      </c>
      <c r="D59" s="253"/>
      <c r="E59" s="154">
        <f t="shared" si="6"/>
        <v>1333226.7066351469</v>
      </c>
      <c r="G59" s="254">
        <f t="shared" si="9"/>
        <v>0.23700000000000002</v>
      </c>
      <c r="I59" s="154">
        <f t="shared" si="7"/>
        <v>1544514.7102581395</v>
      </c>
      <c r="J59" s="254">
        <f t="shared" si="10"/>
        <v>0.27455944627379336</v>
      </c>
      <c r="L59" s="154">
        <f>I59-E59</f>
        <v>211288.00362299266</v>
      </c>
      <c r="N59" s="254">
        <f t="shared" si="11"/>
        <v>3.7559446273793359E-2</v>
      </c>
      <c r="O59" s="272"/>
    </row>
    <row r="60" spans="1:15" ht="14" x14ac:dyDescent="0.3">
      <c r="A60" s="151">
        <f>IF(B60&lt;&gt;"",COUNTA($B$13:B60),"")</f>
        <v>42</v>
      </c>
      <c r="B60" s="130" t="str">
        <f>'24 WMA'!B55</f>
        <v>Storm Reserve Adjustment</v>
      </c>
      <c r="C60" s="253" t="str">
        <f>'24 WMA'!C55</f>
        <v>SRA</v>
      </c>
      <c r="D60" s="253"/>
      <c r="E60" s="154">
        <f t="shared" si="6"/>
        <v>0</v>
      </c>
      <c r="G60" s="254">
        <f t="shared" si="9"/>
        <v>0</v>
      </c>
      <c r="I60" s="154">
        <f t="shared" si="7"/>
        <v>0</v>
      </c>
      <c r="J60" s="254">
        <f t="shared" si="10"/>
        <v>0</v>
      </c>
      <c r="L60" s="154">
        <f>I60-E60</f>
        <v>0</v>
      </c>
      <c r="N60" s="254">
        <f t="shared" si="11"/>
        <v>0</v>
      </c>
      <c r="O60" s="272"/>
    </row>
    <row r="61" spans="1:15" ht="14" x14ac:dyDescent="0.3">
      <c r="A61" s="151">
        <f>IF(B61&lt;&gt;"",COUNTA($B$13:B61),"")</f>
        <v>43</v>
      </c>
      <c r="B61" s="130" t="str">
        <f>'24 WMA'!B56</f>
        <v>Basic Service Cost True Up Factor</v>
      </c>
      <c r="C61" s="253" t="str">
        <f>'24 WMA'!C56</f>
        <v>BSTF</v>
      </c>
      <c r="D61" s="253"/>
      <c r="E61" s="154">
        <f t="shared" si="6"/>
        <v>118134.01198032948</v>
      </c>
      <c r="G61" s="254">
        <f t="shared" si="9"/>
        <v>2.1000000000000001E-2</v>
      </c>
      <c r="I61" s="154">
        <f t="shared" si="7"/>
        <v>-102027.57577511363</v>
      </c>
      <c r="J61" s="254">
        <f t="shared" si="10"/>
        <v>-1.8136851998509521E-2</v>
      </c>
      <c r="L61" s="154">
        <f>I61-E61</f>
        <v>-220161.58775544312</v>
      </c>
      <c r="N61" s="254">
        <f t="shared" si="11"/>
        <v>-3.9136851998509525E-2</v>
      </c>
      <c r="O61" s="272"/>
    </row>
    <row r="62" spans="1:15" ht="14" x14ac:dyDescent="0.3">
      <c r="A62" s="151">
        <f>IF(B62&lt;&gt;"",COUNTA($B$13:B62),"")</f>
        <v>44</v>
      </c>
      <c r="B62" s="130" t="str">
        <f>'24 WMA'!B57</f>
        <v>Solar Program Cost Adjustment Factor</v>
      </c>
      <c r="C62" s="253" t="str">
        <f>'24 WMA'!C57</f>
        <v>SPCA</v>
      </c>
      <c r="D62" s="253"/>
      <c r="E62" s="154">
        <f t="shared" si="6"/>
        <v>-73130.578844965858</v>
      </c>
      <c r="G62" s="254">
        <f t="shared" si="9"/>
        <v>-1.2999999999999999E-2</v>
      </c>
      <c r="I62" s="154">
        <f t="shared" si="7"/>
        <v>18157.288306207014</v>
      </c>
      <c r="J62" s="254">
        <f t="shared" si="10"/>
        <v>3.227716116962473E-3</v>
      </c>
      <c r="L62" s="154">
        <f t="shared" si="8"/>
        <v>91287.867151172875</v>
      </c>
      <c r="N62" s="254">
        <f t="shared" si="11"/>
        <v>1.6227716116962471E-2</v>
      </c>
    </row>
    <row r="63" spans="1:15" ht="14" x14ac:dyDescent="0.3">
      <c r="A63" s="151">
        <f>IF(B63&lt;&gt;"",COUNTA($B$13:B63),"")</f>
        <v>45</v>
      </c>
      <c r="B63" s="130" t="str">
        <f>'24 WMA'!B58</f>
        <v>Solar Expansion Cost Recovery Factor</v>
      </c>
      <c r="C63" s="253" t="str">
        <f>'24 WMA'!C58</f>
        <v>SECRF</v>
      </c>
      <c r="D63" s="253"/>
      <c r="E63" s="154">
        <f t="shared" si="6"/>
        <v>0</v>
      </c>
      <c r="G63" s="254">
        <f t="shared" si="9"/>
        <v>0</v>
      </c>
      <c r="I63" s="154">
        <f t="shared" si="7"/>
        <v>320253.02682300779</v>
      </c>
      <c r="J63" s="254">
        <f t="shared" si="10"/>
        <v>5.6929528173503476E-2</v>
      </c>
      <c r="L63" s="154">
        <f t="shared" si="8"/>
        <v>320253.02682300779</v>
      </c>
      <c r="N63" s="254">
        <f t="shared" si="11"/>
        <v>5.6929528173503476E-2</v>
      </c>
    </row>
    <row r="64" spans="1:15" ht="14" x14ac:dyDescent="0.3">
      <c r="A64" s="151">
        <f>IF(B64&lt;&gt;"",COUNTA($B$13:B64),"")</f>
        <v>46</v>
      </c>
      <c r="B64" s="130" t="str">
        <f>'24 WMA'!B59</f>
        <v>Vegetation Management</v>
      </c>
      <c r="C64" s="253" t="str">
        <f>'24 WMA'!C59</f>
        <v>RTWF</v>
      </c>
      <c r="D64" s="253"/>
      <c r="E64" s="154">
        <f t="shared" si="6"/>
        <v>0</v>
      </c>
      <c r="G64" s="254">
        <f t="shared" si="9"/>
        <v>0</v>
      </c>
      <c r="I64" s="154">
        <f t="shared" si="7"/>
        <v>639985.02037412184</v>
      </c>
      <c r="J64" s="254">
        <f t="shared" si="10"/>
        <v>0.11376643527601861</v>
      </c>
      <c r="L64" s="154">
        <f t="shared" si="8"/>
        <v>639985.02037412184</v>
      </c>
      <c r="N64" s="254">
        <f t="shared" si="11"/>
        <v>0.11376643527601861</v>
      </c>
    </row>
    <row r="65" spans="1:14" ht="14" x14ac:dyDescent="0.3">
      <c r="A65" s="151">
        <f>IF(B65&lt;&gt;"",COUNTA($B$13:B65),"")</f>
        <v>47</v>
      </c>
      <c r="B65" s="130" t="str">
        <f>'24 WMA'!B60</f>
        <v>Solar Massachusetts Renewable Target</v>
      </c>
      <c r="C65" s="253" t="str">
        <f>'24 WMA'!C60</f>
        <v>SMART</v>
      </c>
      <c r="D65" s="253"/>
      <c r="E65" s="154">
        <f t="shared" si="6"/>
        <v>0</v>
      </c>
      <c r="G65" s="254">
        <f t="shared" si="9"/>
        <v>0</v>
      </c>
      <c r="I65" s="154">
        <f t="shared" si="7"/>
        <v>375221.36153787241</v>
      </c>
      <c r="J65" s="254">
        <f t="shared" si="10"/>
        <v>6.6700931088392756E-2</v>
      </c>
      <c r="L65" s="154">
        <f t="shared" si="8"/>
        <v>375221.36153787241</v>
      </c>
      <c r="N65" s="254">
        <f t="shared" si="11"/>
        <v>6.6700931088392756E-2</v>
      </c>
    </row>
    <row r="66" spans="1:14" ht="14" x14ac:dyDescent="0.3">
      <c r="A66" s="151">
        <f>IF(B66&lt;&gt;"",COUNTA($B$13:B66),"")</f>
        <v>48</v>
      </c>
      <c r="B66" s="130" t="str">
        <f>'24 WMA'!B61</f>
        <v>Tax Act Credit Factor</v>
      </c>
      <c r="C66" s="253" t="str">
        <f>'24 WMA'!C61</f>
        <v>TACF</v>
      </c>
      <c r="D66" s="253"/>
      <c r="E66" s="154">
        <f t="shared" si="6"/>
        <v>0</v>
      </c>
      <c r="G66" s="254">
        <f t="shared" si="9"/>
        <v>0</v>
      </c>
      <c r="I66" s="154">
        <f t="shared" si="7"/>
        <v>-568022.4575220797</v>
      </c>
      <c r="J66" s="254">
        <f t="shared" si="10"/>
        <v>-0.10097406672305252</v>
      </c>
      <c r="L66" s="154">
        <f t="shared" si="8"/>
        <v>-568022.4575220797</v>
      </c>
      <c r="N66" s="254">
        <f t="shared" si="11"/>
        <v>-0.10097406672305252</v>
      </c>
    </row>
    <row r="67" spans="1:14" ht="14" x14ac:dyDescent="0.3">
      <c r="A67" s="151">
        <f>IF(B67&lt;&gt;"",COUNTA($B$13:B67),"")</f>
        <v>49</v>
      </c>
      <c r="B67" s="130" t="str">
        <f>'24 WMA'!B62</f>
        <v>Transition</v>
      </c>
      <c r="C67" s="253" t="str">
        <f>'24 WMA'!C62</f>
        <v>TRNSN</v>
      </c>
      <c r="D67" s="253"/>
      <c r="E67" s="154">
        <f t="shared" si="6"/>
        <v>-961948.38326839707</v>
      </c>
      <c r="G67" s="254">
        <f t="shared" si="9"/>
        <v>-0.17099999999999999</v>
      </c>
      <c r="I67" s="154">
        <f t="shared" si="7"/>
        <v>-293137.29518933455</v>
      </c>
      <c r="J67" s="254">
        <f t="shared" si="10"/>
        <v>-5.2109321403568713E-2</v>
      </c>
      <c r="L67" s="154">
        <f t="shared" si="8"/>
        <v>668811.08807906252</v>
      </c>
      <c r="N67" s="254">
        <f t="shared" si="11"/>
        <v>0.11889067859643127</v>
      </c>
    </row>
    <row r="68" spans="1:14" ht="14" x14ac:dyDescent="0.3">
      <c r="A68" s="151">
        <f>IF(B68&lt;&gt;"",COUNTA($B$13:B68),"")</f>
        <v>50</v>
      </c>
      <c r="B68" s="130" t="str">
        <f>'24 WMA'!B63</f>
        <v>Transmission</v>
      </c>
      <c r="C68" s="253" t="str">
        <f>'24 WMA'!C63</f>
        <v>TRNSM</v>
      </c>
      <c r="D68" s="253"/>
      <c r="E68" s="154">
        <f>SUM(SUMIF($C$13:$C$43,{"TMKW","TMKWH"},$I$13:$I$43))</f>
        <v>13935988.785739912</v>
      </c>
      <c r="G68" s="254">
        <f t="shared" si="9"/>
        <v>2.4773201180136701</v>
      </c>
      <c r="I68" s="154">
        <f>SUM(SUMIF($C$13:$C$43,{"TMKW","TMKWH"},$N$13:$N$43))</f>
        <v>13131882.83530435</v>
      </c>
      <c r="J68" s="254">
        <f t="shared" si="10"/>
        <v>2.3343788543075115</v>
      </c>
      <c r="L68" s="154">
        <f t="shared" si="8"/>
        <v>-804105.95043556206</v>
      </c>
      <c r="N68" s="254">
        <f t="shared" si="11"/>
        <v>-0.14294126370615884</v>
      </c>
    </row>
    <row r="69" spans="1:14" ht="14" x14ac:dyDescent="0.3">
      <c r="A69" s="151">
        <f>IF(B69&lt;&gt;"",COUNTA($B$13:B69),"")</f>
        <v>51</v>
      </c>
      <c r="B69" s="130" t="str">
        <f>'24 WMA'!B64</f>
        <v>Energy Efficiency Reconciliation Factor</v>
      </c>
      <c r="C69" s="253" t="str">
        <f>'24 WMA'!C64</f>
        <v>EERF</v>
      </c>
      <c r="D69" s="253"/>
      <c r="E69" s="154">
        <f>SUMIF($C$13:$C$43,$C69,$I$13:$I$43)</f>
        <v>5467917.1259466782</v>
      </c>
      <c r="G69" s="254">
        <f t="shared" si="9"/>
        <v>0.97199999999999998</v>
      </c>
      <c r="I69" s="154">
        <f>SUMIF($C$13:$C$43,$C69,$N$13:$N$43)</f>
        <v>5467917.1259466782</v>
      </c>
      <c r="J69" s="254">
        <f t="shared" si="10"/>
        <v>0.97199999999999998</v>
      </c>
      <c r="L69" s="154">
        <f t="shared" si="8"/>
        <v>0</v>
      </c>
      <c r="N69" s="254">
        <f t="shared" si="11"/>
        <v>0</v>
      </c>
    </row>
    <row r="70" spans="1:14" ht="14" x14ac:dyDescent="0.3">
      <c r="A70" s="151">
        <f>IF(B70&lt;&gt;"",COUNTA($B$13:B70),"")</f>
        <v>52</v>
      </c>
      <c r="B70" s="130" t="str">
        <f>'24 WMA'!B65</f>
        <v>System Benefits Charge</v>
      </c>
      <c r="C70" s="253" t="str">
        <f>'24 WMA'!C65</f>
        <v>SBC</v>
      </c>
      <c r="D70" s="253"/>
      <c r="E70" s="154">
        <f>SUMIF($C$13:$C$43,$C70,$I$13:$I$43)</f>
        <v>1406357.2854801128</v>
      </c>
      <c r="G70" s="254">
        <f t="shared" si="9"/>
        <v>0.25</v>
      </c>
      <c r="I70" s="154">
        <f>SUMIF($C$13:$C$43,$C70,$N$13:$N$43)</f>
        <v>1406357.2854801128</v>
      </c>
      <c r="J70" s="254">
        <f t="shared" si="10"/>
        <v>0.25</v>
      </c>
      <c r="L70" s="154">
        <f t="shared" si="8"/>
        <v>0</v>
      </c>
      <c r="N70" s="254">
        <f t="shared" si="11"/>
        <v>0</v>
      </c>
    </row>
    <row r="71" spans="1:14" ht="14" x14ac:dyDescent="0.3">
      <c r="A71" s="151">
        <f>IF(B71&lt;&gt;"",COUNTA($B$13:B71),"")</f>
        <v>53</v>
      </c>
      <c r="B71" s="130" t="str">
        <f>'24 WMA'!B66</f>
        <v>Renewable Energy Charge</v>
      </c>
      <c r="C71" s="253" t="str">
        <f>'24 WMA'!C66</f>
        <v>RNEW</v>
      </c>
      <c r="D71" s="253"/>
      <c r="E71" s="154">
        <f>SUMIF($C$13:$C$43,$C71,$I$13:$I$43)</f>
        <v>281271.45709602255</v>
      </c>
      <c r="G71" s="254">
        <f t="shared" si="9"/>
        <v>0.05</v>
      </c>
      <c r="I71" s="154">
        <f>SUMIF($C$13:$C$43,$C71,$N$13:$N$43)</f>
        <v>281271.45709602255</v>
      </c>
      <c r="J71" s="254">
        <f t="shared" si="10"/>
        <v>0.05</v>
      </c>
      <c r="L71" s="154">
        <f>I71-E71</f>
        <v>0</v>
      </c>
      <c r="N71" s="254">
        <f t="shared" si="11"/>
        <v>0</v>
      </c>
    </row>
    <row r="72" spans="1:14" ht="14" x14ac:dyDescent="0.3">
      <c r="A72" s="151">
        <f>IF(B72&lt;&gt;"",COUNTA($B$13:B72),"")</f>
        <v>54</v>
      </c>
      <c r="B72" s="130" t="str">
        <f>'24 WMA'!B67</f>
        <v>Basic Service Charge</v>
      </c>
      <c r="C72" s="253" t="str">
        <f>'24 WMA'!C67</f>
        <v>BS</v>
      </c>
      <c r="D72" s="253"/>
      <c r="E72" s="255">
        <f>SUMIF($C$13:$C$43,$C72,$I$13:$I$43)</f>
        <v>61086535.052114181</v>
      </c>
      <c r="F72" s="256"/>
      <c r="G72" s="257">
        <f t="shared" si="9"/>
        <v>10.859</v>
      </c>
      <c r="H72" s="258"/>
      <c r="I72" s="255">
        <f>SUMIF($C$13:$C$43,$C72,$N$13:$N$43)</f>
        <v>69502177.048427165</v>
      </c>
      <c r="J72" s="257">
        <f t="shared" si="10"/>
        <v>12.354999999999999</v>
      </c>
      <c r="K72" s="255"/>
      <c r="L72" s="255">
        <f t="shared" si="8"/>
        <v>8415641.9963129833</v>
      </c>
      <c r="M72" s="259"/>
      <c r="N72" s="257">
        <f t="shared" si="11"/>
        <v>1.495999999999998</v>
      </c>
    </row>
    <row r="73" spans="1:14" ht="14" x14ac:dyDescent="0.3">
      <c r="A73" s="151">
        <f>IF(B73&lt;&gt;"",COUNTA($B$13:B73),"")</f>
        <v>55</v>
      </c>
      <c r="B73" s="130" t="str">
        <f>'24 WMA'!B68</f>
        <v>Total</v>
      </c>
      <c r="C73" s="130"/>
      <c r="D73" s="130"/>
      <c r="E73" s="154">
        <f>SUM(E52:E72)</f>
        <v>118995253.54567549</v>
      </c>
      <c r="G73" s="254">
        <f t="shared" si="9"/>
        <v>21.153097931485455</v>
      </c>
      <c r="I73" s="154">
        <f>SUM(I52:I72)</f>
        <v>123775001.3089239</v>
      </c>
      <c r="J73" s="254">
        <f t="shared" si="10"/>
        <v>22.002766044381936</v>
      </c>
      <c r="L73" s="154">
        <f>SUM(L52:L72)</f>
        <v>4779747.7632484315</v>
      </c>
      <c r="N73" s="254">
        <f t="shared" si="11"/>
        <v>0.84966811289648314</v>
      </c>
    </row>
    <row r="74" spans="1:14" ht="14" x14ac:dyDescent="0.3">
      <c r="A74" s="151" t="str">
        <f>IF(B74&lt;&gt;"",COUNTA($B$10:B74),"")</f>
        <v/>
      </c>
    </row>
    <row r="75" spans="1:14" ht="14" x14ac:dyDescent="0.3">
      <c r="A75" s="151"/>
      <c r="B75" s="256" t="s">
        <v>164</v>
      </c>
      <c r="E75" s="188"/>
      <c r="G75" s="188"/>
      <c r="H75" s="188"/>
      <c r="I75" s="188"/>
      <c r="J75" s="188"/>
      <c r="K75" s="188"/>
      <c r="L75" s="188"/>
      <c r="M75" s="188"/>
      <c r="N75" s="188"/>
    </row>
    <row r="76" spans="1:14" ht="14" x14ac:dyDescent="0.3">
      <c r="A76" s="151"/>
      <c r="B76" s="130" t="str">
        <f>'24 WMA'!B71</f>
        <v>Col. (a): Company's forecast</v>
      </c>
    </row>
    <row r="77" spans="1:14" ht="14" x14ac:dyDescent="0.3">
      <c r="A77" s="151"/>
      <c r="B77" s="130" t="str">
        <f>'24 WMA'!B72</f>
        <v>Col. (b): Current rates</v>
      </c>
    </row>
    <row r="78" spans="1:14" ht="14" x14ac:dyDescent="0.3">
      <c r="A78" s="151"/>
      <c r="B78" s="130" t="str">
        <f>'24 WMA'!B73</f>
        <v>Col. (c): Col. (a) x Col. (b)</v>
      </c>
    </row>
    <row r="79" spans="1:14" ht="14" x14ac:dyDescent="0.3">
      <c r="A79" s="151"/>
      <c r="B79" s="130" t="str">
        <f>'24 WMA'!B74</f>
        <v>Col. (e): Proposed rates</v>
      </c>
    </row>
    <row r="80" spans="1:14" ht="14" x14ac:dyDescent="0.3">
      <c r="A80" s="151"/>
      <c r="B80" s="130" t="s">
        <v>409</v>
      </c>
    </row>
  </sheetData>
  <mergeCells count="5">
    <mergeCell ref="A4:N4"/>
    <mergeCell ref="A5:N5"/>
    <mergeCell ref="A8:N8"/>
    <mergeCell ref="G10:I10"/>
    <mergeCell ref="L10:N10"/>
  </mergeCells>
  <pageMargins left="0.7" right="0.7" top="0.75" bottom="0.75" header="0.3" footer="0.3"/>
  <pageSetup scale="62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877DB-0A61-4D31-83D3-D9855E7D418E}">
  <sheetPr>
    <tabColor theme="9" tint="0.59999389629810485"/>
    <pageSetUpPr fitToPage="1"/>
  </sheetPr>
  <dimension ref="A3:Q80"/>
  <sheetViews>
    <sheetView workbookViewId="0"/>
  </sheetViews>
  <sheetFormatPr defaultRowHeight="12.5" x14ac:dyDescent="0.25"/>
  <cols>
    <col min="1" max="1" width="3.26953125" bestFit="1" customWidth="1"/>
    <col min="2" max="2" width="41.1796875" customWidth="1"/>
    <col min="3" max="3" width="8.7265625" bestFit="1" customWidth="1"/>
    <col min="4" max="4" width="1.453125" customWidth="1"/>
    <col min="5" max="5" width="13.7265625" bestFit="1" customWidth="1"/>
    <col min="6" max="6" width="1.453125" customWidth="1"/>
    <col min="7" max="7" width="12.7265625" customWidth="1"/>
    <col min="8" max="8" width="1.453125" customWidth="1"/>
    <col min="9" max="9" width="12.7265625" customWidth="1"/>
    <col min="11" max="11" width="1.453125" customWidth="1"/>
    <col min="12" max="12" width="12.7265625" customWidth="1"/>
    <col min="13" max="13" width="1.453125" customWidth="1"/>
    <col min="14" max="14" width="12.7265625" customWidth="1"/>
  </cols>
  <sheetData>
    <row r="3" spans="1:17" ht="14" x14ac:dyDescent="0.3">
      <c r="A3" s="268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</row>
    <row r="4" spans="1:17" ht="14" x14ac:dyDescent="0.3">
      <c r="A4" s="748" t="str">
        <f>'G0 WMA'!A4:N4</f>
        <v>Western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7" ht="14" x14ac:dyDescent="0.3">
      <c r="A5" s="748" t="str">
        <f>+'23 WMA'!A5:N5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7" ht="14" x14ac:dyDescent="0.3">
      <c r="A6" s="268"/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</row>
    <row r="7" spans="1:17" ht="14" x14ac:dyDescent="0.3">
      <c r="A7" s="268"/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</row>
    <row r="8" spans="1:17" ht="14" x14ac:dyDescent="0.3">
      <c r="A8" s="748" t="s">
        <v>513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7" ht="14" x14ac:dyDescent="0.3">
      <c r="B9" s="207"/>
      <c r="C9" s="207"/>
      <c r="D9" s="207"/>
      <c r="E9" s="213"/>
      <c r="F9" s="207"/>
      <c r="I9" s="210"/>
      <c r="J9" s="210"/>
      <c r="K9" s="210"/>
      <c r="L9" s="214"/>
      <c r="M9" s="214"/>
      <c r="N9" s="215"/>
    </row>
    <row r="10" spans="1:17" ht="14.5" thickBot="1" x14ac:dyDescent="0.35">
      <c r="A10" s="151"/>
      <c r="B10" s="216" t="s">
        <v>46</v>
      </c>
      <c r="C10" s="216"/>
      <c r="D10" s="216"/>
      <c r="E10" s="217" t="s">
        <v>144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7" ht="14" x14ac:dyDescent="0.3">
      <c r="A11" s="151"/>
      <c r="B11" s="219" t="s">
        <v>293</v>
      </c>
      <c r="C11" s="220" t="s">
        <v>294</v>
      </c>
      <c r="D11" s="220"/>
      <c r="E11" s="221" t="s">
        <v>295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7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7" ht="14" x14ac:dyDescent="0.3">
      <c r="A13" s="151">
        <f>IF(B13&lt;&gt;"",COUNTA($B$13:B13),"")</f>
        <v>1</v>
      </c>
      <c r="B13" s="232" t="str">
        <f>+'G0 WMA'!B15</f>
        <v>Customer Charge</v>
      </c>
      <c r="C13" s="233" t="s">
        <v>297</v>
      </c>
      <c r="D13" s="233"/>
      <c r="E13" s="234">
        <v>125.23541983622505</v>
      </c>
      <c r="F13" s="207"/>
      <c r="G13" s="209">
        <v>30</v>
      </c>
      <c r="H13" s="209"/>
      <c r="I13" s="210">
        <f>G13*E13</f>
        <v>3757.0625950867516</v>
      </c>
      <c r="J13" s="235"/>
      <c r="K13" s="210"/>
      <c r="L13" s="238">
        <v>30</v>
      </c>
      <c r="M13" s="211"/>
      <c r="N13" s="210">
        <f>L13*E13</f>
        <v>3757.0625950867516</v>
      </c>
      <c r="O13" s="272"/>
      <c r="P13" s="234"/>
      <c r="Q13" s="154"/>
    </row>
    <row r="14" spans="1:17" ht="14" x14ac:dyDescent="0.3">
      <c r="A14" s="151">
        <f>IF(B14&lt;&gt;"",COUNTA($B$13:B14),"")</f>
        <v>2</v>
      </c>
      <c r="B14" s="232" t="str">
        <f>+'G0 WMA'!B16</f>
        <v>Distribution Demand &gt;2 kW</v>
      </c>
      <c r="C14" s="233" t="s">
        <v>431</v>
      </c>
      <c r="D14" s="233"/>
      <c r="E14" s="234">
        <v>5603.7895578303232</v>
      </c>
      <c r="F14" s="207"/>
      <c r="G14" s="209">
        <v>9.1</v>
      </c>
      <c r="H14" s="209"/>
      <c r="I14" s="210">
        <f t="shared" ref="I14:I16" si="0">G14*E14</f>
        <v>50994.484976255939</v>
      </c>
      <c r="J14" s="235"/>
      <c r="K14" s="210"/>
      <c r="L14" s="238">
        <v>9.44</v>
      </c>
      <c r="M14" s="211"/>
      <c r="N14" s="210">
        <f t="shared" ref="N14:N16" si="1">L14*E14</f>
        <v>52899.773425918247</v>
      </c>
      <c r="O14" s="272"/>
      <c r="P14" s="234"/>
      <c r="Q14" s="154"/>
    </row>
    <row r="15" spans="1:17" ht="14" x14ac:dyDescent="0.3">
      <c r="A15" s="151">
        <f>IF(B15&lt;&gt;"",COUNTA($B$13:B15),"")</f>
        <v>3</v>
      </c>
      <c r="B15" s="207" t="s">
        <v>449</v>
      </c>
      <c r="C15" s="233" t="s">
        <v>442</v>
      </c>
      <c r="D15" s="233"/>
      <c r="E15" s="234">
        <v>365807.21457800589</v>
      </c>
      <c r="F15" s="207"/>
      <c r="G15" s="236">
        <v>2.8500000000000001E-3</v>
      </c>
      <c r="H15" s="209"/>
      <c r="I15" s="210">
        <f t="shared" si="0"/>
        <v>1042.5505615473169</v>
      </c>
      <c r="J15" s="235"/>
      <c r="K15" s="210"/>
      <c r="L15" s="281">
        <v>2.96E-3</v>
      </c>
      <c r="M15" s="211"/>
      <c r="N15" s="210">
        <f t="shared" si="1"/>
        <v>1082.7893551508973</v>
      </c>
      <c r="O15" s="272"/>
      <c r="P15" s="273"/>
    </row>
    <row r="16" spans="1:17" ht="14" x14ac:dyDescent="0.3">
      <c r="A16" s="151">
        <f>IF(B16&lt;&gt;"",COUNTA($B$13:B16),"")</f>
        <v>4</v>
      </c>
      <c r="B16" s="207" t="s">
        <v>514</v>
      </c>
      <c r="C16" s="233" t="s">
        <v>444</v>
      </c>
      <c r="D16" s="233"/>
      <c r="E16" s="234">
        <v>1236151.9387806233</v>
      </c>
      <c r="F16" s="207"/>
      <c r="G16" s="236">
        <v>7.6000000000000004E-4</v>
      </c>
      <c r="H16" s="209"/>
      <c r="I16" s="210">
        <f t="shared" si="0"/>
        <v>939.47547347327372</v>
      </c>
      <c r="J16" s="235"/>
      <c r="K16" s="210"/>
      <c r="L16" s="281">
        <v>7.9000000000000001E-4</v>
      </c>
      <c r="M16" s="211"/>
      <c r="N16" s="210">
        <f t="shared" si="1"/>
        <v>976.56003163669243</v>
      </c>
      <c r="O16" s="272"/>
      <c r="P16" s="273"/>
    </row>
    <row r="17" spans="1:17" ht="14" x14ac:dyDescent="0.3">
      <c r="A17" s="151">
        <f>IF(B17&lt;&gt;"",COUNTA($B$13:B17),"")</f>
        <v>5</v>
      </c>
      <c r="B17" s="207" t="s">
        <v>352</v>
      </c>
      <c r="C17" s="233" t="s">
        <v>299</v>
      </c>
      <c r="D17" s="233"/>
      <c r="E17" s="234">
        <v>1601959.1533586292</v>
      </c>
      <c r="F17" s="207"/>
      <c r="G17" s="209"/>
      <c r="H17" s="209"/>
      <c r="I17" s="237"/>
      <c r="J17" s="235"/>
      <c r="K17" s="210"/>
      <c r="L17" s="281"/>
      <c r="M17" s="211"/>
      <c r="N17" s="237"/>
      <c r="O17" s="272"/>
      <c r="P17" s="273"/>
    </row>
    <row r="18" spans="1:17" ht="14" x14ac:dyDescent="0.3">
      <c r="A18" s="151">
        <f>IF(B18&lt;&gt;"",COUNTA($B$13:B18),"")</f>
        <v>6</v>
      </c>
      <c r="B18" s="207" t="s">
        <v>300</v>
      </c>
      <c r="C18" s="233" t="s">
        <v>301</v>
      </c>
      <c r="D18" s="233"/>
      <c r="E18" s="234"/>
      <c r="F18" s="207"/>
      <c r="G18" s="209"/>
      <c r="H18" s="209"/>
      <c r="I18" s="210">
        <f>SUM(I13:I17)</f>
        <v>56733.573606363279</v>
      </c>
      <c r="J18" s="235"/>
      <c r="K18" s="210"/>
      <c r="L18" s="238"/>
      <c r="M18" s="211"/>
      <c r="N18" s="210">
        <f>SUM(N13:N17)</f>
        <v>58716.185407792589</v>
      </c>
      <c r="O18" s="272"/>
      <c r="P18" s="210"/>
      <c r="Q18" s="154"/>
    </row>
    <row r="19" spans="1:17" ht="14" x14ac:dyDescent="0.3">
      <c r="A19" s="151" t="str">
        <f>IF(B19&lt;&gt;"",COUNTA($B$13:B19),"")</f>
        <v/>
      </c>
      <c r="B19" s="207"/>
      <c r="C19" s="233"/>
      <c r="D19" s="233"/>
      <c r="E19" s="234"/>
      <c r="F19" s="207"/>
      <c r="G19" s="209"/>
      <c r="H19" s="209"/>
      <c r="I19" s="234"/>
      <c r="J19" s="235"/>
      <c r="K19" s="210"/>
      <c r="L19" s="238"/>
      <c r="M19" s="211"/>
      <c r="N19" s="210"/>
      <c r="O19" s="272"/>
      <c r="P19" s="273"/>
    </row>
    <row r="20" spans="1:17" ht="14" x14ac:dyDescent="0.3">
      <c r="A20" s="151">
        <f>IF(B20&lt;&gt;"",COUNTA($B$13:B20),"")</f>
        <v>7</v>
      </c>
      <c r="B20" s="207" t="s">
        <v>377</v>
      </c>
      <c r="C20" s="233" t="s">
        <v>378</v>
      </c>
      <c r="D20" s="233"/>
      <c r="E20" s="234">
        <v>0</v>
      </c>
      <c r="F20" s="207"/>
      <c r="G20" s="209"/>
      <c r="H20" s="209"/>
      <c r="I20" s="210"/>
      <c r="J20" s="235"/>
      <c r="K20" s="210"/>
      <c r="L20" s="238"/>
      <c r="M20" s="211"/>
      <c r="N20" s="210"/>
      <c r="O20" s="272"/>
      <c r="P20" s="273"/>
    </row>
    <row r="21" spans="1:17" ht="14" x14ac:dyDescent="0.3">
      <c r="A21" s="151">
        <f>IF(B21&lt;&gt;"",COUNTA($B$13:B21),"")</f>
        <v>8</v>
      </c>
      <c r="B21" s="207" t="s">
        <v>379</v>
      </c>
      <c r="C21" s="233" t="s">
        <v>380</v>
      </c>
      <c r="D21" s="233"/>
      <c r="E21" s="234">
        <v>0</v>
      </c>
      <c r="F21" s="207"/>
      <c r="G21" s="209"/>
      <c r="H21" s="209"/>
      <c r="I21" s="210"/>
      <c r="J21" s="235"/>
      <c r="K21" s="210"/>
      <c r="L21" s="238"/>
      <c r="M21" s="211"/>
      <c r="N21" s="210"/>
      <c r="O21" s="272"/>
      <c r="P21" s="273"/>
    </row>
    <row r="22" spans="1:17" ht="14" x14ac:dyDescent="0.3">
      <c r="A22" s="151" t="str">
        <f>IF(B22&lt;&gt;"",COUNTA($B$13:B22),"")</f>
        <v/>
      </c>
      <c r="B22" s="207"/>
      <c r="C22" s="233"/>
      <c r="D22" s="233"/>
      <c r="E22" s="234"/>
      <c r="F22" s="207"/>
      <c r="G22" s="209"/>
      <c r="H22" s="209"/>
      <c r="I22" s="210"/>
      <c r="J22" s="235"/>
      <c r="K22" s="210"/>
      <c r="L22" s="238"/>
      <c r="M22" s="211"/>
      <c r="N22" s="210"/>
      <c r="O22" s="272"/>
      <c r="P22" s="273"/>
    </row>
    <row r="23" spans="1:17" ht="14" x14ac:dyDescent="0.3">
      <c r="A23" s="151">
        <f>IF(B23&lt;&gt;"",COUNTA($B$13:B23),"")</f>
        <v>9</v>
      </c>
      <c r="B23" s="228" t="s">
        <v>302</v>
      </c>
      <c r="F23" s="239"/>
      <c r="G23" s="240"/>
      <c r="H23" s="211"/>
      <c r="I23" s="210"/>
      <c r="K23" s="210"/>
      <c r="L23" s="241"/>
      <c r="M23" s="211"/>
      <c r="N23" s="210"/>
      <c r="O23" s="272"/>
    </row>
    <row r="24" spans="1:17" ht="14" x14ac:dyDescent="0.3">
      <c r="A24" s="151">
        <f>IF(B24&lt;&gt;"",COUNTA($B$13:B24),"")</f>
        <v>10</v>
      </c>
      <c r="B24" s="207" t="str">
        <f>'G0 WMA'!B24</f>
        <v>Revenue Decoupling</v>
      </c>
      <c r="C24" s="233" t="str">
        <f>'G0 WMA'!C24</f>
        <v>RDAF</v>
      </c>
      <c r="D24" s="233"/>
      <c r="E24" s="242"/>
      <c r="F24" s="239"/>
      <c r="G24" s="236">
        <v>5.6999999999999998E-4</v>
      </c>
      <c r="H24" s="211"/>
      <c r="I24" s="210">
        <f t="shared" ref="I24:I38" si="2">G24*($E$17+$E$21)</f>
        <v>913.11671741441864</v>
      </c>
      <c r="K24" s="210"/>
      <c r="L24" s="236">
        <v>-4.3262934243450975E-4</v>
      </c>
      <c r="M24" s="211"/>
      <c r="N24" s="210">
        <f t="shared" ref="N24:N38" si="3">L24*($E$17+$E$21)</f>
        <v>-693.05453512448776</v>
      </c>
      <c r="O24" s="272"/>
      <c r="P24" s="234"/>
    </row>
    <row r="25" spans="1:17" ht="14" x14ac:dyDescent="0.3">
      <c r="A25" s="151">
        <f>IF(B25&lt;&gt;"",COUNTA($B$13:B25),"")</f>
        <v>11</v>
      </c>
      <c r="B25" s="207" t="str">
        <f>'G0 WMA'!B25</f>
        <v>Residential Assistance Adjustment Factor</v>
      </c>
      <c r="C25" s="233" t="str">
        <f>'G0 WMA'!C25</f>
        <v>RAAF</v>
      </c>
      <c r="D25" s="243"/>
      <c r="E25" s="206"/>
      <c r="F25" s="239"/>
      <c r="G25" s="236">
        <v>1.0189999999999999E-2</v>
      </c>
      <c r="H25" s="211"/>
      <c r="I25" s="210">
        <f t="shared" si="2"/>
        <v>16323.96377272443</v>
      </c>
      <c r="K25" s="210"/>
      <c r="L25" s="236">
        <v>3.6549690375720515E-3</v>
      </c>
      <c r="M25" s="211"/>
      <c r="N25" s="210">
        <f t="shared" si="3"/>
        <v>5855.1111049809278</v>
      </c>
      <c r="O25" s="272"/>
      <c r="P25" s="234"/>
      <c r="Q25" s="210"/>
    </row>
    <row r="26" spans="1:17" ht="14" x14ac:dyDescent="0.3">
      <c r="A26" s="151">
        <f>IF(B26&lt;&gt;"",COUNTA($B$13:B26),"")</f>
        <v>12</v>
      </c>
      <c r="B26" s="207" t="str">
        <f>'G0 WMA'!B26</f>
        <v>Pension Adjustment Factor</v>
      </c>
      <c r="C26" s="233" t="str">
        <f>'G0 WMA'!C26</f>
        <v>PAF</v>
      </c>
      <c r="D26" s="243"/>
      <c r="E26" s="206"/>
      <c r="F26" s="239"/>
      <c r="G26" s="236">
        <v>1.1100000000000001E-3</v>
      </c>
      <c r="H26" s="211"/>
      <c r="I26" s="210">
        <f t="shared" si="2"/>
        <v>1778.1746602280787</v>
      </c>
      <c r="K26" s="210"/>
      <c r="L26" s="236">
        <v>6.3544669373927351E-4</v>
      </c>
      <c r="M26" s="211"/>
      <c r="N26" s="210">
        <f t="shared" si="3"/>
        <v>1017.9596475071068</v>
      </c>
      <c r="O26" s="272"/>
      <c r="P26" s="274"/>
    </row>
    <row r="27" spans="1:17" ht="14" x14ac:dyDescent="0.3">
      <c r="A27" s="151">
        <f>IF(B27&lt;&gt;"",COUNTA($B$13:B27),"")</f>
        <v>13</v>
      </c>
      <c r="B27" s="207" t="str">
        <f>'G0 WMA'!B27</f>
        <v>Net Metering Recovery Surcharge</v>
      </c>
      <c r="C27" s="233" t="str">
        <f>'G0 WMA'!C27</f>
        <v>NMRS</v>
      </c>
      <c r="D27" s="243"/>
      <c r="E27" s="206"/>
      <c r="F27" s="239"/>
      <c r="G27" s="236">
        <v>4.4299999999999999E-3</v>
      </c>
      <c r="H27" s="211"/>
      <c r="I27" s="210">
        <f t="shared" si="2"/>
        <v>7096.6790493787275</v>
      </c>
      <c r="K27" s="210"/>
      <c r="L27" s="236">
        <v>4.765786445615483E-3</v>
      </c>
      <c r="M27" s="211"/>
      <c r="N27" s="210">
        <f t="shared" si="3"/>
        <v>7634.59521950621</v>
      </c>
      <c r="O27" s="272"/>
      <c r="P27" s="274"/>
    </row>
    <row r="28" spans="1:17" ht="14" x14ac:dyDescent="0.3">
      <c r="A28" s="151">
        <f>IF(B28&lt;&gt;"",COUNTA($B$13:B28),"")</f>
        <v>14</v>
      </c>
      <c r="B28" s="207" t="str">
        <f>'G0 WMA'!B28</f>
        <v>Long Term Renewable Contract Adjustment</v>
      </c>
      <c r="C28" s="233" t="str">
        <f>'G0 WMA'!C28</f>
        <v>LTRCA</v>
      </c>
      <c r="D28" s="243"/>
      <c r="E28" s="206"/>
      <c r="F28" s="239"/>
      <c r="G28" s="236">
        <v>3.31E-3</v>
      </c>
      <c r="H28" s="211"/>
      <c r="I28" s="210">
        <f t="shared" si="2"/>
        <v>5302.4847976170631</v>
      </c>
      <c r="K28" s="210"/>
      <c r="L28" s="236">
        <v>1.7357128782064517E-3</v>
      </c>
      <c r="M28" s="211"/>
      <c r="N28" s="210">
        <f t="shared" si="3"/>
        <v>2780.5411328452769</v>
      </c>
      <c r="O28" s="272"/>
      <c r="P28" s="275"/>
    </row>
    <row r="29" spans="1:17" ht="14" x14ac:dyDescent="0.3">
      <c r="A29" s="151">
        <f>IF(B29&lt;&gt;"",COUNTA($B$13:B29),"")</f>
        <v>15</v>
      </c>
      <c r="B29" s="207" t="str">
        <f>'G0 WMA'!B29</f>
        <v>AG Consulting Expense</v>
      </c>
      <c r="C29" s="233" t="str">
        <f>'G0 WMA'!C29</f>
        <v>AGCE</v>
      </c>
      <c r="D29" s="243"/>
      <c r="E29" s="206"/>
      <c r="F29" s="239"/>
      <c r="G29" s="236">
        <v>3.0000000000000001E-5</v>
      </c>
      <c r="H29" s="211"/>
      <c r="I29" s="210">
        <f t="shared" si="2"/>
        <v>48.058774600758881</v>
      </c>
      <c r="K29" s="210"/>
      <c r="L29" s="236">
        <v>7.6740715608879795E-6</v>
      </c>
      <c r="M29" s="211"/>
      <c r="N29" s="210">
        <f t="shared" si="3"/>
        <v>12.293549180493642</v>
      </c>
      <c r="O29" s="272"/>
      <c r="P29" s="274"/>
    </row>
    <row r="30" spans="1:17" ht="14" x14ac:dyDescent="0.3">
      <c r="A30" s="151">
        <f>IF(B30&lt;&gt;"",COUNTA($B$13:B30),"")</f>
        <v>16</v>
      </c>
      <c r="B30" s="207" t="str">
        <f>'G0 WMA'!B30</f>
        <v>Storm Cost Recovery Adjustment Factor</v>
      </c>
      <c r="C30" s="233" t="str">
        <f>'G0 WMA'!C30</f>
        <v>SCRA</v>
      </c>
      <c r="D30" s="243"/>
      <c r="E30" s="206"/>
      <c r="F30" s="239"/>
      <c r="G30" s="236">
        <v>2.3700000000000001E-3</v>
      </c>
      <c r="H30" s="211"/>
      <c r="I30" s="210">
        <f t="shared" si="2"/>
        <v>3796.6431934599514</v>
      </c>
      <c r="K30" s="210"/>
      <c r="L30" s="236">
        <v>2.7455944627379335E-3</v>
      </c>
      <c r="M30" s="211"/>
      <c r="N30" s="210">
        <f t="shared" si="3"/>
        <v>4398.3301809938002</v>
      </c>
      <c r="O30" s="272"/>
      <c r="P30" s="274"/>
    </row>
    <row r="31" spans="1:17" ht="14" x14ac:dyDescent="0.3">
      <c r="A31" s="151">
        <f>IF(B31&lt;&gt;"",COUNTA($B$13:B31),"")</f>
        <v>17</v>
      </c>
      <c r="B31" s="207" t="str">
        <f>'G0 WMA'!B31</f>
        <v>Storm Reserve Adjustment</v>
      </c>
      <c r="C31" s="233" t="str">
        <f>'G0 WMA'!C31</f>
        <v>SRA</v>
      </c>
      <c r="D31" s="243"/>
      <c r="E31" s="206"/>
      <c r="F31" s="239"/>
      <c r="G31" s="236">
        <v>0</v>
      </c>
      <c r="H31" s="211"/>
      <c r="I31" s="210">
        <f t="shared" si="2"/>
        <v>0</v>
      </c>
      <c r="K31" s="210"/>
      <c r="L31" s="236">
        <v>0</v>
      </c>
      <c r="M31" s="211"/>
      <c r="N31" s="210">
        <f t="shared" si="3"/>
        <v>0</v>
      </c>
      <c r="O31" s="272"/>
      <c r="P31" s="274"/>
    </row>
    <row r="32" spans="1:17" ht="14" x14ac:dyDescent="0.3">
      <c r="A32" s="151">
        <f>IF(B32&lt;&gt;"",COUNTA($B$13:B32),"")</f>
        <v>18</v>
      </c>
      <c r="B32" s="207" t="str">
        <f>'G0 WMA'!B32</f>
        <v>Basic Service Cost True Up Factor</v>
      </c>
      <c r="C32" s="233" t="str">
        <f>'G0 WMA'!C32</f>
        <v>BSTF</v>
      </c>
      <c r="D32" s="243"/>
      <c r="E32" s="206"/>
      <c r="F32" s="239"/>
      <c r="G32" s="236">
        <v>2.1000000000000001E-4</v>
      </c>
      <c r="H32" s="211"/>
      <c r="I32" s="210">
        <f t="shared" si="2"/>
        <v>336.41142220531214</v>
      </c>
      <c r="K32" s="210"/>
      <c r="L32" s="236">
        <v>-1.8136851998509521E-4</v>
      </c>
      <c r="M32" s="211"/>
      <c r="N32" s="210">
        <f t="shared" si="3"/>
        <v>-290.54496072123072</v>
      </c>
      <c r="O32" s="272"/>
      <c r="P32" s="274"/>
    </row>
    <row r="33" spans="1:16" ht="14" x14ac:dyDescent="0.3">
      <c r="A33" s="151">
        <f>IF(B33&lt;&gt;"",COUNTA($B$13:B33),"")</f>
        <v>19</v>
      </c>
      <c r="B33" s="207" t="str">
        <f>'G0 WMA'!B33</f>
        <v>Solar Program Cost Adjustment Factor</v>
      </c>
      <c r="C33" s="233" t="str">
        <f>'G0 WMA'!C33</f>
        <v>SPCA</v>
      </c>
      <c r="D33" s="233"/>
      <c r="E33" s="206"/>
      <c r="F33" s="239"/>
      <c r="G33" s="236">
        <v>-1.2999999999999999E-4</v>
      </c>
      <c r="H33" s="211"/>
      <c r="I33" s="210">
        <f t="shared" si="2"/>
        <v>-208.25468993662179</v>
      </c>
      <c r="K33" s="210"/>
      <c r="L33" s="236">
        <v>3.2277161169624727E-5</v>
      </c>
      <c r="M33" s="211"/>
      <c r="N33" s="210">
        <f t="shared" si="3"/>
        <v>51.706693780112047</v>
      </c>
      <c r="O33" s="272"/>
      <c r="P33" s="276"/>
    </row>
    <row r="34" spans="1:16" ht="14" x14ac:dyDescent="0.3">
      <c r="A34" s="151">
        <f>IF(B34&lt;&gt;"",COUNTA($B$13:B34),"")</f>
        <v>20</v>
      </c>
      <c r="B34" s="207" t="str">
        <f>'G0 WMA'!B34</f>
        <v>Solar Expansion Cost Recovery Factor</v>
      </c>
      <c r="C34" s="233" t="str">
        <f>'G0 WMA'!C34</f>
        <v>SECRF</v>
      </c>
      <c r="D34" s="233"/>
      <c r="E34" s="206"/>
      <c r="F34" s="239"/>
      <c r="G34" s="236">
        <v>0</v>
      </c>
      <c r="H34" s="211"/>
      <c r="I34" s="210">
        <f t="shared" si="2"/>
        <v>0</v>
      </c>
      <c r="K34" s="210"/>
      <c r="L34" s="236">
        <v>5.6929528173503476E-4</v>
      </c>
      <c r="M34" s="211"/>
      <c r="N34" s="210">
        <f t="shared" si="3"/>
        <v>911.98778753931856</v>
      </c>
      <c r="O34" s="272"/>
      <c r="P34" s="276"/>
    </row>
    <row r="35" spans="1:16" ht="14" x14ac:dyDescent="0.3">
      <c r="A35" s="151">
        <f>IF(B35&lt;&gt;"",COUNTA($B$13:B35),"")</f>
        <v>21</v>
      </c>
      <c r="B35" s="207" t="str">
        <f>'G0 WMA'!B35</f>
        <v>Vegetation Management</v>
      </c>
      <c r="C35" s="233" t="str">
        <f>'G0 WMA'!C35</f>
        <v>RTWF</v>
      </c>
      <c r="D35" s="233"/>
      <c r="E35" s="206"/>
      <c r="F35" s="239"/>
      <c r="G35" s="236">
        <v>0</v>
      </c>
      <c r="H35" s="211"/>
      <c r="I35" s="210">
        <f t="shared" si="2"/>
        <v>0</v>
      </c>
      <c r="K35" s="210"/>
      <c r="L35" s="236">
        <v>1.1376643527601861E-3</v>
      </c>
      <c r="M35" s="211"/>
      <c r="N35" s="210">
        <f t="shared" si="3"/>
        <v>1822.4918233540006</v>
      </c>
      <c r="O35" s="272"/>
      <c r="P35" s="276"/>
    </row>
    <row r="36" spans="1:16" ht="14" x14ac:dyDescent="0.3">
      <c r="A36" s="151">
        <f>IF(B36&lt;&gt;"",COUNTA($B$13:B36),"")</f>
        <v>22</v>
      </c>
      <c r="B36" s="207" t="str">
        <f>'G0 WMA'!B36</f>
        <v>Solar Massachusetts Renewable Target</v>
      </c>
      <c r="C36" s="233" t="str">
        <f>'G0 WMA'!C36</f>
        <v>SMART</v>
      </c>
      <c r="D36" s="233"/>
      <c r="E36" s="206"/>
      <c r="F36" s="239"/>
      <c r="G36" s="236">
        <v>0</v>
      </c>
      <c r="H36" s="211"/>
      <c r="I36" s="210">
        <f t="shared" si="2"/>
        <v>0</v>
      </c>
      <c r="K36" s="210"/>
      <c r="L36" s="236">
        <v>6.6700931088392763E-4</v>
      </c>
      <c r="M36" s="211"/>
      <c r="N36" s="210">
        <f t="shared" si="3"/>
        <v>1068.5216709459394</v>
      </c>
      <c r="O36" s="272"/>
      <c r="P36" s="276"/>
    </row>
    <row r="37" spans="1:16" ht="14" x14ac:dyDescent="0.3">
      <c r="A37" s="151">
        <f>IF(B37&lt;&gt;"",COUNTA($B$13:B37),"")</f>
        <v>23</v>
      </c>
      <c r="B37" s="207" t="str">
        <f>'G0 WMA'!B37</f>
        <v>Tax Act Credit Factor</v>
      </c>
      <c r="C37" s="233" t="str">
        <f>'G0 WMA'!C37</f>
        <v>TACF</v>
      </c>
      <c r="D37" s="233"/>
      <c r="E37" s="206"/>
      <c r="F37" s="239"/>
      <c r="G37" s="236">
        <v>0</v>
      </c>
      <c r="H37" s="211"/>
      <c r="I37" s="210">
        <f t="shared" si="2"/>
        <v>0</v>
      </c>
      <c r="K37" s="210"/>
      <c r="L37" s="236">
        <v>-1.0097406672305252E-3</v>
      </c>
      <c r="M37" s="211"/>
      <c r="N37" s="210">
        <f t="shared" si="3"/>
        <v>-1617.5633043883895</v>
      </c>
      <c r="O37" s="272"/>
      <c r="P37" s="276"/>
    </row>
    <row r="38" spans="1:16" ht="14" x14ac:dyDescent="0.3">
      <c r="A38" s="151">
        <f>IF(B38&lt;&gt;"",COUNTA($B$13:B38),"")</f>
        <v>24</v>
      </c>
      <c r="B38" s="207" t="str">
        <f>'G0 WMA'!B38</f>
        <v>Transition</v>
      </c>
      <c r="C38" s="233" t="str">
        <f>'G0 WMA'!C38</f>
        <v>TRNSN</v>
      </c>
      <c r="D38" s="233"/>
      <c r="E38" s="206"/>
      <c r="F38" s="239"/>
      <c r="G38" s="236">
        <v>-1.7099999999999999E-3</v>
      </c>
      <c r="H38" s="211"/>
      <c r="I38" s="210">
        <f t="shared" si="2"/>
        <v>-2739.3501522432557</v>
      </c>
      <c r="K38" s="210"/>
      <c r="L38" s="236">
        <v>-5.210932140356871E-4</v>
      </c>
      <c r="M38" s="211"/>
      <c r="N38" s="210">
        <f t="shared" si="3"/>
        <v>-834.77004397753626</v>
      </c>
      <c r="O38" s="272"/>
      <c r="P38" s="275"/>
    </row>
    <row r="39" spans="1:16" ht="14" x14ac:dyDescent="0.3">
      <c r="A39" s="151">
        <f>IF(B39&lt;&gt;"",COUNTA($B$13:B39),"")</f>
        <v>25</v>
      </c>
      <c r="B39" s="207" t="str">
        <f>'G0 WMA'!B39</f>
        <v>Transmission Demand &gt;2 kW</v>
      </c>
      <c r="C39" s="233" t="str">
        <f>'G0 WMA'!C39</f>
        <v>TMKW</v>
      </c>
      <c r="D39" s="233"/>
      <c r="E39" s="206"/>
      <c r="F39" s="239"/>
      <c r="G39" s="283">
        <v>10.130000000000001</v>
      </c>
      <c r="H39" s="211"/>
      <c r="I39" s="210">
        <f>G39*($E$14)</f>
        <v>56766.38822082118</v>
      </c>
      <c r="K39" s="210"/>
      <c r="L39" s="283">
        <v>7.0860963251159514</v>
      </c>
      <c r="M39" s="211"/>
      <c r="N39" s="210">
        <f>L39*($E$14)</f>
        <v>39708.992592464594</v>
      </c>
      <c r="O39" s="272"/>
      <c r="P39" s="275"/>
    </row>
    <row r="40" spans="1:16" ht="14" x14ac:dyDescent="0.3">
      <c r="A40" s="151">
        <f>IF(B40&lt;&gt;"",COUNTA($B$13:B40),"")</f>
        <v>26</v>
      </c>
      <c r="B40" s="207" t="str">
        <f>'G0 WMA'!B40</f>
        <v>Energy Efficiency Reconciliation Factor</v>
      </c>
      <c r="C40" s="233" t="str">
        <f>'G0 WMA'!C40</f>
        <v>EERF</v>
      </c>
      <c r="D40" s="233"/>
      <c r="E40" s="206"/>
      <c r="F40" s="239"/>
      <c r="G40" s="241">
        <v>9.7199999999999995E-3</v>
      </c>
      <c r="H40" s="211"/>
      <c r="I40" s="210">
        <f>G40*($E$17+$E$21)</f>
        <v>15571.042970645874</v>
      </c>
      <c r="K40" s="210"/>
      <c r="L40" s="241">
        <v>9.7199999999999995E-3</v>
      </c>
      <c r="M40" s="211"/>
      <c r="N40" s="210">
        <f>L40*($E$17+$E$21)</f>
        <v>15571.042970645874</v>
      </c>
      <c r="O40" s="272"/>
      <c r="P40" s="232"/>
    </row>
    <row r="41" spans="1:16" ht="14" x14ac:dyDescent="0.3">
      <c r="A41" s="151">
        <f>IF(B41&lt;&gt;"",COUNTA($B$13:B41),"")</f>
        <v>27</v>
      </c>
      <c r="B41" s="207" t="str">
        <f>'G0 WMA'!B41</f>
        <v>System Benefits Charge</v>
      </c>
      <c r="C41" s="233" t="str">
        <f>'G0 WMA'!C41</f>
        <v>SBC</v>
      </c>
      <c r="D41" s="233"/>
      <c r="E41" s="206"/>
      <c r="F41" s="239"/>
      <c r="G41" s="241">
        <v>2.5000000000000001E-3</v>
      </c>
      <c r="H41" s="211"/>
      <c r="I41" s="210">
        <f>G41*($E$17+$E$21)</f>
        <v>4004.897883396573</v>
      </c>
      <c r="K41" s="210"/>
      <c r="L41" s="236">
        <f>+G41</f>
        <v>2.5000000000000001E-3</v>
      </c>
      <c r="M41" s="211"/>
      <c r="N41" s="210">
        <f>L41*($E$17+$E$21)</f>
        <v>4004.897883396573</v>
      </c>
      <c r="O41" s="272"/>
      <c r="P41" s="275"/>
    </row>
    <row r="42" spans="1:16" ht="14" x14ac:dyDescent="0.3">
      <c r="A42" s="151">
        <f>IF(B42&lt;&gt;"",COUNTA($B$13:B42),"")</f>
        <v>28</v>
      </c>
      <c r="B42" s="207" t="str">
        <f>'G0 WMA'!B42</f>
        <v>Renewable Energy Charge</v>
      </c>
      <c r="C42" s="233" t="str">
        <f>'G0 WMA'!C42</f>
        <v>RNEW</v>
      </c>
      <c r="D42" s="233"/>
      <c r="E42" s="206"/>
      <c r="F42" s="239"/>
      <c r="G42" s="241">
        <v>5.0000000000000001E-4</v>
      </c>
      <c r="H42" s="211"/>
      <c r="I42" s="210">
        <f>G42*($E$17+$E$21)</f>
        <v>800.97957667931462</v>
      </c>
      <c r="K42" s="210"/>
      <c r="L42" s="236">
        <f>+G42</f>
        <v>5.0000000000000001E-4</v>
      </c>
      <c r="M42" s="211"/>
      <c r="N42" s="210">
        <f>L42*($E$17+$E$21)</f>
        <v>800.97957667931462</v>
      </c>
      <c r="O42" s="272"/>
      <c r="P42" s="275"/>
    </row>
    <row r="43" spans="1:16" ht="14" x14ac:dyDescent="0.3">
      <c r="A43" s="151">
        <f>IF(B43&lt;&gt;"",COUNTA($B$13:B43),"")</f>
        <v>29</v>
      </c>
      <c r="B43" s="207" t="str">
        <f>'G0 WMA'!B43</f>
        <v>Basic Service Charge</v>
      </c>
      <c r="C43" s="233" t="str">
        <f>'G0 WMA'!C43</f>
        <v>BS</v>
      </c>
      <c r="D43" s="233"/>
      <c r="E43" s="206"/>
      <c r="F43" s="239"/>
      <c r="G43" s="241">
        <v>0.10859000000000001</v>
      </c>
      <c r="H43" s="211"/>
      <c r="I43" s="237">
        <f>G43*($E$17+$E$21)</f>
        <v>173956.74446321354</v>
      </c>
      <c r="K43" s="210"/>
      <c r="L43" s="236">
        <v>0.12354999999999999</v>
      </c>
      <c r="M43" s="211"/>
      <c r="N43" s="237">
        <f>L43*($E$17+$E$21)</f>
        <v>197922.05339745863</v>
      </c>
      <c r="O43" s="272"/>
      <c r="P43" s="232"/>
    </row>
    <row r="44" spans="1:16" ht="14" x14ac:dyDescent="0.3">
      <c r="A44" s="151" t="str">
        <f>IF(B44&lt;&gt;"",COUNTA($B$13:B44),"")</f>
        <v/>
      </c>
      <c r="B44" s="207"/>
      <c r="E44" s="206"/>
      <c r="F44" s="239"/>
      <c r="G44" s="241"/>
      <c r="H44" s="211"/>
      <c r="I44" s="244"/>
      <c r="K44" s="210"/>
      <c r="L44" s="241"/>
      <c r="M44" s="211"/>
      <c r="N44" s="244"/>
      <c r="O44" s="272"/>
    </row>
    <row r="45" spans="1:16" ht="14" x14ac:dyDescent="0.3">
      <c r="A45" s="151">
        <f>IF(B45&lt;&gt;"",COUNTA($B$13:B45),"")</f>
        <v>30</v>
      </c>
      <c r="B45" s="188" t="s">
        <v>46</v>
      </c>
      <c r="E45" s="188"/>
      <c r="G45" s="245" t="s">
        <v>324</v>
      </c>
      <c r="H45" s="246"/>
      <c r="I45" s="154">
        <f>SUM(I18:I44)</f>
        <v>340481.55426656862</v>
      </c>
      <c r="K45" s="247"/>
      <c r="L45" s="245"/>
      <c r="N45" s="154">
        <f>SUM(N18:N44)</f>
        <v>338841.75779485912</v>
      </c>
      <c r="P45" s="154"/>
    </row>
    <row r="46" spans="1:16" ht="14" x14ac:dyDescent="0.3">
      <c r="A46" s="151" t="str">
        <f>IF(B46&lt;&gt;"",COUNTA($B$13:B46),"")</f>
        <v/>
      </c>
      <c r="E46" s="188"/>
      <c r="H46" s="188"/>
      <c r="I46" s="154"/>
      <c r="K46" s="265"/>
      <c r="L46" s="278"/>
      <c r="N46" s="265"/>
      <c r="P46" s="154"/>
    </row>
    <row r="47" spans="1:16" ht="14" x14ac:dyDescent="0.3">
      <c r="A47" s="151">
        <f>IF(B47&lt;&gt;"",COUNTA($B$13:B47),"")</f>
        <v>31</v>
      </c>
      <c r="B47" s="188" t="s">
        <v>46</v>
      </c>
      <c r="E47" s="188"/>
      <c r="G47" s="188"/>
      <c r="H47" s="188"/>
      <c r="I47" s="188"/>
      <c r="J47" s="188"/>
      <c r="L47" s="248" t="s">
        <v>325</v>
      </c>
      <c r="N47" s="160">
        <f>+N45/I45-1</f>
        <v>-4.8161095694061462E-3</v>
      </c>
    </row>
    <row r="48" spans="1:16" ht="14" x14ac:dyDescent="0.3">
      <c r="A48" s="151" t="str">
        <f>IF(B48&lt;&gt;"",COUNTA($B$13:B48),"")</f>
        <v/>
      </c>
      <c r="E48" s="188"/>
      <c r="G48" s="188"/>
      <c r="H48" s="188"/>
      <c r="I48" s="188"/>
      <c r="J48" s="188"/>
      <c r="L48" s="248"/>
      <c r="N48" s="160"/>
    </row>
    <row r="49" spans="1:15" ht="14" x14ac:dyDescent="0.3">
      <c r="A49" s="151" t="str">
        <f>IF(B49&lt;&gt;"",COUNTA($B$13:B49),"")</f>
        <v/>
      </c>
      <c r="E49" s="188"/>
      <c r="G49" s="186"/>
      <c r="H49" s="188"/>
      <c r="I49" s="188"/>
      <c r="L49" s="248"/>
      <c r="N49" s="160"/>
    </row>
    <row r="50" spans="1:15" ht="14.5" thickBot="1" x14ac:dyDescent="0.35">
      <c r="A50" s="151">
        <f>IF(B50&lt;&gt;"",COUNTA($B$13:B50),"")</f>
        <v>32</v>
      </c>
      <c r="B50" s="188" t="s">
        <v>46</v>
      </c>
      <c r="E50" s="279" t="s">
        <v>326</v>
      </c>
      <c r="F50" s="135"/>
      <c r="G50" s="280"/>
      <c r="I50" s="279" t="s">
        <v>327</v>
      </c>
      <c r="J50" s="135"/>
      <c r="L50" s="279" t="s">
        <v>328</v>
      </c>
      <c r="M50" s="135"/>
      <c r="N50" s="137"/>
    </row>
    <row r="51" spans="1:15" ht="14" x14ac:dyDescent="0.3">
      <c r="A51" s="151">
        <f>IF(B51&lt;&gt;"",COUNTA($B$13:B51),"")</f>
        <v>33</v>
      </c>
      <c r="B51" s="144" t="s">
        <v>329</v>
      </c>
      <c r="C51" s="144"/>
      <c r="D51" s="144"/>
      <c r="E51" s="249" t="s">
        <v>148</v>
      </c>
      <c r="F51" s="250"/>
      <c r="G51" s="251" t="s">
        <v>330</v>
      </c>
      <c r="I51" s="249" t="s">
        <v>148</v>
      </c>
      <c r="J51" s="251" t="s">
        <v>330</v>
      </c>
      <c r="K51" s="212"/>
      <c r="L51" s="249" t="s">
        <v>148</v>
      </c>
      <c r="M51" s="252"/>
      <c r="N51" s="251" t="s">
        <v>330</v>
      </c>
    </row>
    <row r="52" spans="1:15" ht="14" x14ac:dyDescent="0.3">
      <c r="A52" s="151">
        <f>IF(B52&lt;&gt;"",COUNTA($B$13:B52),"")</f>
        <v>34</v>
      </c>
      <c r="B52" s="130" t="str">
        <f>+'G0 WMA'!B52</f>
        <v>Distribution</v>
      </c>
      <c r="C52" s="253" t="str">
        <f>+'G0 WMA'!C52</f>
        <v>DIST</v>
      </c>
      <c r="D52" s="253"/>
      <c r="E52" s="154">
        <f t="shared" ref="E52:E67" si="4">SUMIF($C$13:$C$43,$C52,$I$13:$I$43)</f>
        <v>56733.573606363279</v>
      </c>
      <c r="G52" s="254">
        <f>+E52/$E$17*100</f>
        <v>3.5415118723481203</v>
      </c>
      <c r="I52" s="154">
        <f t="shared" ref="I52:I67" si="5">SUMIF($C$13:$C$43,$C52,$N$13:$N$43)</f>
        <v>58716.185407792589</v>
      </c>
      <c r="J52" s="254">
        <f>+I52/$E$17*100</f>
        <v>3.6652735673496819</v>
      </c>
      <c r="L52" s="154">
        <f t="shared" ref="L52:L72" si="6">I52-E52</f>
        <v>1982.6118014293097</v>
      </c>
      <c r="N52" s="254">
        <f>+L52/$E$17*100</f>
        <v>0.12376169500156189</v>
      </c>
      <c r="O52" s="272"/>
    </row>
    <row r="53" spans="1:15" ht="14" x14ac:dyDescent="0.3">
      <c r="A53" s="151">
        <f>IF(B53&lt;&gt;"",COUNTA($B$13:B53),"")</f>
        <v>35</v>
      </c>
      <c r="B53" s="130" t="str">
        <f>+'G0 WMA'!B53</f>
        <v>Revenue Decoupling</v>
      </c>
      <c r="C53" s="253" t="str">
        <f>+'G0 WMA'!C53</f>
        <v>RDAF</v>
      </c>
      <c r="D53" s="253"/>
      <c r="E53" s="154">
        <f t="shared" si="4"/>
        <v>913.11671741441864</v>
      </c>
      <c r="G53" s="254">
        <f t="shared" ref="G53:G73" si="7">+E53/($E$17+$E$21)*100</f>
        <v>5.6999999999999995E-2</v>
      </c>
      <c r="I53" s="154">
        <f t="shared" si="5"/>
        <v>-693.05453512448776</v>
      </c>
      <c r="J53" s="254">
        <f t="shared" ref="J53:J73" si="8">+I53/($E$17+$E$21)*100</f>
        <v>-4.3262934243450978E-2</v>
      </c>
      <c r="L53" s="154">
        <f>I53-E53</f>
        <v>-1606.1712525389064</v>
      </c>
      <c r="N53" s="254">
        <f t="shared" ref="N53:N73" si="9">+L53/$E$17*100</f>
        <v>-0.10026293424345097</v>
      </c>
      <c r="O53" s="272"/>
    </row>
    <row r="54" spans="1:15" ht="14" x14ac:dyDescent="0.3">
      <c r="A54" s="151">
        <f>IF(B54&lt;&gt;"",COUNTA($B$13:B54),"")</f>
        <v>36</v>
      </c>
      <c r="B54" s="130" t="str">
        <f>+'G0 WMA'!B54</f>
        <v>Residential Assistance Adjustment Factor</v>
      </c>
      <c r="C54" s="253" t="str">
        <f>+'G0 WMA'!C54</f>
        <v>RAAF</v>
      </c>
      <c r="D54" s="253"/>
      <c r="E54" s="154">
        <f t="shared" si="4"/>
        <v>16323.96377272443</v>
      </c>
      <c r="G54" s="254">
        <f t="shared" si="7"/>
        <v>1.0189999999999999</v>
      </c>
      <c r="I54" s="154">
        <f t="shared" si="5"/>
        <v>5855.1111049809278</v>
      </c>
      <c r="J54" s="254">
        <f t="shared" si="8"/>
        <v>0.36549690375720517</v>
      </c>
      <c r="L54" s="154">
        <f t="shared" si="6"/>
        <v>-10468.852667743502</v>
      </c>
      <c r="N54" s="254">
        <f t="shared" si="9"/>
        <v>-0.65350309624279468</v>
      </c>
      <c r="O54" s="272"/>
    </row>
    <row r="55" spans="1:15" ht="14" x14ac:dyDescent="0.3">
      <c r="A55" s="151">
        <f>IF(B55&lt;&gt;"",COUNTA($B$13:B55),"")</f>
        <v>37</v>
      </c>
      <c r="B55" s="130" t="str">
        <f>+'G0 WMA'!B55</f>
        <v>Pension Adjustment Factor</v>
      </c>
      <c r="C55" s="253" t="str">
        <f>+'G0 WMA'!C55</f>
        <v>PAF</v>
      </c>
      <c r="D55" s="253"/>
      <c r="E55" s="154">
        <f t="shared" si="4"/>
        <v>1778.1746602280787</v>
      </c>
      <c r="G55" s="254">
        <f t="shared" si="7"/>
        <v>0.11100000000000002</v>
      </c>
      <c r="I55" s="154">
        <f t="shared" si="5"/>
        <v>1017.9596475071068</v>
      </c>
      <c r="J55" s="254">
        <f t="shared" si="8"/>
        <v>6.3544669373927345E-2</v>
      </c>
      <c r="L55" s="154">
        <f t="shared" si="6"/>
        <v>-760.21501272097191</v>
      </c>
      <c r="N55" s="254">
        <f t="shared" si="9"/>
        <v>-4.7455330626072663E-2</v>
      </c>
      <c r="O55" s="272"/>
    </row>
    <row r="56" spans="1:15" ht="14" x14ac:dyDescent="0.3">
      <c r="A56" s="151">
        <f>IF(B56&lt;&gt;"",COUNTA($B$13:B56),"")</f>
        <v>38</v>
      </c>
      <c r="B56" s="130" t="str">
        <f>+'G0 WMA'!B56</f>
        <v>Net Metering Recovery Surcharge</v>
      </c>
      <c r="C56" s="253" t="str">
        <f>+'G0 WMA'!C56</f>
        <v>NMRS</v>
      </c>
      <c r="D56" s="253"/>
      <c r="E56" s="154">
        <f t="shared" si="4"/>
        <v>7096.6790493787275</v>
      </c>
      <c r="G56" s="254">
        <f t="shared" si="7"/>
        <v>0.443</v>
      </c>
      <c r="I56" s="154">
        <f t="shared" si="5"/>
        <v>7634.59521950621</v>
      </c>
      <c r="J56" s="254">
        <f t="shared" si="8"/>
        <v>0.4765786445615483</v>
      </c>
      <c r="L56" s="154">
        <f t="shared" si="6"/>
        <v>537.91617012748247</v>
      </c>
      <c r="N56" s="254">
        <f t="shared" si="9"/>
        <v>3.3578644561548299E-2</v>
      </c>
      <c r="O56" s="272"/>
    </row>
    <row r="57" spans="1:15" ht="14" x14ac:dyDescent="0.3">
      <c r="A57" s="151">
        <f>IF(B57&lt;&gt;"",COUNTA($B$13:B57),"")</f>
        <v>39</v>
      </c>
      <c r="B57" s="130" t="str">
        <f>+'G0 WMA'!B57</f>
        <v>Long Term Renewable Contract Adjustment</v>
      </c>
      <c r="C57" s="253" t="str">
        <f>+'G0 WMA'!C57</f>
        <v>LTRCA</v>
      </c>
      <c r="D57" s="253"/>
      <c r="E57" s="154">
        <f t="shared" si="4"/>
        <v>5302.4847976170631</v>
      </c>
      <c r="G57" s="254">
        <f t="shared" si="7"/>
        <v>0.33100000000000007</v>
      </c>
      <c r="I57" s="154">
        <f t="shared" si="5"/>
        <v>2780.5411328452769</v>
      </c>
      <c r="J57" s="254">
        <f t="shared" si="8"/>
        <v>0.17357128782064518</v>
      </c>
      <c r="L57" s="154">
        <f t="shared" si="6"/>
        <v>-2521.9436647717862</v>
      </c>
      <c r="N57" s="254">
        <f t="shared" si="9"/>
        <v>-0.15742871217935486</v>
      </c>
      <c r="O57" s="272"/>
    </row>
    <row r="58" spans="1:15" ht="14" x14ac:dyDescent="0.3">
      <c r="A58" s="151">
        <f>IF(B58&lt;&gt;"",COUNTA($B$13:B58),"")</f>
        <v>40</v>
      </c>
      <c r="B58" s="130" t="str">
        <f>+'G0 WMA'!B58</f>
        <v>AG Consulting Expense</v>
      </c>
      <c r="C58" s="253" t="str">
        <f>+'G0 WMA'!C58</f>
        <v>AGCE</v>
      </c>
      <c r="D58" s="253"/>
      <c r="E58" s="154">
        <f t="shared" si="4"/>
        <v>48.058774600758881</v>
      </c>
      <c r="G58" s="254">
        <f t="shared" si="7"/>
        <v>3.0000000000000005E-3</v>
      </c>
      <c r="I58" s="154">
        <f t="shared" si="5"/>
        <v>12.293549180493642</v>
      </c>
      <c r="J58" s="254">
        <f t="shared" si="8"/>
        <v>7.6740715608879793E-4</v>
      </c>
      <c r="L58" s="154">
        <f t="shared" si="6"/>
        <v>-35.765225420265239</v>
      </c>
      <c r="N58" s="254">
        <f t="shared" si="9"/>
        <v>-2.2325928439112025E-3</v>
      </c>
      <c r="O58" s="272"/>
    </row>
    <row r="59" spans="1:15" ht="14" x14ac:dyDescent="0.3">
      <c r="A59" s="151">
        <f>IF(B59&lt;&gt;"",COUNTA($B$13:B59),"")</f>
        <v>41</v>
      </c>
      <c r="B59" s="130" t="str">
        <f>+'G0 WMA'!B59</f>
        <v>Storm Cost Recovery Adjustment Factor</v>
      </c>
      <c r="C59" s="253" t="str">
        <f>+'G0 WMA'!C59</f>
        <v>SCRA</v>
      </c>
      <c r="D59" s="253"/>
      <c r="E59" s="154">
        <f t="shared" si="4"/>
        <v>3796.6431934599514</v>
      </c>
      <c r="G59" s="254">
        <f t="shared" si="7"/>
        <v>0.23700000000000002</v>
      </c>
      <c r="I59" s="154">
        <f t="shared" si="5"/>
        <v>4398.3301809938002</v>
      </c>
      <c r="J59" s="254">
        <f t="shared" si="8"/>
        <v>0.27455944627379336</v>
      </c>
      <c r="L59" s="154">
        <f>I59-E59</f>
        <v>601.68698753384888</v>
      </c>
      <c r="N59" s="254">
        <f t="shared" si="9"/>
        <v>3.7559446273793332E-2</v>
      </c>
      <c r="O59" s="272"/>
    </row>
    <row r="60" spans="1:15" ht="14" x14ac:dyDescent="0.3">
      <c r="A60" s="151">
        <f>IF(B60&lt;&gt;"",COUNTA($B$13:B60),"")</f>
        <v>42</v>
      </c>
      <c r="B60" s="130" t="str">
        <f>+'G0 WMA'!B60</f>
        <v>Storm Reserve Adjustment</v>
      </c>
      <c r="C60" s="253" t="str">
        <f>+'G0 WMA'!C60</f>
        <v>SRA</v>
      </c>
      <c r="D60" s="253"/>
      <c r="E60" s="154">
        <f t="shared" si="4"/>
        <v>0</v>
      </c>
      <c r="G60" s="254">
        <f t="shared" si="7"/>
        <v>0</v>
      </c>
      <c r="I60" s="154">
        <f t="shared" si="5"/>
        <v>0</v>
      </c>
      <c r="J60" s="254">
        <f t="shared" si="8"/>
        <v>0</v>
      </c>
      <c r="L60" s="154">
        <f>I60-E60</f>
        <v>0</v>
      </c>
      <c r="N60" s="254">
        <f t="shared" si="9"/>
        <v>0</v>
      </c>
      <c r="O60" s="272"/>
    </row>
    <row r="61" spans="1:15" ht="14" x14ac:dyDescent="0.3">
      <c r="A61" s="151">
        <f>IF(B61&lt;&gt;"",COUNTA($B$13:B61),"")</f>
        <v>43</v>
      </c>
      <c r="B61" s="130" t="str">
        <f>+'G0 WMA'!B61</f>
        <v>Basic Service Cost True Up Factor</v>
      </c>
      <c r="C61" s="253" t="str">
        <f>+'G0 WMA'!C61</f>
        <v>BSTF</v>
      </c>
      <c r="D61" s="253"/>
      <c r="E61" s="154">
        <f t="shared" si="4"/>
        <v>336.41142220531214</v>
      </c>
      <c r="G61" s="254">
        <f t="shared" si="7"/>
        <v>2.1000000000000001E-2</v>
      </c>
      <c r="I61" s="154">
        <f t="shared" si="5"/>
        <v>-290.54496072123072</v>
      </c>
      <c r="J61" s="254">
        <f t="shared" si="8"/>
        <v>-1.8136851998509517E-2</v>
      </c>
      <c r="L61" s="154">
        <f>I61-E61</f>
        <v>-626.9563829265428</v>
      </c>
      <c r="N61" s="254">
        <f t="shared" si="9"/>
        <v>-3.9136851998509511E-2</v>
      </c>
      <c r="O61" s="272"/>
    </row>
    <row r="62" spans="1:15" ht="14" x14ac:dyDescent="0.3">
      <c r="A62" s="151">
        <f>IF(B62&lt;&gt;"",COUNTA($B$13:B62),"")</f>
        <v>44</v>
      </c>
      <c r="B62" s="130" t="str">
        <f>+'G0 WMA'!B62</f>
        <v>Solar Program Cost Adjustment Factor</v>
      </c>
      <c r="C62" s="253" t="str">
        <f>+'G0 WMA'!C62</f>
        <v>SPCA</v>
      </c>
      <c r="D62" s="253"/>
      <c r="E62" s="154">
        <f t="shared" si="4"/>
        <v>-208.25468993662179</v>
      </c>
      <c r="G62" s="254">
        <f t="shared" si="7"/>
        <v>-1.2999999999999999E-2</v>
      </c>
      <c r="I62" s="154">
        <f t="shared" si="5"/>
        <v>51.706693780112047</v>
      </c>
      <c r="J62" s="254">
        <f t="shared" si="8"/>
        <v>3.227716116962473E-3</v>
      </c>
      <c r="L62" s="154">
        <f t="shared" si="6"/>
        <v>259.96138371673385</v>
      </c>
      <c r="N62" s="254">
        <f t="shared" si="9"/>
        <v>1.6227716116962471E-2</v>
      </c>
    </row>
    <row r="63" spans="1:15" ht="14" x14ac:dyDescent="0.3">
      <c r="A63" s="151">
        <f>IF(B63&lt;&gt;"",COUNTA($B$13:B63),"")</f>
        <v>45</v>
      </c>
      <c r="B63" s="130" t="str">
        <f>+'G0 WMA'!B63</f>
        <v>Solar Expansion Cost Recovery Factor</v>
      </c>
      <c r="C63" s="253" t="str">
        <f>+'G0 WMA'!C63</f>
        <v>SECRF</v>
      </c>
      <c r="D63" s="253"/>
      <c r="E63" s="154">
        <f t="shared" si="4"/>
        <v>0</v>
      </c>
      <c r="G63" s="254">
        <f t="shared" si="7"/>
        <v>0</v>
      </c>
      <c r="I63" s="154">
        <f t="shared" si="5"/>
        <v>911.98778753931856</v>
      </c>
      <c r="J63" s="254">
        <f t="shared" si="8"/>
        <v>5.6929528173503476E-2</v>
      </c>
      <c r="L63" s="154">
        <f t="shared" si="6"/>
        <v>911.98778753931856</v>
      </c>
      <c r="N63" s="254">
        <f t="shared" si="9"/>
        <v>5.6929528173503476E-2</v>
      </c>
    </row>
    <row r="64" spans="1:15" ht="14" x14ac:dyDescent="0.3">
      <c r="A64" s="151">
        <f>IF(B64&lt;&gt;"",COUNTA($B$13:B64),"")</f>
        <v>46</v>
      </c>
      <c r="B64" s="130" t="str">
        <f>+'G0 WMA'!B64</f>
        <v>Vegetation Management</v>
      </c>
      <c r="C64" s="253" t="str">
        <f>+'G0 WMA'!C64</f>
        <v>RTWF</v>
      </c>
      <c r="D64" s="253"/>
      <c r="E64" s="154">
        <f t="shared" si="4"/>
        <v>0</v>
      </c>
      <c r="G64" s="254">
        <f t="shared" si="7"/>
        <v>0</v>
      </c>
      <c r="I64" s="154">
        <f t="shared" si="5"/>
        <v>1822.4918233540006</v>
      </c>
      <c r="J64" s="254">
        <f t="shared" si="8"/>
        <v>0.11376643527601861</v>
      </c>
      <c r="L64" s="154">
        <f t="shared" si="6"/>
        <v>1822.4918233540006</v>
      </c>
      <c r="N64" s="254">
        <f t="shared" si="9"/>
        <v>0.11376643527601861</v>
      </c>
    </row>
    <row r="65" spans="1:14" ht="14" x14ac:dyDescent="0.3">
      <c r="A65" s="151">
        <f>IF(B65&lt;&gt;"",COUNTA($B$13:B65),"")</f>
        <v>47</v>
      </c>
      <c r="B65" s="130" t="str">
        <f>+'G0 WMA'!B65</f>
        <v>Solar Massachusetts Renewable Target</v>
      </c>
      <c r="C65" s="253" t="str">
        <f>+'G0 WMA'!C65</f>
        <v>SMART</v>
      </c>
      <c r="D65" s="253"/>
      <c r="E65" s="154">
        <f t="shared" si="4"/>
        <v>0</v>
      </c>
      <c r="G65" s="254">
        <f t="shared" si="7"/>
        <v>0</v>
      </c>
      <c r="I65" s="154">
        <f t="shared" si="5"/>
        <v>1068.5216709459394</v>
      </c>
      <c r="J65" s="254">
        <f t="shared" si="8"/>
        <v>6.6700931088392756E-2</v>
      </c>
      <c r="L65" s="154">
        <f t="shared" si="6"/>
        <v>1068.5216709459394</v>
      </c>
      <c r="N65" s="254">
        <f t="shared" si="9"/>
        <v>6.6700931088392756E-2</v>
      </c>
    </row>
    <row r="66" spans="1:14" ht="14" x14ac:dyDescent="0.3">
      <c r="A66" s="151">
        <f>IF(B66&lt;&gt;"",COUNTA($B$13:B66),"")</f>
        <v>48</v>
      </c>
      <c r="B66" s="130" t="str">
        <f>+'G0 WMA'!B66</f>
        <v>Tax Act Credit Factor</v>
      </c>
      <c r="C66" s="253" t="str">
        <f>+'G0 WMA'!C66</f>
        <v>TACF</v>
      </c>
      <c r="D66" s="253"/>
      <c r="E66" s="154">
        <f t="shared" si="4"/>
        <v>0</v>
      </c>
      <c r="G66" s="254">
        <f t="shared" si="7"/>
        <v>0</v>
      </c>
      <c r="I66" s="154">
        <f t="shared" si="5"/>
        <v>-1617.5633043883895</v>
      </c>
      <c r="J66" s="254">
        <f t="shared" si="8"/>
        <v>-0.10097406672305252</v>
      </c>
      <c r="L66" s="154">
        <f t="shared" si="6"/>
        <v>-1617.5633043883895</v>
      </c>
      <c r="N66" s="254">
        <f t="shared" si="9"/>
        <v>-0.10097406672305252</v>
      </c>
    </row>
    <row r="67" spans="1:14" ht="14" x14ac:dyDescent="0.3">
      <c r="A67" s="151">
        <f>IF(B67&lt;&gt;"",COUNTA($B$13:B67),"")</f>
        <v>49</v>
      </c>
      <c r="B67" s="130" t="str">
        <f>+'G0 WMA'!B67</f>
        <v>Transition</v>
      </c>
      <c r="C67" s="253" t="str">
        <f>+'G0 WMA'!C67</f>
        <v>TRNSN</v>
      </c>
      <c r="D67" s="253"/>
      <c r="E67" s="154">
        <f t="shared" si="4"/>
        <v>-2739.3501522432557</v>
      </c>
      <c r="G67" s="254">
        <f t="shared" si="7"/>
        <v>-0.17099999999999999</v>
      </c>
      <c r="I67" s="154">
        <f t="shared" si="5"/>
        <v>-834.77004397753626</v>
      </c>
      <c r="J67" s="254">
        <f t="shared" si="8"/>
        <v>-5.2109321403568713E-2</v>
      </c>
      <c r="L67" s="154">
        <f t="shared" si="6"/>
        <v>1904.5801082657194</v>
      </c>
      <c r="N67" s="254">
        <f t="shared" si="9"/>
        <v>0.11889067859643127</v>
      </c>
    </row>
    <row r="68" spans="1:14" ht="14" x14ac:dyDescent="0.3">
      <c r="A68" s="151">
        <f>IF(B68&lt;&gt;"",COUNTA($B$13:B68),"")</f>
        <v>50</v>
      </c>
      <c r="B68" s="130" t="str">
        <f>+'G0 WMA'!B68</f>
        <v>Transmission</v>
      </c>
      <c r="C68" s="253" t="str">
        <f>+'G0 WMA'!C68</f>
        <v>TRNSM</v>
      </c>
      <c r="D68" s="253"/>
      <c r="E68" s="154">
        <f>SUM(SUMIF($C$13:$C$43,{"TMKW","TMKWH"},$I$13:$I$43))</f>
        <v>56766.38822082118</v>
      </c>
      <c r="G68" s="254">
        <f t="shared" si="7"/>
        <v>3.5435602775392949</v>
      </c>
      <c r="I68" s="154">
        <f>SUM(SUMIF($C$13:$C$43,{"TMKW","TMKWH"},$N$13:$N$43))</f>
        <v>39708.992592464594</v>
      </c>
      <c r="J68" s="254">
        <f t="shared" si="8"/>
        <v>2.4787768470383074</v>
      </c>
      <c r="L68" s="154">
        <f t="shared" si="6"/>
        <v>-17057.395628356586</v>
      </c>
      <c r="N68" s="254">
        <f t="shared" si="9"/>
        <v>-1.0647834305009873</v>
      </c>
    </row>
    <row r="69" spans="1:14" ht="14" x14ac:dyDescent="0.3">
      <c r="A69" s="151">
        <f>IF(B69&lt;&gt;"",COUNTA($B$13:B69),"")</f>
        <v>51</v>
      </c>
      <c r="B69" s="130" t="str">
        <f>+'G0 WMA'!B69</f>
        <v>Energy Efficiency Reconciliation Factor</v>
      </c>
      <c r="C69" s="253" t="str">
        <f>+'G0 WMA'!C69</f>
        <v>EERF</v>
      </c>
      <c r="D69" s="253"/>
      <c r="E69" s="154">
        <f>SUMIF($C$13:$C$43,$C69,$I$13:$I$43)</f>
        <v>15571.042970645874</v>
      </c>
      <c r="G69" s="254">
        <f t="shared" si="7"/>
        <v>0.97199999999999998</v>
      </c>
      <c r="I69" s="154">
        <f>SUMIF($C$13:$C$43,$C69,$N$13:$N$43)</f>
        <v>15571.042970645874</v>
      </c>
      <c r="J69" s="254">
        <f t="shared" si="8"/>
        <v>0.97199999999999998</v>
      </c>
      <c r="L69" s="154">
        <f t="shared" si="6"/>
        <v>0</v>
      </c>
      <c r="N69" s="254">
        <f t="shared" si="9"/>
        <v>0</v>
      </c>
    </row>
    <row r="70" spans="1:14" ht="14" x14ac:dyDescent="0.3">
      <c r="A70" s="151">
        <f>IF(B70&lt;&gt;"",COUNTA($B$13:B70),"")</f>
        <v>52</v>
      </c>
      <c r="B70" s="130" t="str">
        <f>+'G0 WMA'!B70</f>
        <v>System Benefits Charge</v>
      </c>
      <c r="C70" s="253" t="str">
        <f>+'G0 WMA'!C70</f>
        <v>SBC</v>
      </c>
      <c r="D70" s="253"/>
      <c r="E70" s="154">
        <f>SUMIF($C$13:$C$43,$C70,$I$13:$I$43)</f>
        <v>4004.897883396573</v>
      </c>
      <c r="G70" s="254">
        <f t="shared" si="7"/>
        <v>0.25</v>
      </c>
      <c r="I70" s="154">
        <f>SUMIF($C$13:$C$43,$C70,$N$13:$N$43)</f>
        <v>4004.897883396573</v>
      </c>
      <c r="J70" s="254">
        <f t="shared" si="8"/>
        <v>0.25</v>
      </c>
      <c r="L70" s="154">
        <f t="shared" si="6"/>
        <v>0</v>
      </c>
      <c r="N70" s="254">
        <f t="shared" si="9"/>
        <v>0</v>
      </c>
    </row>
    <row r="71" spans="1:14" ht="14" x14ac:dyDescent="0.3">
      <c r="A71" s="151">
        <f>IF(B71&lt;&gt;"",COUNTA($B$13:B71),"")</f>
        <v>53</v>
      </c>
      <c r="B71" s="130" t="str">
        <f>+'G0 WMA'!B71</f>
        <v>Renewable Energy Charge</v>
      </c>
      <c r="C71" s="253" t="str">
        <f>+'G0 WMA'!C71</f>
        <v>RNEW</v>
      </c>
      <c r="D71" s="253"/>
      <c r="E71" s="154">
        <f>SUMIF($C$13:$C$43,$C71,$I$13:$I$43)</f>
        <v>800.97957667931462</v>
      </c>
      <c r="G71" s="254">
        <f t="shared" si="7"/>
        <v>0.05</v>
      </c>
      <c r="I71" s="154">
        <f>SUMIF($C$13:$C$43,$C71,$N$13:$N$43)</f>
        <v>800.97957667931462</v>
      </c>
      <c r="J71" s="254">
        <f t="shared" si="8"/>
        <v>0.05</v>
      </c>
      <c r="L71" s="154">
        <f>I71-E71</f>
        <v>0</v>
      </c>
      <c r="N71" s="254">
        <f t="shared" si="9"/>
        <v>0</v>
      </c>
    </row>
    <row r="72" spans="1:14" ht="14" x14ac:dyDescent="0.3">
      <c r="A72" s="151">
        <f>IF(B72&lt;&gt;"",COUNTA($B$13:B72),"")</f>
        <v>54</v>
      </c>
      <c r="B72" s="130" t="str">
        <f>+'G0 WMA'!B72</f>
        <v>Basic Service Charge</v>
      </c>
      <c r="C72" s="253" t="str">
        <f>+'G0 WMA'!C72</f>
        <v>BS</v>
      </c>
      <c r="D72" s="253"/>
      <c r="E72" s="255">
        <f>SUMIF($C$13:$C$43,$C72,$I$13:$I$43)</f>
        <v>173956.74446321354</v>
      </c>
      <c r="F72" s="256"/>
      <c r="G72" s="257">
        <f t="shared" si="7"/>
        <v>10.859</v>
      </c>
      <c r="H72" s="258"/>
      <c r="I72" s="255">
        <f>SUMIF($C$13:$C$43,$C72,$N$13:$N$43)</f>
        <v>197922.05339745863</v>
      </c>
      <c r="J72" s="257">
        <f t="shared" si="8"/>
        <v>12.354999999999999</v>
      </c>
      <c r="K72" s="255"/>
      <c r="L72" s="255">
        <f t="shared" si="6"/>
        <v>23965.308934245084</v>
      </c>
      <c r="M72" s="259"/>
      <c r="N72" s="257">
        <f t="shared" si="9"/>
        <v>1.4959999999999993</v>
      </c>
    </row>
    <row r="73" spans="1:14" ht="14" x14ac:dyDescent="0.3">
      <c r="A73" s="151">
        <f>IF(B73&lt;&gt;"",COUNTA($B$13:B73),"")</f>
        <v>55</v>
      </c>
      <c r="B73" s="130" t="str">
        <f>+'G0 WMA'!B73</f>
        <v>Total</v>
      </c>
      <c r="C73" s="130"/>
      <c r="D73" s="130"/>
      <c r="E73" s="154">
        <f>SUM(E52:E72)</f>
        <v>340481.55426656862</v>
      </c>
      <c r="G73" s="254">
        <f t="shared" si="7"/>
        <v>21.254072149887413</v>
      </c>
      <c r="I73" s="154">
        <f>SUM(I52:I72)</f>
        <v>338841.75779485912</v>
      </c>
      <c r="J73" s="254">
        <f t="shared" si="8"/>
        <v>21.151710209617491</v>
      </c>
      <c r="L73" s="154">
        <f>SUM(L52:L72)</f>
        <v>-1639.7964717095092</v>
      </c>
      <c r="N73" s="254">
        <f t="shared" si="9"/>
        <v>-0.10236194026992207</v>
      </c>
    </row>
    <row r="74" spans="1:14" ht="14" x14ac:dyDescent="0.3">
      <c r="A74" s="151" t="str">
        <f>IF(B74&lt;&gt;"",COUNTA($B$10:B74),"")</f>
        <v/>
      </c>
    </row>
    <row r="75" spans="1:14" ht="14" x14ac:dyDescent="0.3">
      <c r="A75" s="151"/>
      <c r="B75" s="256" t="s">
        <v>164</v>
      </c>
      <c r="E75" s="188"/>
      <c r="G75" s="188"/>
      <c r="H75" s="188"/>
      <c r="I75" s="188"/>
      <c r="J75" s="188"/>
      <c r="K75" s="188"/>
      <c r="L75" s="188"/>
      <c r="M75" s="188"/>
      <c r="N75" s="188"/>
    </row>
    <row r="76" spans="1:14" ht="14" x14ac:dyDescent="0.3">
      <c r="A76" s="151"/>
      <c r="B76" s="130" t="str">
        <f>+'G0 WMA'!B76</f>
        <v>Col. (a): Company's forecast</v>
      </c>
    </row>
    <row r="77" spans="1:14" ht="14" x14ac:dyDescent="0.3">
      <c r="A77" s="151"/>
      <c r="B77" s="130" t="str">
        <f>+'G0 WMA'!B77</f>
        <v>Col. (b): Current rates</v>
      </c>
    </row>
    <row r="78" spans="1:14" ht="14" x14ac:dyDescent="0.3">
      <c r="A78" s="151"/>
      <c r="B78" s="130" t="str">
        <f>+'G0 WMA'!B78</f>
        <v>Col. (c): Col. (a) x Col. (b)</v>
      </c>
    </row>
    <row r="79" spans="1:14" ht="14" x14ac:dyDescent="0.3">
      <c r="A79" s="151"/>
      <c r="B79" s="130" t="str">
        <f>+'G0 WMA'!B79</f>
        <v>Col. (e): Proposed rates</v>
      </c>
    </row>
    <row r="80" spans="1:14" ht="14" x14ac:dyDescent="0.3">
      <c r="A80" s="151"/>
      <c r="B80" s="130" t="str">
        <f>+'G0 WMA'!B80</f>
        <v>Col. (f): Col. (a), Line 1 through Line 5 (as appropriate) x Col. (e)</v>
      </c>
    </row>
  </sheetData>
  <mergeCells count="5">
    <mergeCell ref="A4:N4"/>
    <mergeCell ref="A5:N5"/>
    <mergeCell ref="A8:N8"/>
    <mergeCell ref="G10:I10"/>
    <mergeCell ref="L10:N10"/>
  </mergeCells>
  <pageMargins left="0.7" right="0.7" top="0.75" bottom="0.75" header="0.3" footer="0.3"/>
  <pageSetup scale="62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B3AF-16B4-40AC-91CC-C71FA8133100}">
  <sheetPr>
    <tabColor theme="9" tint="0.59999389629810485"/>
    <pageSetUpPr fitToPage="1"/>
  </sheetPr>
  <dimension ref="A3:Q80"/>
  <sheetViews>
    <sheetView workbookViewId="0"/>
  </sheetViews>
  <sheetFormatPr defaultRowHeight="12.5" x14ac:dyDescent="0.25"/>
  <cols>
    <col min="1" max="1" width="3.26953125" bestFit="1" customWidth="1"/>
    <col min="2" max="2" width="41" customWidth="1"/>
    <col min="3" max="3" width="8.26953125" bestFit="1" customWidth="1"/>
    <col min="4" max="4" width="1.453125" customWidth="1"/>
    <col min="5" max="5" width="13.7265625" bestFit="1" customWidth="1"/>
    <col min="6" max="6" width="1.453125" customWidth="1"/>
    <col min="7" max="7" width="12.7265625" customWidth="1"/>
    <col min="8" max="8" width="1.453125" customWidth="1"/>
    <col min="9" max="9" width="14.1796875" customWidth="1"/>
    <col min="11" max="11" width="1.453125" customWidth="1"/>
    <col min="12" max="12" width="12.7265625" customWidth="1"/>
    <col min="13" max="13" width="1.453125" customWidth="1"/>
    <col min="14" max="14" width="14.1796875" customWidth="1"/>
  </cols>
  <sheetData>
    <row r="3" spans="1:17" ht="14" x14ac:dyDescent="0.3">
      <c r="A3" s="268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</row>
    <row r="4" spans="1:17" ht="14" x14ac:dyDescent="0.3">
      <c r="A4" s="748" t="str">
        <f>'T0 WMA'!A4:N4</f>
        <v>Western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7" ht="14" x14ac:dyDescent="0.3">
      <c r="A5" s="748" t="str">
        <f>+'23 WMA'!A5:N5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7" ht="14" x14ac:dyDescent="0.3">
      <c r="A6" s="268"/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</row>
    <row r="7" spans="1:17" ht="14" x14ac:dyDescent="0.3">
      <c r="A7" s="268"/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</row>
    <row r="8" spans="1:17" ht="14" x14ac:dyDescent="0.3">
      <c r="A8" s="748" t="s">
        <v>515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7" ht="14" x14ac:dyDescent="0.3">
      <c r="B9" s="207"/>
      <c r="C9" s="207"/>
      <c r="D9" s="207"/>
      <c r="E9" s="213"/>
      <c r="F9" s="207"/>
      <c r="I9" s="210"/>
      <c r="J9" s="210"/>
      <c r="K9" s="210"/>
      <c r="L9" s="214"/>
      <c r="M9" s="214"/>
      <c r="N9" s="215"/>
    </row>
    <row r="10" spans="1:17" ht="14.5" thickBot="1" x14ac:dyDescent="0.35">
      <c r="A10" s="151"/>
      <c r="B10" s="216" t="s">
        <v>46</v>
      </c>
      <c r="C10" s="216"/>
      <c r="D10" s="216"/>
      <c r="E10" s="217" t="s">
        <v>144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7" ht="14" x14ac:dyDescent="0.3">
      <c r="A11" s="151"/>
      <c r="B11" s="219" t="s">
        <v>293</v>
      </c>
      <c r="C11" s="220" t="s">
        <v>294</v>
      </c>
      <c r="D11" s="220"/>
      <c r="E11" s="221" t="s">
        <v>295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7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7" ht="14" x14ac:dyDescent="0.3">
      <c r="A13" s="151">
        <f>IF(B13&lt;&gt;"",COUNTA($B$13:B13),"")</f>
        <v>1</v>
      </c>
      <c r="B13" s="232" t="s">
        <v>296</v>
      </c>
      <c r="C13" s="233" t="s">
        <v>297</v>
      </c>
      <c r="D13" s="233"/>
      <c r="E13" s="234">
        <v>12996.28598443386</v>
      </c>
      <c r="F13" s="207"/>
      <c r="G13" s="209">
        <v>353</v>
      </c>
      <c r="H13" s="209"/>
      <c r="I13" s="210">
        <f>G13*E13</f>
        <v>4587688.9525051527</v>
      </c>
      <c r="J13" s="235"/>
      <c r="K13" s="210"/>
      <c r="L13" s="238">
        <v>353</v>
      </c>
      <c r="M13" s="211"/>
      <c r="N13" s="210">
        <f>L13*E13</f>
        <v>4587688.9525051527</v>
      </c>
      <c r="O13" s="272"/>
      <c r="P13" s="234"/>
      <c r="Q13" s="154"/>
    </row>
    <row r="14" spans="1:17" ht="14" x14ac:dyDescent="0.3">
      <c r="A14" s="151">
        <f>IF(B14&lt;&gt;"",COUNTA($B$13:B14),"")</f>
        <v>2</v>
      </c>
      <c r="B14" s="232" t="s">
        <v>516</v>
      </c>
      <c r="C14" s="233" t="s">
        <v>429</v>
      </c>
      <c r="D14" s="233"/>
      <c r="E14" s="234">
        <v>555322.35678793048</v>
      </c>
      <c r="F14" s="207"/>
      <c r="G14" s="209">
        <v>1.61</v>
      </c>
      <c r="H14" s="209"/>
      <c r="I14" s="210">
        <f t="shared" ref="I14:I17" si="0">G14*E14</f>
        <v>894068.99442856817</v>
      </c>
      <c r="J14" s="235"/>
      <c r="K14" s="210"/>
      <c r="L14" s="238">
        <v>1.7</v>
      </c>
      <c r="M14" s="211"/>
      <c r="N14" s="210">
        <f t="shared" ref="N14:N15" si="1">L14*E14</f>
        <v>944048.00653948181</v>
      </c>
      <c r="O14" s="272"/>
      <c r="P14" s="234"/>
      <c r="Q14" s="154"/>
    </row>
    <row r="15" spans="1:17" ht="14" x14ac:dyDescent="0.3">
      <c r="A15" s="151">
        <f>IF(B15&lt;&gt;"",COUNTA($B$13:B15),"")</f>
        <v>3</v>
      </c>
      <c r="B15" s="232" t="s">
        <v>517</v>
      </c>
      <c r="C15" s="233" t="s">
        <v>431</v>
      </c>
      <c r="D15" s="233"/>
      <c r="E15" s="234">
        <v>610835.45546085923</v>
      </c>
      <c r="F15" s="207"/>
      <c r="G15" s="209">
        <v>7.57</v>
      </c>
      <c r="H15" s="209"/>
      <c r="I15" s="210">
        <f t="shared" si="0"/>
        <v>4624024.3978387043</v>
      </c>
      <c r="J15" s="235"/>
      <c r="K15" s="210"/>
      <c r="L15" s="238">
        <v>8</v>
      </c>
      <c r="M15" s="211"/>
      <c r="N15" s="210">
        <f t="shared" si="1"/>
        <v>4886683.6436868738</v>
      </c>
      <c r="O15" s="272"/>
      <c r="P15" s="273"/>
    </row>
    <row r="16" spans="1:17" ht="14" x14ac:dyDescent="0.3">
      <c r="A16" s="151">
        <f>IF(B16&lt;&gt;"",COUNTA($B$13:B16),"")</f>
        <v>4</v>
      </c>
      <c r="B16" s="232" t="s">
        <v>363</v>
      </c>
      <c r="C16" s="233" t="s">
        <v>364</v>
      </c>
      <c r="D16" s="233"/>
      <c r="E16" s="234">
        <v>1166157.8122487897</v>
      </c>
      <c r="F16" s="207"/>
      <c r="G16" s="236"/>
      <c r="H16" s="209"/>
      <c r="I16" s="210"/>
      <c r="J16" s="235"/>
      <c r="K16" s="210"/>
      <c r="O16" s="272"/>
      <c r="P16" s="273"/>
    </row>
    <row r="17" spans="1:17" ht="14" x14ac:dyDescent="0.3">
      <c r="A17" s="151">
        <f>IF(B17&lt;&gt;"",COUNTA($B$13:B17),"")</f>
        <v>5</v>
      </c>
      <c r="B17" s="207" t="s">
        <v>298</v>
      </c>
      <c r="C17" s="233" t="s">
        <v>299</v>
      </c>
      <c r="D17" s="233"/>
      <c r="E17" s="234">
        <v>385981996.11299169</v>
      </c>
      <c r="F17" s="207"/>
      <c r="G17" s="236">
        <v>1.6900000000000001E-3</v>
      </c>
      <c r="H17" s="209"/>
      <c r="I17" s="237">
        <f t="shared" si="0"/>
        <v>652309.57343095599</v>
      </c>
      <c r="J17" s="235"/>
      <c r="K17" s="210"/>
      <c r="L17" s="281">
        <v>1.7899999999999999E-3</v>
      </c>
      <c r="M17" s="211"/>
      <c r="N17" s="237">
        <f>L17*E17</f>
        <v>690907.77304225508</v>
      </c>
      <c r="O17" s="272"/>
      <c r="P17" s="273"/>
    </row>
    <row r="18" spans="1:17" ht="14" x14ac:dyDescent="0.3">
      <c r="A18" s="151">
        <f>IF(B18&lt;&gt;"",COUNTA($B$13:B18),"")</f>
        <v>6</v>
      </c>
      <c r="B18" s="207" t="s">
        <v>300</v>
      </c>
      <c r="C18" s="233" t="s">
        <v>301</v>
      </c>
      <c r="D18" s="233"/>
      <c r="E18" s="234"/>
      <c r="F18" s="207"/>
      <c r="G18" s="209"/>
      <c r="H18" s="209"/>
      <c r="I18" s="210">
        <f>SUM(I13:I17)</f>
        <v>10758091.91820338</v>
      </c>
      <c r="J18" s="235"/>
      <c r="K18" s="210"/>
      <c r="L18" s="238"/>
      <c r="M18" s="211"/>
      <c r="N18" s="210">
        <f>SUM(N13:N17)</f>
        <v>11109328.375773761</v>
      </c>
      <c r="O18" s="272"/>
      <c r="P18" s="210"/>
      <c r="Q18" s="154"/>
    </row>
    <row r="19" spans="1:17" ht="14" x14ac:dyDescent="0.3">
      <c r="A19" s="151" t="str">
        <f>IF(B19&lt;&gt;"",COUNTA($B$13:B19),"")</f>
        <v/>
      </c>
      <c r="B19" s="207"/>
      <c r="C19" s="233"/>
      <c r="D19" s="233"/>
      <c r="E19" s="234"/>
      <c r="F19" s="207"/>
      <c r="G19" s="209"/>
      <c r="H19" s="209"/>
      <c r="I19" s="234"/>
      <c r="J19" s="235"/>
      <c r="K19" s="210"/>
      <c r="L19" s="238"/>
      <c r="M19" s="211"/>
      <c r="N19" s="210"/>
      <c r="O19" s="272"/>
      <c r="P19" s="273"/>
    </row>
    <row r="20" spans="1:17" ht="14" x14ac:dyDescent="0.3">
      <c r="A20" s="151">
        <f>IF(B20&lt;&gt;"",COUNTA($B$13:B20),"")</f>
        <v>7</v>
      </c>
      <c r="B20" s="207" t="s">
        <v>377</v>
      </c>
      <c r="C20" s="233" t="s">
        <v>378</v>
      </c>
      <c r="D20" s="233"/>
      <c r="E20" s="234">
        <v>0</v>
      </c>
      <c r="F20" s="207"/>
      <c r="G20" s="209"/>
      <c r="H20" s="209"/>
      <c r="I20" s="210"/>
      <c r="J20" s="235"/>
      <c r="K20" s="210"/>
      <c r="L20" s="238"/>
      <c r="M20" s="211"/>
      <c r="N20" s="210"/>
      <c r="O20" s="272"/>
      <c r="P20" s="273"/>
    </row>
    <row r="21" spans="1:17" ht="14" x14ac:dyDescent="0.3">
      <c r="A21" s="151">
        <f>IF(B21&lt;&gt;"",COUNTA($B$13:B21),"")</f>
        <v>8</v>
      </c>
      <c r="B21" s="207" t="s">
        <v>379</v>
      </c>
      <c r="C21" s="233" t="s">
        <v>380</v>
      </c>
      <c r="D21" s="233"/>
      <c r="E21" s="234">
        <v>0</v>
      </c>
      <c r="F21" s="207"/>
      <c r="G21" s="209"/>
      <c r="H21" s="209"/>
      <c r="I21" s="210"/>
      <c r="J21" s="235"/>
      <c r="K21" s="210"/>
      <c r="L21" s="238"/>
      <c r="M21" s="211"/>
      <c r="N21" s="210"/>
      <c r="O21" s="272"/>
      <c r="P21" s="273"/>
    </row>
    <row r="22" spans="1:17" ht="14" x14ac:dyDescent="0.3">
      <c r="A22" s="151" t="str">
        <f>IF(B22&lt;&gt;"",COUNTA($B$13:B22),"")</f>
        <v/>
      </c>
      <c r="B22" s="207"/>
      <c r="C22" s="233"/>
      <c r="D22" s="233"/>
      <c r="E22" s="234"/>
      <c r="F22" s="207"/>
      <c r="G22" s="209"/>
      <c r="H22" s="209"/>
      <c r="I22" s="210"/>
      <c r="J22" s="235"/>
      <c r="K22" s="210"/>
      <c r="L22" s="238"/>
      <c r="M22" s="211"/>
      <c r="N22" s="210"/>
      <c r="O22" s="272"/>
      <c r="P22" s="273"/>
    </row>
    <row r="23" spans="1:17" ht="14" x14ac:dyDescent="0.3">
      <c r="A23" s="151">
        <f>IF(B23&lt;&gt;"",COUNTA($B$13:B23),"")</f>
        <v>9</v>
      </c>
      <c r="B23" s="228" t="s">
        <v>302</v>
      </c>
      <c r="F23" s="239"/>
      <c r="G23" s="240"/>
      <c r="H23" s="211"/>
      <c r="I23" s="210"/>
      <c r="K23" s="210"/>
      <c r="L23" s="241"/>
      <c r="M23" s="211"/>
      <c r="N23" s="210"/>
      <c r="O23" s="272"/>
    </row>
    <row r="24" spans="1:17" ht="14" x14ac:dyDescent="0.3">
      <c r="A24" s="151">
        <f>IF(B24&lt;&gt;"",COUNTA($B$13:B24),"")</f>
        <v>10</v>
      </c>
      <c r="B24" s="207" t="str">
        <f>'23 WMA'!B18</f>
        <v>Revenue Decoupling</v>
      </c>
      <c r="C24" s="233" t="str">
        <f>'23 WMA'!C18</f>
        <v>RDAF</v>
      </c>
      <c r="D24" s="233"/>
      <c r="E24" s="242"/>
      <c r="F24" s="239"/>
      <c r="G24" s="236">
        <v>3.5E-4</v>
      </c>
      <c r="H24" s="211"/>
      <c r="I24" s="210">
        <f t="shared" ref="I24:I38" si="2">G24*($E$17+$E$21)</f>
        <v>135093.6986395471</v>
      </c>
      <c r="K24" s="210"/>
      <c r="L24" s="236">
        <v>-2.7723760539439223E-4</v>
      </c>
      <c r="M24" s="211"/>
      <c r="N24" s="210">
        <f t="shared" ref="N24:N38" si="3">L24*($E$17+$E$21)</f>
        <v>-107008.72432771343</v>
      </c>
      <c r="O24" s="272"/>
      <c r="P24" s="234"/>
    </row>
    <row r="25" spans="1:17" ht="14" x14ac:dyDescent="0.3">
      <c r="A25" s="151">
        <f>IF(B25&lt;&gt;"",COUNTA($B$13:B25),"")</f>
        <v>11</v>
      </c>
      <c r="B25" s="207" t="str">
        <f>'23 WMA'!B19</f>
        <v>Residential Assistance Adjustment Factor</v>
      </c>
      <c r="C25" s="233" t="str">
        <f>'23 WMA'!C19</f>
        <v>RAAF</v>
      </c>
      <c r="D25" s="243"/>
      <c r="E25" s="206"/>
      <c r="F25" s="239"/>
      <c r="G25" s="236">
        <v>6.3800000000000003E-3</v>
      </c>
      <c r="H25" s="211"/>
      <c r="I25" s="210">
        <f t="shared" si="2"/>
        <v>2462565.135200887</v>
      </c>
      <c r="K25" s="210"/>
      <c r="L25" s="236">
        <v>2.3421778515185011E-3</v>
      </c>
      <c r="M25" s="211"/>
      <c r="N25" s="210">
        <f t="shared" si="3"/>
        <v>904038.48238074931</v>
      </c>
      <c r="O25" s="272"/>
      <c r="P25" s="234"/>
      <c r="Q25" s="210"/>
    </row>
    <row r="26" spans="1:17" ht="14" x14ac:dyDescent="0.3">
      <c r="A26" s="151">
        <f>IF(B26&lt;&gt;"",COUNTA($B$13:B26),"")</f>
        <v>12</v>
      </c>
      <c r="B26" s="207" t="str">
        <f>'23 WMA'!B20</f>
        <v>Pension Adjustment Factor</v>
      </c>
      <c r="C26" s="233" t="str">
        <f>'23 WMA'!C20</f>
        <v>PAF</v>
      </c>
      <c r="D26" s="243"/>
      <c r="E26" s="206"/>
      <c r="F26" s="239"/>
      <c r="G26" s="236">
        <v>6.3000000000000003E-4</v>
      </c>
      <c r="H26" s="211"/>
      <c r="I26" s="210">
        <f t="shared" si="2"/>
        <v>243168.65755118476</v>
      </c>
      <c r="K26" s="210"/>
      <c r="L26" s="236">
        <v>3.6999520574663471E-4</v>
      </c>
      <c r="M26" s="211"/>
      <c r="N26" s="210">
        <f t="shared" si="3"/>
        <v>142811.48806632313</v>
      </c>
      <c r="O26" s="272"/>
      <c r="P26" s="274"/>
    </row>
    <row r="27" spans="1:17" ht="14" x14ac:dyDescent="0.3">
      <c r="A27" s="151">
        <f>IF(B27&lt;&gt;"",COUNTA($B$13:B27),"")</f>
        <v>13</v>
      </c>
      <c r="B27" s="207" t="str">
        <f>'23 WMA'!B21</f>
        <v>Net Metering Recovery Surcharge</v>
      </c>
      <c r="C27" s="233" t="str">
        <f>'23 WMA'!C21</f>
        <v>NMRS</v>
      </c>
      <c r="D27" s="243"/>
      <c r="E27" s="206"/>
      <c r="F27" s="239"/>
      <c r="G27" s="236">
        <v>2.7699999999999999E-3</v>
      </c>
      <c r="H27" s="211"/>
      <c r="I27" s="210">
        <f t="shared" si="2"/>
        <v>1069170.1292329868</v>
      </c>
      <c r="K27" s="210"/>
      <c r="L27" s="236">
        <v>3.0540120431232572E-3</v>
      </c>
      <c r="M27" s="211"/>
      <c r="N27" s="210">
        <f t="shared" si="3"/>
        <v>1178793.6645578309</v>
      </c>
      <c r="O27" s="272"/>
      <c r="P27" s="274"/>
    </row>
    <row r="28" spans="1:17" ht="14" x14ac:dyDescent="0.3">
      <c r="A28" s="151">
        <f>IF(B28&lt;&gt;"",COUNTA($B$13:B28),"")</f>
        <v>14</v>
      </c>
      <c r="B28" s="207" t="str">
        <f>'23 WMA'!B22</f>
        <v>Long Term Renewable Contract Adjustment</v>
      </c>
      <c r="C28" s="233" t="str">
        <f>'23 WMA'!C22</f>
        <v>LTRCA</v>
      </c>
      <c r="D28" s="243"/>
      <c r="E28" s="206"/>
      <c r="F28" s="239"/>
      <c r="G28" s="236">
        <v>3.31E-3</v>
      </c>
      <c r="H28" s="211"/>
      <c r="I28" s="210">
        <f t="shared" si="2"/>
        <v>1277600.4071340025</v>
      </c>
      <c r="K28" s="210"/>
      <c r="L28" s="236">
        <v>1.7357128782064517E-3</v>
      </c>
      <c r="M28" s="211"/>
      <c r="N28" s="210">
        <f t="shared" si="3"/>
        <v>669953.92140915222</v>
      </c>
      <c r="O28" s="272"/>
      <c r="P28" s="275"/>
    </row>
    <row r="29" spans="1:17" ht="14" x14ac:dyDescent="0.3">
      <c r="A29" s="151">
        <f>IF(B29&lt;&gt;"",COUNTA($B$13:B29),"")</f>
        <v>15</v>
      </c>
      <c r="B29" s="207" t="str">
        <f>'23 WMA'!B23</f>
        <v>AG Consulting Expense</v>
      </c>
      <c r="C29" s="233" t="str">
        <f>'23 WMA'!C23</f>
        <v>AGCE</v>
      </c>
      <c r="D29" s="243"/>
      <c r="E29" s="206"/>
      <c r="F29" s="239"/>
      <c r="G29" s="236">
        <v>2.0000000000000002E-5</v>
      </c>
      <c r="H29" s="211"/>
      <c r="I29" s="210">
        <f t="shared" si="2"/>
        <v>7719.6399222598347</v>
      </c>
      <c r="K29" s="210"/>
      <c r="L29" s="236">
        <v>4.9176997824363946E-6</v>
      </c>
      <c r="M29" s="211"/>
      <c r="N29" s="210">
        <f t="shared" si="3"/>
        <v>1898.1435783092245</v>
      </c>
      <c r="O29" s="272"/>
      <c r="P29" s="274"/>
    </row>
    <row r="30" spans="1:17" ht="14" x14ac:dyDescent="0.3">
      <c r="A30" s="151">
        <f>IF(B30&lt;&gt;"",COUNTA($B$13:B30),"")</f>
        <v>16</v>
      </c>
      <c r="B30" s="207" t="str">
        <f>'23 WMA'!B24</f>
        <v>Storm Cost Recovery Adjustment Factor</v>
      </c>
      <c r="C30" s="233" t="str">
        <f>'23 WMA'!C24</f>
        <v>SCRA</v>
      </c>
      <c r="D30" s="243"/>
      <c r="E30" s="206"/>
      <c r="F30" s="239"/>
      <c r="G30" s="236">
        <v>1.48E-3</v>
      </c>
      <c r="H30" s="211"/>
      <c r="I30" s="210">
        <f t="shared" si="2"/>
        <v>571253.35424722766</v>
      </c>
      <c r="K30" s="210"/>
      <c r="L30" s="236">
        <v>1.7595289185586933E-3</v>
      </c>
      <c r="M30" s="211"/>
      <c r="N30" s="210">
        <f t="shared" si="3"/>
        <v>679146.48420381802</v>
      </c>
      <c r="O30" s="272"/>
      <c r="P30" s="274"/>
    </row>
    <row r="31" spans="1:17" ht="14" x14ac:dyDescent="0.3">
      <c r="A31" s="151">
        <f>IF(B31&lt;&gt;"",COUNTA($B$13:B31),"")</f>
        <v>17</v>
      </c>
      <c r="B31" s="207" t="str">
        <f>'23 WMA'!B25</f>
        <v>Storm Reserve Adjustment</v>
      </c>
      <c r="C31" s="233" t="str">
        <f>'23 WMA'!C25</f>
        <v>SRA</v>
      </c>
      <c r="D31" s="243"/>
      <c r="E31" s="206"/>
      <c r="F31" s="239"/>
      <c r="G31" s="236">
        <v>0</v>
      </c>
      <c r="H31" s="211"/>
      <c r="I31" s="210">
        <f t="shared" si="2"/>
        <v>0</v>
      </c>
      <c r="K31" s="210"/>
      <c r="L31" s="236">
        <v>0</v>
      </c>
      <c r="M31" s="211"/>
      <c r="N31" s="210">
        <f t="shared" si="3"/>
        <v>0</v>
      </c>
      <c r="O31" s="272"/>
      <c r="P31" s="274"/>
    </row>
    <row r="32" spans="1:17" ht="14" x14ac:dyDescent="0.3">
      <c r="A32" s="151">
        <f>IF(B32&lt;&gt;"",COUNTA($B$13:B32),"")</f>
        <v>18</v>
      </c>
      <c r="B32" s="207" t="str">
        <f>'23 WMA'!B26</f>
        <v>Basic Service Cost True Up Factor</v>
      </c>
      <c r="C32" s="233" t="str">
        <f>'23 WMA'!C26</f>
        <v>BSTF</v>
      </c>
      <c r="D32" s="243"/>
      <c r="E32" s="206"/>
      <c r="F32" s="239"/>
      <c r="G32" s="236">
        <v>1.2999999999999999E-4</v>
      </c>
      <c r="H32" s="211"/>
      <c r="I32" s="210">
        <f t="shared" si="2"/>
        <v>50177.659494688916</v>
      </c>
      <c r="K32" s="210"/>
      <c r="L32" s="236">
        <v>-1.1622460439609306E-4</v>
      </c>
      <c r="M32" s="211"/>
      <c r="N32" s="210">
        <f t="shared" si="3"/>
        <v>-44860.604802246788</v>
      </c>
      <c r="O32" s="272"/>
      <c r="P32" s="274"/>
    </row>
    <row r="33" spans="1:16" ht="14" x14ac:dyDescent="0.3">
      <c r="A33" s="151">
        <f>IF(B33&lt;&gt;"",COUNTA($B$13:B33),"")</f>
        <v>19</v>
      </c>
      <c r="B33" s="207" t="str">
        <f>'23 WMA'!B27</f>
        <v>Solar Program Cost Adjustment Factor</v>
      </c>
      <c r="C33" s="233" t="str">
        <f>'23 WMA'!C27</f>
        <v>SPCA</v>
      </c>
      <c r="D33" s="233"/>
      <c r="E33" s="206"/>
      <c r="F33" s="239"/>
      <c r="G33" s="236">
        <v>-8.0000000000000007E-5</v>
      </c>
      <c r="H33" s="211"/>
      <c r="I33" s="210">
        <f t="shared" si="2"/>
        <v>-30878.559689039339</v>
      </c>
      <c r="K33" s="210"/>
      <c r="L33" s="236">
        <v>2.0683855656300545E-5</v>
      </c>
      <c r="M33" s="211"/>
      <c r="N33" s="210">
        <f t="shared" si="3"/>
        <v>7983.5958935318786</v>
      </c>
      <c r="O33" s="272"/>
      <c r="P33" s="276"/>
    </row>
    <row r="34" spans="1:16" ht="14" x14ac:dyDescent="0.3">
      <c r="A34" s="151">
        <f>IF(B34&lt;&gt;"",COUNTA($B$13:B34),"")</f>
        <v>20</v>
      </c>
      <c r="B34" s="207" t="str">
        <f>'23 WMA'!B28</f>
        <v>Solar Expansion Cost Recovery Factor</v>
      </c>
      <c r="C34" s="233" t="str">
        <f>'23 WMA'!C28</f>
        <v>SECRF</v>
      </c>
      <c r="D34" s="233"/>
      <c r="E34" s="206"/>
      <c r="F34" s="239"/>
      <c r="G34" s="236">
        <v>0</v>
      </c>
      <c r="H34" s="211"/>
      <c r="I34" s="210">
        <f t="shared" si="2"/>
        <v>0</v>
      </c>
      <c r="K34" s="210"/>
      <c r="L34" s="236">
        <v>3.6481589478512734E-4</v>
      </c>
      <c r="M34" s="211"/>
      <c r="N34" s="210">
        <f t="shared" si="3"/>
        <v>140812.36728291059</v>
      </c>
      <c r="O34" s="272"/>
      <c r="P34" s="276"/>
    </row>
    <row r="35" spans="1:16" ht="14" x14ac:dyDescent="0.3">
      <c r="A35" s="151">
        <f>IF(B35&lt;&gt;"",COUNTA($B$13:B35),"")</f>
        <v>21</v>
      </c>
      <c r="B35" s="207" t="str">
        <f>'23 WMA'!B29</f>
        <v>Vegetation Management</v>
      </c>
      <c r="C35" s="233" t="str">
        <f>'23 WMA'!C29</f>
        <v>RTWF</v>
      </c>
      <c r="D35" s="233"/>
      <c r="E35" s="206"/>
      <c r="F35" s="239"/>
      <c r="G35" s="236">
        <v>0</v>
      </c>
      <c r="H35" s="211"/>
      <c r="I35" s="210">
        <f t="shared" si="2"/>
        <v>0</v>
      </c>
      <c r="K35" s="210"/>
      <c r="L35" s="236">
        <v>6.6241647083433667E-4</v>
      </c>
      <c r="M35" s="211"/>
      <c r="N35" s="210">
        <f t="shared" si="3"/>
        <v>255680.83167076061</v>
      </c>
      <c r="O35" s="272"/>
      <c r="P35" s="276"/>
    </row>
    <row r="36" spans="1:16" ht="14" x14ac:dyDescent="0.3">
      <c r="A36" s="151">
        <f>IF(B36&lt;&gt;"",COUNTA($B$13:B36),"")</f>
        <v>22</v>
      </c>
      <c r="B36" s="207" t="str">
        <f>'23 WMA'!B30</f>
        <v>Solar Massachusetts Renewable Target</v>
      </c>
      <c r="C36" s="233" t="str">
        <f>'23 WMA'!C30</f>
        <v>SMART</v>
      </c>
      <c r="D36" s="233"/>
      <c r="E36" s="206"/>
      <c r="F36" s="239"/>
      <c r="G36" s="236">
        <v>0</v>
      </c>
      <c r="H36" s="211"/>
      <c r="I36" s="210">
        <f t="shared" si="2"/>
        <v>0</v>
      </c>
      <c r="K36" s="210"/>
      <c r="L36" s="236">
        <v>4.2743301479422087E-4</v>
      </c>
      <c r="M36" s="211"/>
      <c r="N36" s="210">
        <f t="shared" si="3"/>
        <v>164981.44825486728</v>
      </c>
      <c r="O36" s="272"/>
      <c r="P36" s="276"/>
    </row>
    <row r="37" spans="1:16" ht="14" x14ac:dyDescent="0.3">
      <c r="A37" s="151">
        <f>IF(B37&lt;&gt;"",COUNTA($B$13:B37),"")</f>
        <v>23</v>
      </c>
      <c r="B37" s="207" t="str">
        <f>'23 WMA'!B31</f>
        <v>Tax Act Credit Factor</v>
      </c>
      <c r="C37" s="233" t="str">
        <f>'23 WMA'!C31</f>
        <v>TACF</v>
      </c>
      <c r="D37" s="233"/>
      <c r="E37" s="206"/>
      <c r="F37" s="239"/>
      <c r="G37" s="236">
        <v>0</v>
      </c>
      <c r="H37" s="211"/>
      <c r="I37" s="210">
        <f t="shared" si="2"/>
        <v>0</v>
      </c>
      <c r="K37" s="210"/>
      <c r="L37" s="236">
        <v>-6.4706217816167411E-4</v>
      </c>
      <c r="M37" s="211"/>
      <c r="N37" s="210">
        <f t="shared" si="3"/>
        <v>-249754.35113606323</v>
      </c>
      <c r="O37" s="272"/>
      <c r="P37" s="276"/>
    </row>
    <row r="38" spans="1:16" ht="14" x14ac:dyDescent="0.3">
      <c r="A38" s="151">
        <f>IF(B38&lt;&gt;"",COUNTA($B$13:B38),"")</f>
        <v>24</v>
      </c>
      <c r="B38" s="207" t="str">
        <f>'23 WMA'!B32</f>
        <v>Transition</v>
      </c>
      <c r="C38" s="233" t="str">
        <f>'23 WMA'!C32</f>
        <v>TRNSN</v>
      </c>
      <c r="D38" s="233"/>
      <c r="E38" s="206"/>
      <c r="F38" s="239"/>
      <c r="G38" s="236">
        <v>-1.7099999999999999E-3</v>
      </c>
      <c r="H38" s="211"/>
      <c r="I38" s="210">
        <f t="shared" si="2"/>
        <v>-660029.21335321572</v>
      </c>
      <c r="K38" s="210"/>
      <c r="L38" s="236">
        <v>-5.210932140356871E-4</v>
      </c>
      <c r="M38" s="211"/>
      <c r="N38" s="210">
        <f t="shared" si="3"/>
        <v>-201132.59891442893</v>
      </c>
      <c r="O38" s="272"/>
      <c r="P38" s="275"/>
    </row>
    <row r="39" spans="1:16" ht="14" x14ac:dyDescent="0.3">
      <c r="A39" s="151">
        <f>IF(B39&lt;&gt;"",COUNTA($B$13:B39),"")</f>
        <v>25</v>
      </c>
      <c r="B39" s="207" t="s">
        <v>408</v>
      </c>
      <c r="C39" s="233" t="s">
        <v>382</v>
      </c>
      <c r="D39" s="233"/>
      <c r="E39" s="206"/>
      <c r="F39" s="239"/>
      <c r="G39" s="283">
        <v>7</v>
      </c>
      <c r="H39" s="211"/>
      <c r="I39" s="210">
        <f>G39*$E$16</f>
        <v>8163104.6857415279</v>
      </c>
      <c r="K39" s="210"/>
      <c r="L39" s="209">
        <v>6.9211287473254846</v>
      </c>
      <c r="M39" s="211"/>
      <c r="N39" s="210">
        <f>L39*$E$16</f>
        <v>8071128.3582732938</v>
      </c>
      <c r="O39" s="272"/>
      <c r="P39" s="275"/>
    </row>
    <row r="40" spans="1:16" ht="14" x14ac:dyDescent="0.3">
      <c r="A40" s="151">
        <f>IF(B40&lt;&gt;"",COUNTA($B$13:B40),"")</f>
        <v>26</v>
      </c>
      <c r="B40" s="207" t="str">
        <f>'23 WMA'!B34</f>
        <v>Energy Efficiency Reconciliation Factor</v>
      </c>
      <c r="C40" s="233" t="str">
        <f>'23 WMA'!C34</f>
        <v>EERF</v>
      </c>
      <c r="D40" s="233"/>
      <c r="E40" s="206"/>
      <c r="F40" s="239"/>
      <c r="G40" s="241">
        <v>9.7199999999999995E-3</v>
      </c>
      <c r="H40" s="211"/>
      <c r="I40" s="210">
        <f>G40*($E$17+$E$21)</f>
        <v>3751745.0022182791</v>
      </c>
      <c r="K40" s="210"/>
      <c r="L40" s="241">
        <v>9.7199999999999995E-3</v>
      </c>
      <c r="M40" s="211"/>
      <c r="N40" s="210">
        <f>L40*($E$17+$E$21)</f>
        <v>3751745.0022182791</v>
      </c>
      <c r="O40" s="272"/>
      <c r="P40" s="232"/>
    </row>
    <row r="41" spans="1:16" ht="14" x14ac:dyDescent="0.3">
      <c r="A41" s="151">
        <f>IF(B41&lt;&gt;"",COUNTA($B$13:B41),"")</f>
        <v>27</v>
      </c>
      <c r="B41" s="207" t="str">
        <f>'23 WMA'!B35</f>
        <v>System Benefits Charge</v>
      </c>
      <c r="C41" s="233" t="str">
        <f>'23 WMA'!C35</f>
        <v>SBC</v>
      </c>
      <c r="D41" s="233"/>
      <c r="E41" s="206"/>
      <c r="F41" s="239"/>
      <c r="G41" s="241">
        <v>2.5000000000000001E-3</v>
      </c>
      <c r="H41" s="211"/>
      <c r="I41" s="210">
        <f>G41*($E$17+$E$21)</f>
        <v>964954.99028247921</v>
      </c>
      <c r="K41" s="210"/>
      <c r="L41" s="236">
        <f>+G41</f>
        <v>2.5000000000000001E-3</v>
      </c>
      <c r="M41" s="211"/>
      <c r="N41" s="210">
        <f>L41*($E$17+$E$21)</f>
        <v>964954.99028247921</v>
      </c>
      <c r="O41" s="272"/>
      <c r="P41" s="275"/>
    </row>
    <row r="42" spans="1:16" ht="14" x14ac:dyDescent="0.3">
      <c r="A42" s="151">
        <f>IF(B42&lt;&gt;"",COUNTA($B$13:B42),"")</f>
        <v>28</v>
      </c>
      <c r="B42" s="207" t="str">
        <f>'23 WMA'!B36</f>
        <v>Renewable Energy Charge</v>
      </c>
      <c r="C42" s="233" t="str">
        <f>'23 WMA'!C36</f>
        <v>RNEW</v>
      </c>
      <c r="D42" s="233"/>
      <c r="E42" s="206"/>
      <c r="F42" s="239"/>
      <c r="G42" s="241">
        <v>5.0000000000000001E-4</v>
      </c>
      <c r="H42" s="211"/>
      <c r="I42" s="210">
        <f>G42*($E$17+$E$21)</f>
        <v>192990.99805649585</v>
      </c>
      <c r="K42" s="210"/>
      <c r="L42" s="236">
        <f>+G42</f>
        <v>5.0000000000000001E-4</v>
      </c>
      <c r="M42" s="211"/>
      <c r="N42" s="210">
        <f>L42*($E$17+$E$21)</f>
        <v>192990.99805649585</v>
      </c>
      <c r="O42" s="272"/>
      <c r="P42" s="275"/>
    </row>
    <row r="43" spans="1:16" ht="14" x14ac:dyDescent="0.3">
      <c r="A43" s="151">
        <f>IF(B43&lt;&gt;"",COUNTA($B$13:B43),"")</f>
        <v>29</v>
      </c>
      <c r="B43" s="207" t="str">
        <f>'23 WMA'!B37</f>
        <v>Basic Service Charge</v>
      </c>
      <c r="C43" s="233" t="str">
        <f>'23 WMA'!C37</f>
        <v>BS</v>
      </c>
      <c r="D43" s="233"/>
      <c r="E43" s="206"/>
      <c r="F43" s="239"/>
      <c r="G43" s="308">
        <v>0.11387</v>
      </c>
      <c r="H43" s="211"/>
      <c r="I43" s="237">
        <f>G43*($E$17+$E$21)</f>
        <v>43951769.897386365</v>
      </c>
      <c r="K43" s="210"/>
      <c r="L43" s="236">
        <v>0.14839000000000002</v>
      </c>
      <c r="M43" s="211"/>
      <c r="N43" s="237">
        <f>L43*($E$17+$E$21)</f>
        <v>57275868.403206848</v>
      </c>
      <c r="O43" s="272"/>
      <c r="P43" s="232"/>
    </row>
    <row r="44" spans="1:16" ht="14" x14ac:dyDescent="0.3">
      <c r="A44" s="151" t="str">
        <f>IF(B44&lt;&gt;"",COUNTA($B$13:B44),"")</f>
        <v/>
      </c>
      <c r="B44" s="207"/>
      <c r="E44" s="206"/>
      <c r="F44" s="239"/>
      <c r="G44" s="241"/>
      <c r="H44" s="211"/>
      <c r="I44" s="244"/>
      <c r="K44" s="210"/>
      <c r="L44" s="241"/>
      <c r="M44" s="211"/>
      <c r="N44" s="244"/>
      <c r="O44" s="272"/>
    </row>
    <row r="45" spans="1:16" ht="14" x14ac:dyDescent="0.3">
      <c r="A45" s="151">
        <f>IF(B45&lt;&gt;"",COUNTA($B$13:B45),"")</f>
        <v>30</v>
      </c>
      <c r="B45" s="188" t="s">
        <v>46</v>
      </c>
      <c r="E45" s="188"/>
      <c r="G45" s="245" t="s">
        <v>324</v>
      </c>
      <c r="H45" s="246"/>
      <c r="I45" s="154">
        <f>SUM(I18:I44)</f>
        <v>72908498.400269061</v>
      </c>
      <c r="K45" s="247"/>
      <c r="L45" s="245"/>
      <c r="N45" s="154">
        <f>SUM(N18:N44)</f>
        <v>84909360.275928959</v>
      </c>
      <c r="P45" s="154"/>
    </row>
    <row r="46" spans="1:16" ht="14" x14ac:dyDescent="0.3">
      <c r="A46" s="151" t="str">
        <f>IF(B46&lt;&gt;"",COUNTA($B$13:B46),"")</f>
        <v/>
      </c>
      <c r="E46" s="188"/>
      <c r="H46" s="188"/>
      <c r="I46" s="154"/>
      <c r="K46" s="265"/>
      <c r="L46" s="278"/>
      <c r="N46" s="265"/>
      <c r="P46" s="154"/>
    </row>
    <row r="47" spans="1:16" ht="14" x14ac:dyDescent="0.3">
      <c r="A47" s="151">
        <f>IF(B47&lt;&gt;"",COUNTA($B$13:B47),"")</f>
        <v>31</v>
      </c>
      <c r="B47" s="188" t="s">
        <v>46</v>
      </c>
      <c r="E47" s="188"/>
      <c r="G47" s="188"/>
      <c r="H47" s="188"/>
      <c r="I47" s="188"/>
      <c r="J47" s="188"/>
      <c r="L47" s="248" t="s">
        <v>325</v>
      </c>
      <c r="N47" s="160">
        <f>+N45/I45-1</f>
        <v>0.16460168758071148</v>
      </c>
    </row>
    <row r="48" spans="1:16" ht="14" x14ac:dyDescent="0.3">
      <c r="A48" s="151" t="str">
        <f>IF(B48&lt;&gt;"",COUNTA($B$13:B48),"")</f>
        <v/>
      </c>
      <c r="E48" s="188"/>
      <c r="G48" s="188"/>
      <c r="H48" s="188"/>
      <c r="I48" s="188"/>
      <c r="J48" s="188"/>
      <c r="L48" s="248"/>
      <c r="N48" s="160"/>
    </row>
    <row r="49" spans="1:15" ht="14" x14ac:dyDescent="0.3">
      <c r="A49" s="151" t="str">
        <f>IF(B49&lt;&gt;"",COUNTA($B$13:B49),"")</f>
        <v/>
      </c>
      <c r="E49" s="188"/>
      <c r="G49" s="186"/>
      <c r="H49" s="188"/>
      <c r="I49" s="188"/>
      <c r="L49" s="248"/>
      <c r="N49" s="160"/>
    </row>
    <row r="50" spans="1:15" ht="14.5" thickBot="1" x14ac:dyDescent="0.35">
      <c r="A50" s="151">
        <f>IF(B50&lt;&gt;"",COUNTA($B$13:B50),"")</f>
        <v>32</v>
      </c>
      <c r="B50" s="188" t="s">
        <v>46</v>
      </c>
      <c r="E50" s="279" t="s">
        <v>326</v>
      </c>
      <c r="F50" s="135"/>
      <c r="G50" s="280"/>
      <c r="I50" s="279" t="s">
        <v>327</v>
      </c>
      <c r="J50" s="135"/>
      <c r="L50" s="279" t="s">
        <v>328</v>
      </c>
      <c r="M50" s="135"/>
      <c r="N50" s="137"/>
    </row>
    <row r="51" spans="1:15" ht="14" x14ac:dyDescent="0.3">
      <c r="A51" s="151">
        <f>IF(B51&lt;&gt;"",COUNTA($B$13:B51),"")</f>
        <v>33</v>
      </c>
      <c r="B51" s="144" t="s">
        <v>329</v>
      </c>
      <c r="C51" s="144"/>
      <c r="D51" s="144"/>
      <c r="E51" s="249" t="s">
        <v>148</v>
      </c>
      <c r="F51" s="250"/>
      <c r="G51" s="251" t="s">
        <v>330</v>
      </c>
      <c r="I51" s="249" t="s">
        <v>148</v>
      </c>
      <c r="J51" s="251" t="s">
        <v>330</v>
      </c>
      <c r="K51" s="212"/>
      <c r="L51" s="249" t="s">
        <v>148</v>
      </c>
      <c r="M51" s="252"/>
      <c r="N51" s="251" t="s">
        <v>330</v>
      </c>
    </row>
    <row r="52" spans="1:15" ht="14" x14ac:dyDescent="0.3">
      <c r="A52" s="151">
        <f>IF(B52&lt;&gt;"",COUNTA($B$13:B52),"")</f>
        <v>34</v>
      </c>
      <c r="B52" s="130" t="str">
        <f>'23 WMA'!B46</f>
        <v>Distribution</v>
      </c>
      <c r="C52" s="253" t="str">
        <f>'23 WMA'!C46</f>
        <v>DIST</v>
      </c>
      <c r="D52" s="253"/>
      <c r="E52" s="154">
        <f t="shared" ref="E52:E67" si="4">SUMIF($C$13:$C$43,$C52,$I$13:$I$43)</f>
        <v>10758091.91820338</v>
      </c>
      <c r="G52" s="254">
        <f>+E52/$E$17*100</f>
        <v>2.7872004462752389</v>
      </c>
      <c r="I52" s="154">
        <f t="shared" ref="I52:I67" si="5">SUMIF($C$13:$C$43,$C52,$N$13:$N$43)</f>
        <v>11109328.375773761</v>
      </c>
      <c r="J52" s="254">
        <f>+I52/$E$17*100</f>
        <v>2.8781985915533834</v>
      </c>
      <c r="L52" s="154">
        <f t="shared" ref="L52:L72" si="6">I52-E52</f>
        <v>351236.45757038146</v>
      </c>
      <c r="N52" s="254">
        <f>+L52/$E$17*100</f>
        <v>9.0998145278144302E-2</v>
      </c>
      <c r="O52" s="272"/>
    </row>
    <row r="53" spans="1:15" ht="14" x14ac:dyDescent="0.3">
      <c r="A53" s="151">
        <f>IF(B53&lt;&gt;"",COUNTA($B$13:B53),"")</f>
        <v>35</v>
      </c>
      <c r="B53" s="130" t="str">
        <f>'23 WMA'!B47</f>
        <v>Revenue Decoupling</v>
      </c>
      <c r="C53" s="253" t="str">
        <f>'23 WMA'!C47</f>
        <v>RDAF</v>
      </c>
      <c r="D53" s="253"/>
      <c r="E53" s="154">
        <f t="shared" si="4"/>
        <v>135093.6986395471</v>
      </c>
      <c r="G53" s="254">
        <f t="shared" ref="G53:G73" si="7">+E53/($E$17+$E$21)*100</f>
        <v>3.5000000000000003E-2</v>
      </c>
      <c r="I53" s="154">
        <f t="shared" si="5"/>
        <v>-107008.72432771343</v>
      </c>
      <c r="J53" s="254">
        <f t="shared" ref="J53:J73" si="8">+I53/($E$17+$E$21)*100</f>
        <v>-2.7723760539439223E-2</v>
      </c>
      <c r="L53" s="154">
        <f>I53-E53</f>
        <v>-242102.42296726053</v>
      </c>
      <c r="N53" s="254">
        <f t="shared" ref="N53:N73" si="9">+L53/($E$17+$E$21)*100</f>
        <v>-6.2723760539439233E-2</v>
      </c>
      <c r="O53" s="272"/>
    </row>
    <row r="54" spans="1:15" ht="14" x14ac:dyDescent="0.3">
      <c r="A54" s="151">
        <f>IF(B54&lt;&gt;"",COUNTA($B$13:B54),"")</f>
        <v>36</v>
      </c>
      <c r="B54" s="130" t="str">
        <f>'23 WMA'!B48</f>
        <v>Residential Assistance Adjustment Factor</v>
      </c>
      <c r="C54" s="253" t="str">
        <f>'23 WMA'!C48</f>
        <v>RAAF</v>
      </c>
      <c r="D54" s="253"/>
      <c r="E54" s="154">
        <f t="shared" si="4"/>
        <v>2462565.135200887</v>
      </c>
      <c r="G54" s="254">
        <f t="shared" si="7"/>
        <v>0.63800000000000001</v>
      </c>
      <c r="I54" s="154">
        <f t="shared" si="5"/>
        <v>904038.48238074931</v>
      </c>
      <c r="J54" s="254">
        <f t="shared" si="8"/>
        <v>0.2342177851518501</v>
      </c>
      <c r="L54" s="154">
        <f t="shared" si="6"/>
        <v>-1558526.6528201378</v>
      </c>
      <c r="N54" s="254">
        <f t="shared" si="9"/>
        <v>-0.40378221484814997</v>
      </c>
      <c r="O54" s="272"/>
    </row>
    <row r="55" spans="1:15" ht="14" x14ac:dyDescent="0.3">
      <c r="A55" s="151">
        <f>IF(B55&lt;&gt;"",COUNTA($B$13:B55),"")</f>
        <v>37</v>
      </c>
      <c r="B55" s="130" t="str">
        <f>'23 WMA'!B49</f>
        <v>Pension Adjustment Factor</v>
      </c>
      <c r="C55" s="253" t="str">
        <f>'23 WMA'!C49</f>
        <v>PAF</v>
      </c>
      <c r="D55" s="253"/>
      <c r="E55" s="154">
        <f t="shared" si="4"/>
        <v>243168.65755118476</v>
      </c>
      <c r="G55" s="254">
        <f t="shared" si="7"/>
        <v>6.3E-2</v>
      </c>
      <c r="I55" s="154">
        <f t="shared" si="5"/>
        <v>142811.48806632313</v>
      </c>
      <c r="J55" s="254">
        <f t="shared" si="8"/>
        <v>3.6999520574663478E-2</v>
      </c>
      <c r="L55" s="154">
        <f t="shared" si="6"/>
        <v>-100357.16948486163</v>
      </c>
      <c r="N55" s="254">
        <f t="shared" si="9"/>
        <v>-2.6000479425336526E-2</v>
      </c>
      <c r="O55" s="272"/>
    </row>
    <row r="56" spans="1:15" ht="14" x14ac:dyDescent="0.3">
      <c r="A56" s="151">
        <f>IF(B56&lt;&gt;"",COUNTA($B$13:B56),"")</f>
        <v>38</v>
      </c>
      <c r="B56" s="130" t="str">
        <f>'23 WMA'!B50</f>
        <v>Net Metering Recovery Surcharge</v>
      </c>
      <c r="C56" s="253" t="str">
        <f>'23 WMA'!C50</f>
        <v>NMRS</v>
      </c>
      <c r="D56" s="253"/>
      <c r="E56" s="154">
        <f t="shared" si="4"/>
        <v>1069170.1292329868</v>
      </c>
      <c r="G56" s="254">
        <f t="shared" si="7"/>
        <v>0.27699999999999997</v>
      </c>
      <c r="I56" s="154">
        <f t="shared" si="5"/>
        <v>1178793.6645578309</v>
      </c>
      <c r="J56" s="254">
        <f t="shared" si="8"/>
        <v>0.3054012043123257</v>
      </c>
      <c r="L56" s="154">
        <f t="shared" si="6"/>
        <v>109623.53532484407</v>
      </c>
      <c r="N56" s="254">
        <f t="shared" si="9"/>
        <v>2.8401204312325765E-2</v>
      </c>
      <c r="O56" s="272"/>
    </row>
    <row r="57" spans="1:15" ht="14" x14ac:dyDescent="0.3">
      <c r="A57" s="151">
        <f>IF(B57&lt;&gt;"",COUNTA($B$13:B57),"")</f>
        <v>39</v>
      </c>
      <c r="B57" s="130" t="str">
        <f>'23 WMA'!B51</f>
        <v>Long Term Renewable Contract Adjustment</v>
      </c>
      <c r="C57" s="253" t="str">
        <f>'23 WMA'!C51</f>
        <v>LTRCA</v>
      </c>
      <c r="D57" s="253"/>
      <c r="E57" s="154">
        <f t="shared" si="4"/>
        <v>1277600.4071340025</v>
      </c>
      <c r="G57" s="254">
        <f t="shared" si="7"/>
        <v>0.33100000000000002</v>
      </c>
      <c r="I57" s="154">
        <f t="shared" si="5"/>
        <v>669953.92140915222</v>
      </c>
      <c r="J57" s="254">
        <f t="shared" si="8"/>
        <v>0.17357128782064515</v>
      </c>
      <c r="L57" s="154">
        <f t="shared" si="6"/>
        <v>-607646.48572485032</v>
      </c>
      <c r="N57" s="254">
        <f t="shared" si="9"/>
        <v>-0.15742871217935486</v>
      </c>
      <c r="O57" s="272"/>
    </row>
    <row r="58" spans="1:15" ht="14" x14ac:dyDescent="0.3">
      <c r="A58" s="151">
        <f>IF(B58&lt;&gt;"",COUNTA($B$13:B58),"")</f>
        <v>40</v>
      </c>
      <c r="B58" s="130" t="str">
        <f>'23 WMA'!B52</f>
        <v>AG Consulting Expense</v>
      </c>
      <c r="C58" s="253" t="str">
        <f>'23 WMA'!C52</f>
        <v>AGCE</v>
      </c>
      <c r="D58" s="253"/>
      <c r="E58" s="154">
        <f t="shared" si="4"/>
        <v>7719.6399222598347</v>
      </c>
      <c r="G58" s="254">
        <f t="shared" si="7"/>
        <v>2E-3</v>
      </c>
      <c r="I58" s="154">
        <f t="shared" si="5"/>
        <v>1898.1435783092245</v>
      </c>
      <c r="J58" s="254">
        <f t="shared" si="8"/>
        <v>4.917699782436395E-4</v>
      </c>
      <c r="L58" s="154">
        <f t="shared" si="6"/>
        <v>-5821.49634395061</v>
      </c>
      <c r="N58" s="254">
        <f t="shared" si="9"/>
        <v>-1.5082300217563608E-3</v>
      </c>
      <c r="O58" s="272"/>
    </row>
    <row r="59" spans="1:15" ht="14" x14ac:dyDescent="0.3">
      <c r="A59" s="151">
        <f>IF(B59&lt;&gt;"",COUNTA($B$13:B59),"")</f>
        <v>41</v>
      </c>
      <c r="B59" s="130" t="str">
        <f>'23 WMA'!B53</f>
        <v>Storm Cost Recovery Adjustment Factor</v>
      </c>
      <c r="C59" s="253" t="str">
        <f>'23 WMA'!C53</f>
        <v>SCRA</v>
      </c>
      <c r="D59" s="253"/>
      <c r="E59" s="154">
        <f t="shared" si="4"/>
        <v>571253.35424722766</v>
      </c>
      <c r="G59" s="254">
        <f t="shared" si="7"/>
        <v>0.14799999999999999</v>
      </c>
      <c r="I59" s="154">
        <f t="shared" si="5"/>
        <v>679146.48420381802</v>
      </c>
      <c r="J59" s="254">
        <f t="shared" si="8"/>
        <v>0.17595289185586932</v>
      </c>
      <c r="L59" s="154">
        <f>I59-E59</f>
        <v>107893.12995659036</v>
      </c>
      <c r="N59" s="254">
        <f t="shared" si="9"/>
        <v>2.7952891855869338E-2</v>
      </c>
      <c r="O59" s="272"/>
    </row>
    <row r="60" spans="1:15" ht="14" x14ac:dyDescent="0.3">
      <c r="A60" s="151">
        <f>IF(B60&lt;&gt;"",COUNTA($B$13:B60),"")</f>
        <v>42</v>
      </c>
      <c r="B60" s="130" t="str">
        <f>'23 WMA'!B54</f>
        <v>Storm Reserve Adjustment</v>
      </c>
      <c r="C60" s="253" t="str">
        <f>'23 WMA'!C54</f>
        <v>SRA</v>
      </c>
      <c r="D60" s="253"/>
      <c r="E60" s="154">
        <f t="shared" si="4"/>
        <v>0</v>
      </c>
      <c r="G60" s="254">
        <f t="shared" si="7"/>
        <v>0</v>
      </c>
      <c r="I60" s="154">
        <f t="shared" si="5"/>
        <v>0</v>
      </c>
      <c r="J60" s="254">
        <f t="shared" si="8"/>
        <v>0</v>
      </c>
      <c r="L60" s="154">
        <f>I60-E60</f>
        <v>0</v>
      </c>
      <c r="N60" s="254">
        <f t="shared" si="9"/>
        <v>0</v>
      </c>
      <c r="O60" s="272"/>
    </row>
    <row r="61" spans="1:15" ht="14" x14ac:dyDescent="0.3">
      <c r="A61" s="151">
        <f>IF(B61&lt;&gt;"",COUNTA($B$13:B61),"")</f>
        <v>43</v>
      </c>
      <c r="B61" s="130" t="str">
        <f>'23 WMA'!B55</f>
        <v>Basic Service Cost True Up Factor</v>
      </c>
      <c r="C61" s="253" t="str">
        <f>'23 WMA'!C55</f>
        <v>BSTF</v>
      </c>
      <c r="D61" s="253"/>
      <c r="E61" s="154">
        <f t="shared" si="4"/>
        <v>50177.659494688916</v>
      </c>
      <c r="G61" s="254">
        <f t="shared" si="7"/>
        <v>1.2999999999999999E-2</v>
      </c>
      <c r="I61" s="154">
        <f t="shared" si="5"/>
        <v>-44860.604802246788</v>
      </c>
      <c r="J61" s="254">
        <f t="shared" si="8"/>
        <v>-1.1622460439609307E-2</v>
      </c>
      <c r="L61" s="154">
        <f>I61-E61</f>
        <v>-95038.264296935697</v>
      </c>
      <c r="N61" s="254">
        <f t="shared" si="9"/>
        <v>-2.4622460439609303E-2</v>
      </c>
      <c r="O61" s="272"/>
    </row>
    <row r="62" spans="1:15" ht="14" x14ac:dyDescent="0.3">
      <c r="A62" s="151">
        <f>IF(B62&lt;&gt;"",COUNTA($B$13:B62),"")</f>
        <v>44</v>
      </c>
      <c r="B62" s="130" t="str">
        <f>'23 WMA'!B56</f>
        <v>Solar Program Cost Adjustment Factor</v>
      </c>
      <c r="C62" s="253" t="str">
        <f>'23 WMA'!C56</f>
        <v>SPCA</v>
      </c>
      <c r="D62" s="253"/>
      <c r="E62" s="154">
        <f t="shared" si="4"/>
        <v>-30878.559689039339</v>
      </c>
      <c r="G62" s="254">
        <f t="shared" si="7"/>
        <v>-8.0000000000000002E-3</v>
      </c>
      <c r="I62" s="154">
        <f t="shared" si="5"/>
        <v>7983.5958935318786</v>
      </c>
      <c r="J62" s="254">
        <f t="shared" si="8"/>
        <v>2.0683855656300544E-3</v>
      </c>
      <c r="L62" s="154">
        <f t="shared" si="6"/>
        <v>38862.15558257122</v>
      </c>
      <c r="N62" s="254">
        <f t="shared" si="9"/>
        <v>1.0068385565630056E-2</v>
      </c>
    </row>
    <row r="63" spans="1:15" ht="14" x14ac:dyDescent="0.3">
      <c r="A63" s="151">
        <f>IF(B63&lt;&gt;"",COUNTA($B$13:B63),"")</f>
        <v>45</v>
      </c>
      <c r="B63" s="130" t="str">
        <f>'23 WMA'!B57</f>
        <v>Solar Expansion Cost Recovery Factor</v>
      </c>
      <c r="C63" s="253" t="str">
        <f>'23 WMA'!C57</f>
        <v>SECRF</v>
      </c>
      <c r="D63" s="253"/>
      <c r="E63" s="154">
        <f t="shared" si="4"/>
        <v>0</v>
      </c>
      <c r="G63" s="254">
        <f t="shared" si="7"/>
        <v>0</v>
      </c>
      <c r="I63" s="154">
        <f t="shared" si="5"/>
        <v>140812.36728291059</v>
      </c>
      <c r="J63" s="254">
        <f t="shared" si="8"/>
        <v>3.6481589478512731E-2</v>
      </c>
      <c r="L63" s="154">
        <f t="shared" si="6"/>
        <v>140812.36728291059</v>
      </c>
      <c r="N63" s="254">
        <f t="shared" si="9"/>
        <v>3.6481589478512731E-2</v>
      </c>
    </row>
    <row r="64" spans="1:15" ht="14" x14ac:dyDescent="0.3">
      <c r="A64" s="151">
        <f>IF(B64&lt;&gt;"",COUNTA($B$13:B64),"")</f>
        <v>46</v>
      </c>
      <c r="B64" s="130" t="str">
        <f>'23 WMA'!B58</f>
        <v>Vegetation Management</v>
      </c>
      <c r="C64" s="253" t="str">
        <f>'23 WMA'!C58</f>
        <v>RTWF</v>
      </c>
      <c r="D64" s="253"/>
      <c r="E64" s="154">
        <f t="shared" si="4"/>
        <v>0</v>
      </c>
      <c r="G64" s="254">
        <f t="shared" si="7"/>
        <v>0</v>
      </c>
      <c r="I64" s="154">
        <f t="shared" si="5"/>
        <v>255680.83167076061</v>
      </c>
      <c r="J64" s="254">
        <f t="shared" si="8"/>
        <v>6.6241647083433663E-2</v>
      </c>
      <c r="L64" s="154">
        <f t="shared" si="6"/>
        <v>255680.83167076061</v>
      </c>
      <c r="N64" s="254">
        <f t="shared" si="9"/>
        <v>6.6241647083433663E-2</v>
      </c>
    </row>
    <row r="65" spans="1:14" ht="14" x14ac:dyDescent="0.3">
      <c r="A65" s="151">
        <f>IF(B65&lt;&gt;"",COUNTA($B$13:B65),"")</f>
        <v>47</v>
      </c>
      <c r="B65" s="130" t="str">
        <f>'23 WMA'!B59</f>
        <v>Solar Massachusetts Renewable Target</v>
      </c>
      <c r="C65" s="253" t="str">
        <f>'23 WMA'!C59</f>
        <v>SMART</v>
      </c>
      <c r="D65" s="253"/>
      <c r="E65" s="154">
        <f t="shared" si="4"/>
        <v>0</v>
      </c>
      <c r="G65" s="254">
        <f t="shared" si="7"/>
        <v>0</v>
      </c>
      <c r="I65" s="154">
        <f t="shared" si="5"/>
        <v>164981.44825486728</v>
      </c>
      <c r="J65" s="254">
        <f t="shared" si="8"/>
        <v>4.274330147942209E-2</v>
      </c>
      <c r="L65" s="154">
        <f t="shared" si="6"/>
        <v>164981.44825486728</v>
      </c>
      <c r="N65" s="254">
        <f t="shared" si="9"/>
        <v>4.274330147942209E-2</v>
      </c>
    </row>
    <row r="66" spans="1:14" ht="14" x14ac:dyDescent="0.3">
      <c r="A66" s="151">
        <f>IF(B66&lt;&gt;"",COUNTA($B$13:B66),"")</f>
        <v>48</v>
      </c>
      <c r="B66" s="130" t="str">
        <f>'23 WMA'!B60</f>
        <v>Tax Act Credit Factor</v>
      </c>
      <c r="C66" s="253" t="str">
        <f>'23 WMA'!C60</f>
        <v>TACF</v>
      </c>
      <c r="D66" s="253"/>
      <c r="E66" s="154">
        <f t="shared" si="4"/>
        <v>0</v>
      </c>
      <c r="G66" s="254">
        <f t="shared" si="7"/>
        <v>0</v>
      </c>
      <c r="I66" s="154">
        <f t="shared" si="5"/>
        <v>-249754.35113606323</v>
      </c>
      <c r="J66" s="254">
        <f t="shared" si="8"/>
        <v>-6.4706217816167408E-2</v>
      </c>
      <c r="L66" s="154">
        <f t="shared" si="6"/>
        <v>-249754.35113606323</v>
      </c>
      <c r="N66" s="254">
        <f t="shared" si="9"/>
        <v>-6.4706217816167408E-2</v>
      </c>
    </row>
    <row r="67" spans="1:14" ht="14" x14ac:dyDescent="0.3">
      <c r="A67" s="151">
        <f>IF(B67&lt;&gt;"",COUNTA($B$13:B67),"")</f>
        <v>49</v>
      </c>
      <c r="B67" s="130" t="str">
        <f>'23 WMA'!B61</f>
        <v>Transition</v>
      </c>
      <c r="C67" s="253" t="str">
        <f>'23 WMA'!C61</f>
        <v>TRNSN</v>
      </c>
      <c r="D67" s="253"/>
      <c r="E67" s="154">
        <f t="shared" si="4"/>
        <v>-660029.21335321572</v>
      </c>
      <c r="G67" s="254">
        <f t="shared" si="7"/>
        <v>-0.17099999999999999</v>
      </c>
      <c r="I67" s="154">
        <f t="shared" si="5"/>
        <v>-201132.59891442893</v>
      </c>
      <c r="J67" s="254">
        <f t="shared" si="8"/>
        <v>-5.2109321403568713E-2</v>
      </c>
      <c r="L67" s="154">
        <f t="shared" si="6"/>
        <v>458896.61443878675</v>
      </c>
      <c r="N67" s="254">
        <f t="shared" si="9"/>
        <v>0.11889067859643125</v>
      </c>
    </row>
    <row r="68" spans="1:14" ht="14" x14ac:dyDescent="0.3">
      <c r="A68" s="151">
        <f>IF(B68&lt;&gt;"",COUNTA($B$13:B68),"")</f>
        <v>50</v>
      </c>
      <c r="B68" s="130" t="str">
        <f>'23 WMA'!B62</f>
        <v>Transmission</v>
      </c>
      <c r="C68" s="253" t="str">
        <f>'23 WMA'!C62</f>
        <v>TRNSM</v>
      </c>
      <c r="D68" s="253"/>
      <c r="E68" s="154">
        <f>SUM(SUMIF($C$13:$C$43,{"TMKW","TMKWH"},$I$13:$I$43))</f>
        <v>8163104.6857415279</v>
      </c>
      <c r="G68" s="254">
        <f t="shared" si="7"/>
        <v>2.1148926032684372</v>
      </c>
      <c r="I68" s="154">
        <f>SUM(SUMIF($C$13:$C$43,{"TMKW","TMKWH"},$N$13:$N$43))</f>
        <v>8071128.3582732938</v>
      </c>
      <c r="J68" s="254">
        <f t="shared" si="8"/>
        <v>2.0910634277124589</v>
      </c>
      <c r="L68" s="154">
        <f t="shared" si="6"/>
        <v>-91976.327468234114</v>
      </c>
      <c r="N68" s="254">
        <f t="shared" si="9"/>
        <v>-2.3829175555978296E-2</v>
      </c>
    </row>
    <row r="69" spans="1:14" ht="14" x14ac:dyDescent="0.3">
      <c r="A69" s="151">
        <f>IF(B69&lt;&gt;"",COUNTA($B$13:B69),"")</f>
        <v>51</v>
      </c>
      <c r="B69" s="130" t="str">
        <f>'23 WMA'!B63</f>
        <v>Energy Efficiency Reconciliation Factor</v>
      </c>
      <c r="C69" s="253" t="str">
        <f>'23 WMA'!C63</f>
        <v>EERF</v>
      </c>
      <c r="D69" s="253"/>
      <c r="E69" s="154">
        <f>SUMIF($C$13:$C$43,$C69,$I$13:$I$43)</f>
        <v>3751745.0022182791</v>
      </c>
      <c r="G69" s="254">
        <f t="shared" si="7"/>
        <v>0.97199999999999998</v>
      </c>
      <c r="I69" s="154">
        <f>SUMIF($C$13:$C$43,$C69,$N$13:$N$43)</f>
        <v>3751745.0022182791</v>
      </c>
      <c r="J69" s="254">
        <f t="shared" si="8"/>
        <v>0.97199999999999998</v>
      </c>
      <c r="L69" s="154">
        <f t="shared" si="6"/>
        <v>0</v>
      </c>
      <c r="N69" s="254">
        <f t="shared" si="9"/>
        <v>0</v>
      </c>
    </row>
    <row r="70" spans="1:14" ht="14" x14ac:dyDescent="0.3">
      <c r="A70" s="151">
        <f>IF(B70&lt;&gt;"",COUNTA($B$13:B70),"")</f>
        <v>52</v>
      </c>
      <c r="B70" s="130" t="str">
        <f>'23 WMA'!B64</f>
        <v>System Benefits Charge</v>
      </c>
      <c r="C70" s="253" t="str">
        <f>'23 WMA'!C64</f>
        <v>SBC</v>
      </c>
      <c r="D70" s="253"/>
      <c r="E70" s="154">
        <f>SUMIF($C$13:$C$43,$C70,$I$13:$I$43)</f>
        <v>964954.99028247921</v>
      </c>
      <c r="G70" s="254">
        <f t="shared" si="7"/>
        <v>0.25</v>
      </c>
      <c r="I70" s="154">
        <f>SUMIF($C$13:$C$43,$C70,$N$13:$N$43)</f>
        <v>964954.99028247921</v>
      </c>
      <c r="J70" s="254">
        <f t="shared" si="8"/>
        <v>0.25</v>
      </c>
      <c r="L70" s="154">
        <f t="shared" si="6"/>
        <v>0</v>
      </c>
      <c r="N70" s="254">
        <f t="shared" si="9"/>
        <v>0</v>
      </c>
    </row>
    <row r="71" spans="1:14" ht="14" x14ac:dyDescent="0.3">
      <c r="A71" s="151">
        <f>IF(B71&lt;&gt;"",COUNTA($B$13:B71),"")</f>
        <v>53</v>
      </c>
      <c r="B71" s="130" t="str">
        <f>'23 WMA'!B65</f>
        <v>Renewable Energy Charge</v>
      </c>
      <c r="C71" s="253" t="str">
        <f>'23 WMA'!C65</f>
        <v>RNEW</v>
      </c>
      <c r="D71" s="253"/>
      <c r="E71" s="154">
        <f>SUMIF($C$13:$C$43,$C71,$I$13:$I$43)</f>
        <v>192990.99805649585</v>
      </c>
      <c r="G71" s="254">
        <f t="shared" si="7"/>
        <v>0.05</v>
      </c>
      <c r="I71" s="154">
        <f>SUMIF($C$13:$C$43,$C71,$N$13:$N$43)</f>
        <v>192990.99805649585</v>
      </c>
      <c r="J71" s="254">
        <f t="shared" si="8"/>
        <v>0.05</v>
      </c>
      <c r="L71" s="154">
        <f>I71-E71</f>
        <v>0</v>
      </c>
      <c r="N71" s="254">
        <f t="shared" si="9"/>
        <v>0</v>
      </c>
    </row>
    <row r="72" spans="1:14" ht="14" x14ac:dyDescent="0.3">
      <c r="A72" s="151">
        <f>IF(B72&lt;&gt;"",COUNTA($B$13:B72),"")</f>
        <v>54</v>
      </c>
      <c r="B72" s="130" t="str">
        <f>'23 WMA'!B66</f>
        <v>Basic Service Charge</v>
      </c>
      <c r="C72" s="253" t="str">
        <f>'23 WMA'!C66</f>
        <v>BS</v>
      </c>
      <c r="D72" s="253"/>
      <c r="E72" s="255">
        <f>SUMIF($C$13:$C$43,$C72,$I$13:$I$43)</f>
        <v>43951769.897386365</v>
      </c>
      <c r="F72" s="256"/>
      <c r="G72" s="257">
        <f t="shared" si="7"/>
        <v>11.387</v>
      </c>
      <c r="H72" s="258"/>
      <c r="I72" s="255">
        <f>SUMIF($C$13:$C$43,$C72,$N$13:$N$43)</f>
        <v>57275868.403206848</v>
      </c>
      <c r="J72" s="257">
        <f t="shared" si="8"/>
        <v>14.839000000000002</v>
      </c>
      <c r="K72" s="255"/>
      <c r="L72" s="255">
        <f t="shared" si="6"/>
        <v>13324098.505820483</v>
      </c>
      <c r="M72" s="259"/>
      <c r="N72" s="257">
        <f t="shared" si="9"/>
        <v>3.4520000000000022</v>
      </c>
    </row>
    <row r="73" spans="1:14" ht="14" x14ac:dyDescent="0.3">
      <c r="A73" s="151">
        <f>IF(B73&lt;&gt;"",COUNTA($B$13:B73),"")</f>
        <v>55</v>
      </c>
      <c r="B73" s="130" t="str">
        <f>'23 WMA'!B67</f>
        <v>Total</v>
      </c>
      <c r="C73" s="130"/>
      <c r="D73" s="130"/>
      <c r="E73" s="154">
        <f>SUM(E52:E72)</f>
        <v>72908498.400269061</v>
      </c>
      <c r="G73" s="254">
        <f t="shared" si="7"/>
        <v>18.889093049543678</v>
      </c>
      <c r="I73" s="154">
        <f>SUM(I52:I72)</f>
        <v>84909360.275928959</v>
      </c>
      <c r="J73" s="254">
        <f t="shared" si="8"/>
        <v>21.998269642367656</v>
      </c>
      <c r="L73" s="154">
        <f>SUM(L52:L72)</f>
        <v>12000861.875659902</v>
      </c>
      <c r="N73" s="254">
        <f t="shared" si="9"/>
        <v>3.1091765928239798</v>
      </c>
    </row>
    <row r="74" spans="1:14" ht="14" x14ac:dyDescent="0.3">
      <c r="A74" s="151" t="str">
        <f>IF(B74&lt;&gt;"",COUNTA($B$10:B74),"")</f>
        <v/>
      </c>
    </row>
    <row r="75" spans="1:14" ht="14" x14ac:dyDescent="0.3">
      <c r="A75" s="151"/>
      <c r="B75" s="256" t="s">
        <v>164</v>
      </c>
      <c r="E75" s="188"/>
      <c r="G75" s="188"/>
      <c r="H75" s="188"/>
      <c r="I75" s="188"/>
      <c r="J75" s="188"/>
      <c r="K75" s="188"/>
      <c r="L75" s="188"/>
      <c r="M75" s="188"/>
      <c r="N75" s="188"/>
    </row>
    <row r="76" spans="1:14" ht="14" x14ac:dyDescent="0.3">
      <c r="A76" s="151"/>
      <c r="B76" s="130" t="str">
        <f>'23 WMA'!B70</f>
        <v>Col. (a): Company's forecast</v>
      </c>
    </row>
    <row r="77" spans="1:14" ht="14" x14ac:dyDescent="0.3">
      <c r="A77" s="151"/>
      <c r="B77" s="130" t="str">
        <f>'23 WMA'!B71</f>
        <v>Col. (b): Current rates</v>
      </c>
    </row>
    <row r="78" spans="1:14" ht="14" x14ac:dyDescent="0.3">
      <c r="A78" s="151"/>
      <c r="B78" s="130" t="str">
        <f>'23 WMA'!B72</f>
        <v>Col. (c): Col. (a) x Col. (b)</v>
      </c>
    </row>
    <row r="79" spans="1:14" ht="14" x14ac:dyDescent="0.3">
      <c r="A79" s="151"/>
      <c r="B79" s="130" t="str">
        <f>'23 WMA'!B73</f>
        <v>Col. (e): Proposed rates</v>
      </c>
    </row>
    <row r="80" spans="1:14" ht="14" x14ac:dyDescent="0.3">
      <c r="A80" s="151"/>
      <c r="B80" s="130" t="str">
        <f>'T0 WMA'!B80</f>
        <v>Col. (f): Col. (a), Line 1 through Line 5 (as appropriate) x Col. (e)</v>
      </c>
    </row>
  </sheetData>
  <mergeCells count="5">
    <mergeCell ref="A4:N4"/>
    <mergeCell ref="A5:N5"/>
    <mergeCell ref="A8:N8"/>
    <mergeCell ref="G10:I10"/>
    <mergeCell ref="L10:N10"/>
  </mergeCells>
  <pageMargins left="0.7" right="0.7" top="0.75" bottom="0.75" header="0.3" footer="0.3"/>
  <pageSetup scale="62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C9558-D819-44C1-8088-097B6739BF39}">
  <sheetPr>
    <tabColor theme="9" tint="0.59999389629810485"/>
    <pageSetUpPr fitToPage="1"/>
  </sheetPr>
  <dimension ref="A3:Q82"/>
  <sheetViews>
    <sheetView workbookViewId="0"/>
  </sheetViews>
  <sheetFormatPr defaultRowHeight="12.5" x14ac:dyDescent="0.25"/>
  <cols>
    <col min="1" max="1" width="3.26953125" bestFit="1" customWidth="1"/>
    <col min="2" max="2" width="41" customWidth="1"/>
    <col min="3" max="3" width="8.7265625" bestFit="1" customWidth="1"/>
    <col min="4" max="4" width="1.453125" customWidth="1"/>
    <col min="5" max="5" width="13.7265625" bestFit="1" customWidth="1"/>
    <col min="6" max="6" width="1.453125" customWidth="1"/>
    <col min="7" max="7" width="12.7265625" customWidth="1"/>
    <col min="8" max="8" width="1.453125" customWidth="1"/>
    <col min="9" max="9" width="12.7265625" customWidth="1"/>
    <col min="11" max="11" width="1.453125" customWidth="1"/>
    <col min="12" max="12" width="12.7265625" customWidth="1"/>
    <col min="13" max="13" width="1.453125" customWidth="1"/>
    <col min="14" max="14" width="12.7265625" customWidth="1"/>
  </cols>
  <sheetData>
    <row r="3" spans="1:17" ht="14" x14ac:dyDescent="0.3">
      <c r="A3" s="268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</row>
    <row r="4" spans="1:17" ht="14" x14ac:dyDescent="0.3">
      <c r="A4" s="748" t="str">
        <f>'G2 WMA'!A4:N4</f>
        <v>Western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7" ht="14" x14ac:dyDescent="0.3">
      <c r="A5" s="748" t="str">
        <f>+'23 WMA'!A5:N5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7" ht="14" x14ac:dyDescent="0.3">
      <c r="A6" s="268"/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</row>
    <row r="7" spans="1:17" ht="14" x14ac:dyDescent="0.3">
      <c r="A7" s="268"/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</row>
    <row r="8" spans="1:17" ht="14" x14ac:dyDescent="0.3">
      <c r="A8" s="748" t="s">
        <v>518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7" ht="14" x14ac:dyDescent="0.3">
      <c r="B9" s="207"/>
      <c r="C9" s="207"/>
      <c r="D9" s="207"/>
      <c r="E9" s="213"/>
      <c r="F9" s="207"/>
      <c r="I9" s="210"/>
      <c r="J9" s="210"/>
      <c r="K9" s="210"/>
      <c r="L9" s="214"/>
      <c r="M9" s="214"/>
      <c r="N9" s="215"/>
    </row>
    <row r="10" spans="1:17" ht="14.5" thickBot="1" x14ac:dyDescent="0.35">
      <c r="A10" s="151"/>
      <c r="B10" s="216" t="s">
        <v>46</v>
      </c>
      <c r="C10" s="216"/>
      <c r="D10" s="216"/>
      <c r="E10" s="217" t="s">
        <v>144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7" ht="14" x14ac:dyDescent="0.3">
      <c r="A11" s="151"/>
      <c r="B11" s="219" t="s">
        <v>293</v>
      </c>
      <c r="C11" s="220" t="s">
        <v>294</v>
      </c>
      <c r="D11" s="220"/>
      <c r="E11" s="221" t="s">
        <v>295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7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7" ht="14" x14ac:dyDescent="0.3">
      <c r="A13" s="151">
        <f>IF(B13&lt;&gt;"",COUNTA($B$13:B13),"")</f>
        <v>1</v>
      </c>
      <c r="B13" s="232" t="str">
        <f>+'G2 WMA'!B13</f>
        <v>Customer Charge</v>
      </c>
      <c r="C13" s="233" t="s">
        <v>297</v>
      </c>
      <c r="D13" s="233"/>
      <c r="E13" s="234">
        <v>188.45217000811408</v>
      </c>
      <c r="F13" s="207"/>
      <c r="G13" s="209">
        <v>353</v>
      </c>
      <c r="H13" s="209"/>
      <c r="I13" s="210">
        <f>G13*E13</f>
        <v>66523.616012864266</v>
      </c>
      <c r="J13" s="235"/>
      <c r="K13" s="210"/>
      <c r="L13" s="238">
        <v>353</v>
      </c>
      <c r="M13" s="211"/>
      <c r="N13" s="210">
        <f>L13*E13</f>
        <v>66523.616012864266</v>
      </c>
      <c r="O13" s="272"/>
      <c r="P13" s="234"/>
      <c r="Q13" s="154"/>
    </row>
    <row r="14" spans="1:17" ht="14" x14ac:dyDescent="0.3">
      <c r="A14" s="151">
        <f>IF(B14&lt;&gt;"",COUNTA($B$13:B14),"")</f>
        <v>2</v>
      </c>
      <c r="B14" s="232" t="str">
        <f>+'G2 WMA'!B14</f>
        <v>Distribution Demand &lt;=50 kW</v>
      </c>
      <c r="C14" s="233" t="s">
        <v>429</v>
      </c>
      <c r="D14" s="233"/>
      <c r="E14" s="234">
        <v>9451.3943316528985</v>
      </c>
      <c r="F14" s="207"/>
      <c r="G14" s="209">
        <v>1.61</v>
      </c>
      <c r="H14" s="209"/>
      <c r="I14" s="210">
        <f t="shared" ref="I14:I18" si="0">G14*E14</f>
        <v>15216.744873961168</v>
      </c>
      <c r="J14" s="235"/>
      <c r="K14" s="210"/>
      <c r="L14" s="238">
        <v>1.7</v>
      </c>
      <c r="M14" s="211"/>
      <c r="N14" s="210">
        <f t="shared" ref="N14:N18" si="1">L14*E14</f>
        <v>16067.370363809927</v>
      </c>
      <c r="O14" s="272"/>
      <c r="P14" s="234"/>
      <c r="Q14" s="154"/>
    </row>
    <row r="15" spans="1:17" ht="14" x14ac:dyDescent="0.3">
      <c r="A15" s="151">
        <f>IF(B15&lt;&gt;"",COUNTA($B$13:B15),"")</f>
        <v>3</v>
      </c>
      <c r="B15" s="232" t="str">
        <f>+'G2 WMA'!B15</f>
        <v>Distribution Demand &gt;50 kW</v>
      </c>
      <c r="C15" s="233" t="s">
        <v>431</v>
      </c>
      <c r="D15" s="233"/>
      <c r="E15" s="234">
        <v>10837.465875077356</v>
      </c>
      <c r="F15" s="207"/>
      <c r="G15" s="209">
        <v>7.58</v>
      </c>
      <c r="H15" s="209"/>
      <c r="I15" s="210">
        <f t="shared" si="0"/>
        <v>82147.991333086364</v>
      </c>
      <c r="J15" s="235"/>
      <c r="K15" s="210"/>
      <c r="L15" s="238">
        <v>8.01</v>
      </c>
      <c r="M15" s="211"/>
      <c r="N15" s="210">
        <f t="shared" si="1"/>
        <v>86808.101659369626</v>
      </c>
      <c r="O15" s="272"/>
      <c r="P15" s="273"/>
    </row>
    <row r="16" spans="1:17" ht="14" x14ac:dyDescent="0.3">
      <c r="A16" s="151">
        <f>IF(B16&lt;&gt;"",COUNTA($B$13:B16),"")</f>
        <v>4</v>
      </c>
      <c r="B16" s="232" t="str">
        <f>+'G2 WMA'!B16</f>
        <v>Distribution Demand - Total</v>
      </c>
      <c r="C16" s="233" t="s">
        <v>364</v>
      </c>
      <c r="D16" s="233"/>
      <c r="E16" s="234">
        <v>20288.860206730256</v>
      </c>
      <c r="F16" s="207"/>
      <c r="G16" s="236"/>
      <c r="H16" s="209"/>
      <c r="I16" s="210"/>
      <c r="J16" s="235"/>
      <c r="K16" s="210"/>
      <c r="L16" s="238"/>
      <c r="M16" s="211"/>
      <c r="N16" s="210"/>
      <c r="O16" s="272"/>
      <c r="P16" s="273"/>
    </row>
    <row r="17" spans="1:17" ht="14" x14ac:dyDescent="0.3">
      <c r="A17" s="151">
        <f>IF(B17&lt;&gt;"",COUNTA($B$13:B17),"")</f>
        <v>5</v>
      </c>
      <c r="B17" s="207" t="s">
        <v>449</v>
      </c>
      <c r="C17" s="233" t="s">
        <v>442</v>
      </c>
      <c r="D17" s="233"/>
      <c r="E17" s="234">
        <v>1744050.5508688078</v>
      </c>
      <c r="F17" s="207"/>
      <c r="G17" s="236">
        <v>2.5500000000000002E-3</v>
      </c>
      <c r="H17" s="209"/>
      <c r="I17" s="210">
        <f t="shared" si="0"/>
        <v>4447.3289047154603</v>
      </c>
      <c r="J17" s="235"/>
      <c r="K17" s="210"/>
      <c r="L17" s="281">
        <v>2.6900000000000001E-3</v>
      </c>
      <c r="M17" s="211"/>
      <c r="N17" s="210">
        <f t="shared" si="1"/>
        <v>4691.4959818370935</v>
      </c>
      <c r="O17" s="272"/>
      <c r="P17" s="273"/>
    </row>
    <row r="18" spans="1:17" ht="14" x14ac:dyDescent="0.3">
      <c r="A18" s="151">
        <f>IF(B18&lt;&gt;"",COUNTA($B$13:B18),"")</f>
        <v>6</v>
      </c>
      <c r="B18" s="207" t="s">
        <v>514</v>
      </c>
      <c r="C18" s="233" t="s">
        <v>444</v>
      </c>
      <c r="D18" s="233"/>
      <c r="E18" s="234">
        <v>5016132.9393239794</v>
      </c>
      <c r="F18" s="207"/>
      <c r="G18" s="236">
        <v>7.2000000000000005E-4</v>
      </c>
      <c r="H18" s="209"/>
      <c r="I18" s="210">
        <f t="shared" si="0"/>
        <v>3611.6157163132652</v>
      </c>
      <c r="J18" s="235"/>
      <c r="K18" s="210"/>
      <c r="L18" s="281">
        <v>7.6000000000000004E-4</v>
      </c>
      <c r="M18" s="211"/>
      <c r="N18" s="210">
        <f t="shared" si="1"/>
        <v>3812.2610338862246</v>
      </c>
      <c r="O18" s="272"/>
      <c r="P18" s="273"/>
    </row>
    <row r="19" spans="1:17" ht="14" x14ac:dyDescent="0.3">
      <c r="A19" s="151">
        <f>IF(B19&lt;&gt;"",COUNTA($B$13:B19),"")</f>
        <v>7</v>
      </c>
      <c r="B19" s="207" t="s">
        <v>352</v>
      </c>
      <c r="C19" s="233" t="s">
        <v>299</v>
      </c>
      <c r="D19" s="233"/>
      <c r="E19" s="234">
        <v>6760183.4901927877</v>
      </c>
      <c r="F19" s="207"/>
      <c r="G19" s="209"/>
      <c r="H19" s="209"/>
      <c r="I19" s="237"/>
      <c r="J19" s="235"/>
      <c r="K19" s="210"/>
      <c r="L19" s="281"/>
      <c r="M19" s="211"/>
      <c r="N19" s="237"/>
      <c r="O19" s="272"/>
      <c r="P19" s="273"/>
    </row>
    <row r="20" spans="1:17" ht="14" x14ac:dyDescent="0.3">
      <c r="A20" s="151">
        <f>IF(B20&lt;&gt;"",COUNTA($B$13:B20),"")</f>
        <v>8</v>
      </c>
      <c r="B20" s="207" t="s">
        <v>300</v>
      </c>
      <c r="C20" s="233" t="s">
        <v>301</v>
      </c>
      <c r="D20" s="233"/>
      <c r="E20" s="234"/>
      <c r="F20" s="207"/>
      <c r="G20" s="209"/>
      <c r="H20" s="209"/>
      <c r="I20" s="210">
        <f>SUM(I13:I19)</f>
        <v>171947.29684094054</v>
      </c>
      <c r="J20" s="235"/>
      <c r="K20" s="210"/>
      <c r="L20" s="238"/>
      <c r="M20" s="211"/>
      <c r="N20" s="210">
        <f>SUM(N13:N19)</f>
        <v>177902.84505176713</v>
      </c>
      <c r="O20" s="272"/>
      <c r="P20" s="273"/>
    </row>
    <row r="21" spans="1:17" ht="14" x14ac:dyDescent="0.3">
      <c r="A21" s="151" t="str">
        <f>IF(B21&lt;&gt;"",COUNTA($B$13:B21),"")</f>
        <v/>
      </c>
      <c r="B21" s="207"/>
      <c r="C21" s="233"/>
      <c r="D21" s="233"/>
      <c r="E21" s="234"/>
      <c r="F21" s="207"/>
      <c r="G21" s="209"/>
      <c r="H21" s="209"/>
      <c r="I21" s="210"/>
      <c r="J21" s="235"/>
      <c r="K21" s="210"/>
      <c r="L21" s="238"/>
      <c r="M21" s="211"/>
      <c r="N21" s="210"/>
      <c r="O21" s="272"/>
      <c r="P21" s="273"/>
    </row>
    <row r="22" spans="1:17" ht="14" x14ac:dyDescent="0.3">
      <c r="A22" s="151">
        <f>IF(B22&lt;&gt;"",COUNTA($B$13:B22),"")</f>
        <v>9</v>
      </c>
      <c r="B22" s="207" t="s">
        <v>377</v>
      </c>
      <c r="C22" s="233" t="s">
        <v>378</v>
      </c>
      <c r="D22" s="233"/>
      <c r="E22" s="234">
        <v>0</v>
      </c>
      <c r="F22" s="207"/>
      <c r="G22" s="209"/>
      <c r="H22" s="209"/>
      <c r="I22" s="210"/>
      <c r="J22" s="235"/>
      <c r="K22" s="210"/>
      <c r="L22" s="238"/>
      <c r="M22" s="211"/>
      <c r="N22" s="210"/>
      <c r="O22" s="272"/>
      <c r="P22" s="273"/>
    </row>
    <row r="23" spans="1:17" ht="14" x14ac:dyDescent="0.3">
      <c r="A23" s="151">
        <f>IF(B23&lt;&gt;"",COUNTA($B$13:B23),"")</f>
        <v>10</v>
      </c>
      <c r="B23" s="207" t="s">
        <v>379</v>
      </c>
      <c r="C23" s="233" t="s">
        <v>380</v>
      </c>
      <c r="D23" s="233"/>
      <c r="E23" s="234">
        <v>0</v>
      </c>
      <c r="F23" s="207"/>
      <c r="G23" s="209"/>
      <c r="H23" s="209"/>
      <c r="I23" s="210"/>
      <c r="J23" s="235"/>
      <c r="K23" s="210"/>
      <c r="L23" s="238"/>
      <c r="M23" s="211"/>
      <c r="N23" s="210"/>
      <c r="O23" s="272"/>
      <c r="P23" s="273"/>
    </row>
    <row r="24" spans="1:17" ht="14" x14ac:dyDescent="0.3">
      <c r="A24" s="151" t="str">
        <f>IF(B24&lt;&gt;"",COUNTA($B$13:B24),"")</f>
        <v/>
      </c>
      <c r="B24" s="207"/>
      <c r="C24" s="233"/>
      <c r="D24" s="233"/>
      <c r="E24" s="234"/>
      <c r="F24" s="207"/>
      <c r="G24" s="209"/>
      <c r="H24" s="209"/>
      <c r="I24" s="210"/>
      <c r="J24" s="235"/>
      <c r="K24" s="210"/>
      <c r="L24" s="238"/>
      <c r="M24" s="211"/>
      <c r="N24" s="210"/>
      <c r="O24" s="272"/>
      <c r="P24" s="273"/>
    </row>
    <row r="25" spans="1:17" ht="14" x14ac:dyDescent="0.3">
      <c r="A25" s="151">
        <f>IF(B25&lt;&gt;"",COUNTA($B$13:B25),"")</f>
        <v>11</v>
      </c>
      <c r="B25" s="228" t="s">
        <v>302</v>
      </c>
      <c r="F25" s="239"/>
      <c r="G25" s="240"/>
      <c r="H25" s="211"/>
      <c r="I25" s="210"/>
      <c r="K25" s="210"/>
      <c r="L25" s="241"/>
      <c r="M25" s="211"/>
      <c r="N25" s="210"/>
      <c r="O25" s="272"/>
    </row>
    <row r="26" spans="1:17" ht="14" x14ac:dyDescent="0.3">
      <c r="A26" s="151">
        <f>IF(B26&lt;&gt;"",COUNTA($B$13:B26),"")</f>
        <v>12</v>
      </c>
      <c r="B26" s="207" t="str">
        <f>'G2 WMA'!B24</f>
        <v>Revenue Decoupling</v>
      </c>
      <c r="C26" s="233" t="str">
        <f>'G2 WMA'!C24</f>
        <v>RDAF</v>
      </c>
      <c r="D26" s="233"/>
      <c r="E26" s="242"/>
      <c r="F26" s="239"/>
      <c r="G26" s="236">
        <v>3.5E-4</v>
      </c>
      <c r="H26" s="211"/>
      <c r="I26" s="210">
        <f t="shared" ref="I26:I40" si="2">G26*($E$19+$E$23)</f>
        <v>2366.0642215674757</v>
      </c>
      <c r="K26" s="210"/>
      <c r="L26" s="236">
        <v>-2.7723760539439223E-4</v>
      </c>
      <c r="M26" s="211"/>
      <c r="N26" s="210">
        <f t="shared" ref="N26:N40" si="3">L26*($E$19+$E$23)</f>
        <v>-1874.1770828477534</v>
      </c>
      <c r="O26" s="272"/>
      <c r="P26" s="234"/>
    </row>
    <row r="27" spans="1:17" ht="14" x14ac:dyDescent="0.3">
      <c r="A27" s="151">
        <f>IF(B27&lt;&gt;"",COUNTA($B$13:B27),"")</f>
        <v>13</v>
      </c>
      <c r="B27" s="207" t="str">
        <f>'G2 WMA'!B25</f>
        <v>Residential Assistance Adjustment Factor</v>
      </c>
      <c r="C27" s="233" t="str">
        <f>'G2 WMA'!C25</f>
        <v>RAAF</v>
      </c>
      <c r="D27" s="243"/>
      <c r="E27" s="206"/>
      <c r="F27" s="239"/>
      <c r="G27" s="236">
        <v>6.3800000000000003E-3</v>
      </c>
      <c r="H27" s="211"/>
      <c r="I27" s="210">
        <f t="shared" si="2"/>
        <v>43129.970667429989</v>
      </c>
      <c r="K27" s="210"/>
      <c r="L27" s="236">
        <v>2.3421778515185011E-3</v>
      </c>
      <c r="M27" s="211"/>
      <c r="N27" s="210">
        <f t="shared" si="3"/>
        <v>15833.552042930585</v>
      </c>
      <c r="O27" s="272"/>
      <c r="P27" s="234"/>
      <c r="Q27" s="210"/>
    </row>
    <row r="28" spans="1:17" ht="14" x14ac:dyDescent="0.3">
      <c r="A28" s="151">
        <f>IF(B28&lt;&gt;"",COUNTA($B$13:B28),"")</f>
        <v>14</v>
      </c>
      <c r="B28" s="207" t="str">
        <f>'G2 WMA'!B26</f>
        <v>Pension Adjustment Factor</v>
      </c>
      <c r="C28" s="233" t="str">
        <f>'G2 WMA'!C26</f>
        <v>PAF</v>
      </c>
      <c r="D28" s="243"/>
      <c r="E28" s="206"/>
      <c r="F28" s="239"/>
      <c r="G28" s="236">
        <v>6.3000000000000003E-4</v>
      </c>
      <c r="H28" s="211"/>
      <c r="I28" s="210">
        <f t="shared" si="2"/>
        <v>4258.9155988214561</v>
      </c>
      <c r="K28" s="210"/>
      <c r="L28" s="236">
        <v>3.6999520574663471E-4</v>
      </c>
      <c r="M28" s="211"/>
      <c r="N28" s="210">
        <f t="shared" si="3"/>
        <v>2501.2354813388838</v>
      </c>
      <c r="O28" s="272"/>
      <c r="P28" s="274"/>
    </row>
    <row r="29" spans="1:17" ht="14" x14ac:dyDescent="0.3">
      <c r="A29" s="151">
        <f>IF(B29&lt;&gt;"",COUNTA($B$13:B29),"")</f>
        <v>15</v>
      </c>
      <c r="B29" s="207" t="str">
        <f>'G2 WMA'!B27</f>
        <v>Net Metering Recovery Surcharge</v>
      </c>
      <c r="C29" s="233" t="str">
        <f>'G2 WMA'!C27</f>
        <v>NMRS</v>
      </c>
      <c r="D29" s="243"/>
      <c r="E29" s="206"/>
      <c r="F29" s="239"/>
      <c r="G29" s="236">
        <v>2.7699999999999999E-3</v>
      </c>
      <c r="H29" s="211"/>
      <c r="I29" s="210">
        <f t="shared" si="2"/>
        <v>18725.708267834023</v>
      </c>
      <c r="K29" s="210"/>
      <c r="L29" s="236">
        <v>3.0540120431232572E-3</v>
      </c>
      <c r="M29" s="211"/>
      <c r="N29" s="210">
        <f t="shared" si="3"/>
        <v>20645.681792771786</v>
      </c>
      <c r="O29" s="272"/>
      <c r="P29" s="274"/>
    </row>
    <row r="30" spans="1:17" ht="14" x14ac:dyDescent="0.3">
      <c r="A30" s="151">
        <f>IF(B30&lt;&gt;"",COUNTA($B$13:B30),"")</f>
        <v>16</v>
      </c>
      <c r="B30" s="207" t="str">
        <f>'G2 WMA'!B28</f>
        <v>Long Term Renewable Contract Adjustment</v>
      </c>
      <c r="C30" s="233" t="str">
        <f>'G2 WMA'!C28</f>
        <v>LTRCA</v>
      </c>
      <c r="D30" s="243"/>
      <c r="E30" s="206"/>
      <c r="F30" s="239"/>
      <c r="G30" s="236">
        <v>3.31E-3</v>
      </c>
      <c r="H30" s="211"/>
      <c r="I30" s="210">
        <f t="shared" si="2"/>
        <v>22376.207352538127</v>
      </c>
      <c r="K30" s="210"/>
      <c r="L30" s="236">
        <v>1.7357128782064517E-3</v>
      </c>
      <c r="M30" s="211"/>
      <c r="N30" s="210">
        <f t="shared" si="3"/>
        <v>11733.737542966261</v>
      </c>
      <c r="O30" s="272"/>
      <c r="P30" s="275"/>
    </row>
    <row r="31" spans="1:17" ht="14" x14ac:dyDescent="0.3">
      <c r="A31" s="151">
        <f>IF(B31&lt;&gt;"",COUNTA($B$13:B31),"")</f>
        <v>17</v>
      </c>
      <c r="B31" s="207" t="str">
        <f>'G2 WMA'!B29</f>
        <v>AG Consulting Expense</v>
      </c>
      <c r="C31" s="233" t="str">
        <f>'G2 WMA'!C29</f>
        <v>AGCE</v>
      </c>
      <c r="D31" s="243"/>
      <c r="E31" s="206"/>
      <c r="F31" s="239"/>
      <c r="G31" s="236">
        <v>2.0000000000000002E-5</v>
      </c>
      <c r="H31" s="211"/>
      <c r="I31" s="210">
        <f t="shared" si="2"/>
        <v>135.20366980385577</v>
      </c>
      <c r="K31" s="210"/>
      <c r="L31" s="236">
        <v>4.9176997824363946E-6</v>
      </c>
      <c r="M31" s="211"/>
      <c r="N31" s="210">
        <f t="shared" si="3"/>
        <v>33.244552878951176</v>
      </c>
      <c r="O31" s="272"/>
      <c r="P31" s="274"/>
    </row>
    <row r="32" spans="1:17" ht="14" x14ac:dyDescent="0.3">
      <c r="A32" s="151">
        <f>IF(B32&lt;&gt;"",COUNTA($B$13:B32),"")</f>
        <v>18</v>
      </c>
      <c r="B32" s="207" t="str">
        <f>'G2 WMA'!B30</f>
        <v>Storm Cost Recovery Adjustment Factor</v>
      </c>
      <c r="C32" s="233" t="str">
        <f>'G2 WMA'!C30</f>
        <v>SCRA</v>
      </c>
      <c r="D32" s="243"/>
      <c r="E32" s="206"/>
      <c r="F32" s="239"/>
      <c r="G32" s="236">
        <v>1.48E-3</v>
      </c>
      <c r="H32" s="211"/>
      <c r="I32" s="210">
        <f t="shared" si="2"/>
        <v>10005.071565485327</v>
      </c>
      <c r="K32" s="210"/>
      <c r="L32" s="236">
        <v>1.7595289185586933E-3</v>
      </c>
      <c r="M32" s="211"/>
      <c r="N32" s="210">
        <f t="shared" si="3"/>
        <v>11894.738345757249</v>
      </c>
      <c r="O32" s="272"/>
      <c r="P32" s="274"/>
    </row>
    <row r="33" spans="1:16" ht="14" x14ac:dyDescent="0.3">
      <c r="A33" s="151">
        <f>IF(B33&lt;&gt;"",COUNTA($B$13:B33),"")</f>
        <v>19</v>
      </c>
      <c r="B33" s="207" t="str">
        <f>'G2 WMA'!B31</f>
        <v>Storm Reserve Adjustment</v>
      </c>
      <c r="C33" s="233" t="str">
        <f>'G2 WMA'!C31</f>
        <v>SRA</v>
      </c>
      <c r="D33" s="243"/>
      <c r="E33" s="206"/>
      <c r="F33" s="239"/>
      <c r="G33" s="236">
        <v>0</v>
      </c>
      <c r="H33" s="211"/>
      <c r="I33" s="210">
        <f t="shared" si="2"/>
        <v>0</v>
      </c>
      <c r="K33" s="210"/>
      <c r="L33" s="236">
        <v>0</v>
      </c>
      <c r="M33" s="211"/>
      <c r="N33" s="210">
        <f t="shared" si="3"/>
        <v>0</v>
      </c>
      <c r="O33" s="272"/>
      <c r="P33" s="274"/>
    </row>
    <row r="34" spans="1:16" ht="14" x14ac:dyDescent="0.3">
      <c r="A34" s="151">
        <f>IF(B34&lt;&gt;"",COUNTA($B$13:B34),"")</f>
        <v>20</v>
      </c>
      <c r="B34" s="207" t="str">
        <f>'G2 WMA'!B32</f>
        <v>Basic Service Cost True Up Factor</v>
      </c>
      <c r="C34" s="233" t="str">
        <f>'G2 WMA'!C32</f>
        <v>BSTF</v>
      </c>
      <c r="D34" s="243"/>
      <c r="E34" s="206"/>
      <c r="F34" s="239"/>
      <c r="G34" s="236">
        <v>1.2999999999999999E-4</v>
      </c>
      <c r="H34" s="211"/>
      <c r="I34" s="210">
        <f t="shared" si="2"/>
        <v>878.82385372506235</v>
      </c>
      <c r="K34" s="210"/>
      <c r="L34" s="236">
        <v>-1.1622460439609306E-4</v>
      </c>
      <c r="M34" s="211"/>
      <c r="N34" s="210">
        <f t="shared" si="3"/>
        <v>-785.69965179265637</v>
      </c>
      <c r="O34" s="272"/>
      <c r="P34" s="274"/>
    </row>
    <row r="35" spans="1:16" ht="14" x14ac:dyDescent="0.3">
      <c r="A35" s="151">
        <f>IF(B35&lt;&gt;"",COUNTA($B$13:B35),"")</f>
        <v>21</v>
      </c>
      <c r="B35" s="207" t="str">
        <f>'G2 WMA'!B33</f>
        <v>Solar Program Cost Adjustment Factor</v>
      </c>
      <c r="C35" s="233" t="str">
        <f>'G2 WMA'!C33</f>
        <v>SPCA</v>
      </c>
      <c r="D35" s="233"/>
      <c r="E35" s="206"/>
      <c r="F35" s="239"/>
      <c r="G35" s="236">
        <v>-8.0000000000000007E-5</v>
      </c>
      <c r="H35" s="211"/>
      <c r="I35" s="210">
        <f t="shared" si="2"/>
        <v>-540.8146792154231</v>
      </c>
      <c r="K35" s="210"/>
      <c r="L35" s="236">
        <v>2.0683855656300545E-5</v>
      </c>
      <c r="M35" s="211"/>
      <c r="N35" s="210">
        <f t="shared" si="3"/>
        <v>139.82665952125365</v>
      </c>
      <c r="O35" s="272"/>
      <c r="P35" s="276"/>
    </row>
    <row r="36" spans="1:16" ht="14" x14ac:dyDescent="0.3">
      <c r="A36" s="151">
        <f>IF(B36&lt;&gt;"",COUNTA($B$13:B36),"")</f>
        <v>22</v>
      </c>
      <c r="B36" s="207" t="str">
        <f>'G2 WMA'!B34</f>
        <v>Solar Expansion Cost Recovery Factor</v>
      </c>
      <c r="C36" s="233" t="str">
        <f>'G2 WMA'!C34</f>
        <v>SECRF</v>
      </c>
      <c r="D36" s="233"/>
      <c r="E36" s="206"/>
      <c r="F36" s="239"/>
      <c r="G36" s="236">
        <v>0</v>
      </c>
      <c r="H36" s="211"/>
      <c r="I36" s="210">
        <f t="shared" si="2"/>
        <v>0</v>
      </c>
      <c r="K36" s="210"/>
      <c r="L36" s="236">
        <v>3.6481589478512734E-4</v>
      </c>
      <c r="M36" s="211"/>
      <c r="N36" s="210">
        <f t="shared" si="3"/>
        <v>2466.2223888863268</v>
      </c>
      <c r="O36" s="272"/>
      <c r="P36" s="276"/>
    </row>
    <row r="37" spans="1:16" ht="14" x14ac:dyDescent="0.3">
      <c r="A37" s="151">
        <f>IF(B37&lt;&gt;"",COUNTA($B$13:B37),"")</f>
        <v>23</v>
      </c>
      <c r="B37" s="207" t="str">
        <f>'G2 WMA'!B35</f>
        <v>Vegetation Management</v>
      </c>
      <c r="C37" s="233" t="str">
        <f>'G2 WMA'!C35</f>
        <v>RTWF</v>
      </c>
      <c r="D37" s="233"/>
      <c r="E37" s="206"/>
      <c r="F37" s="239"/>
      <c r="G37" s="236">
        <v>0</v>
      </c>
      <c r="H37" s="211"/>
      <c r="I37" s="210">
        <f t="shared" si="2"/>
        <v>0</v>
      </c>
      <c r="K37" s="210"/>
      <c r="L37" s="236">
        <v>6.6241647083433667E-4</v>
      </c>
      <c r="M37" s="211"/>
      <c r="N37" s="210">
        <f t="shared" si="3"/>
        <v>4478.0568897660551</v>
      </c>
      <c r="O37" s="272"/>
      <c r="P37" s="276"/>
    </row>
    <row r="38" spans="1:16" ht="14" x14ac:dyDescent="0.3">
      <c r="A38" s="151">
        <f>IF(B38&lt;&gt;"",COUNTA($B$13:B38),"")</f>
        <v>24</v>
      </c>
      <c r="B38" s="207" t="str">
        <f>'G2 WMA'!B36</f>
        <v>Solar Massachusetts Renewable Target</v>
      </c>
      <c r="C38" s="233" t="str">
        <f>'G2 WMA'!C36</f>
        <v>SMART</v>
      </c>
      <c r="D38" s="233"/>
      <c r="E38" s="206"/>
      <c r="F38" s="239"/>
      <c r="G38" s="236">
        <v>0</v>
      </c>
      <c r="H38" s="211"/>
      <c r="I38" s="210">
        <f t="shared" si="2"/>
        <v>0</v>
      </c>
      <c r="K38" s="210"/>
      <c r="L38" s="236">
        <v>4.2743301479422087E-4</v>
      </c>
      <c r="M38" s="211"/>
      <c r="N38" s="210">
        <f t="shared" si="3"/>
        <v>2889.5256097752217</v>
      </c>
      <c r="O38" s="272"/>
      <c r="P38" s="276"/>
    </row>
    <row r="39" spans="1:16" ht="14" x14ac:dyDescent="0.3">
      <c r="A39" s="151">
        <f>IF(B39&lt;&gt;"",COUNTA($B$13:B39),"")</f>
        <v>25</v>
      </c>
      <c r="B39" s="207" t="str">
        <f>'G2 WMA'!B37</f>
        <v>Tax Act Credit Factor</v>
      </c>
      <c r="C39" s="233" t="str">
        <f>'G2 WMA'!C37</f>
        <v>TACF</v>
      </c>
      <c r="D39" s="233"/>
      <c r="E39" s="206"/>
      <c r="F39" s="239"/>
      <c r="G39" s="236">
        <v>0</v>
      </c>
      <c r="H39" s="211"/>
      <c r="I39" s="210">
        <f t="shared" si="2"/>
        <v>0</v>
      </c>
      <c r="K39" s="210"/>
      <c r="L39" s="236">
        <v>-6.4706217816167411E-4</v>
      </c>
      <c r="M39" s="211"/>
      <c r="N39" s="210">
        <f t="shared" si="3"/>
        <v>-4374.2590539367338</v>
      </c>
      <c r="O39" s="272"/>
      <c r="P39" s="276"/>
    </row>
    <row r="40" spans="1:16" ht="14" x14ac:dyDescent="0.3">
      <c r="A40" s="151">
        <f>IF(B40&lt;&gt;"",COUNTA($B$13:B40),"")</f>
        <v>26</v>
      </c>
      <c r="B40" s="207" t="str">
        <f>'G2 WMA'!B38</f>
        <v>Transition</v>
      </c>
      <c r="C40" s="233" t="str">
        <f>'G2 WMA'!C38</f>
        <v>TRNSN</v>
      </c>
      <c r="D40" s="233"/>
      <c r="E40" s="206"/>
      <c r="F40" s="239"/>
      <c r="G40" s="236">
        <v>-1.7099999999999999E-3</v>
      </c>
      <c r="H40" s="211"/>
      <c r="I40" s="210">
        <f t="shared" si="2"/>
        <v>-11559.913768229666</v>
      </c>
      <c r="K40" s="210"/>
      <c r="L40" s="236">
        <v>-5.210932140356871E-4</v>
      </c>
      <c r="M40" s="211"/>
      <c r="N40" s="210">
        <f t="shared" si="3"/>
        <v>-3522.6857423755487</v>
      </c>
      <c r="O40" s="272"/>
      <c r="P40" s="275"/>
    </row>
    <row r="41" spans="1:16" ht="14" x14ac:dyDescent="0.3">
      <c r="A41" s="151">
        <f>IF(B41&lt;&gt;"",COUNTA($B$13:B41),"")</f>
        <v>27</v>
      </c>
      <c r="B41" s="207" t="str">
        <f>'G2 WMA'!B39</f>
        <v>Transmission Demand</v>
      </c>
      <c r="C41" s="233" t="str">
        <f>'G2 WMA'!C39</f>
        <v>TMKW</v>
      </c>
      <c r="D41" s="233"/>
      <c r="E41" s="206"/>
      <c r="F41" s="239"/>
      <c r="G41" s="283">
        <v>7.85</v>
      </c>
      <c r="H41" s="211"/>
      <c r="I41" s="210">
        <f>G41*$E$16</f>
        <v>159267.5526228325</v>
      </c>
      <c r="K41" s="210"/>
      <c r="L41" s="283">
        <v>6.9211287473254846</v>
      </c>
      <c r="M41" s="211"/>
      <c r="N41" s="210">
        <f>L41*$E$16</f>
        <v>140421.81362726886</v>
      </c>
      <c r="O41" s="272"/>
      <c r="P41" s="275"/>
    </row>
    <row r="42" spans="1:16" ht="14" x14ac:dyDescent="0.3">
      <c r="A42" s="151">
        <f>IF(B42&lt;&gt;"",COUNTA($B$13:B42),"")</f>
        <v>28</v>
      </c>
      <c r="B42" s="207" t="str">
        <f>'G2 WMA'!B40</f>
        <v>Energy Efficiency Reconciliation Factor</v>
      </c>
      <c r="C42" s="233" t="str">
        <f>'G2 WMA'!C40</f>
        <v>EERF</v>
      </c>
      <c r="D42" s="233"/>
      <c r="E42" s="206"/>
      <c r="F42" s="239"/>
      <c r="G42" s="236">
        <v>9.7199999999999995E-3</v>
      </c>
      <c r="H42" s="211"/>
      <c r="I42" s="210">
        <f>G42*($E$19+$E$23)</f>
        <v>65708.983524673895</v>
      </c>
      <c r="K42" s="210"/>
      <c r="L42" s="241">
        <v>9.7199999999999995E-3</v>
      </c>
      <c r="M42" s="211"/>
      <c r="N42" s="210">
        <f>L42*($E$19+$E$23)</f>
        <v>65708.983524673895</v>
      </c>
      <c r="O42" s="272"/>
      <c r="P42" s="232"/>
    </row>
    <row r="43" spans="1:16" ht="14" x14ac:dyDescent="0.3">
      <c r="A43" s="151">
        <f>IF(B43&lt;&gt;"",COUNTA($B$13:B43),"")</f>
        <v>29</v>
      </c>
      <c r="B43" s="207" t="str">
        <f>'G2 WMA'!B41</f>
        <v>System Benefits Charge</v>
      </c>
      <c r="C43" s="233" t="str">
        <f>'G2 WMA'!C41</f>
        <v>SBC</v>
      </c>
      <c r="D43" s="233"/>
      <c r="E43" s="206"/>
      <c r="F43" s="239"/>
      <c r="G43" s="241">
        <v>2.5000000000000001E-3</v>
      </c>
      <c r="H43" s="211"/>
      <c r="I43" s="210">
        <f>G43*($E$19+$E$23)</f>
        <v>16900.458725481971</v>
      </c>
      <c r="K43" s="210"/>
      <c r="L43" s="236">
        <f>+G43</f>
        <v>2.5000000000000001E-3</v>
      </c>
      <c r="M43" s="211"/>
      <c r="N43" s="210">
        <f>L43*($E$19+$E$23)</f>
        <v>16900.458725481971</v>
      </c>
      <c r="O43" s="272"/>
      <c r="P43" s="275"/>
    </row>
    <row r="44" spans="1:16" ht="14" x14ac:dyDescent="0.3">
      <c r="A44" s="151">
        <f>IF(B44&lt;&gt;"",COUNTA($B$13:B44),"")</f>
        <v>30</v>
      </c>
      <c r="B44" s="207" t="str">
        <f>'G2 WMA'!B42</f>
        <v>Renewable Energy Charge</v>
      </c>
      <c r="C44" s="233" t="str">
        <f>'G2 WMA'!C42</f>
        <v>RNEW</v>
      </c>
      <c r="D44" s="233"/>
      <c r="E44" s="206"/>
      <c r="F44" s="239"/>
      <c r="G44" s="241">
        <v>5.0000000000000001E-4</v>
      </c>
      <c r="H44" s="211"/>
      <c r="I44" s="210">
        <f>G44*($E$19+$E$23)</f>
        <v>3380.0917450963939</v>
      </c>
      <c r="K44" s="210"/>
      <c r="L44" s="236">
        <f>+G44</f>
        <v>5.0000000000000001E-4</v>
      </c>
      <c r="M44" s="211"/>
      <c r="N44" s="210">
        <f>L44*($E$19+$E$23)</f>
        <v>3380.0917450963939</v>
      </c>
      <c r="O44" s="272"/>
      <c r="P44" s="275"/>
    </row>
    <row r="45" spans="1:16" ht="14" x14ac:dyDescent="0.3">
      <c r="A45" s="151">
        <f>IF(B45&lt;&gt;"",COUNTA($B$13:B45),"")</f>
        <v>31</v>
      </c>
      <c r="B45" s="207" t="str">
        <f>'G2 WMA'!B43</f>
        <v>Basic Service Charge</v>
      </c>
      <c r="C45" s="233" t="str">
        <f>'G2 WMA'!C43</f>
        <v>BS</v>
      </c>
      <c r="D45" s="233"/>
      <c r="E45" s="206"/>
      <c r="F45" s="239"/>
      <c r="G45" s="308">
        <v>0.11387</v>
      </c>
      <c r="H45" s="211"/>
      <c r="I45" s="237">
        <f>G45*($E$19+$E$23)</f>
        <v>769782.09402825276</v>
      </c>
      <c r="K45" s="210"/>
      <c r="L45" s="236">
        <v>0.14839000000000002</v>
      </c>
      <c r="M45" s="211"/>
      <c r="N45" s="237">
        <f>L45*($E$19+$E$23)</f>
        <v>1003143.628109708</v>
      </c>
      <c r="O45" s="272"/>
      <c r="P45" s="232"/>
    </row>
    <row r="46" spans="1:16" ht="14" x14ac:dyDescent="0.3">
      <c r="A46" s="151" t="str">
        <f>IF(B46&lt;&gt;"",COUNTA($B$13:B46),"")</f>
        <v/>
      </c>
      <c r="B46" s="207"/>
      <c r="E46" s="206"/>
      <c r="F46" s="239"/>
      <c r="G46" s="241"/>
      <c r="H46" s="211"/>
      <c r="I46" s="244"/>
      <c r="K46" s="210"/>
      <c r="L46" s="241"/>
      <c r="M46" s="211"/>
      <c r="N46" s="244"/>
      <c r="O46" s="272"/>
    </row>
    <row r="47" spans="1:16" ht="14" x14ac:dyDescent="0.3">
      <c r="A47" s="151">
        <f>IF(B47&lt;&gt;"",COUNTA($B$13:B47),"")</f>
        <v>32</v>
      </c>
      <c r="B47" s="188" t="s">
        <v>46</v>
      </c>
      <c r="E47" s="188"/>
      <c r="G47" s="245" t="s">
        <v>324</v>
      </c>
      <c r="H47" s="246"/>
      <c r="I47" s="154">
        <f>SUM(I20:I46)</f>
        <v>1276761.7142370383</v>
      </c>
      <c r="K47" s="247"/>
      <c r="L47" s="245"/>
      <c r="N47" s="154">
        <f>SUM(N20:N46)</f>
        <v>1469516.8205596362</v>
      </c>
      <c r="P47" s="154"/>
    </row>
    <row r="48" spans="1:16" ht="14" x14ac:dyDescent="0.3">
      <c r="A48" s="151" t="str">
        <f>IF(B48&lt;&gt;"",COUNTA($B$13:B48),"")</f>
        <v/>
      </c>
      <c r="E48" s="188"/>
      <c r="H48" s="188"/>
      <c r="I48" s="154"/>
      <c r="K48" s="265"/>
      <c r="L48" s="278"/>
      <c r="N48" s="265"/>
      <c r="P48" s="154"/>
    </row>
    <row r="49" spans="1:15" ht="14" x14ac:dyDescent="0.3">
      <c r="A49" s="151">
        <f>IF(B49&lt;&gt;"",COUNTA($B$13:B49),"")</f>
        <v>33</v>
      </c>
      <c r="B49" s="188" t="s">
        <v>46</v>
      </c>
      <c r="E49" s="188"/>
      <c r="G49" s="188"/>
      <c r="H49" s="188"/>
      <c r="I49" s="188"/>
      <c r="J49" s="188"/>
      <c r="L49" s="248" t="s">
        <v>325</v>
      </c>
      <c r="N49" s="160">
        <f>+N47/I47-1</f>
        <v>0.15097187217724772</v>
      </c>
    </row>
    <row r="50" spans="1:15" ht="14" x14ac:dyDescent="0.3">
      <c r="A50" s="151" t="str">
        <f>IF(B50&lt;&gt;"",COUNTA($B$13:B50),"")</f>
        <v/>
      </c>
      <c r="E50" s="188"/>
      <c r="G50" s="188"/>
      <c r="H50" s="188"/>
      <c r="I50" s="188"/>
      <c r="J50" s="188"/>
      <c r="L50" s="248"/>
      <c r="N50" s="160"/>
    </row>
    <row r="51" spans="1:15" ht="14" x14ac:dyDescent="0.3">
      <c r="A51" s="151" t="str">
        <f>IF(B51&lt;&gt;"",COUNTA($B$13:B51),"")</f>
        <v/>
      </c>
      <c r="E51" s="188"/>
      <c r="G51" s="186"/>
      <c r="H51" s="188"/>
      <c r="I51" s="188"/>
      <c r="L51" s="248"/>
      <c r="N51" s="160"/>
    </row>
    <row r="52" spans="1:15" ht="14.5" thickBot="1" x14ac:dyDescent="0.35">
      <c r="A52" s="151">
        <f>IF(B52&lt;&gt;"",COUNTA($B$13:B52),"")</f>
        <v>34</v>
      </c>
      <c r="B52" s="188" t="s">
        <v>46</v>
      </c>
      <c r="E52" s="279" t="s">
        <v>326</v>
      </c>
      <c r="F52" s="135"/>
      <c r="G52" s="280"/>
      <c r="I52" s="279" t="s">
        <v>327</v>
      </c>
      <c r="J52" s="135"/>
      <c r="L52" s="279" t="s">
        <v>328</v>
      </c>
      <c r="M52" s="135"/>
      <c r="N52" s="137"/>
    </row>
    <row r="53" spans="1:15" ht="14" x14ac:dyDescent="0.3">
      <c r="A53" s="151">
        <f>IF(B53&lt;&gt;"",COUNTA($B$13:B53),"")</f>
        <v>35</v>
      </c>
      <c r="B53" s="144" t="s">
        <v>329</v>
      </c>
      <c r="C53" s="144"/>
      <c r="D53" s="144"/>
      <c r="E53" s="249" t="s">
        <v>148</v>
      </c>
      <c r="F53" s="250"/>
      <c r="G53" s="251" t="s">
        <v>330</v>
      </c>
      <c r="I53" s="249" t="s">
        <v>148</v>
      </c>
      <c r="J53" s="251" t="s">
        <v>330</v>
      </c>
      <c r="K53" s="212"/>
      <c r="L53" s="249" t="s">
        <v>148</v>
      </c>
      <c r="M53" s="252"/>
      <c r="N53" s="251" t="s">
        <v>330</v>
      </c>
    </row>
    <row r="54" spans="1:15" ht="14" x14ac:dyDescent="0.3">
      <c r="A54" s="151">
        <f>IF(B54&lt;&gt;"",COUNTA($B$13:B54),"")</f>
        <v>36</v>
      </c>
      <c r="B54" s="130" t="str">
        <f>'G2 WMA'!B52</f>
        <v>Distribution</v>
      </c>
      <c r="C54" s="253" t="str">
        <f>'G2 WMA'!C52</f>
        <v>DIST</v>
      </c>
      <c r="D54" s="253"/>
      <c r="E54" s="154">
        <f t="shared" ref="E54:E69" si="4">SUMIF($C$13:$C$45,$C54,$I$13:$I$45)</f>
        <v>171947.29684094054</v>
      </c>
      <c r="G54" s="254">
        <f>+E54/$E$19*100</f>
        <v>2.5435300253371809</v>
      </c>
      <c r="I54" s="154">
        <f t="shared" ref="I54:I69" si="5">SUMIF($C$13:$C$45,$C54,$N$13:$N$45)</f>
        <v>177902.84505176713</v>
      </c>
      <c r="J54" s="254">
        <f>+I54/$E$19*100</f>
        <v>2.6316274596666855</v>
      </c>
      <c r="L54" s="154">
        <f t="shared" ref="L54:L74" si="6">I54-E54</f>
        <v>5955.548210826586</v>
      </c>
      <c r="N54" s="254">
        <f>+L54/$E$19*100</f>
        <v>8.8097434329504343E-2</v>
      </c>
      <c r="O54" s="272"/>
    </row>
    <row r="55" spans="1:15" ht="14" x14ac:dyDescent="0.3">
      <c r="A55" s="151">
        <f>IF(B55&lt;&gt;"",COUNTA($B$13:B55),"")</f>
        <v>37</v>
      </c>
      <c r="B55" s="130" t="str">
        <f>'G2 WMA'!B53</f>
        <v>Revenue Decoupling</v>
      </c>
      <c r="C55" s="253" t="str">
        <f>'G2 WMA'!C53</f>
        <v>RDAF</v>
      </c>
      <c r="D55" s="253"/>
      <c r="E55" s="154">
        <f t="shared" si="4"/>
        <v>2366.0642215674757</v>
      </c>
      <c r="G55" s="254">
        <f t="shared" ref="G55:G75" si="7">+E55/($E$19+$E$23)*100</f>
        <v>3.4999999999999996E-2</v>
      </c>
      <c r="I55" s="154">
        <f t="shared" si="5"/>
        <v>-1874.1770828477534</v>
      </c>
      <c r="J55" s="254">
        <f t="shared" ref="J55:J75" si="8">+I55/($E$19+$E$23)*100</f>
        <v>-2.7723760539439223E-2</v>
      </c>
      <c r="L55" s="154">
        <f>I55-E55</f>
        <v>-4240.241304415229</v>
      </c>
      <c r="N55" s="254">
        <f t="shared" ref="N55:N75" si="9">+L55/($E$19+$E$23)*100</f>
        <v>-6.2723760539439233E-2</v>
      </c>
      <c r="O55" s="272"/>
    </row>
    <row r="56" spans="1:15" ht="14" x14ac:dyDescent="0.3">
      <c r="A56" s="151">
        <f>IF(B56&lt;&gt;"",COUNTA($B$13:B56),"")</f>
        <v>38</v>
      </c>
      <c r="B56" s="130" t="str">
        <f>'G2 WMA'!B54</f>
        <v>Residential Assistance Adjustment Factor</v>
      </c>
      <c r="C56" s="253" t="str">
        <f>'G2 WMA'!C54</f>
        <v>RAAF</v>
      </c>
      <c r="D56" s="253"/>
      <c r="E56" s="154">
        <f t="shared" si="4"/>
        <v>43129.970667429989</v>
      </c>
      <c r="G56" s="254">
        <f t="shared" si="7"/>
        <v>0.63800000000000001</v>
      </c>
      <c r="I56" s="154">
        <f t="shared" si="5"/>
        <v>15833.552042930585</v>
      </c>
      <c r="J56" s="254">
        <f t="shared" si="8"/>
        <v>0.2342177851518501</v>
      </c>
      <c r="L56" s="154">
        <f t="shared" si="6"/>
        <v>-27296.418624499405</v>
      </c>
      <c r="N56" s="254">
        <f t="shared" si="9"/>
        <v>-0.40378221484814997</v>
      </c>
      <c r="O56" s="272"/>
    </row>
    <row r="57" spans="1:15" ht="14" x14ac:dyDescent="0.3">
      <c r="A57" s="151">
        <f>IF(B57&lt;&gt;"",COUNTA($B$13:B57),"")</f>
        <v>39</v>
      </c>
      <c r="B57" s="130" t="str">
        <f>'G2 WMA'!B55</f>
        <v>Pension Adjustment Factor</v>
      </c>
      <c r="C57" s="253" t="str">
        <f>'G2 WMA'!C55</f>
        <v>PAF</v>
      </c>
      <c r="D57" s="253"/>
      <c r="E57" s="154">
        <f t="shared" si="4"/>
        <v>4258.9155988214561</v>
      </c>
      <c r="G57" s="254">
        <f t="shared" si="7"/>
        <v>6.3E-2</v>
      </c>
      <c r="I57" s="154">
        <f t="shared" si="5"/>
        <v>2501.2354813388838</v>
      </c>
      <c r="J57" s="254">
        <f t="shared" si="8"/>
        <v>3.6999520574663478E-2</v>
      </c>
      <c r="L57" s="154">
        <f t="shared" si="6"/>
        <v>-1757.6801174825723</v>
      </c>
      <c r="N57" s="254">
        <f t="shared" si="9"/>
        <v>-2.6000479425336526E-2</v>
      </c>
      <c r="O57" s="272"/>
    </row>
    <row r="58" spans="1:15" ht="14" x14ac:dyDescent="0.3">
      <c r="A58" s="151">
        <f>IF(B58&lt;&gt;"",COUNTA($B$13:B58),"")</f>
        <v>40</v>
      </c>
      <c r="B58" s="130" t="str">
        <f>'G2 WMA'!B56</f>
        <v>Net Metering Recovery Surcharge</v>
      </c>
      <c r="C58" s="253" t="str">
        <f>'G2 WMA'!C56</f>
        <v>NMRS</v>
      </c>
      <c r="D58" s="253"/>
      <c r="E58" s="154">
        <f t="shared" si="4"/>
        <v>18725.708267834023</v>
      </c>
      <c r="G58" s="254">
        <f t="shared" si="7"/>
        <v>0.27700000000000002</v>
      </c>
      <c r="I58" s="154">
        <f t="shared" si="5"/>
        <v>20645.681792771786</v>
      </c>
      <c r="J58" s="254">
        <f t="shared" si="8"/>
        <v>0.30540120431232565</v>
      </c>
      <c r="L58" s="154">
        <f t="shared" si="6"/>
        <v>1919.9735249377627</v>
      </c>
      <c r="N58" s="254">
        <f t="shared" si="9"/>
        <v>2.8401204312325679E-2</v>
      </c>
      <c r="O58" s="272"/>
    </row>
    <row r="59" spans="1:15" ht="14" x14ac:dyDescent="0.3">
      <c r="A59" s="151">
        <f>IF(B59&lt;&gt;"",COUNTA($B$13:B59),"")</f>
        <v>41</v>
      </c>
      <c r="B59" s="130" t="str">
        <f>'G2 WMA'!B57</f>
        <v>Long Term Renewable Contract Adjustment</v>
      </c>
      <c r="C59" s="253" t="str">
        <f>'G2 WMA'!C57</f>
        <v>LTRCA</v>
      </c>
      <c r="D59" s="253"/>
      <c r="E59" s="154">
        <f t="shared" si="4"/>
        <v>22376.207352538127</v>
      </c>
      <c r="G59" s="254">
        <f t="shared" si="7"/>
        <v>0.33100000000000002</v>
      </c>
      <c r="I59" s="154">
        <f t="shared" si="5"/>
        <v>11733.737542966261</v>
      </c>
      <c r="J59" s="254">
        <f t="shared" si="8"/>
        <v>0.17357128782064518</v>
      </c>
      <c r="L59" s="154">
        <f t="shared" si="6"/>
        <v>-10642.469809571867</v>
      </c>
      <c r="N59" s="254">
        <f t="shared" si="9"/>
        <v>-0.15742871217935481</v>
      </c>
      <c r="O59" s="272"/>
    </row>
    <row r="60" spans="1:15" ht="14" x14ac:dyDescent="0.3">
      <c r="A60" s="151">
        <f>IF(B60&lt;&gt;"",COUNTA($B$13:B60),"")</f>
        <v>42</v>
      </c>
      <c r="B60" s="130" t="str">
        <f>'G2 WMA'!B58</f>
        <v>AG Consulting Expense</v>
      </c>
      <c r="C60" s="253" t="str">
        <f>'G2 WMA'!C58</f>
        <v>AGCE</v>
      </c>
      <c r="D60" s="253"/>
      <c r="E60" s="154">
        <f t="shared" si="4"/>
        <v>135.20366980385577</v>
      </c>
      <c r="G60" s="254">
        <f t="shared" si="7"/>
        <v>2E-3</v>
      </c>
      <c r="I60" s="154">
        <f t="shared" si="5"/>
        <v>33.244552878951176</v>
      </c>
      <c r="J60" s="254">
        <f t="shared" si="8"/>
        <v>4.9176997824363939E-4</v>
      </c>
      <c r="L60" s="154">
        <f t="shared" si="6"/>
        <v>-101.95911692490461</v>
      </c>
      <c r="N60" s="254">
        <f t="shared" si="9"/>
        <v>-1.508230021756361E-3</v>
      </c>
      <c r="O60" s="272"/>
    </row>
    <row r="61" spans="1:15" ht="14" x14ac:dyDescent="0.3">
      <c r="A61" s="151">
        <f>IF(B61&lt;&gt;"",COUNTA($B$13:B61),"")</f>
        <v>43</v>
      </c>
      <c r="B61" s="130" t="str">
        <f>'G2 WMA'!B59</f>
        <v>Storm Cost Recovery Adjustment Factor</v>
      </c>
      <c r="C61" s="253" t="str">
        <f>'G2 WMA'!C59</f>
        <v>SCRA</v>
      </c>
      <c r="D61" s="253"/>
      <c r="E61" s="154">
        <f t="shared" si="4"/>
        <v>10005.071565485327</v>
      </c>
      <c r="G61" s="254">
        <f t="shared" si="7"/>
        <v>0.14800000000000002</v>
      </c>
      <c r="I61" s="154">
        <f t="shared" si="5"/>
        <v>11894.738345757249</v>
      </c>
      <c r="J61" s="254">
        <f t="shared" si="8"/>
        <v>0.17595289185586932</v>
      </c>
      <c r="L61" s="154">
        <f>I61-E61</f>
        <v>1889.6667802719221</v>
      </c>
      <c r="N61" s="254">
        <f t="shared" si="9"/>
        <v>2.795289185586932E-2</v>
      </c>
      <c r="O61" s="272"/>
    </row>
    <row r="62" spans="1:15" ht="14" x14ac:dyDescent="0.3">
      <c r="A62" s="151">
        <f>IF(B62&lt;&gt;"",COUNTA($B$13:B62),"")</f>
        <v>44</v>
      </c>
      <c r="B62" s="130" t="str">
        <f>'G2 WMA'!B60</f>
        <v>Storm Reserve Adjustment</v>
      </c>
      <c r="C62" s="253" t="str">
        <f>'G2 WMA'!C60</f>
        <v>SRA</v>
      </c>
      <c r="D62" s="253"/>
      <c r="E62" s="154">
        <f t="shared" si="4"/>
        <v>0</v>
      </c>
      <c r="G62" s="254">
        <f t="shared" si="7"/>
        <v>0</v>
      </c>
      <c r="I62" s="154">
        <f t="shared" si="5"/>
        <v>0</v>
      </c>
      <c r="J62" s="254">
        <f t="shared" si="8"/>
        <v>0</v>
      </c>
      <c r="L62" s="154">
        <f>I62-E62</f>
        <v>0</v>
      </c>
      <c r="N62" s="254">
        <f t="shared" si="9"/>
        <v>0</v>
      </c>
      <c r="O62" s="272"/>
    </row>
    <row r="63" spans="1:15" ht="14" x14ac:dyDescent="0.3">
      <c r="A63" s="151">
        <f>IF(B63&lt;&gt;"",COUNTA($B$13:B63),"")</f>
        <v>45</v>
      </c>
      <c r="B63" s="130" t="str">
        <f>'G2 WMA'!B61</f>
        <v>Basic Service Cost True Up Factor</v>
      </c>
      <c r="C63" s="253" t="str">
        <f>'G2 WMA'!C61</f>
        <v>BSTF</v>
      </c>
      <c r="D63" s="253"/>
      <c r="E63" s="154">
        <f t="shared" si="4"/>
        <v>878.82385372506235</v>
      </c>
      <c r="G63" s="254">
        <f t="shared" si="7"/>
        <v>1.2999999999999999E-2</v>
      </c>
      <c r="I63" s="154">
        <f t="shared" si="5"/>
        <v>-785.69965179265637</v>
      </c>
      <c r="J63" s="254">
        <f t="shared" si="8"/>
        <v>-1.1622460439609307E-2</v>
      </c>
      <c r="L63" s="154">
        <f>I63-E63</f>
        <v>-1664.5235055177186</v>
      </c>
      <c r="N63" s="254">
        <f t="shared" si="9"/>
        <v>-2.4622460439609303E-2</v>
      </c>
      <c r="O63" s="272"/>
    </row>
    <row r="64" spans="1:15" ht="14" x14ac:dyDescent="0.3">
      <c r="A64" s="151">
        <f>IF(B64&lt;&gt;"",COUNTA($B$13:B64),"")</f>
        <v>46</v>
      </c>
      <c r="B64" s="130" t="str">
        <f>'G2 WMA'!B62</f>
        <v>Solar Program Cost Adjustment Factor</v>
      </c>
      <c r="C64" s="253" t="str">
        <f>'G2 WMA'!C62</f>
        <v>SPCA</v>
      </c>
      <c r="D64" s="253"/>
      <c r="E64" s="154">
        <f t="shared" si="4"/>
        <v>-540.8146792154231</v>
      </c>
      <c r="G64" s="254">
        <f t="shared" si="7"/>
        <v>-8.0000000000000002E-3</v>
      </c>
      <c r="I64" s="154">
        <f t="shared" si="5"/>
        <v>139.82665952125365</v>
      </c>
      <c r="J64" s="254">
        <f t="shared" si="8"/>
        <v>2.0683855656300544E-3</v>
      </c>
      <c r="L64" s="154">
        <f t="shared" si="6"/>
        <v>680.64133873667674</v>
      </c>
      <c r="N64" s="254">
        <f t="shared" si="9"/>
        <v>1.0068385565630056E-2</v>
      </c>
    </row>
    <row r="65" spans="1:14" ht="14" x14ac:dyDescent="0.3">
      <c r="A65" s="151">
        <f>IF(B65&lt;&gt;"",COUNTA($B$13:B65),"")</f>
        <v>47</v>
      </c>
      <c r="B65" s="130" t="str">
        <f>'G2 WMA'!B63</f>
        <v>Solar Expansion Cost Recovery Factor</v>
      </c>
      <c r="C65" s="253" t="str">
        <f>'G2 WMA'!C63</f>
        <v>SECRF</v>
      </c>
      <c r="D65" s="253"/>
      <c r="E65" s="154">
        <f t="shared" si="4"/>
        <v>0</v>
      </c>
      <c r="G65" s="254">
        <f t="shared" si="7"/>
        <v>0</v>
      </c>
      <c r="I65" s="154">
        <f t="shared" si="5"/>
        <v>2466.2223888863268</v>
      </c>
      <c r="J65" s="254">
        <f t="shared" si="8"/>
        <v>3.6481589478512731E-2</v>
      </c>
      <c r="L65" s="154">
        <f t="shared" si="6"/>
        <v>2466.2223888863268</v>
      </c>
      <c r="N65" s="254">
        <f t="shared" si="9"/>
        <v>3.6481589478512731E-2</v>
      </c>
    </row>
    <row r="66" spans="1:14" ht="14" x14ac:dyDescent="0.3">
      <c r="A66" s="151">
        <f>IF(B66&lt;&gt;"",COUNTA($B$13:B66),"")</f>
        <v>48</v>
      </c>
      <c r="B66" s="130" t="str">
        <f>'G2 WMA'!B64</f>
        <v>Vegetation Management</v>
      </c>
      <c r="C66" s="253" t="str">
        <f>'G2 WMA'!C64</f>
        <v>RTWF</v>
      </c>
      <c r="D66" s="253"/>
      <c r="E66" s="154">
        <f t="shared" si="4"/>
        <v>0</v>
      </c>
      <c r="G66" s="254">
        <f t="shared" si="7"/>
        <v>0</v>
      </c>
      <c r="I66" s="154">
        <f t="shared" si="5"/>
        <v>4478.0568897660551</v>
      </c>
      <c r="J66" s="254">
        <f t="shared" si="8"/>
        <v>6.6241647083433663E-2</v>
      </c>
      <c r="L66" s="154">
        <f t="shared" si="6"/>
        <v>4478.0568897660551</v>
      </c>
      <c r="N66" s="254">
        <f t="shared" si="9"/>
        <v>6.6241647083433663E-2</v>
      </c>
    </row>
    <row r="67" spans="1:14" ht="14" x14ac:dyDescent="0.3">
      <c r="A67" s="151">
        <f>IF(B67&lt;&gt;"",COUNTA($B$13:B67),"")</f>
        <v>49</v>
      </c>
      <c r="B67" s="130" t="str">
        <f>'G2 WMA'!B65</f>
        <v>Solar Massachusetts Renewable Target</v>
      </c>
      <c r="C67" s="253" t="str">
        <f>'G2 WMA'!C65</f>
        <v>SMART</v>
      </c>
      <c r="D67" s="253"/>
      <c r="E67" s="154">
        <f t="shared" si="4"/>
        <v>0</v>
      </c>
      <c r="G67" s="254">
        <f t="shared" si="7"/>
        <v>0</v>
      </c>
      <c r="I67" s="154">
        <f t="shared" si="5"/>
        <v>2889.5256097752217</v>
      </c>
      <c r="J67" s="254">
        <f t="shared" si="8"/>
        <v>4.274330147942209E-2</v>
      </c>
      <c r="L67" s="154">
        <f t="shared" si="6"/>
        <v>2889.5256097752217</v>
      </c>
      <c r="N67" s="254">
        <f t="shared" si="9"/>
        <v>4.274330147942209E-2</v>
      </c>
    </row>
    <row r="68" spans="1:14" ht="14" x14ac:dyDescent="0.3">
      <c r="A68" s="151">
        <f>IF(B68&lt;&gt;"",COUNTA($B$13:B68),"")</f>
        <v>50</v>
      </c>
      <c r="B68" s="130" t="str">
        <f>'G2 WMA'!B66</f>
        <v>Tax Act Credit Factor</v>
      </c>
      <c r="C68" s="253" t="str">
        <f>'G2 WMA'!C66</f>
        <v>TACF</v>
      </c>
      <c r="D68" s="253"/>
      <c r="E68" s="154">
        <f t="shared" si="4"/>
        <v>0</v>
      </c>
      <c r="G68" s="254">
        <f t="shared" si="7"/>
        <v>0</v>
      </c>
      <c r="I68" s="154">
        <f t="shared" si="5"/>
        <v>-4374.2590539367338</v>
      </c>
      <c r="J68" s="254">
        <f t="shared" si="8"/>
        <v>-6.4706217816167408E-2</v>
      </c>
      <c r="L68" s="154">
        <f t="shared" si="6"/>
        <v>-4374.2590539367338</v>
      </c>
      <c r="N68" s="254">
        <f t="shared" si="9"/>
        <v>-6.4706217816167408E-2</v>
      </c>
    </row>
    <row r="69" spans="1:14" ht="14" x14ac:dyDescent="0.3">
      <c r="A69" s="151">
        <f>IF(B69&lt;&gt;"",COUNTA($B$13:B69),"")</f>
        <v>51</v>
      </c>
      <c r="B69" s="130" t="str">
        <f>'G2 WMA'!B67</f>
        <v>Transition</v>
      </c>
      <c r="C69" s="253" t="str">
        <f>'G2 WMA'!C67</f>
        <v>TRNSN</v>
      </c>
      <c r="D69" s="253"/>
      <c r="E69" s="154">
        <f t="shared" si="4"/>
        <v>-11559.913768229666</v>
      </c>
      <c r="G69" s="254">
        <f t="shared" si="7"/>
        <v>-0.17099999999999999</v>
      </c>
      <c r="I69" s="154">
        <f t="shared" si="5"/>
        <v>-3522.6857423755487</v>
      </c>
      <c r="J69" s="254">
        <f t="shared" si="8"/>
        <v>-5.2109321403568713E-2</v>
      </c>
      <c r="L69" s="154">
        <f t="shared" si="6"/>
        <v>8037.2280258541177</v>
      </c>
      <c r="N69" s="254">
        <f t="shared" si="9"/>
        <v>0.11889067859643127</v>
      </c>
    </row>
    <row r="70" spans="1:14" ht="14" x14ac:dyDescent="0.3">
      <c r="A70" s="151">
        <f>IF(B70&lt;&gt;"",COUNTA($B$13:B70),"")</f>
        <v>52</v>
      </c>
      <c r="B70" s="130" t="str">
        <f>'G2 WMA'!B68</f>
        <v>Transmission</v>
      </c>
      <c r="C70" s="253" t="str">
        <f>'G2 WMA'!C68</f>
        <v>TRNSM</v>
      </c>
      <c r="D70" s="253"/>
      <c r="E70" s="154">
        <f>SUM(SUMIF($C$13:$C$45,{"TMKW","TMKWH"},$I$13:$I$45))</f>
        <v>159267.5526228325</v>
      </c>
      <c r="G70" s="254">
        <f t="shared" si="7"/>
        <v>2.3559649357726311</v>
      </c>
      <c r="I70" s="154">
        <f>SUM(SUMIF($C$13:$C$45,{"TMKW","TMKWH"},$N$13:$N$45))</f>
        <v>140421.81362726886</v>
      </c>
      <c r="J70" s="254">
        <f t="shared" si="8"/>
        <v>2.0771893814862161</v>
      </c>
      <c r="L70" s="154">
        <f t="shared" si="6"/>
        <v>-18845.738995563646</v>
      </c>
      <c r="N70" s="254">
        <f t="shared" si="9"/>
        <v>-0.27877555428641482</v>
      </c>
    </row>
    <row r="71" spans="1:14" ht="14" x14ac:dyDescent="0.3">
      <c r="A71" s="151">
        <f>IF(B71&lt;&gt;"",COUNTA($B$13:B71),"")</f>
        <v>53</v>
      </c>
      <c r="B71" s="130" t="str">
        <f>'G2 WMA'!B69</f>
        <v>Energy Efficiency Reconciliation Factor</v>
      </c>
      <c r="C71" s="253" t="str">
        <f>'G2 WMA'!C69</f>
        <v>EERF</v>
      </c>
      <c r="D71" s="253"/>
      <c r="E71" s="154">
        <f>SUMIF($C$13:$C$45,$C71,$I$13:$I$45)</f>
        <v>65708.983524673895</v>
      </c>
      <c r="G71" s="254">
        <f t="shared" si="7"/>
        <v>0.97199999999999998</v>
      </c>
      <c r="I71" s="154">
        <f>SUMIF($C$13:$C$45,$C71,$N$13:$N$45)</f>
        <v>65708.983524673895</v>
      </c>
      <c r="J71" s="254">
        <f t="shared" si="8"/>
        <v>0.97199999999999998</v>
      </c>
      <c r="L71" s="154">
        <f t="shared" si="6"/>
        <v>0</v>
      </c>
      <c r="N71" s="254">
        <f t="shared" si="9"/>
        <v>0</v>
      </c>
    </row>
    <row r="72" spans="1:14" ht="14" x14ac:dyDescent="0.3">
      <c r="A72" s="151">
        <f>IF(B72&lt;&gt;"",COUNTA($B$13:B72),"")</f>
        <v>54</v>
      </c>
      <c r="B72" s="130" t="str">
        <f>'G2 WMA'!B70</f>
        <v>System Benefits Charge</v>
      </c>
      <c r="C72" s="253" t="str">
        <f>'G2 WMA'!C70</f>
        <v>SBC</v>
      </c>
      <c r="D72" s="253"/>
      <c r="E72" s="154">
        <f>SUMIF($C$13:$C$45,$C72,$I$13:$I$45)</f>
        <v>16900.458725481971</v>
      </c>
      <c r="G72" s="254">
        <f t="shared" si="7"/>
        <v>0.25</v>
      </c>
      <c r="I72" s="154">
        <f>SUMIF($C$13:$C$45,$C72,$N$13:$N$45)</f>
        <v>16900.458725481971</v>
      </c>
      <c r="J72" s="254">
        <f t="shared" si="8"/>
        <v>0.25</v>
      </c>
      <c r="L72" s="154">
        <f t="shared" si="6"/>
        <v>0</v>
      </c>
      <c r="N72" s="254">
        <f t="shared" si="9"/>
        <v>0</v>
      </c>
    </row>
    <row r="73" spans="1:14" ht="14" x14ac:dyDescent="0.3">
      <c r="A73" s="151">
        <f>IF(B73&lt;&gt;"",COUNTA($B$13:B73),"")</f>
        <v>55</v>
      </c>
      <c r="B73" s="130" t="str">
        <f>'G2 WMA'!B71</f>
        <v>Renewable Energy Charge</v>
      </c>
      <c r="C73" s="253" t="str">
        <f>'G2 WMA'!C71</f>
        <v>RNEW</v>
      </c>
      <c r="D73" s="253"/>
      <c r="E73" s="154">
        <f>SUMIF($C$13:$C$45,$C73,$I$13:$I$45)</f>
        <v>3380.0917450963939</v>
      </c>
      <c r="G73" s="254">
        <f t="shared" si="7"/>
        <v>0.05</v>
      </c>
      <c r="I73" s="154">
        <f>SUMIF($C$13:$C$45,$C73,$N$13:$N$45)</f>
        <v>3380.0917450963939</v>
      </c>
      <c r="J73" s="254">
        <f t="shared" si="8"/>
        <v>0.05</v>
      </c>
      <c r="L73" s="154">
        <f>I73-E73</f>
        <v>0</v>
      </c>
      <c r="N73" s="254">
        <f t="shared" si="9"/>
        <v>0</v>
      </c>
    </row>
    <row r="74" spans="1:14" ht="14" x14ac:dyDescent="0.3">
      <c r="A74" s="151">
        <f>IF(B74&lt;&gt;"",COUNTA($B$13:B74),"")</f>
        <v>56</v>
      </c>
      <c r="B74" s="130" t="str">
        <f>'G2 WMA'!B72</f>
        <v>Basic Service Charge</v>
      </c>
      <c r="C74" s="253" t="str">
        <f>'G2 WMA'!C72</f>
        <v>BS</v>
      </c>
      <c r="D74" s="253"/>
      <c r="E74" s="255">
        <f>SUMIF($C$13:$C$45,$C74,$I$13:$I$45)</f>
        <v>769782.09402825276</v>
      </c>
      <c r="F74" s="256"/>
      <c r="G74" s="257">
        <f t="shared" si="7"/>
        <v>11.387</v>
      </c>
      <c r="H74" s="258"/>
      <c r="I74" s="255">
        <f>SUMIF($C$13:$C$45,$C74,$N$13:$N$45)</f>
        <v>1003143.628109708</v>
      </c>
      <c r="J74" s="257">
        <f t="shared" si="8"/>
        <v>14.839000000000002</v>
      </c>
      <c r="K74" s="255"/>
      <c r="L74" s="255">
        <f t="shared" si="6"/>
        <v>233361.5340814552</v>
      </c>
      <c r="M74" s="259"/>
      <c r="N74" s="257">
        <f t="shared" si="9"/>
        <v>3.4520000000000022</v>
      </c>
    </row>
    <row r="75" spans="1:14" ht="14" x14ac:dyDescent="0.3">
      <c r="A75" s="151">
        <f>IF(B75&lt;&gt;"",COUNTA($B$13:B75),"")</f>
        <v>57</v>
      </c>
      <c r="B75" s="130" t="str">
        <f>'G2 WMA'!B73</f>
        <v>Total</v>
      </c>
      <c r="C75" s="130"/>
      <c r="D75" s="130"/>
      <c r="E75" s="154">
        <f>SUM(E54:E74)</f>
        <v>1276761.7142370383</v>
      </c>
      <c r="G75" s="254">
        <f t="shared" si="7"/>
        <v>18.886494961109811</v>
      </c>
      <c r="I75" s="154">
        <f>SUM(I54:I74)</f>
        <v>1469516.8205596362</v>
      </c>
      <c r="J75" s="254">
        <f t="shared" si="8"/>
        <v>21.737824464254718</v>
      </c>
      <c r="L75" s="154">
        <f>SUM(L54:L74)</f>
        <v>192755.1063225978</v>
      </c>
      <c r="N75" s="254">
        <f t="shared" si="9"/>
        <v>2.8513295031449033</v>
      </c>
    </row>
    <row r="76" spans="1:14" ht="14" x14ac:dyDescent="0.3">
      <c r="A76" s="151" t="str">
        <f>IF(B76&lt;&gt;"",COUNTA($B$10:B76),"")</f>
        <v/>
      </c>
    </row>
    <row r="77" spans="1:14" ht="14" x14ac:dyDescent="0.3">
      <c r="A77" s="151"/>
      <c r="B77" s="256" t="s">
        <v>164</v>
      </c>
      <c r="E77" s="188"/>
      <c r="G77" s="188"/>
      <c r="H77" s="188"/>
      <c r="I77" s="188"/>
      <c r="J77" s="188"/>
      <c r="K77" s="188"/>
      <c r="L77" s="188"/>
      <c r="M77" s="188"/>
      <c r="N77" s="188"/>
    </row>
    <row r="78" spans="1:14" ht="14" x14ac:dyDescent="0.3">
      <c r="A78" s="151"/>
      <c r="B78" s="130" t="str">
        <f>'G2 WMA'!B76</f>
        <v>Col. (a): Company's forecast</v>
      </c>
    </row>
    <row r="79" spans="1:14" ht="14" x14ac:dyDescent="0.3">
      <c r="A79" s="151"/>
      <c r="B79" s="130" t="str">
        <f>'G2 WMA'!B77</f>
        <v>Col. (b): Current rates</v>
      </c>
    </row>
    <row r="80" spans="1:14" ht="14" x14ac:dyDescent="0.3">
      <c r="A80" s="151"/>
      <c r="B80" s="130" t="str">
        <f>'G2 WMA'!B78</f>
        <v>Col. (c): Col. (a) x Col. (b)</v>
      </c>
    </row>
    <row r="81" spans="1:2" ht="14" x14ac:dyDescent="0.3">
      <c r="A81" s="151"/>
      <c r="B81" s="130" t="str">
        <f>'G2 WMA'!B79</f>
        <v>Col. (e): Proposed rates</v>
      </c>
    </row>
    <row r="82" spans="1:2" ht="14" x14ac:dyDescent="0.3">
      <c r="A82" s="151"/>
      <c r="B82" s="130" t="s">
        <v>496</v>
      </c>
    </row>
  </sheetData>
  <mergeCells count="5">
    <mergeCell ref="A4:N4"/>
    <mergeCell ref="A5:N5"/>
    <mergeCell ref="A8:N8"/>
    <mergeCell ref="G10:I10"/>
    <mergeCell ref="L10:N10"/>
  </mergeCells>
  <pageMargins left="0.7" right="0.7" top="0.75" bottom="0.75" header="0.3" footer="0.3"/>
  <pageSetup scale="60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A06EA-0249-4328-94E6-328EA83B976F}">
  <sheetPr>
    <tabColor theme="9" tint="0.59999389629810485"/>
    <pageSetUpPr fitToPage="1"/>
  </sheetPr>
  <dimension ref="A3:Q83"/>
  <sheetViews>
    <sheetView workbookViewId="0"/>
  </sheetViews>
  <sheetFormatPr defaultRowHeight="12.5" x14ac:dyDescent="0.25"/>
  <cols>
    <col min="1" max="1" width="3.26953125" bestFit="1" customWidth="1"/>
    <col min="2" max="2" width="41.1796875" customWidth="1"/>
    <col min="3" max="3" width="8.7265625" bestFit="1" customWidth="1"/>
    <col min="4" max="4" width="1.453125" customWidth="1"/>
    <col min="5" max="5" width="14.453125" bestFit="1" customWidth="1"/>
    <col min="6" max="6" width="1.453125" customWidth="1"/>
    <col min="7" max="7" width="12.7265625" customWidth="1"/>
    <col min="8" max="8" width="1.453125" customWidth="1"/>
    <col min="9" max="9" width="14.1796875" customWidth="1"/>
    <col min="11" max="11" width="1.453125" customWidth="1"/>
    <col min="12" max="12" width="13.54296875" customWidth="1"/>
    <col min="13" max="13" width="1.453125" customWidth="1"/>
    <col min="14" max="14" width="14.453125" customWidth="1"/>
  </cols>
  <sheetData>
    <row r="3" spans="1:17" ht="14" x14ac:dyDescent="0.3">
      <c r="A3" s="268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</row>
    <row r="4" spans="1:17" ht="14" x14ac:dyDescent="0.3">
      <c r="A4" s="748" t="str">
        <f>'T4 WMA'!A4:N4</f>
        <v>Western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7" ht="14" x14ac:dyDescent="0.3">
      <c r="A5" s="748" t="str">
        <f>+'23 WMA'!A5:N5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7" ht="14" x14ac:dyDescent="0.3">
      <c r="A6" s="268"/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</row>
    <row r="7" spans="1:17" ht="14" x14ac:dyDescent="0.3">
      <c r="A7" s="268"/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</row>
    <row r="8" spans="1:17" ht="14" x14ac:dyDescent="0.3">
      <c r="A8" s="748" t="s">
        <v>519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7" ht="14" x14ac:dyDescent="0.3">
      <c r="B9" s="207"/>
      <c r="C9" s="207"/>
      <c r="D9" s="207"/>
      <c r="E9" s="213"/>
      <c r="F9" s="207"/>
      <c r="I9" s="210"/>
      <c r="J9" s="210"/>
      <c r="K9" s="210"/>
      <c r="L9" s="214"/>
      <c r="M9" s="214"/>
      <c r="N9" s="215"/>
    </row>
    <row r="10" spans="1:17" ht="14.5" thickBot="1" x14ac:dyDescent="0.35">
      <c r="A10" s="151"/>
      <c r="B10" s="216" t="s">
        <v>46</v>
      </c>
      <c r="C10" s="216"/>
      <c r="D10" s="216"/>
      <c r="E10" s="217" t="s">
        <v>144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7" ht="14" x14ac:dyDescent="0.3">
      <c r="A11" s="151"/>
      <c r="B11" s="219" t="s">
        <v>293</v>
      </c>
      <c r="C11" s="220" t="s">
        <v>294</v>
      </c>
      <c r="D11" s="220"/>
      <c r="E11" s="221" t="s">
        <v>295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7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7" ht="14" x14ac:dyDescent="0.3">
      <c r="A13" s="151">
        <f>IF(B13&lt;&gt;"",COUNTA($B$13:B13),"")</f>
        <v>1</v>
      </c>
      <c r="B13" s="232" t="s">
        <v>520</v>
      </c>
      <c r="C13" s="233" t="s">
        <v>412</v>
      </c>
      <c r="D13" s="233"/>
      <c r="E13" s="234">
        <v>2773.4053316781237</v>
      </c>
      <c r="F13" s="207"/>
      <c r="G13" s="209">
        <v>760</v>
      </c>
      <c r="H13" s="209"/>
      <c r="I13" s="210">
        <f>G13*E13</f>
        <v>2107788.0520753739</v>
      </c>
      <c r="J13" s="235"/>
      <c r="K13" s="210"/>
      <c r="L13" s="238">
        <v>760</v>
      </c>
      <c r="M13" s="211"/>
      <c r="N13" s="210">
        <f>L13*E13</f>
        <v>2107788.0520753739</v>
      </c>
      <c r="O13" s="272"/>
      <c r="P13" s="234"/>
      <c r="Q13" s="154"/>
    </row>
    <row r="14" spans="1:17" ht="14" x14ac:dyDescent="0.3">
      <c r="A14" s="151">
        <f>IF(B14&lt;&gt;"",COUNTA($B$13:B14),"")</f>
        <v>2</v>
      </c>
      <c r="B14" s="232" t="s">
        <v>521</v>
      </c>
      <c r="C14" s="233" t="s">
        <v>414</v>
      </c>
      <c r="D14" s="233"/>
      <c r="E14" s="234">
        <v>413.91096214700758</v>
      </c>
      <c r="F14" s="207"/>
      <c r="G14" s="209">
        <v>1625</v>
      </c>
      <c r="H14" s="209"/>
      <c r="I14" s="210">
        <f t="shared" ref="I14:I15" si="0">G14*E14</f>
        <v>672605.31348888727</v>
      </c>
      <c r="J14" s="235"/>
      <c r="K14" s="210"/>
      <c r="L14" s="238">
        <v>1625</v>
      </c>
      <c r="M14" s="211"/>
      <c r="N14" s="210">
        <f t="shared" ref="N14:N15" si="1">L14*E14</f>
        <v>672605.31348888727</v>
      </c>
      <c r="O14" s="272"/>
      <c r="P14" s="234"/>
      <c r="Q14" s="154"/>
    </row>
    <row r="15" spans="1:17" ht="14" x14ac:dyDescent="0.3">
      <c r="A15" s="151">
        <f>IF(B15&lt;&gt;"",COUNTA($B$13:B15),"")</f>
        <v>3</v>
      </c>
      <c r="B15" s="232" t="s">
        <v>522</v>
      </c>
      <c r="C15" s="233" t="s">
        <v>416</v>
      </c>
      <c r="D15" s="233"/>
      <c r="E15" s="234">
        <v>205.01131553946277</v>
      </c>
      <c r="F15" s="207"/>
      <c r="G15" s="209">
        <v>2700</v>
      </c>
      <c r="H15" s="209"/>
      <c r="I15" s="210">
        <f t="shared" si="0"/>
        <v>553530.55195654952</v>
      </c>
      <c r="J15" s="235"/>
      <c r="K15" s="210"/>
      <c r="L15" s="238">
        <v>2700</v>
      </c>
      <c r="M15" s="211"/>
      <c r="N15" s="210">
        <f t="shared" si="1"/>
        <v>553530.55195654952</v>
      </c>
      <c r="O15" s="272"/>
      <c r="P15" s="234"/>
      <c r="Q15" s="154"/>
    </row>
    <row r="16" spans="1:17" ht="14" x14ac:dyDescent="0.3">
      <c r="A16" s="151">
        <f>IF(B16&lt;&gt;"",COUNTA($B$13:B16),"")</f>
        <v>4</v>
      </c>
      <c r="B16" s="232" t="s">
        <v>419</v>
      </c>
      <c r="C16" s="233" t="s">
        <v>297</v>
      </c>
      <c r="D16" s="233"/>
      <c r="E16" s="234">
        <v>3392.3276093645941</v>
      </c>
      <c r="F16" s="207"/>
      <c r="G16" s="209"/>
      <c r="H16" s="209"/>
      <c r="I16" s="210"/>
      <c r="J16" s="235"/>
      <c r="K16" s="210"/>
      <c r="L16" s="238"/>
      <c r="M16" s="211"/>
      <c r="N16" s="210"/>
      <c r="O16" s="272"/>
      <c r="P16" s="234"/>
      <c r="Q16" s="154"/>
    </row>
    <row r="17" spans="1:17" ht="14" x14ac:dyDescent="0.3">
      <c r="A17" s="151">
        <f>IF(B17&lt;&gt;"",COUNTA($B$13:B17),"")</f>
        <v>5</v>
      </c>
      <c r="B17" s="232" t="s">
        <v>523</v>
      </c>
      <c r="C17" s="233" t="s">
        <v>364</v>
      </c>
      <c r="D17" s="233"/>
      <c r="E17" s="234">
        <v>1643613.0961898481</v>
      </c>
      <c r="F17" s="207"/>
      <c r="G17" s="209">
        <v>6.22</v>
      </c>
      <c r="H17" s="209"/>
      <c r="I17" s="210">
        <f t="shared" ref="I17:I19" si="2">G17*E17</f>
        <v>10223273.458300855</v>
      </c>
      <c r="J17" s="235"/>
      <c r="K17" s="210"/>
      <c r="L17" s="238">
        <v>6.47</v>
      </c>
      <c r="M17" s="211"/>
      <c r="N17" s="210">
        <f t="shared" ref="N17:N19" si="3">L17*E17</f>
        <v>10634176.732348317</v>
      </c>
      <c r="O17" s="272"/>
      <c r="P17" s="234"/>
      <c r="Q17" s="154"/>
    </row>
    <row r="18" spans="1:17" ht="14" x14ac:dyDescent="0.3">
      <c r="A18" s="151">
        <f>IF(B18&lt;&gt;"",COUNTA($B$13:B18),"")</f>
        <v>6</v>
      </c>
      <c r="B18" s="207" t="s">
        <v>449</v>
      </c>
      <c r="C18" s="233" t="s">
        <v>442</v>
      </c>
      <c r="D18" s="233"/>
      <c r="E18" s="234">
        <v>190860566.58208621</v>
      </c>
      <c r="F18" s="207"/>
      <c r="G18" s="236">
        <v>2.5300000000000001E-3</v>
      </c>
      <c r="H18" s="209"/>
      <c r="I18" s="210">
        <f t="shared" si="2"/>
        <v>482877.23345267813</v>
      </c>
      <c r="J18" s="235"/>
      <c r="K18" s="210"/>
      <c r="L18" s="281">
        <v>2.63E-3</v>
      </c>
      <c r="M18" s="211"/>
      <c r="N18" s="210">
        <f t="shared" si="3"/>
        <v>501963.29011088674</v>
      </c>
      <c r="O18" s="272"/>
      <c r="P18" s="273"/>
    </row>
    <row r="19" spans="1:17" ht="14" x14ac:dyDescent="0.3">
      <c r="A19" s="151">
        <f>IF(B19&lt;&gt;"",COUNTA($B$13:B19),"")</f>
        <v>7</v>
      </c>
      <c r="B19" s="207" t="s">
        <v>514</v>
      </c>
      <c r="C19" s="233" t="s">
        <v>444</v>
      </c>
      <c r="D19" s="233"/>
      <c r="E19" s="234">
        <v>495872928.39803922</v>
      </c>
      <c r="F19" s="207"/>
      <c r="G19" s="236">
        <v>7.3999999999999999E-4</v>
      </c>
      <c r="H19" s="209"/>
      <c r="I19" s="210">
        <f t="shared" si="2"/>
        <v>366945.96701454901</v>
      </c>
      <c r="J19" s="235"/>
      <c r="K19" s="210"/>
      <c r="L19" s="281">
        <v>7.7999999999999999E-4</v>
      </c>
      <c r="M19" s="211"/>
      <c r="N19" s="210">
        <f t="shared" si="3"/>
        <v>386780.88415047061</v>
      </c>
      <c r="O19" s="272"/>
      <c r="P19" s="273"/>
    </row>
    <row r="20" spans="1:17" ht="14" x14ac:dyDescent="0.3">
      <c r="A20" s="151">
        <f>IF(B20&lt;&gt;"",COUNTA($B$13:B20),"")</f>
        <v>8</v>
      </c>
      <c r="B20" s="207" t="s">
        <v>352</v>
      </c>
      <c r="C20" s="233" t="s">
        <v>299</v>
      </c>
      <c r="D20" s="233"/>
      <c r="E20" s="234">
        <v>686733494.98012543</v>
      </c>
      <c r="F20" s="207"/>
      <c r="G20" s="209"/>
      <c r="H20" s="209"/>
      <c r="I20" s="237"/>
      <c r="J20" s="235"/>
      <c r="K20" s="210"/>
      <c r="L20" s="281"/>
      <c r="M20" s="211"/>
      <c r="N20" s="237"/>
      <c r="O20" s="272"/>
      <c r="P20" s="273"/>
    </row>
    <row r="21" spans="1:17" ht="14" x14ac:dyDescent="0.3">
      <c r="A21" s="151">
        <f>IF(B21&lt;&gt;"",COUNTA($B$13:B21),"")</f>
        <v>9</v>
      </c>
      <c r="B21" s="207" t="s">
        <v>300</v>
      </c>
      <c r="C21" s="233" t="s">
        <v>301</v>
      </c>
      <c r="D21" s="233"/>
      <c r="E21" s="234"/>
      <c r="F21" s="207"/>
      <c r="G21" s="209"/>
      <c r="H21" s="209"/>
      <c r="I21" s="210">
        <f>SUM(I13:I20)</f>
        <v>14407020.576288892</v>
      </c>
      <c r="J21" s="235"/>
      <c r="K21" s="210"/>
      <c r="L21" s="238"/>
      <c r="M21" s="211"/>
      <c r="N21" s="210">
        <f>SUM(N13:N20)</f>
        <v>14856844.824130487</v>
      </c>
      <c r="O21" s="272"/>
      <c r="P21" s="273"/>
    </row>
    <row r="22" spans="1:17" ht="14" x14ac:dyDescent="0.3">
      <c r="A22" s="151" t="str">
        <f>IF(B22&lt;&gt;"",COUNTA($B$13:B22),"")</f>
        <v/>
      </c>
      <c r="B22" s="207"/>
      <c r="C22" s="233"/>
      <c r="D22" s="233"/>
      <c r="E22" s="234"/>
      <c r="F22" s="207"/>
      <c r="G22" s="209"/>
      <c r="H22" s="209"/>
      <c r="I22" s="234"/>
      <c r="J22" s="235"/>
      <c r="K22" s="210"/>
      <c r="L22" s="238"/>
      <c r="M22" s="211"/>
      <c r="N22" s="210"/>
      <c r="O22" s="272"/>
      <c r="P22" s="273"/>
    </row>
    <row r="23" spans="1:17" ht="14" x14ac:dyDescent="0.3">
      <c r="A23" s="151">
        <f>IF(B23&lt;&gt;"",COUNTA($B$13:B23),"")</f>
        <v>10</v>
      </c>
      <c r="B23" s="207" t="s">
        <v>377</v>
      </c>
      <c r="C23" s="233" t="s">
        <v>378</v>
      </c>
      <c r="D23" s="233"/>
      <c r="E23" s="234">
        <v>0</v>
      </c>
      <c r="F23" s="207"/>
      <c r="G23" s="209"/>
      <c r="H23" s="209"/>
      <c r="I23" s="210"/>
      <c r="J23" s="235"/>
      <c r="K23" s="210"/>
      <c r="L23" s="238"/>
      <c r="M23" s="211"/>
      <c r="N23" s="210"/>
      <c r="O23" s="272"/>
      <c r="P23" s="273"/>
    </row>
    <row r="24" spans="1:17" ht="14" x14ac:dyDescent="0.3">
      <c r="A24" s="151">
        <f>IF(B24&lt;&gt;"",COUNTA($B$13:B24),"")</f>
        <v>11</v>
      </c>
      <c r="B24" s="207" t="s">
        <v>379</v>
      </c>
      <c r="C24" s="233" t="s">
        <v>380</v>
      </c>
      <c r="D24" s="233"/>
      <c r="E24" s="234">
        <v>0</v>
      </c>
      <c r="F24" s="207"/>
      <c r="G24" s="209"/>
      <c r="H24" s="209"/>
      <c r="I24" s="210"/>
      <c r="J24" s="235"/>
      <c r="K24" s="210"/>
      <c r="L24" s="238"/>
      <c r="M24" s="211"/>
      <c r="N24" s="210"/>
      <c r="O24" s="272"/>
      <c r="P24" s="273"/>
    </row>
    <row r="25" spans="1:17" ht="14" x14ac:dyDescent="0.3">
      <c r="A25" s="151" t="str">
        <f>IF(B25&lt;&gt;"",COUNTA($B$13:B25),"")</f>
        <v/>
      </c>
      <c r="B25" s="207"/>
      <c r="C25" s="233"/>
      <c r="D25" s="233"/>
      <c r="E25" s="234"/>
      <c r="F25" s="207"/>
      <c r="G25" s="209"/>
      <c r="H25" s="209"/>
      <c r="I25" s="210"/>
      <c r="J25" s="235"/>
      <c r="K25" s="210"/>
      <c r="L25" s="238"/>
      <c r="M25" s="211"/>
      <c r="N25" s="210"/>
      <c r="O25" s="272"/>
      <c r="P25" s="273"/>
    </row>
    <row r="26" spans="1:17" ht="14" x14ac:dyDescent="0.3">
      <c r="A26" s="151">
        <f>IF(B26&lt;&gt;"",COUNTA($B$13:B26),"")</f>
        <v>12</v>
      </c>
      <c r="B26" s="228" t="s">
        <v>302</v>
      </c>
      <c r="F26" s="239"/>
      <c r="G26" s="240"/>
      <c r="H26" s="211"/>
      <c r="I26" s="210"/>
      <c r="K26" s="210"/>
      <c r="L26" s="241"/>
      <c r="M26" s="211"/>
      <c r="N26" s="210"/>
      <c r="O26" s="272"/>
    </row>
    <row r="27" spans="1:17" ht="14" x14ac:dyDescent="0.3">
      <c r="A27" s="151">
        <f>IF(B27&lt;&gt;"",COUNTA($B$13:B27),"")</f>
        <v>13</v>
      </c>
      <c r="B27" s="207" t="str">
        <f>+'G2 WMA'!B24</f>
        <v>Revenue Decoupling</v>
      </c>
      <c r="C27" s="233" t="str">
        <f>+'G2 WMA'!C24</f>
        <v>RDAF</v>
      </c>
      <c r="D27" s="233"/>
      <c r="E27" s="242"/>
      <c r="F27" s="239"/>
      <c r="G27" s="236">
        <v>2.5999999999999998E-4</v>
      </c>
      <c r="H27" s="211"/>
      <c r="I27" s="210">
        <f t="shared" ref="I27:I41" si="4">G27*($E$20+$E$24)</f>
        <v>178550.7086948326</v>
      </c>
      <c r="K27" s="210"/>
      <c r="L27" s="236">
        <v>-2.0451690478900868E-4</v>
      </c>
      <c r="M27" s="211"/>
      <c r="N27" s="210">
        <f t="shared" ref="N27:N41" si="5">L27*($E$20+$E$24)</f>
        <v>-140448.60880827348</v>
      </c>
      <c r="O27" s="272"/>
      <c r="P27" s="234"/>
    </row>
    <row r="28" spans="1:17" ht="14" x14ac:dyDescent="0.3">
      <c r="A28" s="151">
        <f>IF(B28&lt;&gt;"",COUNTA($B$13:B28),"")</f>
        <v>14</v>
      </c>
      <c r="B28" s="207" t="str">
        <f>+'G2 WMA'!B25</f>
        <v>Residential Assistance Adjustment Factor</v>
      </c>
      <c r="C28" s="233" t="str">
        <f>+'G2 WMA'!C25</f>
        <v>RAAF</v>
      </c>
      <c r="D28" s="243"/>
      <c r="E28" s="206"/>
      <c r="F28" s="239"/>
      <c r="G28" s="236">
        <v>4.7099999999999998E-3</v>
      </c>
      <c r="H28" s="211"/>
      <c r="I28" s="210">
        <f t="shared" si="4"/>
        <v>3234514.7613563905</v>
      </c>
      <c r="K28" s="210"/>
      <c r="L28" s="236">
        <v>1.7278138150720853E-3</v>
      </c>
      <c r="M28" s="211"/>
      <c r="N28" s="210">
        <f t="shared" si="5"/>
        <v>1186547.6198993973</v>
      </c>
      <c r="O28" s="272"/>
      <c r="P28" s="234"/>
      <c r="Q28" s="210"/>
    </row>
    <row r="29" spans="1:17" ht="14" x14ac:dyDescent="0.3">
      <c r="A29" s="151">
        <f>IF(B29&lt;&gt;"",COUNTA($B$13:B29),"")</f>
        <v>15</v>
      </c>
      <c r="B29" s="207" t="str">
        <f>+'G2 WMA'!B26</f>
        <v>Pension Adjustment Factor</v>
      </c>
      <c r="C29" s="233" t="str">
        <f>+'G2 WMA'!C26</f>
        <v>PAF</v>
      </c>
      <c r="D29" s="243"/>
      <c r="E29" s="206"/>
      <c r="F29" s="239"/>
      <c r="G29" s="236">
        <v>5.1999999999999995E-4</v>
      </c>
      <c r="H29" s="211"/>
      <c r="I29" s="210">
        <f t="shared" si="4"/>
        <v>357101.41738966521</v>
      </c>
      <c r="K29" s="210"/>
      <c r="L29" s="236">
        <v>3.0338314162327095E-4</v>
      </c>
      <c r="M29" s="211"/>
      <c r="N29" s="210">
        <f t="shared" si="5"/>
        <v>208343.36516499921</v>
      </c>
      <c r="O29" s="272"/>
      <c r="P29" s="274"/>
    </row>
    <row r="30" spans="1:17" ht="14" x14ac:dyDescent="0.3">
      <c r="A30" s="151">
        <f>IF(B30&lt;&gt;"",COUNTA($B$13:B30),"")</f>
        <v>16</v>
      </c>
      <c r="B30" s="207" t="str">
        <f>+'G2 WMA'!B27</f>
        <v>Net Metering Recovery Surcharge</v>
      </c>
      <c r="C30" s="233" t="str">
        <f>+'G2 WMA'!C27</f>
        <v>NMRS</v>
      </c>
      <c r="D30" s="243"/>
      <c r="E30" s="206"/>
      <c r="F30" s="239"/>
      <c r="G30" s="236">
        <v>2.0500000000000002E-3</v>
      </c>
      <c r="H30" s="211"/>
      <c r="I30" s="210">
        <f t="shared" si="4"/>
        <v>1407803.6647092572</v>
      </c>
      <c r="K30" s="210"/>
      <c r="L30" s="236">
        <v>2.2529306201421943E-3</v>
      </c>
      <c r="M30" s="211"/>
      <c r="N30" s="210">
        <f t="shared" si="5"/>
        <v>1547162.9187179904</v>
      </c>
      <c r="O30" s="272"/>
      <c r="P30" s="274"/>
    </row>
    <row r="31" spans="1:17" ht="14" x14ac:dyDescent="0.3">
      <c r="A31" s="151">
        <f>IF(B31&lt;&gt;"",COUNTA($B$13:B31),"")</f>
        <v>17</v>
      </c>
      <c r="B31" s="207" t="str">
        <f>+'G2 WMA'!B28</f>
        <v>Long Term Renewable Contract Adjustment</v>
      </c>
      <c r="C31" s="233" t="str">
        <f>+'G2 WMA'!C28</f>
        <v>LTRCA</v>
      </c>
      <c r="D31" s="243"/>
      <c r="E31" s="206"/>
      <c r="F31" s="239"/>
      <c r="G31" s="236">
        <v>3.31E-3</v>
      </c>
      <c r="H31" s="211"/>
      <c r="I31" s="210">
        <f t="shared" si="4"/>
        <v>2273087.868384215</v>
      </c>
      <c r="K31" s="210"/>
      <c r="L31" s="236">
        <v>1.7357128782064517E-3</v>
      </c>
      <c r="M31" s="211"/>
      <c r="N31" s="210">
        <f t="shared" si="5"/>
        <v>1191972.1711327294</v>
      </c>
      <c r="O31" s="272"/>
      <c r="P31" s="275"/>
    </row>
    <row r="32" spans="1:17" ht="14" x14ac:dyDescent="0.3">
      <c r="A32" s="151">
        <f>IF(B32&lt;&gt;"",COUNTA($B$13:B32),"")</f>
        <v>18</v>
      </c>
      <c r="B32" s="207" t="str">
        <f>+'G2 WMA'!B29</f>
        <v>AG Consulting Expense</v>
      </c>
      <c r="C32" s="233" t="str">
        <f>+'G2 WMA'!C29</f>
        <v>AGCE</v>
      </c>
      <c r="D32" s="243"/>
      <c r="E32" s="206"/>
      <c r="F32" s="239"/>
      <c r="G32" s="236">
        <v>1.0000000000000001E-5</v>
      </c>
      <c r="H32" s="211"/>
      <c r="I32" s="210">
        <f t="shared" si="4"/>
        <v>6867.3349498012549</v>
      </c>
      <c r="K32" s="210"/>
      <c r="L32" s="236">
        <v>3.6277644829413051E-6</v>
      </c>
      <c r="M32" s="211"/>
      <c r="N32" s="210">
        <f t="shared" si="5"/>
        <v>2491.3073823350501</v>
      </c>
      <c r="O32" s="272"/>
      <c r="P32" s="274"/>
    </row>
    <row r="33" spans="1:16" ht="14" x14ac:dyDescent="0.3">
      <c r="A33" s="151">
        <f>IF(B33&lt;&gt;"",COUNTA($B$13:B33),"")</f>
        <v>19</v>
      </c>
      <c r="B33" s="207" t="str">
        <f>+'G2 WMA'!B30</f>
        <v>Storm Cost Recovery Adjustment Factor</v>
      </c>
      <c r="C33" s="233" t="str">
        <f>+'G2 WMA'!C30</f>
        <v>SCRA</v>
      </c>
      <c r="D33" s="243"/>
      <c r="E33" s="206"/>
      <c r="F33" s="239"/>
      <c r="G33" s="236">
        <v>1.09E-3</v>
      </c>
      <c r="H33" s="211"/>
      <c r="I33" s="210">
        <f t="shared" si="4"/>
        <v>748539.5095283367</v>
      </c>
      <c r="K33" s="210"/>
      <c r="L33" s="236">
        <v>1.2978731332331617E-3</v>
      </c>
      <c r="M33" s="211"/>
      <c r="N33" s="210">
        <f t="shared" si="5"/>
        <v>891292.95282601507</v>
      </c>
      <c r="O33" s="272"/>
      <c r="P33" s="274"/>
    </row>
    <row r="34" spans="1:16" ht="14" x14ac:dyDescent="0.3">
      <c r="A34" s="151">
        <f>IF(B34&lt;&gt;"",COUNTA($B$13:B34),"")</f>
        <v>20</v>
      </c>
      <c r="B34" s="207" t="str">
        <f>+'G2 WMA'!B31</f>
        <v>Storm Reserve Adjustment</v>
      </c>
      <c r="C34" s="233" t="str">
        <f>+'G2 WMA'!C31</f>
        <v>SRA</v>
      </c>
      <c r="D34" s="243"/>
      <c r="E34" s="206"/>
      <c r="F34" s="239"/>
      <c r="G34" s="236">
        <v>0</v>
      </c>
      <c r="H34" s="211"/>
      <c r="I34" s="210">
        <f t="shared" si="4"/>
        <v>0</v>
      </c>
      <c r="K34" s="210"/>
      <c r="L34" s="236">
        <v>0</v>
      </c>
      <c r="M34" s="211"/>
      <c r="N34" s="210">
        <f t="shared" si="5"/>
        <v>0</v>
      </c>
      <c r="O34" s="272"/>
      <c r="P34" s="274"/>
    </row>
    <row r="35" spans="1:16" ht="14" x14ac:dyDescent="0.3">
      <c r="A35" s="151">
        <f>IF(B35&lt;&gt;"",COUNTA($B$13:B35),"")</f>
        <v>21</v>
      </c>
      <c r="B35" s="207" t="str">
        <f>+'G2 WMA'!B32</f>
        <v>Basic Service Cost True Up Factor</v>
      </c>
      <c r="C35" s="233" t="str">
        <f>+'G2 WMA'!C32</f>
        <v>BSTF</v>
      </c>
      <c r="D35" s="243"/>
      <c r="E35" s="206"/>
      <c r="F35" s="239"/>
      <c r="G35" s="236">
        <v>1E-4</v>
      </c>
      <c r="H35" s="211"/>
      <c r="I35" s="210">
        <f t="shared" si="4"/>
        <v>68673.34949801254</v>
      </c>
      <c r="K35" s="210"/>
      <c r="L35" s="236">
        <v>-8.5738355435588986E-5</v>
      </c>
      <c r="M35" s="211"/>
      <c r="N35" s="210">
        <f t="shared" si="5"/>
        <v>-58879.400482130259</v>
      </c>
      <c r="O35" s="272"/>
      <c r="P35" s="274"/>
    </row>
    <row r="36" spans="1:16" ht="14" x14ac:dyDescent="0.3">
      <c r="A36" s="151">
        <f>IF(B36&lt;&gt;"",COUNTA($B$13:B36),"")</f>
        <v>22</v>
      </c>
      <c r="B36" s="207" t="str">
        <f>+'G2 WMA'!B33</f>
        <v>Solar Program Cost Adjustment Factor</v>
      </c>
      <c r="C36" s="233" t="str">
        <f>+'G2 WMA'!C33</f>
        <v>SPCA</v>
      </c>
      <c r="D36" s="233"/>
      <c r="E36" s="206"/>
      <c r="F36" s="239"/>
      <c r="G36" s="236">
        <v>-6.0000000000000002E-5</v>
      </c>
      <c r="H36" s="211"/>
      <c r="I36" s="210">
        <f t="shared" si="4"/>
        <v>-41204.009698807524</v>
      </c>
      <c r="K36" s="210"/>
      <c r="L36" s="236">
        <v>1.5258385066165281E-5</v>
      </c>
      <c r="M36" s="211"/>
      <c r="N36" s="210">
        <f t="shared" si="5"/>
        <v>10478.444104240236</v>
      </c>
      <c r="O36" s="272"/>
      <c r="P36" s="276"/>
    </row>
    <row r="37" spans="1:16" ht="14" x14ac:dyDescent="0.3">
      <c r="A37" s="151">
        <f>IF(B37&lt;&gt;"",COUNTA($B$13:B37),"")</f>
        <v>23</v>
      </c>
      <c r="B37" s="207" t="str">
        <f>+'G2 WMA'!B34</f>
        <v>Solar Expansion Cost Recovery Factor</v>
      </c>
      <c r="C37" s="233" t="str">
        <f>+'G2 WMA'!C34</f>
        <v>SECRF</v>
      </c>
      <c r="D37" s="233"/>
      <c r="E37" s="206"/>
      <c r="F37" s="239"/>
      <c r="G37" s="236">
        <v>0</v>
      </c>
      <c r="H37" s="211"/>
      <c r="I37" s="210">
        <f t="shared" si="4"/>
        <v>0</v>
      </c>
      <c r="K37" s="210"/>
      <c r="L37" s="236">
        <v>2.6912300556465585E-4</v>
      </c>
      <c r="M37" s="211"/>
      <c r="N37" s="210">
        <f t="shared" si="5"/>
        <v>184815.78219097186</v>
      </c>
      <c r="O37" s="272"/>
      <c r="P37" s="276"/>
    </row>
    <row r="38" spans="1:16" ht="14" x14ac:dyDescent="0.3">
      <c r="A38" s="151">
        <f>IF(B38&lt;&gt;"",COUNTA($B$13:B38),"")</f>
        <v>24</v>
      </c>
      <c r="B38" s="207" t="str">
        <f>+'G2 WMA'!B35</f>
        <v>Vegetation Management</v>
      </c>
      <c r="C38" s="233" t="str">
        <f>+'G2 WMA'!C35</f>
        <v>RTWF</v>
      </c>
      <c r="D38" s="233"/>
      <c r="E38" s="206"/>
      <c r="F38" s="239"/>
      <c r="G38" s="236">
        <v>0</v>
      </c>
      <c r="H38" s="211"/>
      <c r="I38" s="210">
        <f t="shared" si="4"/>
        <v>0</v>
      </c>
      <c r="K38" s="210"/>
      <c r="L38" s="236">
        <v>5.4315836222574828E-4</v>
      </c>
      <c r="M38" s="211"/>
      <c r="N38" s="210">
        <f t="shared" si="5"/>
        <v>373005.04041896906</v>
      </c>
      <c r="O38" s="272"/>
      <c r="P38" s="276"/>
    </row>
    <row r="39" spans="1:16" ht="14" x14ac:dyDescent="0.3">
      <c r="A39" s="151">
        <f>IF(B39&lt;&gt;"",COUNTA($B$13:B39),"")</f>
        <v>25</v>
      </c>
      <c r="B39" s="207" t="str">
        <f>+'G2 WMA'!B36</f>
        <v>Solar Massachusetts Renewable Target</v>
      </c>
      <c r="C39" s="233" t="str">
        <f>+'G2 WMA'!C36</f>
        <v>SMART</v>
      </c>
      <c r="D39" s="233"/>
      <c r="E39" s="206"/>
      <c r="F39" s="239"/>
      <c r="G39" s="236">
        <v>0</v>
      </c>
      <c r="H39" s="211"/>
      <c r="I39" s="210">
        <f t="shared" si="4"/>
        <v>0</v>
      </c>
      <c r="K39" s="210"/>
      <c r="L39" s="236">
        <v>3.1531536663646575E-4</v>
      </c>
      <c r="M39" s="211"/>
      <c r="N39" s="210">
        <f t="shared" si="5"/>
        <v>216537.62375119975</v>
      </c>
      <c r="O39" s="272"/>
      <c r="P39" s="276"/>
    </row>
    <row r="40" spans="1:16" ht="14" x14ac:dyDescent="0.3">
      <c r="A40" s="151">
        <f>IF(B40&lt;&gt;"",COUNTA($B$13:B40),"")</f>
        <v>26</v>
      </c>
      <c r="B40" s="207" t="str">
        <f>+'G2 WMA'!B37</f>
        <v>Tax Act Credit Factor</v>
      </c>
      <c r="C40" s="233" t="str">
        <f>+'G2 WMA'!C37</f>
        <v>TACF</v>
      </c>
      <c r="D40" s="233"/>
      <c r="E40" s="206"/>
      <c r="F40" s="239"/>
      <c r="G40" s="236">
        <v>0</v>
      </c>
      <c r="H40" s="211"/>
      <c r="I40" s="210">
        <f t="shared" si="4"/>
        <v>0</v>
      </c>
      <c r="K40" s="210"/>
      <c r="L40" s="236">
        <v>-4.7733478903557309E-4</v>
      </c>
      <c r="M40" s="211"/>
      <c r="N40" s="210">
        <f t="shared" si="5"/>
        <v>-327801.78794999997</v>
      </c>
      <c r="O40" s="272"/>
      <c r="P40" s="276"/>
    </row>
    <row r="41" spans="1:16" ht="14" x14ac:dyDescent="0.3">
      <c r="A41" s="151">
        <f>IF(B41&lt;&gt;"",COUNTA($B$13:B41),"")</f>
        <v>27</v>
      </c>
      <c r="B41" s="207" t="str">
        <f>+'G2 WMA'!B38</f>
        <v>Transition</v>
      </c>
      <c r="C41" s="233" t="str">
        <f>+'G2 WMA'!C38</f>
        <v>TRNSN</v>
      </c>
      <c r="D41" s="233"/>
      <c r="E41" s="206"/>
      <c r="F41" s="239"/>
      <c r="G41" s="236">
        <v>-1.7099999999999999E-3</v>
      </c>
      <c r="H41" s="211"/>
      <c r="I41" s="210">
        <f t="shared" si="4"/>
        <v>-1174314.2764160144</v>
      </c>
      <c r="K41" s="210"/>
      <c r="L41" s="236">
        <v>-5.210932140356871E-4</v>
      </c>
      <c r="M41" s="211"/>
      <c r="N41" s="210">
        <f t="shared" si="5"/>
        <v>-357852.16408515396</v>
      </c>
      <c r="O41" s="272"/>
      <c r="P41" s="275"/>
    </row>
    <row r="42" spans="1:16" ht="14" x14ac:dyDescent="0.3">
      <c r="A42" s="151">
        <f>IF(B42&lt;&gt;"",COUNTA($B$13:B42),"")</f>
        <v>28</v>
      </c>
      <c r="B42" s="207" t="str">
        <f>+'G2 WMA'!B39</f>
        <v>Transmission Demand</v>
      </c>
      <c r="C42" s="233" t="str">
        <f>+'G2 WMA'!C39</f>
        <v>TMKW</v>
      </c>
      <c r="D42" s="233"/>
      <c r="E42" s="206"/>
      <c r="F42" s="239"/>
      <c r="G42" s="283">
        <v>9.02</v>
      </c>
      <c r="H42" s="211"/>
      <c r="I42" s="210">
        <f>G42*$E$17</f>
        <v>14825390.12763243</v>
      </c>
      <c r="K42" s="210"/>
      <c r="L42" s="283">
        <v>8.4419712742614408</v>
      </c>
      <c r="M42" s="211"/>
      <c r="N42" s="210">
        <f>L42*$E$17</f>
        <v>13875334.544034604</v>
      </c>
      <c r="O42" s="272"/>
      <c r="P42" s="275"/>
    </row>
    <row r="43" spans="1:16" ht="14" x14ac:dyDescent="0.3">
      <c r="A43" s="151">
        <f>IF(B43&lt;&gt;"",COUNTA($B$13:B43),"")</f>
        <v>29</v>
      </c>
      <c r="B43" s="207" t="str">
        <f>+'G2 WMA'!B40</f>
        <v>Energy Efficiency Reconciliation Factor</v>
      </c>
      <c r="C43" s="233" t="str">
        <f>+'G2 WMA'!C40</f>
        <v>EERF</v>
      </c>
      <c r="D43" s="233"/>
      <c r="E43" s="206"/>
      <c r="F43" s="239"/>
      <c r="G43" s="241">
        <v>9.7199999999999995E-3</v>
      </c>
      <c r="H43" s="211"/>
      <c r="I43" s="210">
        <f>G43*($E$20+$E$24)</f>
        <v>6675049.5712068183</v>
      </c>
      <c r="K43" s="210"/>
      <c r="L43" s="241">
        <v>9.7199999999999995E-3</v>
      </c>
      <c r="M43" s="211"/>
      <c r="N43" s="210">
        <f>L43*($E$20+$E$24)</f>
        <v>6675049.5712068183</v>
      </c>
      <c r="O43" s="272"/>
      <c r="P43" s="232"/>
    </row>
    <row r="44" spans="1:16" ht="14" x14ac:dyDescent="0.3">
      <c r="A44" s="151">
        <f>IF(B44&lt;&gt;"",COUNTA($B$13:B44),"")</f>
        <v>30</v>
      </c>
      <c r="B44" s="207" t="str">
        <f>+'G2 WMA'!B41</f>
        <v>System Benefits Charge</v>
      </c>
      <c r="C44" s="233" t="str">
        <f>+'G2 WMA'!C41</f>
        <v>SBC</v>
      </c>
      <c r="D44" s="233"/>
      <c r="E44" s="206"/>
      <c r="F44" s="239"/>
      <c r="G44" s="241">
        <v>2.5000000000000001E-3</v>
      </c>
      <c r="H44" s="211"/>
      <c r="I44" s="210">
        <f>G44*($E$20+$E$24)</f>
        <v>1716833.7374503135</v>
      </c>
      <c r="K44" s="210"/>
      <c r="L44" s="236">
        <f>+G44</f>
        <v>2.5000000000000001E-3</v>
      </c>
      <c r="M44" s="211"/>
      <c r="N44" s="210">
        <f>L44*($E$20+$E$24)</f>
        <v>1716833.7374503135</v>
      </c>
      <c r="O44" s="272"/>
      <c r="P44" s="275"/>
    </row>
    <row r="45" spans="1:16" ht="14" x14ac:dyDescent="0.3">
      <c r="A45" s="151">
        <f>IF(B45&lt;&gt;"",COUNTA($B$13:B45),"")</f>
        <v>31</v>
      </c>
      <c r="B45" s="207" t="str">
        <f>+'G2 WMA'!B42</f>
        <v>Renewable Energy Charge</v>
      </c>
      <c r="C45" s="233" t="str">
        <f>+'G2 WMA'!C42</f>
        <v>RNEW</v>
      </c>
      <c r="D45" s="233"/>
      <c r="E45" s="206"/>
      <c r="F45" s="239"/>
      <c r="G45" s="241">
        <v>5.0000000000000001E-4</v>
      </c>
      <c r="H45" s="211"/>
      <c r="I45" s="210">
        <f>G45*($E$20+$E$24)</f>
        <v>343366.74749006273</v>
      </c>
      <c r="K45" s="210"/>
      <c r="L45" s="236">
        <f>+G45</f>
        <v>5.0000000000000001E-4</v>
      </c>
      <c r="M45" s="211"/>
      <c r="N45" s="210">
        <f>L45*($E$20+$E$24)</f>
        <v>343366.74749006273</v>
      </c>
      <c r="O45" s="272"/>
      <c r="P45" s="275"/>
    </row>
    <row r="46" spans="1:16" ht="14" x14ac:dyDescent="0.3">
      <c r="A46" s="151">
        <f>IF(B46&lt;&gt;"",COUNTA($B$13:B46),"")</f>
        <v>32</v>
      </c>
      <c r="B46" s="207" t="str">
        <f>+'G2 WMA'!B43</f>
        <v>Basic Service Charge</v>
      </c>
      <c r="C46" s="233" t="str">
        <f>+'G2 WMA'!C43</f>
        <v>BS</v>
      </c>
      <c r="D46" s="233"/>
      <c r="E46" s="206"/>
      <c r="F46" s="239"/>
      <c r="G46" s="308">
        <v>0.11387</v>
      </c>
      <c r="H46" s="211"/>
      <c r="I46" s="237">
        <f>G46*($E$20+$E$24)</f>
        <v>78198343.073386878</v>
      </c>
      <c r="K46" s="210"/>
      <c r="L46" s="236">
        <v>0.14839000000000002</v>
      </c>
      <c r="M46" s="211"/>
      <c r="N46" s="237">
        <f>L46*($E$20+$E$24)</f>
        <v>101904383.32010083</v>
      </c>
      <c r="O46" s="272"/>
      <c r="P46" s="232"/>
    </row>
    <row r="47" spans="1:16" ht="14" x14ac:dyDescent="0.3">
      <c r="A47" s="151" t="str">
        <f>IF(B47&lt;&gt;"",COUNTA($B$13:B47),"")</f>
        <v/>
      </c>
      <c r="B47" s="207"/>
      <c r="E47" s="206"/>
      <c r="F47" s="239"/>
      <c r="G47" s="241"/>
      <c r="H47" s="211"/>
      <c r="I47" s="244"/>
      <c r="K47" s="210"/>
      <c r="L47" s="241"/>
      <c r="M47" s="211"/>
      <c r="N47" s="244"/>
      <c r="O47" s="272"/>
    </row>
    <row r="48" spans="1:16" ht="14" x14ac:dyDescent="0.3">
      <c r="A48" s="151">
        <f>IF(B48&lt;&gt;"",COUNTA($B$13:B48),"")</f>
        <v>33</v>
      </c>
      <c r="B48" s="188" t="s">
        <v>46</v>
      </c>
      <c r="E48" s="188"/>
      <c r="G48" s="245" t="s">
        <v>324</v>
      </c>
      <c r="H48" s="246"/>
      <c r="I48" s="154">
        <f>SUM(I21:I47)</f>
        <v>123225624.16185108</v>
      </c>
      <c r="K48" s="247"/>
      <c r="L48" s="245"/>
      <c r="N48" s="154">
        <f>SUM(N21:N47)</f>
        <v>144299478.00867641</v>
      </c>
      <c r="P48" s="154"/>
    </row>
    <row r="49" spans="1:16" ht="14" x14ac:dyDescent="0.3">
      <c r="A49" s="151" t="str">
        <f>IF(B49&lt;&gt;"",COUNTA($B$13:B49),"")</f>
        <v/>
      </c>
      <c r="E49" s="188"/>
      <c r="H49" s="188"/>
      <c r="I49" s="154"/>
      <c r="K49" s="265"/>
      <c r="L49" s="278"/>
      <c r="N49" s="265"/>
      <c r="P49" s="154"/>
    </row>
    <row r="50" spans="1:16" ht="14" x14ac:dyDescent="0.3">
      <c r="A50" s="151">
        <f>IF(B50&lt;&gt;"",COUNTA($B$13:B50),"")</f>
        <v>34</v>
      </c>
      <c r="B50" s="188" t="s">
        <v>46</v>
      </c>
      <c r="E50" s="188"/>
      <c r="G50" s="188"/>
      <c r="H50" s="188"/>
      <c r="I50" s="188"/>
      <c r="J50" s="188"/>
      <c r="L50" s="248" t="s">
        <v>325</v>
      </c>
      <c r="N50" s="160">
        <f>+N48/I48-1</f>
        <v>0.17101843865806532</v>
      </c>
    </row>
    <row r="51" spans="1:16" ht="14" x14ac:dyDescent="0.3">
      <c r="A51" s="151" t="str">
        <f>IF(B51&lt;&gt;"",COUNTA($B$13:B51),"")</f>
        <v/>
      </c>
      <c r="E51" s="188"/>
      <c r="G51" s="188"/>
      <c r="H51" s="188"/>
      <c r="I51" s="188"/>
      <c r="J51" s="188"/>
      <c r="L51" s="248"/>
      <c r="N51" s="160"/>
    </row>
    <row r="52" spans="1:16" ht="14" x14ac:dyDescent="0.3">
      <c r="A52" s="151" t="str">
        <f>IF(B52&lt;&gt;"",COUNTA($B$13:B52),"")</f>
        <v/>
      </c>
      <c r="E52" s="188"/>
      <c r="G52" s="186"/>
      <c r="H52" s="188"/>
      <c r="I52" s="188"/>
      <c r="L52" s="248"/>
      <c r="N52" s="160"/>
    </row>
    <row r="53" spans="1:16" ht="14.5" thickBot="1" x14ac:dyDescent="0.35">
      <c r="A53" s="151">
        <f>IF(B53&lt;&gt;"",COUNTA($B$13:B53),"")</f>
        <v>35</v>
      </c>
      <c r="B53" s="188" t="s">
        <v>46</v>
      </c>
      <c r="E53" s="279" t="s">
        <v>326</v>
      </c>
      <c r="F53" s="135"/>
      <c r="G53" s="280"/>
      <c r="I53" s="279" t="s">
        <v>327</v>
      </c>
      <c r="J53" s="135"/>
      <c r="L53" s="279" t="s">
        <v>328</v>
      </c>
      <c r="M53" s="135"/>
      <c r="N53" s="137"/>
    </row>
    <row r="54" spans="1:16" ht="14" x14ac:dyDescent="0.3">
      <c r="A54" s="151">
        <f>IF(B54&lt;&gt;"",COUNTA($B$13:B54),"")</f>
        <v>36</v>
      </c>
      <c r="B54" s="144" t="s">
        <v>329</v>
      </c>
      <c r="C54" s="144"/>
      <c r="D54" s="144"/>
      <c r="E54" s="249" t="s">
        <v>148</v>
      </c>
      <c r="F54" s="250"/>
      <c r="G54" s="251" t="s">
        <v>330</v>
      </c>
      <c r="I54" s="249" t="s">
        <v>148</v>
      </c>
      <c r="J54" s="251" t="s">
        <v>330</v>
      </c>
      <c r="K54" s="212"/>
      <c r="L54" s="249" t="s">
        <v>148</v>
      </c>
      <c r="M54" s="252"/>
      <c r="N54" s="251" t="s">
        <v>330</v>
      </c>
    </row>
    <row r="55" spans="1:16" ht="14" x14ac:dyDescent="0.3">
      <c r="A55" s="151">
        <f>IF(B55&lt;&gt;"",COUNTA($B$13:B55),"")</f>
        <v>37</v>
      </c>
      <c r="B55" s="130" t="str">
        <f>+'G2 WMA'!B52</f>
        <v>Distribution</v>
      </c>
      <c r="C55" s="253" t="str">
        <f>+'G2 WMA'!C52</f>
        <v>DIST</v>
      </c>
      <c r="D55" s="253"/>
      <c r="E55" s="154">
        <f t="shared" ref="E55:E70" si="6">SUMIF($C$13:$C$46,$C55,$I$13:$I$46)</f>
        <v>14407020.576288892</v>
      </c>
      <c r="G55" s="254">
        <f>+E55/$E$20*100</f>
        <v>2.0979056186426206</v>
      </c>
      <c r="I55" s="154">
        <f t="shared" ref="I55:I70" si="7">SUMIF($C$13:$C$46,$C55,$N$13:$N$46)</f>
        <v>14856844.824130487</v>
      </c>
      <c r="J55" s="254">
        <f>+I55/$E$20*100</f>
        <v>2.1634076294124047</v>
      </c>
      <c r="L55" s="154">
        <f t="shared" ref="L55:L75" si="8">I55-E55</f>
        <v>449824.24784159474</v>
      </c>
      <c r="N55" s="254">
        <f>+L55/$E$20*100</f>
        <v>6.5502010769783847E-2</v>
      </c>
      <c r="O55" s="272"/>
    </row>
    <row r="56" spans="1:16" ht="14" x14ac:dyDescent="0.3">
      <c r="A56" s="151">
        <f>IF(B56&lt;&gt;"",COUNTA($B$13:B56),"")</f>
        <v>38</v>
      </c>
      <c r="B56" s="130" t="str">
        <f>+'G2 WMA'!B53</f>
        <v>Revenue Decoupling</v>
      </c>
      <c r="C56" s="253" t="str">
        <f>+'G2 WMA'!C53</f>
        <v>RDAF</v>
      </c>
      <c r="D56" s="253"/>
      <c r="E56" s="154">
        <f t="shared" si="6"/>
        <v>178550.7086948326</v>
      </c>
      <c r="G56" s="254">
        <f t="shared" ref="G56:G76" si="9">+E56/($E$20+$E$24)*100</f>
        <v>2.5999999999999999E-2</v>
      </c>
      <c r="I56" s="154">
        <f t="shared" si="7"/>
        <v>-140448.60880827348</v>
      </c>
      <c r="J56" s="254">
        <f t="shared" ref="J56:J76" si="10">+I56/($E$20+$E$24)*100</f>
        <v>-2.0451690478900868E-2</v>
      </c>
      <c r="L56" s="154">
        <f>I56-E56</f>
        <v>-318999.31750310608</v>
      </c>
      <c r="N56" s="254">
        <f t="shared" ref="N56:N76" si="11">+L56/($E$20+$E$24)*100</f>
        <v>-4.6451690478900867E-2</v>
      </c>
      <c r="O56" s="272"/>
    </row>
    <row r="57" spans="1:16" ht="14" x14ac:dyDescent="0.3">
      <c r="A57" s="151">
        <f>IF(B57&lt;&gt;"",COUNTA($B$13:B57),"")</f>
        <v>39</v>
      </c>
      <c r="B57" s="130" t="str">
        <f>+'G2 WMA'!B54</f>
        <v>Residential Assistance Adjustment Factor</v>
      </c>
      <c r="C57" s="253" t="str">
        <f>+'G2 WMA'!C54</f>
        <v>RAAF</v>
      </c>
      <c r="D57" s="253"/>
      <c r="E57" s="154">
        <f t="shared" si="6"/>
        <v>3234514.7613563905</v>
      </c>
      <c r="G57" s="254">
        <f t="shared" si="9"/>
        <v>0.47099999999999997</v>
      </c>
      <c r="I57" s="154">
        <f t="shared" si="7"/>
        <v>1186547.6198993973</v>
      </c>
      <c r="J57" s="254">
        <f t="shared" si="10"/>
        <v>0.17278138150720854</v>
      </c>
      <c r="L57" s="154">
        <f t="shared" si="8"/>
        <v>-2047967.1414569933</v>
      </c>
      <c r="N57" s="254">
        <f t="shared" si="11"/>
        <v>-0.29821861849279147</v>
      </c>
      <c r="O57" s="272"/>
    </row>
    <row r="58" spans="1:16" ht="14" x14ac:dyDescent="0.3">
      <c r="A58" s="151">
        <f>IF(B58&lt;&gt;"",COUNTA($B$13:B58),"")</f>
        <v>40</v>
      </c>
      <c r="B58" s="130" t="str">
        <f>+'G2 WMA'!B55</f>
        <v>Pension Adjustment Factor</v>
      </c>
      <c r="C58" s="253" t="str">
        <f>+'G2 WMA'!C55</f>
        <v>PAF</v>
      </c>
      <c r="D58" s="253"/>
      <c r="E58" s="154">
        <f t="shared" si="6"/>
        <v>357101.41738966521</v>
      </c>
      <c r="G58" s="254">
        <f t="shared" si="9"/>
        <v>5.1999999999999998E-2</v>
      </c>
      <c r="I58" s="154">
        <f t="shared" si="7"/>
        <v>208343.36516499921</v>
      </c>
      <c r="J58" s="254">
        <f t="shared" si="10"/>
        <v>3.0338314162327094E-2</v>
      </c>
      <c r="L58" s="154">
        <f t="shared" si="8"/>
        <v>-148758.052224666</v>
      </c>
      <c r="N58" s="254">
        <f t="shared" si="11"/>
        <v>-2.1661685837672907E-2</v>
      </c>
      <c r="O58" s="272"/>
    </row>
    <row r="59" spans="1:16" ht="14" x14ac:dyDescent="0.3">
      <c r="A59" s="151">
        <f>IF(B59&lt;&gt;"",COUNTA($B$13:B59),"")</f>
        <v>41</v>
      </c>
      <c r="B59" s="130" t="str">
        <f>+'G2 WMA'!B56</f>
        <v>Net Metering Recovery Surcharge</v>
      </c>
      <c r="C59" s="253" t="str">
        <f>+'G2 WMA'!C56</f>
        <v>NMRS</v>
      </c>
      <c r="D59" s="253"/>
      <c r="E59" s="154">
        <f t="shared" si="6"/>
        <v>1407803.6647092572</v>
      </c>
      <c r="G59" s="254">
        <f t="shared" si="9"/>
        <v>0.20500000000000002</v>
      </c>
      <c r="I59" s="154">
        <f t="shared" si="7"/>
        <v>1547162.9187179904</v>
      </c>
      <c r="J59" s="254">
        <f t="shared" si="10"/>
        <v>0.22529306201421942</v>
      </c>
      <c r="L59" s="154">
        <f t="shared" si="8"/>
        <v>139359.2540087332</v>
      </c>
      <c r="N59" s="254">
        <f t="shared" si="11"/>
        <v>2.0293062014219411E-2</v>
      </c>
      <c r="O59" s="272"/>
    </row>
    <row r="60" spans="1:16" ht="14" x14ac:dyDescent="0.3">
      <c r="A60" s="151">
        <f>IF(B60&lt;&gt;"",COUNTA($B$13:B60),"")</f>
        <v>42</v>
      </c>
      <c r="B60" s="130" t="str">
        <f>+'G2 WMA'!B57</f>
        <v>Long Term Renewable Contract Adjustment</v>
      </c>
      <c r="C60" s="253" t="str">
        <f>+'G2 WMA'!C57</f>
        <v>LTRCA</v>
      </c>
      <c r="D60" s="253"/>
      <c r="E60" s="154">
        <f t="shared" si="6"/>
        <v>2273087.868384215</v>
      </c>
      <c r="G60" s="254">
        <f t="shared" si="9"/>
        <v>0.33100000000000002</v>
      </c>
      <c r="I60" s="154">
        <f t="shared" si="7"/>
        <v>1191972.1711327294</v>
      </c>
      <c r="J60" s="254">
        <f t="shared" si="10"/>
        <v>0.17357128782064518</v>
      </c>
      <c r="L60" s="154">
        <f t="shared" si="8"/>
        <v>-1081115.6972514857</v>
      </c>
      <c r="N60" s="254">
        <f t="shared" si="11"/>
        <v>-0.15742871217935481</v>
      </c>
      <c r="O60" s="272"/>
    </row>
    <row r="61" spans="1:16" ht="14" x14ac:dyDescent="0.3">
      <c r="A61" s="151">
        <f>IF(B61&lt;&gt;"",COUNTA($B$13:B61),"")</f>
        <v>43</v>
      </c>
      <c r="B61" s="130" t="str">
        <f>+'G2 WMA'!B58</f>
        <v>AG Consulting Expense</v>
      </c>
      <c r="C61" s="253" t="str">
        <f>+'G2 WMA'!C58</f>
        <v>AGCE</v>
      </c>
      <c r="D61" s="253"/>
      <c r="E61" s="154">
        <f t="shared" si="6"/>
        <v>6867.3349498012549</v>
      </c>
      <c r="G61" s="254">
        <f t="shared" si="9"/>
        <v>1E-3</v>
      </c>
      <c r="I61" s="154">
        <f t="shared" si="7"/>
        <v>2491.3073823350501</v>
      </c>
      <c r="J61" s="254">
        <f t="shared" si="10"/>
        <v>3.6277644829413053E-4</v>
      </c>
      <c r="L61" s="154">
        <f t="shared" si="8"/>
        <v>-4376.0275674662043</v>
      </c>
      <c r="N61" s="254">
        <f t="shared" si="11"/>
        <v>-6.3722355170586949E-4</v>
      </c>
      <c r="O61" s="272"/>
    </row>
    <row r="62" spans="1:16" ht="14" x14ac:dyDescent="0.3">
      <c r="A62" s="151">
        <f>IF(B62&lt;&gt;"",COUNTA($B$13:B62),"")</f>
        <v>44</v>
      </c>
      <c r="B62" s="130" t="str">
        <f>+'G2 WMA'!B59</f>
        <v>Storm Cost Recovery Adjustment Factor</v>
      </c>
      <c r="C62" s="253" t="str">
        <f>+'G2 WMA'!C59</f>
        <v>SCRA</v>
      </c>
      <c r="D62" s="253"/>
      <c r="E62" s="154">
        <f t="shared" si="6"/>
        <v>748539.5095283367</v>
      </c>
      <c r="G62" s="254">
        <f t="shared" si="9"/>
        <v>0.109</v>
      </c>
      <c r="I62" s="154">
        <f t="shared" si="7"/>
        <v>891292.95282601507</v>
      </c>
      <c r="J62" s="254">
        <f t="shared" si="10"/>
        <v>0.12978731332331617</v>
      </c>
      <c r="L62" s="154">
        <f>I62-E62</f>
        <v>142753.44329767837</v>
      </c>
      <c r="N62" s="254">
        <f t="shared" si="11"/>
        <v>2.0787313323316167E-2</v>
      </c>
      <c r="O62" s="272"/>
    </row>
    <row r="63" spans="1:16" ht="14" x14ac:dyDescent="0.3">
      <c r="A63" s="151">
        <f>IF(B63&lt;&gt;"",COUNTA($B$13:B63),"")</f>
        <v>45</v>
      </c>
      <c r="B63" s="130" t="str">
        <f>+'G2 WMA'!B60</f>
        <v>Storm Reserve Adjustment</v>
      </c>
      <c r="C63" s="253" t="str">
        <f>+'G2 WMA'!C60</f>
        <v>SRA</v>
      </c>
      <c r="D63" s="253"/>
      <c r="E63" s="154">
        <f t="shared" si="6"/>
        <v>0</v>
      </c>
      <c r="G63" s="254">
        <f t="shared" si="9"/>
        <v>0</v>
      </c>
      <c r="I63" s="154">
        <f t="shared" si="7"/>
        <v>0</v>
      </c>
      <c r="J63" s="254">
        <f t="shared" si="10"/>
        <v>0</v>
      </c>
      <c r="L63" s="154">
        <f>I63-E63</f>
        <v>0</v>
      </c>
      <c r="N63" s="254">
        <f t="shared" si="11"/>
        <v>0</v>
      </c>
      <c r="O63" s="272"/>
    </row>
    <row r="64" spans="1:16" ht="14" x14ac:dyDescent="0.3">
      <c r="A64" s="151">
        <f>IF(B64&lt;&gt;"",COUNTA($B$13:B64),"")</f>
        <v>46</v>
      </c>
      <c r="B64" s="130" t="str">
        <f>+'G2 WMA'!B61</f>
        <v>Basic Service Cost True Up Factor</v>
      </c>
      <c r="C64" s="253" t="str">
        <f>+'G2 WMA'!C61</f>
        <v>BSTF</v>
      </c>
      <c r="D64" s="253"/>
      <c r="E64" s="154">
        <f t="shared" si="6"/>
        <v>68673.34949801254</v>
      </c>
      <c r="G64" s="254">
        <f t="shared" si="9"/>
        <v>9.9999999999999985E-3</v>
      </c>
      <c r="I64" s="154">
        <f t="shared" si="7"/>
        <v>-58879.400482130259</v>
      </c>
      <c r="J64" s="254">
        <f t="shared" si="10"/>
        <v>-8.5738355435588994E-3</v>
      </c>
      <c r="L64" s="154">
        <f>I64-E64</f>
        <v>-127552.74998014281</v>
      </c>
      <c r="N64" s="254">
        <f t="shared" si="11"/>
        <v>-1.85738355435589E-2</v>
      </c>
      <c r="O64" s="272"/>
    </row>
    <row r="65" spans="1:14" ht="14" x14ac:dyDescent="0.3">
      <c r="A65" s="151">
        <f>IF(B65&lt;&gt;"",COUNTA($B$13:B65),"")</f>
        <v>47</v>
      </c>
      <c r="B65" s="130" t="str">
        <f>+'G2 WMA'!B62</f>
        <v>Solar Program Cost Adjustment Factor</v>
      </c>
      <c r="C65" s="253" t="str">
        <f>+'G2 WMA'!C62</f>
        <v>SPCA</v>
      </c>
      <c r="D65" s="253"/>
      <c r="E65" s="154">
        <f t="shared" si="6"/>
        <v>-41204.009698807524</v>
      </c>
      <c r="G65" s="254">
        <f t="shared" si="9"/>
        <v>-5.9999999999999993E-3</v>
      </c>
      <c r="I65" s="154">
        <f t="shared" si="7"/>
        <v>10478.444104240236</v>
      </c>
      <c r="J65" s="254">
        <f t="shared" si="10"/>
        <v>1.5258385066165281E-3</v>
      </c>
      <c r="L65" s="154">
        <f t="shared" si="8"/>
        <v>51682.453803047756</v>
      </c>
      <c r="N65" s="254">
        <f t="shared" si="11"/>
        <v>7.5258385066165273E-3</v>
      </c>
    </row>
    <row r="66" spans="1:14" ht="14" x14ac:dyDescent="0.3">
      <c r="A66" s="151">
        <f>IF(B66&lt;&gt;"",COUNTA($B$13:B66),"")</f>
        <v>48</v>
      </c>
      <c r="B66" s="130" t="str">
        <f>+'G2 WMA'!B63</f>
        <v>Solar Expansion Cost Recovery Factor</v>
      </c>
      <c r="C66" s="253" t="str">
        <f>+'G2 WMA'!C63</f>
        <v>SECRF</v>
      </c>
      <c r="D66" s="253"/>
      <c r="E66" s="154">
        <f t="shared" si="6"/>
        <v>0</v>
      </c>
      <c r="G66" s="254">
        <f t="shared" si="9"/>
        <v>0</v>
      </c>
      <c r="I66" s="154">
        <f t="shared" si="7"/>
        <v>184815.78219097186</v>
      </c>
      <c r="J66" s="254">
        <f t="shared" si="10"/>
        <v>2.6912300556465586E-2</v>
      </c>
      <c r="L66" s="154">
        <f t="shared" si="8"/>
        <v>184815.78219097186</v>
      </c>
      <c r="N66" s="254">
        <f t="shared" si="11"/>
        <v>2.6912300556465586E-2</v>
      </c>
    </row>
    <row r="67" spans="1:14" ht="14" x14ac:dyDescent="0.3">
      <c r="A67" s="151">
        <f>IF(B67&lt;&gt;"",COUNTA($B$13:B67),"")</f>
        <v>49</v>
      </c>
      <c r="B67" s="130" t="str">
        <f>+'G2 WMA'!B64</f>
        <v>Vegetation Management</v>
      </c>
      <c r="C67" s="253" t="str">
        <f>+'G2 WMA'!C64</f>
        <v>RTWF</v>
      </c>
      <c r="D67" s="253"/>
      <c r="E67" s="154">
        <f t="shared" si="6"/>
        <v>0</v>
      </c>
      <c r="G67" s="254">
        <f t="shared" si="9"/>
        <v>0</v>
      </c>
      <c r="I67" s="154">
        <f t="shared" si="7"/>
        <v>373005.04041896906</v>
      </c>
      <c r="J67" s="254">
        <f t="shared" si="10"/>
        <v>5.4315836222574826E-2</v>
      </c>
      <c r="L67" s="154">
        <f t="shared" si="8"/>
        <v>373005.04041896906</v>
      </c>
      <c r="N67" s="254">
        <f t="shared" si="11"/>
        <v>5.4315836222574826E-2</v>
      </c>
    </row>
    <row r="68" spans="1:14" ht="14" x14ac:dyDescent="0.3">
      <c r="A68" s="151">
        <f>IF(B68&lt;&gt;"",COUNTA($B$13:B68),"")</f>
        <v>50</v>
      </c>
      <c r="B68" s="130" t="str">
        <f>+'G2 WMA'!B65</f>
        <v>Solar Massachusetts Renewable Target</v>
      </c>
      <c r="C68" s="253" t="str">
        <f>+'G2 WMA'!C65</f>
        <v>SMART</v>
      </c>
      <c r="D68" s="253"/>
      <c r="E68" s="154">
        <f t="shared" si="6"/>
        <v>0</v>
      </c>
      <c r="G68" s="254">
        <f t="shared" si="9"/>
        <v>0</v>
      </c>
      <c r="I68" s="154">
        <f t="shared" si="7"/>
        <v>216537.62375119975</v>
      </c>
      <c r="J68" s="254">
        <f t="shared" si="10"/>
        <v>3.1531536663646574E-2</v>
      </c>
      <c r="L68" s="154">
        <f t="shared" si="8"/>
        <v>216537.62375119975</v>
      </c>
      <c r="N68" s="254">
        <f t="shared" si="11"/>
        <v>3.1531536663646574E-2</v>
      </c>
    </row>
    <row r="69" spans="1:14" ht="14" x14ac:dyDescent="0.3">
      <c r="A69" s="151">
        <f>IF(B69&lt;&gt;"",COUNTA($B$13:B69),"")</f>
        <v>51</v>
      </c>
      <c r="B69" s="130" t="str">
        <f>+'G2 WMA'!B66</f>
        <v>Tax Act Credit Factor</v>
      </c>
      <c r="C69" s="253" t="str">
        <f>+'G2 WMA'!C66</f>
        <v>TACF</v>
      </c>
      <c r="D69" s="253"/>
      <c r="E69" s="154">
        <f t="shared" si="6"/>
        <v>0</v>
      </c>
      <c r="G69" s="254">
        <f t="shared" si="9"/>
        <v>0</v>
      </c>
      <c r="I69" s="154">
        <f t="shared" si="7"/>
        <v>-327801.78794999997</v>
      </c>
      <c r="J69" s="254">
        <f t="shared" si="10"/>
        <v>-4.7733478903557308E-2</v>
      </c>
      <c r="L69" s="154">
        <f t="shared" si="8"/>
        <v>-327801.78794999997</v>
      </c>
      <c r="N69" s="254">
        <f t="shared" si="11"/>
        <v>-4.7733478903557308E-2</v>
      </c>
    </row>
    <row r="70" spans="1:14" ht="14" x14ac:dyDescent="0.3">
      <c r="A70" s="151">
        <f>IF(B70&lt;&gt;"",COUNTA($B$13:B70),"")</f>
        <v>52</v>
      </c>
      <c r="B70" s="130" t="str">
        <f>+'G2 WMA'!B67</f>
        <v>Transition</v>
      </c>
      <c r="C70" s="253" t="str">
        <f>+'G2 WMA'!C67</f>
        <v>TRNSN</v>
      </c>
      <c r="D70" s="253"/>
      <c r="E70" s="154">
        <f t="shared" si="6"/>
        <v>-1174314.2764160144</v>
      </c>
      <c r="G70" s="254">
        <f t="shared" si="9"/>
        <v>-0.17099999999999999</v>
      </c>
      <c r="I70" s="154">
        <f t="shared" si="7"/>
        <v>-357852.16408515396</v>
      </c>
      <c r="J70" s="254">
        <f t="shared" si="10"/>
        <v>-5.2109321403568713E-2</v>
      </c>
      <c r="L70" s="154">
        <f t="shared" si="8"/>
        <v>816462.11233086046</v>
      </c>
      <c r="N70" s="254">
        <f t="shared" si="11"/>
        <v>0.11889067859643127</v>
      </c>
    </row>
    <row r="71" spans="1:14" ht="14" x14ac:dyDescent="0.3">
      <c r="A71" s="151">
        <f>IF(B71&lt;&gt;"",COUNTA($B$13:B71),"")</f>
        <v>53</v>
      </c>
      <c r="B71" s="130" t="str">
        <f>+'G2 WMA'!B68</f>
        <v>Transmission</v>
      </c>
      <c r="C71" s="253" t="str">
        <f>+'G2 WMA'!C68</f>
        <v>TRNSM</v>
      </c>
      <c r="D71" s="253"/>
      <c r="E71" s="154">
        <f>SUM(SUMIF($C$13:$C$46,{"TMKW","TMKWH"},$I$13:$I$46))</f>
        <v>14825390.12763243</v>
      </c>
      <c r="G71" s="254">
        <f t="shared" si="9"/>
        <v>2.1588272941399906</v>
      </c>
      <c r="I71" s="154">
        <f>SUM(SUMIF($C$13:$C$46,{"TMKW","TMKWH"},$N$13:$N$46))</f>
        <v>13875334.544034604</v>
      </c>
      <c r="J71" s="254">
        <f t="shared" si="10"/>
        <v>2.020483148915893</v>
      </c>
      <c r="L71" s="154">
        <f t="shared" si="8"/>
        <v>-950055.58359782584</v>
      </c>
      <c r="N71" s="254">
        <f t="shared" si="11"/>
        <v>-0.13834414522409763</v>
      </c>
    </row>
    <row r="72" spans="1:14" ht="14" x14ac:dyDescent="0.3">
      <c r="A72" s="151">
        <f>IF(B72&lt;&gt;"",COUNTA($B$13:B72),"")</f>
        <v>54</v>
      </c>
      <c r="B72" s="130" t="str">
        <f>+'G2 WMA'!B69</f>
        <v>Energy Efficiency Reconciliation Factor</v>
      </c>
      <c r="C72" s="253" t="str">
        <f>+'G2 WMA'!C69</f>
        <v>EERF</v>
      </c>
      <c r="D72" s="253"/>
      <c r="E72" s="154">
        <f>SUMIF($C$13:$C$46,$C72,$I$13:$I$46)</f>
        <v>6675049.5712068183</v>
      </c>
      <c r="G72" s="254">
        <f t="shared" si="9"/>
        <v>0.97199999999999998</v>
      </c>
      <c r="I72" s="154">
        <f>SUMIF($C$13:$C$46,$C72,$N$13:$N$46)</f>
        <v>6675049.5712068183</v>
      </c>
      <c r="J72" s="254">
        <f t="shared" si="10"/>
        <v>0.97199999999999998</v>
      </c>
      <c r="L72" s="154">
        <f t="shared" si="8"/>
        <v>0</v>
      </c>
      <c r="N72" s="254">
        <f t="shared" si="11"/>
        <v>0</v>
      </c>
    </row>
    <row r="73" spans="1:14" ht="14" x14ac:dyDescent="0.3">
      <c r="A73" s="151">
        <f>IF(B73&lt;&gt;"",COUNTA($B$13:B73),"")</f>
        <v>55</v>
      </c>
      <c r="B73" s="130" t="str">
        <f>+'G2 WMA'!B70</f>
        <v>System Benefits Charge</v>
      </c>
      <c r="C73" s="253" t="str">
        <f>+'G2 WMA'!C70</f>
        <v>SBC</v>
      </c>
      <c r="D73" s="253"/>
      <c r="E73" s="154">
        <f>SUMIF($C$13:$C$46,$C73,$I$13:$I$46)</f>
        <v>1716833.7374503135</v>
      </c>
      <c r="G73" s="254">
        <f t="shared" si="9"/>
        <v>0.25</v>
      </c>
      <c r="I73" s="154">
        <f>SUMIF($C$13:$C$46,$C73,$N$13:$N$46)</f>
        <v>1716833.7374503135</v>
      </c>
      <c r="J73" s="254">
        <f t="shared" si="10"/>
        <v>0.25</v>
      </c>
      <c r="L73" s="154">
        <f t="shared" si="8"/>
        <v>0</v>
      </c>
      <c r="N73" s="254">
        <f t="shared" si="11"/>
        <v>0</v>
      </c>
    </row>
    <row r="74" spans="1:14" ht="14" x14ac:dyDescent="0.3">
      <c r="A74" s="151">
        <f>IF(B74&lt;&gt;"",COUNTA($B$13:B74),"")</f>
        <v>56</v>
      </c>
      <c r="B74" s="130" t="str">
        <f>+'G2 WMA'!B71</f>
        <v>Renewable Energy Charge</v>
      </c>
      <c r="C74" s="253" t="str">
        <f>+'G2 WMA'!C71</f>
        <v>RNEW</v>
      </c>
      <c r="D74" s="253"/>
      <c r="E74" s="154">
        <f>SUMIF($C$13:$C$46,$C74,$I$13:$I$46)</f>
        <v>343366.74749006273</v>
      </c>
      <c r="G74" s="254">
        <f t="shared" si="9"/>
        <v>0.05</v>
      </c>
      <c r="I74" s="154">
        <f>SUMIF($C$13:$C$46,$C74,$N$13:$N$46)</f>
        <v>343366.74749006273</v>
      </c>
      <c r="J74" s="254">
        <f t="shared" si="10"/>
        <v>0.05</v>
      </c>
      <c r="L74" s="154">
        <f>I74-E74</f>
        <v>0</v>
      </c>
      <c r="N74" s="254">
        <f t="shared" si="11"/>
        <v>0</v>
      </c>
    </row>
    <row r="75" spans="1:14" ht="14" x14ac:dyDescent="0.3">
      <c r="A75" s="151">
        <f>IF(B75&lt;&gt;"",COUNTA($B$13:B75),"")</f>
        <v>57</v>
      </c>
      <c r="B75" s="130" t="str">
        <f>+'G2 WMA'!B72</f>
        <v>Basic Service Charge</v>
      </c>
      <c r="C75" s="253" t="str">
        <f>+'G2 WMA'!C72</f>
        <v>BS</v>
      </c>
      <c r="D75" s="253"/>
      <c r="E75" s="255">
        <f>SUMIF($C$13:$C$46,$C75,$I$13:$I$46)</f>
        <v>78198343.073386878</v>
      </c>
      <c r="F75" s="256"/>
      <c r="G75" s="257">
        <f t="shared" si="9"/>
        <v>11.387</v>
      </c>
      <c r="H75" s="258"/>
      <c r="I75" s="255">
        <f>SUMIF($C$13:$C$46,$C75,$N$13:$N$46)</f>
        <v>101904383.32010083</v>
      </c>
      <c r="J75" s="257">
        <f t="shared" si="10"/>
        <v>14.839000000000002</v>
      </c>
      <c r="K75" s="255"/>
      <c r="L75" s="255">
        <f t="shared" si="8"/>
        <v>23706040.246713951</v>
      </c>
      <c r="M75" s="259"/>
      <c r="N75" s="309">
        <f t="shared" si="11"/>
        <v>3.4520000000000031</v>
      </c>
    </row>
    <row r="76" spans="1:14" ht="14" x14ac:dyDescent="0.3">
      <c r="A76" s="151">
        <f>IF(B76&lt;&gt;"",COUNTA($B$13:B76),"")</f>
        <v>58</v>
      </c>
      <c r="B76" s="130" t="str">
        <f>+'G2 WMA'!B73</f>
        <v>Total</v>
      </c>
      <c r="C76" s="130"/>
      <c r="D76" s="130"/>
      <c r="E76" s="154">
        <f>SUM(E55:E75)</f>
        <v>123225624.16185108</v>
      </c>
      <c r="G76" s="254">
        <f t="shared" si="9"/>
        <v>17.943732912782608</v>
      </c>
      <c r="I76" s="154">
        <f>SUM(I55:I75)</f>
        <v>144299478.00867641</v>
      </c>
      <c r="J76" s="254">
        <f t="shared" si="10"/>
        <v>21.012442099224028</v>
      </c>
      <c r="L76" s="154">
        <f>SUM(L55:L75)</f>
        <v>21073853.84682532</v>
      </c>
      <c r="N76" s="254">
        <f t="shared" si="11"/>
        <v>3.0687091864414175</v>
      </c>
    </row>
    <row r="77" spans="1:14" ht="14" x14ac:dyDescent="0.3">
      <c r="A77" s="151" t="str">
        <f>IF(B77&lt;&gt;"",COUNTA($B$10:B77),"")</f>
        <v/>
      </c>
    </row>
    <row r="78" spans="1:14" ht="14" x14ac:dyDescent="0.3">
      <c r="A78" s="151"/>
      <c r="B78" s="256" t="s">
        <v>164</v>
      </c>
      <c r="E78" s="188"/>
      <c r="G78" s="188"/>
      <c r="H78" s="188"/>
      <c r="I78" s="188"/>
      <c r="J78" s="188"/>
      <c r="K78" s="188"/>
      <c r="L78" s="188"/>
      <c r="M78" s="188"/>
      <c r="N78" s="188"/>
    </row>
    <row r="79" spans="1:14" ht="14" x14ac:dyDescent="0.3">
      <c r="A79" s="151"/>
      <c r="B79" s="130" t="str">
        <f>+'G2 WMA'!B76</f>
        <v>Col. (a): Company's forecast</v>
      </c>
    </row>
    <row r="80" spans="1:14" ht="14" x14ac:dyDescent="0.3">
      <c r="A80" s="151"/>
      <c r="B80" s="130" t="str">
        <f>+'G2 WMA'!B77</f>
        <v>Col. (b): Current rates</v>
      </c>
    </row>
    <row r="81" spans="1:2" ht="14" x14ac:dyDescent="0.3">
      <c r="A81" s="151"/>
      <c r="B81" s="130" t="str">
        <f>+'G2 WMA'!B78</f>
        <v>Col. (c): Col. (a) x Col. (b)</v>
      </c>
    </row>
    <row r="82" spans="1:2" ht="14" x14ac:dyDescent="0.3">
      <c r="A82" s="151"/>
      <c r="B82" s="130" t="str">
        <f>+'G2 WMA'!B79</f>
        <v>Col. (e): Proposed rates</v>
      </c>
    </row>
    <row r="83" spans="1:2" ht="14" x14ac:dyDescent="0.3">
      <c r="A83" s="151"/>
      <c r="B83" s="130" t="s">
        <v>524</v>
      </c>
    </row>
  </sheetData>
  <mergeCells count="5">
    <mergeCell ref="A4:N4"/>
    <mergeCell ref="A5:N5"/>
    <mergeCell ref="A8:N8"/>
    <mergeCell ref="G10:I10"/>
    <mergeCell ref="L10:N10"/>
  </mergeCells>
  <pageMargins left="0.7" right="0.7" top="0.75" bottom="0.75" header="0.3" footer="0.3"/>
  <pageSetup scale="59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F6013-2D49-471B-87CE-47FA5EC7792F}">
  <sheetPr>
    <tabColor theme="9" tint="0.59999389629810485"/>
    <pageSetUpPr fitToPage="1"/>
  </sheetPr>
  <dimension ref="A3:P80"/>
  <sheetViews>
    <sheetView workbookViewId="0"/>
  </sheetViews>
  <sheetFormatPr defaultRowHeight="12.5" x14ac:dyDescent="0.25"/>
  <cols>
    <col min="1" max="1" width="3.26953125" bestFit="1" customWidth="1"/>
    <col min="2" max="2" width="40.81640625" customWidth="1"/>
    <col min="3" max="3" width="8.7265625" bestFit="1" customWidth="1"/>
    <col min="4" max="4" width="1.453125" customWidth="1"/>
    <col min="5" max="5" width="13.7265625" bestFit="1" customWidth="1"/>
    <col min="6" max="6" width="1.453125" customWidth="1"/>
    <col min="7" max="7" width="12.7265625" customWidth="1"/>
    <col min="8" max="8" width="1.453125" customWidth="1"/>
    <col min="9" max="9" width="13.26953125" bestFit="1" customWidth="1"/>
    <col min="11" max="11" width="1.453125" customWidth="1"/>
    <col min="12" max="12" width="13.26953125" bestFit="1" customWidth="1"/>
    <col min="13" max="13" width="1.453125" customWidth="1"/>
    <col min="14" max="14" width="13.26953125" bestFit="1" customWidth="1"/>
  </cols>
  <sheetData>
    <row r="3" spans="1:16" ht="14" x14ac:dyDescent="0.3">
      <c r="A3" s="268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</row>
    <row r="4" spans="1:16" ht="14" x14ac:dyDescent="0.3">
      <c r="A4" s="748" t="str">
        <f>'T2 WMA'!A4:N4</f>
        <v>Western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6" ht="14" x14ac:dyDescent="0.3">
      <c r="A5" s="748" t="str">
        <f>+'23 WMA'!A5:N5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6" ht="14" x14ac:dyDescent="0.3">
      <c r="A6" s="268"/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</row>
    <row r="7" spans="1:16" ht="14" x14ac:dyDescent="0.3">
      <c r="A7" s="268"/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</row>
    <row r="8" spans="1:16" ht="14" x14ac:dyDescent="0.3">
      <c r="A8" s="748" t="s">
        <v>525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</row>
    <row r="9" spans="1:16" ht="14" x14ac:dyDescent="0.3">
      <c r="B9" s="207"/>
      <c r="C9" s="207"/>
      <c r="D9" s="207"/>
      <c r="E9" s="213"/>
      <c r="F9" s="207"/>
      <c r="I9" s="210"/>
      <c r="J9" s="210"/>
      <c r="K9" s="210"/>
      <c r="L9" s="214"/>
      <c r="M9" s="214"/>
      <c r="N9" s="215"/>
    </row>
    <row r="10" spans="1:16" ht="14.5" thickBot="1" x14ac:dyDescent="0.35">
      <c r="A10" s="151"/>
      <c r="B10" s="216" t="s">
        <v>46</v>
      </c>
      <c r="C10" s="216"/>
      <c r="D10" s="216"/>
      <c r="E10" s="217" t="s">
        <v>144</v>
      </c>
      <c r="F10" s="216"/>
      <c r="G10" s="749" t="s">
        <v>63</v>
      </c>
      <c r="H10" s="749"/>
      <c r="I10" s="749"/>
      <c r="J10" s="218"/>
      <c r="K10" s="216"/>
      <c r="L10" s="750" t="s">
        <v>64</v>
      </c>
      <c r="M10" s="750"/>
      <c r="N10" s="750"/>
    </row>
    <row r="11" spans="1:16" ht="14" x14ac:dyDescent="0.3">
      <c r="A11" s="151"/>
      <c r="B11" s="219" t="s">
        <v>293</v>
      </c>
      <c r="C11" s="220" t="s">
        <v>294</v>
      </c>
      <c r="D11" s="220"/>
      <c r="E11" s="221" t="s">
        <v>295</v>
      </c>
      <c r="F11" s="222"/>
      <c r="G11" s="223" t="s">
        <v>211</v>
      </c>
      <c r="H11" s="223"/>
      <c r="I11" s="223" t="s">
        <v>148</v>
      </c>
      <c r="J11" s="224"/>
      <c r="K11" s="222"/>
      <c r="L11" s="225" t="s">
        <v>211</v>
      </c>
      <c r="M11" s="226"/>
      <c r="N11" s="227" t="s">
        <v>148</v>
      </c>
    </row>
    <row r="12" spans="1:16" ht="14" x14ac:dyDescent="0.3">
      <c r="A12" s="151" t="str">
        <f>IF(B12&lt;&gt;"",COUNTA($B$10:B12),"")</f>
        <v/>
      </c>
      <c r="B12" s="228"/>
      <c r="C12" s="220"/>
      <c r="D12" s="220"/>
      <c r="E12" s="213" t="s">
        <v>66</v>
      </c>
      <c r="F12" s="222"/>
      <c r="G12" s="229" t="s">
        <v>67</v>
      </c>
      <c r="H12" s="230"/>
      <c r="I12" s="231" t="s">
        <v>68</v>
      </c>
      <c r="J12" s="231" t="s">
        <v>69</v>
      </c>
      <c r="K12" s="222"/>
      <c r="L12" s="226" t="s">
        <v>70</v>
      </c>
      <c r="M12" s="230"/>
      <c r="N12" s="231" t="s">
        <v>71</v>
      </c>
    </row>
    <row r="13" spans="1:16" ht="14" x14ac:dyDescent="0.3">
      <c r="A13" s="151">
        <f>IF(B13&lt;&gt;"",COUNTA($B$13:B13),"")</f>
        <v>1</v>
      </c>
      <c r="B13" s="232" t="s">
        <v>296</v>
      </c>
      <c r="C13" s="233" t="s">
        <v>297</v>
      </c>
      <c r="D13" s="233"/>
      <c r="E13" s="234">
        <v>245.65262819460156</v>
      </c>
      <c r="F13" s="207"/>
      <c r="G13" s="209">
        <v>3800</v>
      </c>
      <c r="H13" s="209"/>
      <c r="I13" s="210">
        <f>G13*E13</f>
        <v>933479.98713948589</v>
      </c>
      <c r="J13" s="235"/>
      <c r="K13" s="210"/>
      <c r="L13" s="238">
        <v>3800</v>
      </c>
      <c r="M13" s="211"/>
      <c r="N13" s="210">
        <f>L13*E13</f>
        <v>933479.98713948589</v>
      </c>
      <c r="O13" s="272"/>
      <c r="P13" s="154"/>
    </row>
    <row r="14" spans="1:16" ht="14" x14ac:dyDescent="0.3">
      <c r="A14" s="151">
        <f>IF(B14&lt;&gt;"",COUNTA($B$13:B14),"")</f>
        <v>2</v>
      </c>
      <c r="B14" s="232" t="s">
        <v>523</v>
      </c>
      <c r="C14" s="233" t="s">
        <v>364</v>
      </c>
      <c r="D14" s="233"/>
      <c r="E14" s="234">
        <v>555609.47176621435</v>
      </c>
      <c r="F14" s="207"/>
      <c r="G14" s="209">
        <v>4.4400000000000004</v>
      </c>
      <c r="H14" s="209"/>
      <c r="I14" s="210">
        <f>G14*(E14)</f>
        <v>2466906.0546419919</v>
      </c>
      <c r="J14" s="235"/>
      <c r="K14" s="210"/>
      <c r="L14" s="238">
        <v>4.62</v>
      </c>
      <c r="M14" s="211"/>
      <c r="N14" s="210">
        <f t="shared" ref="N14:N16" si="0">L14*E14</f>
        <v>2566915.7595599103</v>
      </c>
      <c r="O14" s="272"/>
      <c r="P14" s="154"/>
    </row>
    <row r="15" spans="1:16" ht="14" x14ac:dyDescent="0.3">
      <c r="A15" s="151">
        <f>IF(B15&lt;&gt;"",COUNTA($B$13:B15),"")</f>
        <v>3</v>
      </c>
      <c r="B15" s="207" t="s">
        <v>449</v>
      </c>
      <c r="C15" s="233" t="s">
        <v>442</v>
      </c>
      <c r="D15" s="233"/>
      <c r="E15" s="288">
        <v>96444829.3564495</v>
      </c>
      <c r="F15" s="207"/>
      <c r="G15" s="236">
        <v>2.5400000000000002E-3</v>
      </c>
      <c r="H15" s="209"/>
      <c r="I15" s="210">
        <f>(G15*(E15))</f>
        <v>244969.86656538176</v>
      </c>
      <c r="J15" s="235"/>
      <c r="K15" s="210"/>
      <c r="L15" s="281">
        <v>2.64E-3</v>
      </c>
      <c r="M15" s="211"/>
      <c r="N15" s="210">
        <f t="shared" si="0"/>
        <v>254614.34950102668</v>
      </c>
      <c r="O15" s="272"/>
      <c r="P15" s="154"/>
    </row>
    <row r="16" spans="1:16" ht="14" x14ac:dyDescent="0.3">
      <c r="A16" s="151">
        <f>IF(B16&lt;&gt;"",COUNTA($B$13:B16),"")</f>
        <v>4</v>
      </c>
      <c r="B16" s="207" t="s">
        <v>514</v>
      </c>
      <c r="C16" s="233" t="s">
        <v>444</v>
      </c>
      <c r="D16" s="233"/>
      <c r="E16" s="288">
        <v>274923412.97997171</v>
      </c>
      <c r="F16" s="207"/>
      <c r="G16" s="236">
        <v>7.5000000000000002E-4</v>
      </c>
      <c r="H16" s="209"/>
      <c r="I16" s="210">
        <f>(G16*(E16))</f>
        <v>206192.55973497877</v>
      </c>
      <c r="J16" s="235"/>
      <c r="K16" s="210"/>
      <c r="L16" s="281">
        <v>7.7999999999999999E-4</v>
      </c>
      <c r="M16" s="211"/>
      <c r="N16" s="210">
        <f t="shared" si="0"/>
        <v>214440.26212437791</v>
      </c>
      <c r="O16" s="272"/>
      <c r="P16" s="154"/>
    </row>
    <row r="17" spans="1:16" ht="14" x14ac:dyDescent="0.3">
      <c r="A17" s="151">
        <f>IF(B17&lt;&gt;"",COUNTA($B$13:B17),"")</f>
        <v>5</v>
      </c>
      <c r="B17" s="207" t="s">
        <v>352</v>
      </c>
      <c r="C17" s="233" t="s">
        <v>299</v>
      </c>
      <c r="D17" s="233"/>
      <c r="E17" s="288">
        <f>SUM(E15:E16)</f>
        <v>371368242.33642119</v>
      </c>
      <c r="F17" s="207"/>
      <c r="G17" s="209"/>
      <c r="H17" s="209"/>
      <c r="I17" s="237"/>
      <c r="J17" s="235"/>
      <c r="K17" s="210"/>
      <c r="L17" s="281"/>
      <c r="M17" s="211"/>
      <c r="N17" s="237"/>
      <c r="O17" s="272"/>
      <c r="P17" s="154"/>
    </row>
    <row r="18" spans="1:16" ht="14" x14ac:dyDescent="0.3">
      <c r="A18" s="151">
        <f>IF(B18&lt;&gt;"",COUNTA($B$13:B18),"")</f>
        <v>6</v>
      </c>
      <c r="B18" s="207" t="s">
        <v>300</v>
      </c>
      <c r="C18" s="233" t="s">
        <v>301</v>
      </c>
      <c r="D18" s="233"/>
      <c r="E18" s="288"/>
      <c r="F18" s="207"/>
      <c r="G18" s="209"/>
      <c r="H18" s="209"/>
      <c r="I18" s="210">
        <f>SUM(I13:I17)</f>
        <v>3851548.468081838</v>
      </c>
      <c r="J18" s="235"/>
      <c r="K18" s="210"/>
      <c r="L18" s="238"/>
      <c r="M18" s="211"/>
      <c r="N18" s="210">
        <f>SUM(N13:N17)</f>
        <v>3969450.3583248006</v>
      </c>
      <c r="O18" s="299"/>
      <c r="P18" s="154"/>
    </row>
    <row r="19" spans="1:16" ht="14" x14ac:dyDescent="0.3">
      <c r="A19" s="151" t="str">
        <f>IF(B19&lt;&gt;"",COUNTA($B$13:B19),"")</f>
        <v/>
      </c>
      <c r="B19" s="207"/>
      <c r="C19" s="233"/>
      <c r="D19" s="233"/>
      <c r="E19" s="288"/>
      <c r="F19" s="207"/>
      <c r="G19" s="209"/>
      <c r="H19" s="209"/>
      <c r="I19" s="234"/>
      <c r="J19" s="235"/>
      <c r="K19" s="210"/>
      <c r="L19" s="238"/>
      <c r="M19" s="211"/>
      <c r="N19" s="210"/>
      <c r="O19" s="272"/>
    </row>
    <row r="20" spans="1:16" ht="14" x14ac:dyDescent="0.3">
      <c r="A20" s="151">
        <f>IF(B20&lt;&gt;"",COUNTA($B$13:B20),"")</f>
        <v>7</v>
      </c>
      <c r="B20" s="207" t="s">
        <v>377</v>
      </c>
      <c r="C20" s="233" t="s">
        <v>378</v>
      </c>
      <c r="D20" s="233"/>
      <c r="E20" s="288">
        <v>192540.69661119889</v>
      </c>
      <c r="F20" s="207"/>
      <c r="G20" s="209"/>
      <c r="H20" s="209"/>
      <c r="I20" s="210"/>
      <c r="J20" s="235"/>
      <c r="K20" s="210"/>
      <c r="L20" s="238"/>
      <c r="M20" s="211"/>
      <c r="N20" s="210"/>
      <c r="O20" s="272"/>
    </row>
    <row r="21" spans="1:16" ht="14" x14ac:dyDescent="0.3">
      <c r="A21" s="151">
        <f>IF(B21&lt;&gt;"",COUNTA($B$13:B21),"")</f>
        <v>8</v>
      </c>
      <c r="B21" s="207" t="s">
        <v>379</v>
      </c>
      <c r="C21" s="233" t="s">
        <v>380</v>
      </c>
      <c r="D21" s="233"/>
      <c r="E21" s="288">
        <v>42267996.228877977</v>
      </c>
      <c r="F21" s="207"/>
      <c r="G21" s="209"/>
      <c r="H21" s="209"/>
      <c r="I21" s="210"/>
      <c r="J21" s="235"/>
      <c r="K21" s="210"/>
      <c r="L21" s="238"/>
      <c r="M21" s="211"/>
      <c r="N21" s="210"/>
      <c r="O21" s="272"/>
    </row>
    <row r="22" spans="1:16" ht="14" x14ac:dyDescent="0.3">
      <c r="A22" s="151" t="str">
        <f>IF(B22&lt;&gt;"",COUNTA($B$13:B22),"")</f>
        <v/>
      </c>
      <c r="B22" s="207"/>
      <c r="C22" s="233"/>
      <c r="D22" s="233"/>
      <c r="E22" s="234"/>
      <c r="F22" s="207"/>
      <c r="G22" s="209"/>
      <c r="H22" s="209"/>
      <c r="I22" s="210"/>
      <c r="J22" s="235"/>
      <c r="K22" s="210"/>
      <c r="L22" s="238"/>
      <c r="M22" s="211"/>
      <c r="N22" s="210"/>
      <c r="O22" s="272"/>
    </row>
    <row r="23" spans="1:16" ht="14" x14ac:dyDescent="0.3">
      <c r="A23" s="151">
        <f>IF(B23&lt;&gt;"",COUNTA($B$13:B23),"")</f>
        <v>9</v>
      </c>
      <c r="B23" s="228" t="s">
        <v>302</v>
      </c>
      <c r="F23" s="239"/>
      <c r="G23" s="240"/>
      <c r="H23" s="211"/>
      <c r="I23" s="210"/>
      <c r="K23" s="210"/>
      <c r="L23" s="241"/>
      <c r="M23" s="211"/>
      <c r="N23" s="210"/>
      <c r="O23" s="272"/>
    </row>
    <row r="24" spans="1:16" ht="14" x14ac:dyDescent="0.3">
      <c r="A24" s="151">
        <f>IF(B24&lt;&gt;"",COUNTA($B$13:B24),"")</f>
        <v>10</v>
      </c>
      <c r="B24" s="207" t="str">
        <f>+'G2 WMA'!B24</f>
        <v>Revenue Decoupling</v>
      </c>
      <c r="C24" s="233" t="str">
        <f>+'G2 WMA'!C24</f>
        <v>RDAF</v>
      </c>
      <c r="D24" s="233"/>
      <c r="E24" s="242"/>
      <c r="F24" s="239"/>
      <c r="G24" s="236">
        <v>1.3999999999999999E-4</v>
      </c>
      <c r="H24" s="211"/>
      <c r="I24" s="210">
        <f t="shared" ref="I24:I38" si="1">G24*($E$17+$E$21)</f>
        <v>57909.073399141875</v>
      </c>
      <c r="K24" s="210"/>
      <c r="L24" s="236">
        <v>-1.1310635602246967E-4</v>
      </c>
      <c r="M24" s="211"/>
      <c r="N24" s="210">
        <f t="shared" ref="N24:N38" si="2">L24*($E$17+$E$21)</f>
        <v>-46784.887662961926</v>
      </c>
      <c r="O24" s="272"/>
    </row>
    <row r="25" spans="1:16" ht="14" x14ac:dyDescent="0.3">
      <c r="A25" s="151">
        <f>IF(B25&lt;&gt;"",COUNTA($B$13:B25),"")</f>
        <v>11</v>
      </c>
      <c r="B25" s="207" t="str">
        <f>+'G2 WMA'!B25</f>
        <v>Residential Assistance Adjustment Factor</v>
      </c>
      <c r="C25" s="233" t="str">
        <f>+'G2 WMA'!C25</f>
        <v>RAAF</v>
      </c>
      <c r="D25" s="243"/>
      <c r="E25" s="206"/>
      <c r="F25" s="239"/>
      <c r="G25" s="236">
        <v>2.5300000000000001E-3</v>
      </c>
      <c r="H25" s="211"/>
      <c r="I25" s="210">
        <f t="shared" si="1"/>
        <v>1046499.6835702069</v>
      </c>
      <c r="K25" s="210"/>
      <c r="L25" s="236">
        <v>9.5555291485414483E-4</v>
      </c>
      <c r="M25" s="211"/>
      <c r="N25" s="210">
        <f t="shared" si="2"/>
        <v>395251.31345037604</v>
      </c>
      <c r="O25" s="272"/>
    </row>
    <row r="26" spans="1:16" ht="14" x14ac:dyDescent="0.3">
      <c r="A26" s="151">
        <f>IF(B26&lt;&gt;"",COUNTA($B$13:B26),"")</f>
        <v>12</v>
      </c>
      <c r="B26" s="207" t="str">
        <f>+'G2 WMA'!B26</f>
        <v>Pension Adjustment Factor</v>
      </c>
      <c r="C26" s="233" t="str">
        <f>+'G2 WMA'!C26</f>
        <v>PAF</v>
      </c>
      <c r="D26" s="243"/>
      <c r="E26" s="206"/>
      <c r="F26" s="239"/>
      <c r="G26" s="236">
        <v>3.2000000000000003E-4</v>
      </c>
      <c r="H26" s="211"/>
      <c r="I26" s="210">
        <f t="shared" si="1"/>
        <v>132363.59634089575</v>
      </c>
      <c r="K26" s="210"/>
      <c r="L26" s="236">
        <v>1.9064964853894673E-4</v>
      </c>
      <c r="M26" s="211"/>
      <c r="N26" s="210">
        <f t="shared" si="2"/>
        <v>78859.603505446212</v>
      </c>
      <c r="O26" s="272"/>
    </row>
    <row r="27" spans="1:16" ht="14" x14ac:dyDescent="0.3">
      <c r="A27" s="151">
        <f>IF(B27&lt;&gt;"",COUNTA($B$13:B27),"")</f>
        <v>13</v>
      </c>
      <c r="B27" s="207" t="str">
        <f>+'G2 WMA'!B27</f>
        <v>Net Metering Recovery Surcharge</v>
      </c>
      <c r="C27" s="233" t="str">
        <f>+'G2 WMA'!C27</f>
        <v>NMRS</v>
      </c>
      <c r="D27" s="243"/>
      <c r="E27" s="206"/>
      <c r="F27" s="239"/>
      <c r="G27" s="236">
        <v>1.1000000000000001E-3</v>
      </c>
      <c r="H27" s="211"/>
      <c r="I27" s="210">
        <f t="shared" si="1"/>
        <v>454999.86242182908</v>
      </c>
      <c r="K27" s="210"/>
      <c r="L27" s="236">
        <v>1.245964352328792E-3</v>
      </c>
      <c r="M27" s="211"/>
      <c r="N27" s="210">
        <f t="shared" si="2"/>
        <v>515376.00808373065</v>
      </c>
      <c r="O27" s="272"/>
    </row>
    <row r="28" spans="1:16" ht="14" x14ac:dyDescent="0.3">
      <c r="A28" s="151">
        <f>IF(B28&lt;&gt;"",COUNTA($B$13:B28),"")</f>
        <v>14</v>
      </c>
      <c r="B28" s="207" t="str">
        <f>+'G2 WMA'!B28</f>
        <v>Long Term Renewable Contract Adjustment</v>
      </c>
      <c r="C28" s="233" t="str">
        <f>+'G2 WMA'!C28</f>
        <v>LTRCA</v>
      </c>
      <c r="D28" s="243"/>
      <c r="E28" s="206"/>
      <c r="F28" s="239"/>
      <c r="G28" s="236">
        <v>3.31E-3</v>
      </c>
      <c r="H28" s="211"/>
      <c r="I28" s="210">
        <f t="shared" si="1"/>
        <v>1369135.9496511403</v>
      </c>
      <c r="K28" s="210"/>
      <c r="L28" s="236">
        <v>1.7357128782064517E-3</v>
      </c>
      <c r="M28" s="211"/>
      <c r="N28" s="210">
        <f t="shared" si="2"/>
        <v>717953.74617066595</v>
      </c>
      <c r="O28" s="272"/>
    </row>
    <row r="29" spans="1:16" ht="14" x14ac:dyDescent="0.3">
      <c r="A29" s="151">
        <f>IF(B29&lt;&gt;"",COUNTA($B$13:B29),"")</f>
        <v>15</v>
      </c>
      <c r="B29" s="207" t="str">
        <f>+'G2 WMA'!B29</f>
        <v>AG Consulting Expense</v>
      </c>
      <c r="C29" s="233" t="str">
        <f>+'G2 WMA'!C29</f>
        <v>AGCE</v>
      </c>
      <c r="D29" s="243"/>
      <c r="E29" s="206"/>
      <c r="F29" s="239"/>
      <c r="G29" s="236">
        <v>1.0000000000000001E-5</v>
      </c>
      <c r="H29" s="211"/>
      <c r="I29" s="210">
        <f t="shared" si="1"/>
        <v>4136.3623856529921</v>
      </c>
      <c r="K29" s="210"/>
      <c r="L29" s="236">
        <v>2.0063046700053608E-6</v>
      </c>
      <c r="M29" s="211"/>
      <c r="N29" s="210">
        <f t="shared" si="2"/>
        <v>829.88031711701126</v>
      </c>
      <c r="O29" s="272"/>
    </row>
    <row r="30" spans="1:16" ht="14" x14ac:dyDescent="0.3">
      <c r="A30" s="151">
        <f>IF(B30&lt;&gt;"",COUNTA($B$13:B30),"")</f>
        <v>16</v>
      </c>
      <c r="B30" s="207" t="str">
        <f>+'G2 WMA'!B30</f>
        <v>Storm Cost Recovery Adjustment Factor</v>
      </c>
      <c r="C30" s="233" t="str">
        <f>+'G2 WMA'!C30</f>
        <v>SCRA</v>
      </c>
      <c r="D30" s="243"/>
      <c r="E30" s="206"/>
      <c r="F30" s="239"/>
      <c r="G30" s="236">
        <v>5.9000000000000003E-4</v>
      </c>
      <c r="H30" s="211"/>
      <c r="I30" s="210">
        <f t="shared" si="1"/>
        <v>244045.38075352652</v>
      </c>
      <c r="K30" s="210"/>
      <c r="L30" s="236">
        <v>7.1812158818119901E-4</v>
      </c>
      <c r="M30" s="211"/>
      <c r="N30" s="210">
        <f t="shared" si="2"/>
        <v>297041.11256780993</v>
      </c>
      <c r="O30" s="272"/>
    </row>
    <row r="31" spans="1:16" ht="14" x14ac:dyDescent="0.3">
      <c r="A31" s="151">
        <f>IF(B31&lt;&gt;"",COUNTA($B$13:B31),"")</f>
        <v>17</v>
      </c>
      <c r="B31" s="207" t="str">
        <f>+'G2 WMA'!B31</f>
        <v>Storm Reserve Adjustment</v>
      </c>
      <c r="C31" s="233" t="str">
        <f>+'G2 WMA'!C31</f>
        <v>SRA</v>
      </c>
      <c r="D31" s="243"/>
      <c r="E31" s="206"/>
      <c r="F31" s="239"/>
      <c r="G31" s="236">
        <v>0</v>
      </c>
      <c r="H31" s="211"/>
      <c r="I31" s="210">
        <f t="shared" si="1"/>
        <v>0</v>
      </c>
      <c r="K31" s="210"/>
      <c r="L31" s="236">
        <v>0</v>
      </c>
      <c r="M31" s="211"/>
      <c r="N31" s="210">
        <f t="shared" si="2"/>
        <v>0</v>
      </c>
      <c r="O31" s="272"/>
    </row>
    <row r="32" spans="1:16" ht="14" x14ac:dyDescent="0.3">
      <c r="A32" s="151">
        <f>IF(B32&lt;&gt;"",COUNTA($B$13:B32),"")</f>
        <v>18</v>
      </c>
      <c r="B32" s="207" t="str">
        <f>+'G2 WMA'!B32</f>
        <v>Basic Service Cost True Up Factor</v>
      </c>
      <c r="C32" s="233" t="str">
        <f>+'G2 WMA'!C32</f>
        <v>BSTF</v>
      </c>
      <c r="D32" s="243"/>
      <c r="E32" s="206"/>
      <c r="F32" s="239"/>
      <c r="G32" s="236">
        <v>5.0000000000000002E-5</v>
      </c>
      <c r="H32" s="211"/>
      <c r="I32" s="210">
        <f t="shared" si="1"/>
        <v>20681.81192826496</v>
      </c>
      <c r="K32" s="210"/>
      <c r="L32" s="236">
        <v>-4.7416877175426284E-5</v>
      </c>
      <c r="M32" s="211"/>
      <c r="N32" s="210">
        <f t="shared" si="2"/>
        <v>-19613.338719356114</v>
      </c>
      <c r="O32" s="272"/>
    </row>
    <row r="33" spans="1:15" ht="14" x14ac:dyDescent="0.3">
      <c r="A33" s="151">
        <f>IF(B33&lt;&gt;"",COUNTA($B$13:B33),"")</f>
        <v>19</v>
      </c>
      <c r="B33" s="207" t="str">
        <f>+'G2 WMA'!B33</f>
        <v>Solar Program Cost Adjustment Factor</v>
      </c>
      <c r="C33" s="233" t="str">
        <f>+'G2 WMA'!C33</f>
        <v>SPCA</v>
      </c>
      <c r="D33" s="233"/>
      <c r="E33" s="206"/>
      <c r="F33" s="239"/>
      <c r="G33" s="236">
        <v>-3.0000000000000001E-5</v>
      </c>
      <c r="H33" s="211"/>
      <c r="I33" s="210">
        <f t="shared" si="1"/>
        <v>-12409.087156958974</v>
      </c>
      <c r="K33" s="210"/>
      <c r="L33" s="236">
        <v>8.4385216733163439E-6</v>
      </c>
      <c r="M33" s="211"/>
      <c r="N33" s="210">
        <f t="shared" si="2"/>
        <v>3490.4783640023265</v>
      </c>
      <c r="O33" s="272"/>
    </row>
    <row r="34" spans="1:15" ht="14" x14ac:dyDescent="0.3">
      <c r="A34" s="151">
        <f>IF(B34&lt;&gt;"",COUNTA($B$13:B34),"")</f>
        <v>20</v>
      </c>
      <c r="B34" s="207" t="str">
        <f>+'G2 WMA'!B34</f>
        <v>Solar Expansion Cost Recovery Factor</v>
      </c>
      <c r="C34" s="233" t="str">
        <f>+'G2 WMA'!C34</f>
        <v>SECRF</v>
      </c>
      <c r="D34" s="233"/>
      <c r="E34" s="206"/>
      <c r="F34" s="239"/>
      <c r="G34" s="236">
        <v>0</v>
      </c>
      <c r="H34" s="211"/>
      <c r="I34" s="210">
        <f t="shared" si="1"/>
        <v>0</v>
      </c>
      <c r="K34" s="210"/>
      <c r="L34" s="236">
        <v>1.4883621729282575E-4</v>
      </c>
      <c r="M34" s="211"/>
      <c r="N34" s="210">
        <f t="shared" si="2"/>
        <v>61564.053083291976</v>
      </c>
      <c r="O34" s="272"/>
    </row>
    <row r="35" spans="1:15" ht="14" x14ac:dyDescent="0.3">
      <c r="A35" s="151">
        <f>IF(B35&lt;&gt;"",COUNTA($B$13:B35),"")</f>
        <v>21</v>
      </c>
      <c r="B35" s="207" t="str">
        <f>+'G2 WMA'!B35</f>
        <v>Vegetation Management</v>
      </c>
      <c r="C35" s="233" t="str">
        <f>+'G2 WMA'!C35</f>
        <v>RTWF</v>
      </c>
      <c r="D35" s="233"/>
      <c r="E35" s="206"/>
      <c r="F35" s="239"/>
      <c r="G35" s="236">
        <v>0</v>
      </c>
      <c r="H35" s="211"/>
      <c r="I35" s="210">
        <f t="shared" si="1"/>
        <v>0</v>
      </c>
      <c r="K35" s="210"/>
      <c r="L35" s="236">
        <v>3.4132730746099513E-4</v>
      </c>
      <c r="M35" s="211"/>
      <c r="N35" s="210">
        <f t="shared" si="2"/>
        <v>141185.3435777874</v>
      </c>
      <c r="O35" s="272"/>
    </row>
    <row r="36" spans="1:15" ht="14" x14ac:dyDescent="0.3">
      <c r="A36" s="151">
        <f>IF(B36&lt;&gt;"",COUNTA($B$13:B36),"")</f>
        <v>22</v>
      </c>
      <c r="B36" s="207" t="str">
        <f>+'G2 WMA'!B36</f>
        <v>Solar Massachusetts Renewable Target</v>
      </c>
      <c r="C36" s="233" t="str">
        <f>+'G2 WMA'!C36</f>
        <v>SMART</v>
      </c>
      <c r="D36" s="233"/>
      <c r="E36" s="206"/>
      <c r="F36" s="239"/>
      <c r="G36" s="236">
        <v>0</v>
      </c>
      <c r="H36" s="211"/>
      <c r="I36" s="210">
        <f t="shared" si="1"/>
        <v>0</v>
      </c>
      <c r="K36" s="210"/>
      <c r="L36" s="236">
        <v>1.7438251451601445E-4</v>
      </c>
      <c r="M36" s="211"/>
      <c r="N36" s="210">
        <f t="shared" si="2"/>
        <v>72130.9273759629</v>
      </c>
      <c r="O36" s="272"/>
    </row>
    <row r="37" spans="1:15" ht="14" x14ac:dyDescent="0.3">
      <c r="A37" s="151">
        <f>IF(B37&lt;&gt;"",COUNTA($B$13:B37),"")</f>
        <v>23</v>
      </c>
      <c r="B37" s="207" t="str">
        <f>+'G2 WMA'!B37</f>
        <v>Tax Act Credit Factor</v>
      </c>
      <c r="C37" s="233" t="str">
        <f>+'G2 WMA'!C37</f>
        <v>TACF</v>
      </c>
      <c r="D37" s="233"/>
      <c r="E37" s="206"/>
      <c r="F37" s="239"/>
      <c r="G37" s="236">
        <v>0</v>
      </c>
      <c r="H37" s="211"/>
      <c r="I37" s="210">
        <f t="shared" si="1"/>
        <v>0</v>
      </c>
      <c r="K37" s="210"/>
      <c r="L37" s="236">
        <v>-2.6398599492920521E-4</v>
      </c>
      <c r="M37" s="211"/>
      <c r="N37" s="210">
        <f t="shared" si="2"/>
        <v>-109194.17397643458</v>
      </c>
      <c r="O37" s="272"/>
    </row>
    <row r="38" spans="1:15" ht="14" x14ac:dyDescent="0.3">
      <c r="A38" s="151">
        <f>IF(B38&lt;&gt;"",COUNTA($B$13:B38),"")</f>
        <v>24</v>
      </c>
      <c r="B38" s="207" t="str">
        <f>+'G2 WMA'!B38</f>
        <v>Transition</v>
      </c>
      <c r="C38" s="233" t="str">
        <f>+'G2 WMA'!C38</f>
        <v>TRNSN</v>
      </c>
      <c r="D38" s="233"/>
      <c r="E38" s="206"/>
      <c r="F38" s="239"/>
      <c r="G38" s="236">
        <v>-1.7099999999999999E-3</v>
      </c>
      <c r="H38" s="211"/>
      <c r="I38" s="210">
        <f t="shared" si="1"/>
        <v>-707317.96794666152</v>
      </c>
      <c r="K38" s="210"/>
      <c r="L38" s="236">
        <v>-5.210932140356871E-4</v>
      </c>
      <c r="M38" s="211"/>
      <c r="N38" s="210">
        <f t="shared" si="2"/>
        <v>-215543.03699562396</v>
      </c>
      <c r="O38" s="272"/>
    </row>
    <row r="39" spans="1:15" ht="14" x14ac:dyDescent="0.3">
      <c r="A39" s="151">
        <f>IF(B39&lt;&gt;"",COUNTA($B$13:B39),"")</f>
        <v>25</v>
      </c>
      <c r="B39" s="207" t="str">
        <f>+'G2 WMA'!B39</f>
        <v>Transmission Demand</v>
      </c>
      <c r="C39" s="233" t="str">
        <f>+'G2 WMA'!C39</f>
        <v>TMKW</v>
      </c>
      <c r="D39" s="233"/>
      <c r="E39" s="206"/>
      <c r="F39" s="239"/>
      <c r="G39" s="283">
        <v>7.55</v>
      </c>
      <c r="H39" s="211"/>
      <c r="I39" s="210">
        <f>G39*($E$14+E20)</f>
        <v>5648533.7712494694</v>
      </c>
      <c r="K39" s="210"/>
      <c r="L39" s="283">
        <v>10.317048197694918</v>
      </c>
      <c r="M39" s="211"/>
      <c r="N39" s="210">
        <f>L39*($E$14+E20)</f>
        <v>7718701.3462633397</v>
      </c>
      <c r="O39" s="272"/>
    </row>
    <row r="40" spans="1:15" ht="14" x14ac:dyDescent="0.3">
      <c r="A40" s="151">
        <f>IF(B40&lt;&gt;"",COUNTA($B$13:B40),"")</f>
        <v>26</v>
      </c>
      <c r="B40" s="207" t="str">
        <f>+'G2 WMA'!B40</f>
        <v>Energy Efficiency Reconciliation Factor</v>
      </c>
      <c r="C40" s="233" t="str">
        <f>+'G2 WMA'!C40</f>
        <v>EERF</v>
      </c>
      <c r="D40" s="233"/>
      <c r="E40" s="206"/>
      <c r="F40" s="239"/>
      <c r="G40" s="241">
        <v>9.7199999999999995E-3</v>
      </c>
      <c r="H40" s="211"/>
      <c r="I40" s="210">
        <f>G40*($E$17+$E$21)</f>
        <v>4020544.2388547077</v>
      </c>
      <c r="K40" s="210"/>
      <c r="L40" s="241">
        <v>9.7199999999999995E-3</v>
      </c>
      <c r="M40" s="211"/>
      <c r="N40" s="210">
        <f>L40*($E$17+$E$21)</f>
        <v>4020544.2388547077</v>
      </c>
      <c r="O40" s="272"/>
    </row>
    <row r="41" spans="1:15" ht="14" x14ac:dyDescent="0.3">
      <c r="A41" s="151">
        <f>IF(B41&lt;&gt;"",COUNTA($B$13:B41),"")</f>
        <v>27</v>
      </c>
      <c r="B41" s="207" t="str">
        <f>+'G2 WMA'!B41</f>
        <v>System Benefits Charge</v>
      </c>
      <c r="C41" s="233" t="str">
        <f>+'G2 WMA'!C41</f>
        <v>SBC</v>
      </c>
      <c r="D41" s="233"/>
      <c r="E41" s="206"/>
      <c r="F41" s="239"/>
      <c r="G41" s="241">
        <v>2.5000000000000001E-3</v>
      </c>
      <c r="H41" s="211"/>
      <c r="I41" s="210">
        <f>G41*($E$17+$E$21)</f>
        <v>1034090.5964132479</v>
      </c>
      <c r="K41" s="210"/>
      <c r="L41" s="236">
        <f>+G41</f>
        <v>2.5000000000000001E-3</v>
      </c>
      <c r="M41" s="211"/>
      <c r="N41" s="210">
        <f>L41*($E$17+$E$21)</f>
        <v>1034090.5964132479</v>
      </c>
      <c r="O41" s="272"/>
    </row>
    <row r="42" spans="1:15" ht="14" x14ac:dyDescent="0.3">
      <c r="A42" s="151">
        <f>IF(B42&lt;&gt;"",COUNTA($B$13:B42),"")</f>
        <v>28</v>
      </c>
      <c r="B42" s="207" t="str">
        <f>+'G2 WMA'!B42</f>
        <v>Renewable Energy Charge</v>
      </c>
      <c r="C42" s="233" t="str">
        <f>+'G2 WMA'!C42</f>
        <v>RNEW</v>
      </c>
      <c r="D42" s="233"/>
      <c r="E42" s="206"/>
      <c r="F42" s="239"/>
      <c r="G42" s="241">
        <v>5.0000000000000001E-4</v>
      </c>
      <c r="H42" s="211"/>
      <c r="I42" s="210">
        <f>G42*($E$17+$E$21)</f>
        <v>206818.11928264957</v>
      </c>
      <c r="K42" s="210"/>
      <c r="L42" s="236">
        <f>+G42</f>
        <v>5.0000000000000001E-4</v>
      </c>
      <c r="M42" s="211"/>
      <c r="N42" s="210">
        <f>L42*($E$17+$E$21)</f>
        <v>206818.11928264957</v>
      </c>
      <c r="O42" s="272"/>
    </row>
    <row r="43" spans="1:15" ht="14" x14ac:dyDescent="0.3">
      <c r="A43" s="151">
        <f>IF(B43&lt;&gt;"",COUNTA($B$13:B43),"")</f>
        <v>29</v>
      </c>
      <c r="B43" s="207" t="str">
        <f>+'G2 WMA'!B43</f>
        <v>Basic Service Charge</v>
      </c>
      <c r="C43" s="233" t="str">
        <f>+'G2 WMA'!C43</f>
        <v>BS</v>
      </c>
      <c r="D43" s="233"/>
      <c r="E43" s="206"/>
      <c r="F43" s="239"/>
      <c r="G43" s="308">
        <v>0.11387</v>
      </c>
      <c r="H43" s="211"/>
      <c r="I43" s="237">
        <f>G43*($E$17+$E$21)</f>
        <v>47100758.485430613</v>
      </c>
      <c r="K43" s="210"/>
      <c r="L43" s="236">
        <v>0.14839000000000002</v>
      </c>
      <c r="M43" s="211"/>
      <c r="N43" s="237">
        <f>L43*($E$17+$E$21)</f>
        <v>61379481.440704748</v>
      </c>
      <c r="O43" s="272"/>
    </row>
    <row r="44" spans="1:15" ht="14" x14ac:dyDescent="0.3">
      <c r="A44" s="151" t="str">
        <f>IF(B44&lt;&gt;"",COUNTA($B$13:B44),"")</f>
        <v/>
      </c>
      <c r="B44" s="207"/>
      <c r="E44" s="206"/>
      <c r="F44" s="239"/>
      <c r="G44" s="241"/>
      <c r="H44" s="211"/>
      <c r="I44" s="244"/>
      <c r="K44" s="210"/>
      <c r="L44" s="241"/>
      <c r="M44" s="211"/>
      <c r="N44" s="244"/>
      <c r="O44" s="272"/>
    </row>
    <row r="45" spans="1:15" ht="14" x14ac:dyDescent="0.3">
      <c r="A45" s="151">
        <f>IF(B45&lt;&gt;"",COUNTA($B$13:B45),"")</f>
        <v>30</v>
      </c>
      <c r="B45" s="188" t="s">
        <v>46</v>
      </c>
      <c r="E45" s="188"/>
      <c r="G45" s="245" t="s">
        <v>324</v>
      </c>
      <c r="H45" s="246"/>
      <c r="I45" s="154">
        <f>SUM(I18:I44)</f>
        <v>64472338.344659567</v>
      </c>
      <c r="K45" s="247"/>
      <c r="L45" s="245"/>
      <c r="N45" s="154">
        <f>SUM(N18:N44)</f>
        <v>80221633.128985301</v>
      </c>
    </row>
    <row r="46" spans="1:15" ht="14" x14ac:dyDescent="0.3">
      <c r="A46" s="151" t="str">
        <f>IF(B46&lt;&gt;"",COUNTA($B$13:B46),"")</f>
        <v/>
      </c>
      <c r="E46" s="188"/>
      <c r="H46" s="188"/>
      <c r="I46" s="154"/>
      <c r="K46" s="265"/>
      <c r="L46" s="278"/>
      <c r="N46" s="265"/>
    </row>
    <row r="47" spans="1:15" ht="14" x14ac:dyDescent="0.3">
      <c r="A47" s="151">
        <f>IF(B47&lt;&gt;"",COUNTA($B$13:B47),"")</f>
        <v>31</v>
      </c>
      <c r="B47" s="188" t="s">
        <v>46</v>
      </c>
      <c r="E47" s="188"/>
      <c r="G47" s="188"/>
      <c r="H47" s="188"/>
      <c r="I47" s="188"/>
      <c r="J47" s="188"/>
      <c r="L47" s="248" t="s">
        <v>325</v>
      </c>
      <c r="N47" s="160">
        <f>+N45/I45-1</f>
        <v>0.24427987550462871</v>
      </c>
    </row>
    <row r="48" spans="1:15" ht="14" x14ac:dyDescent="0.3">
      <c r="A48" s="151" t="str">
        <f>IF(B48&lt;&gt;"",COUNTA($B$13:B48),"")</f>
        <v/>
      </c>
      <c r="E48" s="188"/>
      <c r="G48" s="188"/>
      <c r="H48" s="188"/>
      <c r="I48" s="188"/>
      <c r="J48" s="188"/>
      <c r="L48" s="248"/>
      <c r="N48" s="160"/>
    </row>
    <row r="49" spans="1:15" ht="14" x14ac:dyDescent="0.3">
      <c r="A49" s="151" t="str">
        <f>IF(B49&lt;&gt;"",COUNTA($B$13:B49),"")</f>
        <v/>
      </c>
      <c r="E49" s="188"/>
      <c r="G49" s="186"/>
      <c r="H49" s="188"/>
      <c r="I49" s="188"/>
      <c r="L49" s="248"/>
      <c r="N49" s="160"/>
    </row>
    <row r="50" spans="1:15" ht="14.5" thickBot="1" x14ac:dyDescent="0.35">
      <c r="A50" s="151">
        <f>IF(B50&lt;&gt;"",COUNTA($B$13:B50),"")</f>
        <v>32</v>
      </c>
      <c r="B50" s="188" t="s">
        <v>46</v>
      </c>
      <c r="E50" s="279" t="s">
        <v>326</v>
      </c>
      <c r="F50" s="135"/>
      <c r="G50" s="280"/>
      <c r="I50" s="279" t="s">
        <v>327</v>
      </c>
      <c r="J50" s="135"/>
      <c r="L50" s="279" t="s">
        <v>328</v>
      </c>
      <c r="M50" s="135"/>
      <c r="N50" s="137"/>
    </row>
    <row r="51" spans="1:15" ht="14" x14ac:dyDescent="0.3">
      <c r="A51" s="151">
        <f>IF(B51&lt;&gt;"",COUNTA($B$13:B51),"")</f>
        <v>33</v>
      </c>
      <c r="B51" s="144" t="s">
        <v>329</v>
      </c>
      <c r="C51" s="144"/>
      <c r="D51" s="144"/>
      <c r="E51" s="249" t="s">
        <v>148</v>
      </c>
      <c r="F51" s="250"/>
      <c r="G51" s="251" t="s">
        <v>330</v>
      </c>
      <c r="I51" s="249" t="s">
        <v>148</v>
      </c>
      <c r="J51" s="251" t="s">
        <v>330</v>
      </c>
      <c r="K51" s="212"/>
      <c r="L51" s="249" t="s">
        <v>148</v>
      </c>
      <c r="M51" s="252"/>
      <c r="N51" s="251" t="s">
        <v>330</v>
      </c>
    </row>
    <row r="52" spans="1:15" ht="14" x14ac:dyDescent="0.3">
      <c r="A52" s="151">
        <f>IF(B52&lt;&gt;"",COUNTA($B$13:B52),"")</f>
        <v>34</v>
      </c>
      <c r="B52" s="130" t="str">
        <f>+'G2 WMA'!B52</f>
        <v>Distribution</v>
      </c>
      <c r="C52" s="253" t="str">
        <f>+'G2 WMA'!C52</f>
        <v>DIST</v>
      </c>
      <c r="D52" s="253"/>
      <c r="E52" s="154">
        <f t="shared" ref="E52:E67" si="3">SUMIF($C$13:$C$43,$C52,$I$13:$I$43)</f>
        <v>3851548.468081838</v>
      </c>
      <c r="G52" s="254">
        <f>+E52/($E$17+E21)*100</f>
        <v>0.93114386723971931</v>
      </c>
      <c r="I52" s="154">
        <f t="shared" ref="I52:I67" si="4">SUMIF($C$13:$C$43,$C52,$N$13:$N$43)</f>
        <v>3969450.3583248006</v>
      </c>
      <c r="J52" s="254">
        <f>+I52/$E$17*100</f>
        <v>1.0688717843376843</v>
      </c>
      <c r="L52" s="154">
        <f t="shared" ref="L52:L72" si="5">I52-E52</f>
        <v>117901.89024296263</v>
      </c>
      <c r="N52" s="254">
        <f>+L52/$E$17*100</f>
        <v>3.1747973251885046E-2</v>
      </c>
      <c r="O52" s="272"/>
    </row>
    <row r="53" spans="1:15" ht="14" x14ac:dyDescent="0.3">
      <c r="A53" s="151">
        <f>IF(B53&lt;&gt;"",COUNTA($B$13:B53),"")</f>
        <v>35</v>
      </c>
      <c r="B53" s="130" t="str">
        <f>+'G2 WMA'!B53</f>
        <v>Revenue Decoupling</v>
      </c>
      <c r="C53" s="253" t="str">
        <f>+'G2 WMA'!C53</f>
        <v>RDAF</v>
      </c>
      <c r="D53" s="253"/>
      <c r="E53" s="154">
        <f t="shared" si="3"/>
        <v>57909.073399141875</v>
      </c>
      <c r="G53" s="254">
        <f t="shared" ref="G53:G73" si="6">+E53/($E$17+$E$21)*100</f>
        <v>1.3999999999999999E-2</v>
      </c>
      <c r="I53" s="154">
        <f t="shared" si="4"/>
        <v>-46784.887662961926</v>
      </c>
      <c r="J53" s="254">
        <f t="shared" ref="J53:J73" si="7">+I53/($E$17+$E$21)*100</f>
        <v>-1.1310635602246967E-2</v>
      </c>
      <c r="L53" s="154">
        <f>I53-E53</f>
        <v>-104693.9610621038</v>
      </c>
      <c r="N53" s="254">
        <f t="shared" ref="N53:N73" si="8">+L53/($E$17+$E$21)*100</f>
        <v>-2.5310635602246966E-2</v>
      </c>
      <c r="O53" s="272"/>
    </row>
    <row r="54" spans="1:15" ht="14" x14ac:dyDescent="0.3">
      <c r="A54" s="151">
        <f>IF(B54&lt;&gt;"",COUNTA($B$13:B54),"")</f>
        <v>36</v>
      </c>
      <c r="B54" s="130" t="str">
        <f>+'G2 WMA'!B54</f>
        <v>Residential Assistance Adjustment Factor</v>
      </c>
      <c r="C54" s="253" t="str">
        <f>+'G2 WMA'!C54</f>
        <v>RAAF</v>
      </c>
      <c r="D54" s="253"/>
      <c r="E54" s="154">
        <f t="shared" si="3"/>
        <v>1046499.6835702069</v>
      </c>
      <c r="G54" s="254">
        <f t="shared" si="6"/>
        <v>0.253</v>
      </c>
      <c r="I54" s="154">
        <f t="shared" si="4"/>
        <v>395251.31345037604</v>
      </c>
      <c r="J54" s="254">
        <f t="shared" si="7"/>
        <v>9.5555291485414487E-2</v>
      </c>
      <c r="L54" s="154">
        <f t="shared" si="5"/>
        <v>-651248.37011983083</v>
      </c>
      <c r="N54" s="254">
        <f t="shared" si="8"/>
        <v>-0.15744470851458553</v>
      </c>
      <c r="O54" s="272"/>
    </row>
    <row r="55" spans="1:15" ht="14" x14ac:dyDescent="0.3">
      <c r="A55" s="151">
        <f>IF(B55&lt;&gt;"",COUNTA($B$13:B55),"")</f>
        <v>37</v>
      </c>
      <c r="B55" s="130" t="str">
        <f>+'G2 WMA'!B55</f>
        <v>Pension Adjustment Factor</v>
      </c>
      <c r="C55" s="253" t="str">
        <f>+'G2 WMA'!C55</f>
        <v>PAF</v>
      </c>
      <c r="D55" s="253"/>
      <c r="E55" s="154">
        <f t="shared" si="3"/>
        <v>132363.59634089575</v>
      </c>
      <c r="G55" s="254">
        <f t="shared" si="6"/>
        <v>3.2000000000000001E-2</v>
      </c>
      <c r="I55" s="154">
        <f t="shared" si="4"/>
        <v>78859.603505446212</v>
      </c>
      <c r="J55" s="254">
        <f t="shared" si="7"/>
        <v>1.9064964853894674E-2</v>
      </c>
      <c r="L55" s="154">
        <f t="shared" si="5"/>
        <v>-53503.992835449535</v>
      </c>
      <c r="N55" s="254">
        <f t="shared" si="8"/>
        <v>-1.293503514610533E-2</v>
      </c>
      <c r="O55" s="272"/>
    </row>
    <row r="56" spans="1:15" ht="14" x14ac:dyDescent="0.3">
      <c r="A56" s="151">
        <f>IF(B56&lt;&gt;"",COUNTA($B$13:B56),"")</f>
        <v>38</v>
      </c>
      <c r="B56" s="130" t="str">
        <f>+'G2 WMA'!B56</f>
        <v>Net Metering Recovery Surcharge</v>
      </c>
      <c r="C56" s="253" t="str">
        <f>+'G2 WMA'!C56</f>
        <v>NMRS</v>
      </c>
      <c r="D56" s="253"/>
      <c r="E56" s="154">
        <f t="shared" si="3"/>
        <v>454999.86242182908</v>
      </c>
      <c r="G56" s="254">
        <f t="shared" si="6"/>
        <v>0.11</v>
      </c>
      <c r="I56" s="154">
        <f t="shared" si="4"/>
        <v>515376.00808373065</v>
      </c>
      <c r="J56" s="254">
        <f t="shared" si="7"/>
        <v>0.12459643523287921</v>
      </c>
      <c r="L56" s="154">
        <f t="shared" si="5"/>
        <v>60376.145661901566</v>
      </c>
      <c r="N56" s="254">
        <f t="shared" si="8"/>
        <v>1.4596435232879196E-2</v>
      </c>
      <c r="O56" s="272"/>
    </row>
    <row r="57" spans="1:15" ht="14" x14ac:dyDescent="0.3">
      <c r="A57" s="151">
        <f>IF(B57&lt;&gt;"",COUNTA($B$13:B57),"")</f>
        <v>39</v>
      </c>
      <c r="B57" s="130" t="str">
        <f>+'G2 WMA'!B57</f>
        <v>Long Term Renewable Contract Adjustment</v>
      </c>
      <c r="C57" s="253" t="str">
        <f>+'G2 WMA'!C57</f>
        <v>LTRCA</v>
      </c>
      <c r="D57" s="253"/>
      <c r="E57" s="154">
        <f t="shared" si="3"/>
        <v>1369135.9496511403</v>
      </c>
      <c r="G57" s="254">
        <f t="shared" si="6"/>
        <v>0.33100000000000002</v>
      </c>
      <c r="I57" s="154">
        <f t="shared" si="4"/>
        <v>717953.74617066595</v>
      </c>
      <c r="J57" s="254">
        <f t="shared" si="7"/>
        <v>0.17357128782064518</v>
      </c>
      <c r="L57" s="154">
        <f t="shared" si="5"/>
        <v>-651182.2034804743</v>
      </c>
      <c r="N57" s="254">
        <f t="shared" si="8"/>
        <v>-0.15742871217935483</v>
      </c>
      <c r="O57" s="272"/>
    </row>
    <row r="58" spans="1:15" ht="14" x14ac:dyDescent="0.3">
      <c r="A58" s="151">
        <f>IF(B58&lt;&gt;"",COUNTA($B$13:B58),"")</f>
        <v>40</v>
      </c>
      <c r="B58" s="130" t="str">
        <f>+'G2 WMA'!B58</f>
        <v>AG Consulting Expense</v>
      </c>
      <c r="C58" s="253" t="str">
        <f>+'G2 WMA'!C58</f>
        <v>AGCE</v>
      </c>
      <c r="D58" s="253"/>
      <c r="E58" s="154">
        <f t="shared" si="3"/>
        <v>4136.3623856529921</v>
      </c>
      <c r="G58" s="254">
        <f t="shared" si="6"/>
        <v>1E-3</v>
      </c>
      <c r="I58" s="154">
        <f t="shared" si="4"/>
        <v>829.88031711701126</v>
      </c>
      <c r="J58" s="254">
        <f t="shared" si="7"/>
        <v>2.006304670005361E-4</v>
      </c>
      <c r="L58" s="154">
        <f t="shared" si="5"/>
        <v>-3306.4820685359809</v>
      </c>
      <c r="N58" s="254">
        <f t="shared" si="8"/>
        <v>-7.9936953299946398E-4</v>
      </c>
      <c r="O58" s="272"/>
    </row>
    <row r="59" spans="1:15" ht="14" x14ac:dyDescent="0.3">
      <c r="A59" s="151">
        <f>IF(B59&lt;&gt;"",COUNTA($B$13:B59),"")</f>
        <v>41</v>
      </c>
      <c r="B59" s="130" t="str">
        <f>+'G2 WMA'!B59</f>
        <v>Storm Cost Recovery Adjustment Factor</v>
      </c>
      <c r="C59" s="253" t="str">
        <f>+'G2 WMA'!C59</f>
        <v>SCRA</v>
      </c>
      <c r="D59" s="253"/>
      <c r="E59" s="154">
        <f t="shared" si="3"/>
        <v>244045.38075352652</v>
      </c>
      <c r="G59" s="254">
        <f t="shared" si="6"/>
        <v>5.9000000000000004E-2</v>
      </c>
      <c r="I59" s="154">
        <f t="shared" si="4"/>
        <v>297041.11256780993</v>
      </c>
      <c r="J59" s="254">
        <f t="shared" si="7"/>
        <v>7.1812158818119906E-2</v>
      </c>
      <c r="L59" s="154">
        <f>I59-E59</f>
        <v>52995.731814283412</v>
      </c>
      <c r="N59" s="254">
        <f t="shared" si="8"/>
        <v>1.2812158818119892E-2</v>
      </c>
      <c r="O59" s="272"/>
    </row>
    <row r="60" spans="1:15" ht="14" x14ac:dyDescent="0.3">
      <c r="A60" s="151">
        <f>IF(B60&lt;&gt;"",COUNTA($B$13:B60),"")</f>
        <v>42</v>
      </c>
      <c r="B60" s="130" t="str">
        <f>+'G2 WMA'!B60</f>
        <v>Storm Reserve Adjustment</v>
      </c>
      <c r="C60" s="253" t="str">
        <f>+'G2 WMA'!C60</f>
        <v>SRA</v>
      </c>
      <c r="D60" s="253"/>
      <c r="E60" s="154">
        <f t="shared" si="3"/>
        <v>0</v>
      </c>
      <c r="G60" s="254">
        <f t="shared" si="6"/>
        <v>0</v>
      </c>
      <c r="I60" s="154">
        <f t="shared" si="4"/>
        <v>0</v>
      </c>
      <c r="J60" s="254">
        <f t="shared" si="7"/>
        <v>0</v>
      </c>
      <c r="L60" s="154">
        <f>I60-E60</f>
        <v>0</v>
      </c>
      <c r="N60" s="254">
        <f t="shared" si="8"/>
        <v>0</v>
      </c>
      <c r="O60" s="272"/>
    </row>
    <row r="61" spans="1:15" ht="14" x14ac:dyDescent="0.3">
      <c r="A61" s="151">
        <f>IF(B61&lt;&gt;"",COUNTA($B$13:B61),"")</f>
        <v>43</v>
      </c>
      <c r="B61" s="130" t="str">
        <f>+'G2 WMA'!B61</f>
        <v>Basic Service Cost True Up Factor</v>
      </c>
      <c r="C61" s="253" t="str">
        <f>+'G2 WMA'!C61</f>
        <v>BSTF</v>
      </c>
      <c r="D61" s="253"/>
      <c r="E61" s="154">
        <f t="shared" si="3"/>
        <v>20681.81192826496</v>
      </c>
      <c r="G61" s="254">
        <f t="shared" si="6"/>
        <v>5.000000000000001E-3</v>
      </c>
      <c r="I61" s="154">
        <f t="shared" si="4"/>
        <v>-19613.338719356114</v>
      </c>
      <c r="J61" s="254">
        <f t="shared" si="7"/>
        <v>-4.7416877175426283E-3</v>
      </c>
      <c r="L61" s="154">
        <f>I61-E61</f>
        <v>-40295.150647621078</v>
      </c>
      <c r="N61" s="254">
        <f t="shared" si="8"/>
        <v>-9.7416877175426301E-3</v>
      </c>
      <c r="O61" s="272"/>
    </row>
    <row r="62" spans="1:15" ht="14" x14ac:dyDescent="0.3">
      <c r="A62" s="151">
        <f>IF(B62&lt;&gt;"",COUNTA($B$13:B62),"")</f>
        <v>44</v>
      </c>
      <c r="B62" s="130" t="str">
        <f>+'G2 WMA'!B62</f>
        <v>Solar Program Cost Adjustment Factor</v>
      </c>
      <c r="C62" s="253" t="str">
        <f>+'G2 WMA'!C62</f>
        <v>SPCA</v>
      </c>
      <c r="D62" s="253"/>
      <c r="E62" s="154">
        <f t="shared" si="3"/>
        <v>-12409.087156958974</v>
      </c>
      <c r="G62" s="254">
        <f t="shared" si="6"/>
        <v>-3.0000000000000001E-3</v>
      </c>
      <c r="I62" s="154">
        <f t="shared" si="4"/>
        <v>3490.4783640023265</v>
      </c>
      <c r="J62" s="254">
        <f t="shared" si="7"/>
        <v>8.4385216733163441E-4</v>
      </c>
      <c r="L62" s="154">
        <f t="shared" si="5"/>
        <v>15899.565520961301</v>
      </c>
      <c r="N62" s="254">
        <f t="shared" si="8"/>
        <v>3.8438521673316343E-3</v>
      </c>
    </row>
    <row r="63" spans="1:15" ht="14" x14ac:dyDescent="0.3">
      <c r="A63" s="151">
        <f>IF(B63&lt;&gt;"",COUNTA($B$13:B63),"")</f>
        <v>45</v>
      </c>
      <c r="B63" s="130" t="str">
        <f>+'G2 WMA'!B63</f>
        <v>Solar Expansion Cost Recovery Factor</v>
      </c>
      <c r="C63" s="253" t="str">
        <f>+'G2 WMA'!C63</f>
        <v>SECRF</v>
      </c>
      <c r="D63" s="253"/>
      <c r="E63" s="154">
        <f t="shared" si="3"/>
        <v>0</v>
      </c>
      <c r="G63" s="254">
        <f t="shared" si="6"/>
        <v>0</v>
      </c>
      <c r="I63" s="154">
        <f t="shared" si="4"/>
        <v>61564.053083291976</v>
      </c>
      <c r="J63" s="254">
        <f t="shared" si="7"/>
        <v>1.4883621729282575E-2</v>
      </c>
      <c r="L63" s="154">
        <f t="shared" si="5"/>
        <v>61564.053083291976</v>
      </c>
      <c r="N63" s="254">
        <f t="shared" si="8"/>
        <v>1.4883621729282575E-2</v>
      </c>
    </row>
    <row r="64" spans="1:15" ht="14" x14ac:dyDescent="0.3">
      <c r="A64" s="151">
        <f>IF(B64&lt;&gt;"",COUNTA($B$13:B64),"")</f>
        <v>46</v>
      </c>
      <c r="B64" s="130" t="str">
        <f>+'G2 WMA'!B64</f>
        <v>Vegetation Management</v>
      </c>
      <c r="C64" s="253" t="str">
        <f>+'G2 WMA'!C64</f>
        <v>RTWF</v>
      </c>
      <c r="D64" s="253"/>
      <c r="E64" s="154">
        <f t="shared" si="3"/>
        <v>0</v>
      </c>
      <c r="G64" s="254">
        <f t="shared" si="6"/>
        <v>0</v>
      </c>
      <c r="I64" s="154">
        <f t="shared" si="4"/>
        <v>141185.3435777874</v>
      </c>
      <c r="J64" s="254">
        <f t="shared" si="7"/>
        <v>3.4132730746099516E-2</v>
      </c>
      <c r="L64" s="154">
        <f t="shared" si="5"/>
        <v>141185.3435777874</v>
      </c>
      <c r="N64" s="254">
        <f t="shared" si="8"/>
        <v>3.4132730746099516E-2</v>
      </c>
    </row>
    <row r="65" spans="1:14" ht="14" x14ac:dyDescent="0.3">
      <c r="A65" s="151">
        <f>IF(B65&lt;&gt;"",COUNTA($B$13:B65),"")</f>
        <v>47</v>
      </c>
      <c r="B65" s="130" t="str">
        <f>+'G2 WMA'!B65</f>
        <v>Solar Massachusetts Renewable Target</v>
      </c>
      <c r="C65" s="253" t="str">
        <f>+'G2 WMA'!C65</f>
        <v>SMART</v>
      </c>
      <c r="D65" s="253"/>
      <c r="E65" s="154">
        <f t="shared" si="3"/>
        <v>0</v>
      </c>
      <c r="G65" s="254">
        <f t="shared" si="6"/>
        <v>0</v>
      </c>
      <c r="I65" s="154">
        <f t="shared" si="4"/>
        <v>72130.9273759629</v>
      </c>
      <c r="J65" s="254">
        <f t="shared" si="7"/>
        <v>1.7438251451601446E-2</v>
      </c>
      <c r="L65" s="154">
        <f t="shared" si="5"/>
        <v>72130.9273759629</v>
      </c>
      <c r="N65" s="254">
        <f t="shared" si="8"/>
        <v>1.7438251451601446E-2</v>
      </c>
    </row>
    <row r="66" spans="1:14" ht="14" x14ac:dyDescent="0.3">
      <c r="A66" s="151">
        <f>IF(B66&lt;&gt;"",COUNTA($B$13:B66),"")</f>
        <v>48</v>
      </c>
      <c r="B66" s="130" t="str">
        <f>+'G2 WMA'!B66</f>
        <v>Tax Act Credit Factor</v>
      </c>
      <c r="C66" s="253" t="str">
        <f>+'G2 WMA'!C66</f>
        <v>TACF</v>
      </c>
      <c r="D66" s="253"/>
      <c r="E66" s="154">
        <f t="shared" si="3"/>
        <v>0</v>
      </c>
      <c r="G66" s="254">
        <f t="shared" si="6"/>
        <v>0</v>
      </c>
      <c r="I66" s="154">
        <f t="shared" si="4"/>
        <v>-109194.17397643458</v>
      </c>
      <c r="J66" s="254">
        <f t="shared" si="7"/>
        <v>-2.6398599492920522E-2</v>
      </c>
      <c r="L66" s="154">
        <f t="shared" si="5"/>
        <v>-109194.17397643458</v>
      </c>
      <c r="N66" s="254">
        <f t="shared" si="8"/>
        <v>-2.6398599492920522E-2</v>
      </c>
    </row>
    <row r="67" spans="1:14" ht="14" x14ac:dyDescent="0.3">
      <c r="A67" s="151">
        <f>IF(B67&lt;&gt;"",COUNTA($B$13:B67),"")</f>
        <v>49</v>
      </c>
      <c r="B67" s="130" t="str">
        <f>+'G2 WMA'!B67</f>
        <v>Transition</v>
      </c>
      <c r="C67" s="253" t="str">
        <f>+'G2 WMA'!C67</f>
        <v>TRNSN</v>
      </c>
      <c r="D67" s="253"/>
      <c r="E67" s="154">
        <f t="shared" si="3"/>
        <v>-707317.96794666152</v>
      </c>
      <c r="G67" s="254">
        <f t="shared" si="6"/>
        <v>-0.17099999999999999</v>
      </c>
      <c r="I67" s="154">
        <f t="shared" si="4"/>
        <v>-215543.03699562396</v>
      </c>
      <c r="J67" s="254">
        <f t="shared" si="7"/>
        <v>-5.2109321403568713E-2</v>
      </c>
      <c r="L67" s="154">
        <f t="shared" si="5"/>
        <v>491774.93095103756</v>
      </c>
      <c r="N67" s="254">
        <f t="shared" si="8"/>
        <v>0.11889067859643129</v>
      </c>
    </row>
    <row r="68" spans="1:14" ht="14" x14ac:dyDescent="0.3">
      <c r="A68" s="151">
        <f>IF(B68&lt;&gt;"",COUNTA($B$13:B68),"")</f>
        <v>50</v>
      </c>
      <c r="B68" s="130" t="str">
        <f>+'G2 WMA'!B68</f>
        <v>Transmission</v>
      </c>
      <c r="C68" s="253" t="str">
        <f>+'G2 WMA'!C68</f>
        <v>TRNSM</v>
      </c>
      <c r="D68" s="253"/>
      <c r="E68" s="154">
        <f>SUM(SUMIF($C$13:$C$43,{"TMKW","TMKWH"},$I$13:$I$43))</f>
        <v>5648533.7712494694</v>
      </c>
      <c r="G68" s="254">
        <f t="shared" si="6"/>
        <v>1.3655800059592111</v>
      </c>
      <c r="I68" s="154">
        <f>SUM(SUMIF($C$13:$C$43,{"TMKW","TMKWH"},$N$13:$N$43))</f>
        <v>7718701.3462633397</v>
      </c>
      <c r="J68" s="254">
        <f t="shared" si="7"/>
        <v>1.866060230369496</v>
      </c>
      <c r="L68" s="154">
        <f t="shared" si="5"/>
        <v>2070167.5750138704</v>
      </c>
      <c r="N68" s="254">
        <f t="shared" si="8"/>
        <v>0.50048022441028484</v>
      </c>
    </row>
    <row r="69" spans="1:14" ht="14" x14ac:dyDescent="0.3">
      <c r="A69" s="151">
        <f>IF(B69&lt;&gt;"",COUNTA($B$13:B69),"")</f>
        <v>51</v>
      </c>
      <c r="B69" s="130" t="str">
        <f>+'G2 WMA'!B69</f>
        <v>Energy Efficiency Reconciliation Factor</v>
      </c>
      <c r="C69" s="253" t="str">
        <f>+'G2 WMA'!C69</f>
        <v>EERF</v>
      </c>
      <c r="D69" s="253"/>
      <c r="E69" s="154">
        <f>SUMIF($C$13:$C$43,$C69,$I$13:$I$43)</f>
        <v>4020544.2388547077</v>
      </c>
      <c r="G69" s="254">
        <f t="shared" si="6"/>
        <v>0.97199999999999998</v>
      </c>
      <c r="I69" s="154">
        <f>SUMIF($C$13:$C$43,$C69,$N$13:$N$43)</f>
        <v>4020544.2388547077</v>
      </c>
      <c r="J69" s="254">
        <f t="shared" si="7"/>
        <v>0.97199999999999998</v>
      </c>
      <c r="L69" s="154">
        <f t="shared" si="5"/>
        <v>0</v>
      </c>
      <c r="N69" s="254">
        <f t="shared" si="8"/>
        <v>0</v>
      </c>
    </row>
    <row r="70" spans="1:14" ht="14" x14ac:dyDescent="0.3">
      <c r="A70" s="151">
        <f>IF(B70&lt;&gt;"",COUNTA($B$13:B70),"")</f>
        <v>52</v>
      </c>
      <c r="B70" s="130" t="str">
        <f>+'G2 WMA'!B70</f>
        <v>System Benefits Charge</v>
      </c>
      <c r="C70" s="253" t="str">
        <f>+'G2 WMA'!C70</f>
        <v>SBC</v>
      </c>
      <c r="D70" s="253"/>
      <c r="E70" s="154">
        <f>SUMIF($C$13:$C$43,$C70,$I$13:$I$43)</f>
        <v>1034090.5964132479</v>
      </c>
      <c r="G70" s="254">
        <f t="shared" si="6"/>
        <v>0.25</v>
      </c>
      <c r="I70" s="154">
        <f>SUMIF($C$13:$C$43,$C70,$N$13:$N$43)</f>
        <v>1034090.5964132479</v>
      </c>
      <c r="J70" s="254">
        <f t="shared" si="7"/>
        <v>0.25</v>
      </c>
      <c r="L70" s="154">
        <f t="shared" si="5"/>
        <v>0</v>
      </c>
      <c r="N70" s="254">
        <f t="shared" si="8"/>
        <v>0</v>
      </c>
    </row>
    <row r="71" spans="1:14" ht="14" x14ac:dyDescent="0.3">
      <c r="A71" s="151">
        <f>IF(B71&lt;&gt;"",COUNTA($B$13:B71),"")</f>
        <v>53</v>
      </c>
      <c r="B71" s="130" t="str">
        <f>+'G2 WMA'!B71</f>
        <v>Renewable Energy Charge</v>
      </c>
      <c r="C71" s="253" t="str">
        <f>+'G2 WMA'!C71</f>
        <v>RNEW</v>
      </c>
      <c r="D71" s="253"/>
      <c r="E71" s="154">
        <f>SUMIF($C$13:$C$43,$C71,$I$13:$I$43)</f>
        <v>206818.11928264957</v>
      </c>
      <c r="G71" s="254">
        <f t="shared" si="6"/>
        <v>0.05</v>
      </c>
      <c r="I71" s="154">
        <f>SUMIF($C$13:$C$43,$C71,$N$13:$N$43)</f>
        <v>206818.11928264957</v>
      </c>
      <c r="J71" s="254">
        <f t="shared" si="7"/>
        <v>0.05</v>
      </c>
      <c r="L71" s="154">
        <f>I71-E71</f>
        <v>0</v>
      </c>
      <c r="N71" s="254">
        <f t="shared" si="8"/>
        <v>0</v>
      </c>
    </row>
    <row r="72" spans="1:14" ht="14" x14ac:dyDescent="0.3">
      <c r="A72" s="151">
        <f>IF(B72&lt;&gt;"",COUNTA($B$13:B72),"")</f>
        <v>54</v>
      </c>
      <c r="B72" s="130" t="str">
        <f>+'G2 WMA'!B72</f>
        <v>Basic Service Charge</v>
      </c>
      <c r="C72" s="253" t="str">
        <f>+'G2 WMA'!C72</f>
        <v>BS</v>
      </c>
      <c r="D72" s="253"/>
      <c r="E72" s="255">
        <f>SUMIF($C$13:$C$43,$C72,$I$13:$I$43)</f>
        <v>47100758.485430613</v>
      </c>
      <c r="F72" s="256"/>
      <c r="G72" s="257">
        <f t="shared" si="6"/>
        <v>11.387</v>
      </c>
      <c r="H72" s="258"/>
      <c r="I72" s="255">
        <f>SUMIF($C$13:$C$43,$C72,$N$13:$N$43)</f>
        <v>61379481.440704748</v>
      </c>
      <c r="J72" s="257">
        <f t="shared" si="7"/>
        <v>14.839000000000002</v>
      </c>
      <c r="K72" s="255"/>
      <c r="L72" s="255">
        <f t="shared" si="5"/>
        <v>14278722.955274135</v>
      </c>
      <c r="M72" s="259"/>
      <c r="N72" s="309">
        <f t="shared" si="8"/>
        <v>3.4520000000000022</v>
      </c>
    </row>
    <row r="73" spans="1:14" ht="14" x14ac:dyDescent="0.3">
      <c r="A73" s="151">
        <f>IF(B73&lt;&gt;"",COUNTA($B$13:B73),"")</f>
        <v>55</v>
      </c>
      <c r="B73" s="130" t="str">
        <f>+'G2 WMA'!B73</f>
        <v>Total</v>
      </c>
      <c r="C73" s="130"/>
      <c r="D73" s="130"/>
      <c r="E73" s="154">
        <f>SUM(E52:E72)</f>
        <v>64472338.344659567</v>
      </c>
      <c r="G73" s="254">
        <f t="shared" si="6"/>
        <v>15.586723873198933</v>
      </c>
      <c r="I73" s="154">
        <f>SUM(I52:I72)</f>
        <v>80221633.128985301</v>
      </c>
      <c r="J73" s="254">
        <f t="shared" si="7"/>
        <v>19.394246840468991</v>
      </c>
      <c r="L73" s="154">
        <f>SUM(L52:L72)</f>
        <v>15749294.784325745</v>
      </c>
      <c r="N73" s="254">
        <f t="shared" si="8"/>
        <v>3.8075229672700606</v>
      </c>
    </row>
    <row r="74" spans="1:14" ht="14" x14ac:dyDescent="0.3">
      <c r="A74" s="151" t="str">
        <f>IF(B74&lt;&gt;"",COUNTA($B$10:B74),"")</f>
        <v/>
      </c>
    </row>
    <row r="75" spans="1:14" ht="14" x14ac:dyDescent="0.3">
      <c r="A75" s="151"/>
      <c r="B75" s="256" t="s">
        <v>164</v>
      </c>
      <c r="E75" s="188"/>
      <c r="G75" s="188"/>
      <c r="H75" s="188"/>
      <c r="I75" s="188"/>
      <c r="J75" s="188"/>
      <c r="K75" s="188"/>
      <c r="L75" s="188"/>
      <c r="M75" s="188"/>
      <c r="N75" s="188"/>
    </row>
    <row r="76" spans="1:14" ht="14" x14ac:dyDescent="0.3">
      <c r="A76" s="151"/>
      <c r="B76" s="130" t="str">
        <f>+'G2 WMA'!B76</f>
        <v>Col. (a): Company's forecast</v>
      </c>
    </row>
    <row r="77" spans="1:14" ht="14" x14ac:dyDescent="0.3">
      <c r="A77" s="151"/>
      <c r="B77" s="130" t="str">
        <f>+'G2 WMA'!B77</f>
        <v>Col. (b): Current rates</v>
      </c>
    </row>
    <row r="78" spans="1:14" ht="14" x14ac:dyDescent="0.3">
      <c r="A78" s="151"/>
      <c r="B78" s="130" t="str">
        <f>+'G2 WMA'!B78</f>
        <v>Col. (c): Col. (a) x Col. (b)</v>
      </c>
    </row>
    <row r="79" spans="1:14" ht="14" x14ac:dyDescent="0.3">
      <c r="A79" s="151"/>
      <c r="B79" s="130" t="str">
        <f>+'G2 WMA'!B79</f>
        <v>Col. (e): Proposed rates</v>
      </c>
    </row>
    <row r="80" spans="1:14" ht="14" x14ac:dyDescent="0.3">
      <c r="A80" s="151"/>
      <c r="B80" s="130" t="str">
        <f>'T2 WMA'!B83</f>
        <v>Col. (f): Col. (a), Line 1 through Line 8 (as appropriate) x Col. (e)</v>
      </c>
    </row>
  </sheetData>
  <mergeCells count="5">
    <mergeCell ref="A4:N4"/>
    <mergeCell ref="A5:N5"/>
    <mergeCell ref="A8:N8"/>
    <mergeCell ref="G10:I10"/>
    <mergeCell ref="L10:N10"/>
  </mergeCells>
  <pageMargins left="0.7" right="0.7" top="0.75" bottom="0.75" header="0.3" footer="0.3"/>
  <pageSetup scale="62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63C0E-7454-4667-AAE5-F4CA764C9A31}">
  <sheetPr>
    <tabColor theme="9" tint="0.59999389629810485"/>
    <pageSetUpPr fitToPage="1"/>
  </sheetPr>
  <dimension ref="A3:Q75"/>
  <sheetViews>
    <sheetView workbookViewId="0">
      <selection activeCell="V41" sqref="V41"/>
    </sheetView>
  </sheetViews>
  <sheetFormatPr defaultRowHeight="12.5" x14ac:dyDescent="0.25"/>
  <cols>
    <col min="1" max="1" width="3.26953125" bestFit="1" customWidth="1"/>
    <col min="2" max="2" width="41.81640625" customWidth="1"/>
    <col min="3" max="3" width="8.81640625" bestFit="1" customWidth="1"/>
    <col min="4" max="4" width="1.26953125" customWidth="1"/>
    <col min="5" max="5" width="13.7265625" bestFit="1" customWidth="1"/>
    <col min="6" max="6" width="1.26953125" customWidth="1"/>
    <col min="7" max="7" width="12.7265625" customWidth="1"/>
    <col min="8" max="8" width="1.26953125" customWidth="1"/>
    <col min="9" max="9" width="13.26953125" bestFit="1" customWidth="1"/>
    <col min="11" max="11" width="1.26953125" customWidth="1"/>
    <col min="12" max="12" width="12.7265625" customWidth="1"/>
    <col min="13" max="13" width="1.26953125" customWidth="1"/>
    <col min="14" max="14" width="13.26953125" bestFit="1" customWidth="1"/>
  </cols>
  <sheetData>
    <row r="3" spans="1:17" ht="14" x14ac:dyDescent="0.3">
      <c r="A3" s="268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</row>
    <row r="4" spans="1:17" ht="14" x14ac:dyDescent="0.3">
      <c r="A4" s="748" t="str">
        <f>'R1 EMA'!A4:N4</f>
        <v>Eastern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7" ht="14" x14ac:dyDescent="0.3">
      <c r="A5" s="748" t="str">
        <f>'R1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7" ht="14" x14ac:dyDescent="0.3">
      <c r="A6" s="205"/>
      <c r="C6" s="205"/>
      <c r="D6" s="205"/>
      <c r="E6" s="206"/>
      <c r="F6" s="207"/>
      <c r="G6" s="208"/>
      <c r="H6" s="209"/>
      <c r="I6" s="210"/>
      <c r="J6" s="210"/>
      <c r="K6" s="210"/>
      <c r="L6" s="211"/>
      <c r="M6" s="211"/>
      <c r="N6" s="212"/>
    </row>
    <row r="7" spans="1:17" ht="14" x14ac:dyDescent="0.3">
      <c r="A7" s="748" t="s">
        <v>526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7" ht="14" x14ac:dyDescent="0.3">
      <c r="B8" s="207"/>
      <c r="C8" s="207"/>
      <c r="D8" s="207"/>
      <c r="E8" s="213"/>
      <c r="F8" s="207"/>
      <c r="I8" s="210"/>
      <c r="J8" s="210"/>
      <c r="K8" s="210"/>
      <c r="L8" s="214"/>
      <c r="M8" s="214"/>
      <c r="N8" s="215"/>
    </row>
    <row r="9" spans="1:17" ht="14.5" thickBot="1" x14ac:dyDescent="0.35">
      <c r="A9" s="151"/>
      <c r="B9" s="216" t="s">
        <v>46</v>
      </c>
      <c r="C9" s="216"/>
      <c r="D9" s="216"/>
      <c r="E9" s="217" t="s">
        <v>144</v>
      </c>
      <c r="F9" s="216"/>
      <c r="G9" s="749" t="s">
        <v>63</v>
      </c>
      <c r="H9" s="749"/>
      <c r="I9" s="749"/>
      <c r="J9" s="218"/>
      <c r="K9" s="216"/>
      <c r="L9" s="750" t="s">
        <v>64</v>
      </c>
      <c r="M9" s="750"/>
      <c r="N9" s="750"/>
    </row>
    <row r="10" spans="1:17" ht="14" x14ac:dyDescent="0.3">
      <c r="A10" s="151"/>
      <c r="B10" s="219" t="s">
        <v>293</v>
      </c>
      <c r="C10" s="220" t="s">
        <v>294</v>
      </c>
      <c r="D10" s="220"/>
      <c r="E10" s="221" t="s">
        <v>295</v>
      </c>
      <c r="F10" s="222"/>
      <c r="G10" s="223" t="s">
        <v>211</v>
      </c>
      <c r="H10" s="223"/>
      <c r="I10" s="223" t="s">
        <v>148</v>
      </c>
      <c r="J10" s="224"/>
      <c r="K10" s="222"/>
      <c r="L10" s="225" t="s">
        <v>211</v>
      </c>
      <c r="M10" s="226"/>
      <c r="N10" s="227" t="s">
        <v>148</v>
      </c>
    </row>
    <row r="11" spans="1:17" ht="14" x14ac:dyDescent="0.3">
      <c r="A11" s="151"/>
      <c r="B11" s="228"/>
      <c r="C11" s="220"/>
      <c r="D11" s="220"/>
      <c r="E11" s="213" t="s">
        <v>66</v>
      </c>
      <c r="F11" s="222"/>
      <c r="G11" s="229" t="s">
        <v>67</v>
      </c>
      <c r="H11" s="230"/>
      <c r="I11" s="231" t="s">
        <v>68</v>
      </c>
      <c r="J11" s="231" t="s">
        <v>69</v>
      </c>
      <c r="K11" s="222"/>
      <c r="L11" s="226" t="s">
        <v>70</v>
      </c>
      <c r="M11" s="230"/>
      <c r="N11" s="231" t="s">
        <v>71</v>
      </c>
    </row>
    <row r="12" spans="1:17" ht="14" x14ac:dyDescent="0.3">
      <c r="A12" s="151">
        <f>IF(B12&lt;&gt;"",COUNTA($B$12:B12),"")</f>
        <v>1</v>
      </c>
      <c r="B12" s="232" t="s">
        <v>296</v>
      </c>
      <c r="C12" s="233" t="s">
        <v>297</v>
      </c>
      <c r="D12" s="233"/>
      <c r="E12" s="234">
        <v>152737.66768395898</v>
      </c>
      <c r="F12" s="207"/>
      <c r="G12" s="209"/>
      <c r="H12" s="209"/>
      <c r="I12" s="210"/>
      <c r="J12" s="235"/>
      <c r="K12" s="210"/>
      <c r="L12" s="209"/>
      <c r="M12" s="211"/>
      <c r="N12" s="210"/>
      <c r="O12" s="272"/>
      <c r="P12" s="234"/>
      <c r="Q12" s="154"/>
    </row>
    <row r="13" spans="1:17" ht="14" x14ac:dyDescent="0.3">
      <c r="A13" s="151">
        <f>IF(B13&lt;&gt;"",COUNTA($B$12:B13),"")</f>
        <v>2</v>
      </c>
      <c r="B13" s="207" t="s">
        <v>298</v>
      </c>
      <c r="C13" s="233" t="s">
        <v>299</v>
      </c>
      <c r="D13" s="233"/>
      <c r="E13" s="234">
        <v>92440677.869065344</v>
      </c>
      <c r="F13" s="207"/>
      <c r="G13" s="236"/>
      <c r="H13" s="209"/>
      <c r="I13" s="237"/>
      <c r="J13" s="235"/>
      <c r="K13" s="210"/>
      <c r="L13" s="236"/>
      <c r="M13" s="211"/>
      <c r="N13" s="237"/>
      <c r="O13" s="272"/>
      <c r="P13" s="273"/>
    </row>
    <row r="14" spans="1:17" ht="14" x14ac:dyDescent="0.3">
      <c r="A14" s="151">
        <f>IF(B14&lt;&gt;"",COUNTA($B$12:B14),"")</f>
        <v>3</v>
      </c>
      <c r="B14" s="207" t="s">
        <v>300</v>
      </c>
      <c r="C14" s="233" t="s">
        <v>301</v>
      </c>
      <c r="D14" s="233"/>
      <c r="E14" s="234"/>
      <c r="F14" s="207"/>
      <c r="G14" s="209"/>
      <c r="H14" s="209"/>
      <c r="I14" s="210">
        <v>6074172.4509267993</v>
      </c>
      <c r="J14" s="235"/>
      <c r="K14" s="210"/>
      <c r="L14" s="209"/>
      <c r="M14" s="211"/>
      <c r="N14" s="210">
        <v>6276559.0945160864</v>
      </c>
      <c r="O14" s="272"/>
      <c r="P14" s="273"/>
    </row>
    <row r="15" spans="1:17" ht="14" x14ac:dyDescent="0.3">
      <c r="A15" s="151" t="str">
        <f>IF(B15&lt;&gt;"",COUNTA($B$12:B15),"")</f>
        <v/>
      </c>
      <c r="B15" s="207"/>
      <c r="C15" s="233"/>
      <c r="D15" s="233"/>
      <c r="E15" s="234"/>
      <c r="F15" s="207"/>
      <c r="G15" s="209"/>
      <c r="H15" s="209"/>
      <c r="I15" s="210"/>
      <c r="J15" s="235"/>
      <c r="K15" s="210"/>
      <c r="L15" s="209"/>
      <c r="M15" s="211"/>
      <c r="N15" s="210"/>
      <c r="O15" s="272"/>
      <c r="P15" s="273"/>
    </row>
    <row r="16" spans="1:17" ht="14" x14ac:dyDescent="0.3">
      <c r="A16" s="151">
        <f>IF(B16&lt;&gt;"",COUNTA($B$12:B16),"")</f>
        <v>4</v>
      </c>
      <c r="B16" s="228" t="s">
        <v>302</v>
      </c>
      <c r="F16" s="239"/>
      <c r="G16" s="240"/>
      <c r="H16" s="211"/>
      <c r="I16" s="210"/>
      <c r="K16" s="210"/>
      <c r="L16" s="241"/>
      <c r="M16" s="211"/>
      <c r="N16" s="210"/>
      <c r="O16" s="272"/>
    </row>
    <row r="17" spans="1:17" ht="14" x14ac:dyDescent="0.3">
      <c r="A17" s="151">
        <f>IF(B17&lt;&gt;"",COUNTA($B$12:B17),"")</f>
        <v>5</v>
      </c>
      <c r="B17" s="207" t="str">
        <f>+'G0 CAMB'!B18</f>
        <v>Revenue Decoupling</v>
      </c>
      <c r="C17" s="233" t="str">
        <f>+'G0 CAMB'!C18</f>
        <v>RDAF</v>
      </c>
      <c r="D17" s="233"/>
      <c r="E17" s="242"/>
      <c r="F17" s="239"/>
      <c r="G17" s="236">
        <v>0</v>
      </c>
      <c r="H17" s="310"/>
      <c r="I17" s="286">
        <f>G17*$E$13</f>
        <v>0</v>
      </c>
      <c r="K17" s="210"/>
      <c r="L17" s="236">
        <v>-3.201280147174075E-4</v>
      </c>
      <c r="M17" s="211"/>
      <c r="N17" s="210">
        <f>L17*$E$13</f>
        <v>-29592.850685355275</v>
      </c>
      <c r="O17" s="272"/>
      <c r="P17" s="234"/>
    </row>
    <row r="18" spans="1:17" ht="14" x14ac:dyDescent="0.3">
      <c r="A18" s="151">
        <f>IF(B18&lt;&gt;"",COUNTA($B$12:B18),"")</f>
        <v>6</v>
      </c>
      <c r="B18" s="207" t="str">
        <f>+'G0 CAMB'!B19</f>
        <v>Residential Assistance Adjustment Factor</v>
      </c>
      <c r="C18" s="233" t="str">
        <f>+'G0 CAMB'!C19</f>
        <v>RAAF</v>
      </c>
      <c r="D18" s="243"/>
      <c r="E18" s="206"/>
      <c r="F18" s="239"/>
      <c r="G18" s="236">
        <v>2.0400000000000001E-3</v>
      </c>
      <c r="H18" s="310"/>
      <c r="I18" s="286">
        <f t="shared" ref="I18:I36" si="0">G18*$E$13</f>
        <v>188578.98285289333</v>
      </c>
      <c r="K18" s="210"/>
      <c r="L18" s="236">
        <v>2.7045275645598515E-3</v>
      </c>
      <c r="M18" s="211"/>
      <c r="N18" s="210">
        <f t="shared" ref="N18:N36" si="1">L18*$E$13</f>
        <v>250008.36138348505</v>
      </c>
      <c r="O18" s="272"/>
      <c r="P18" s="234"/>
      <c r="Q18" s="210"/>
    </row>
    <row r="19" spans="1:17" ht="14" x14ac:dyDescent="0.3">
      <c r="A19" s="151">
        <f>IF(B19&lt;&gt;"",COUNTA($B$12:B19),"")</f>
        <v>7</v>
      </c>
      <c r="B19" s="207" t="str">
        <f>+'G0 CAMB'!B20</f>
        <v>Pension Adjustment Factor</v>
      </c>
      <c r="C19" s="233" t="str">
        <f>+'G0 CAMB'!C20</f>
        <v>PAF</v>
      </c>
      <c r="D19" s="243"/>
      <c r="E19" s="206"/>
      <c r="F19" s="239"/>
      <c r="G19" s="236">
        <v>-2.4000000000000001E-4</v>
      </c>
      <c r="H19" s="310"/>
      <c r="I19" s="286">
        <f t="shared" si="0"/>
        <v>-22185.762688575684</v>
      </c>
      <c r="K19" s="210"/>
      <c r="L19" s="236">
        <v>2.1165106032834352E-3</v>
      </c>
      <c r="M19" s="211"/>
      <c r="N19" s="210">
        <f t="shared" si="1"/>
        <v>195651.6748845852</v>
      </c>
      <c r="O19" s="272"/>
      <c r="P19" s="274"/>
    </row>
    <row r="20" spans="1:17" ht="14" x14ac:dyDescent="0.3">
      <c r="A20" s="151">
        <f>IF(B20&lt;&gt;"",COUNTA($B$12:B20),"")</f>
        <v>8</v>
      </c>
      <c r="B20" s="207" t="str">
        <f>+'G0 CAMB'!B21</f>
        <v>Net Metering Recovery Surcharge</v>
      </c>
      <c r="C20" s="233" t="str">
        <f>+'G0 CAMB'!C21</f>
        <v>NMRS</v>
      </c>
      <c r="D20" s="243"/>
      <c r="E20" s="206"/>
      <c r="F20" s="239"/>
      <c r="G20" s="236">
        <v>4.0200000000000001E-3</v>
      </c>
      <c r="H20" s="310"/>
      <c r="I20" s="286">
        <f t="shared" si="0"/>
        <v>371611.52503364271</v>
      </c>
      <c r="K20" s="210"/>
      <c r="L20" s="236">
        <v>3.5264870034398218E-3</v>
      </c>
      <c r="M20" s="211"/>
      <c r="N20" s="210">
        <f t="shared" si="1"/>
        <v>325990.84909442608</v>
      </c>
      <c r="O20" s="272"/>
      <c r="P20" s="274"/>
    </row>
    <row r="21" spans="1:17" ht="14" x14ac:dyDescent="0.3">
      <c r="A21" s="151">
        <f>IF(B21&lt;&gt;"",COUNTA($B$12:B21),"")</f>
        <v>9</v>
      </c>
      <c r="B21" s="207" t="str">
        <f>+'G0 CAMB'!B22</f>
        <v>Long Term Renewable Contract Adjustment</v>
      </c>
      <c r="C21" s="233" t="str">
        <f>+'G0 CAMB'!C22</f>
        <v>LTRCA</v>
      </c>
      <c r="D21" s="243"/>
      <c r="E21" s="206"/>
      <c r="F21" s="239"/>
      <c r="G21" s="236">
        <v>2.3600000000000001E-3</v>
      </c>
      <c r="H21" s="310"/>
      <c r="I21" s="286">
        <f t="shared" si="0"/>
        <v>218159.99977099421</v>
      </c>
      <c r="K21" s="210"/>
      <c r="L21" s="236">
        <v>1.7357128782064517E-3</v>
      </c>
      <c r="M21" s="211"/>
      <c r="N21" s="210">
        <f t="shared" si="1"/>
        <v>160450.47504747086</v>
      </c>
      <c r="O21" s="272"/>
      <c r="P21" s="275"/>
    </row>
    <row r="22" spans="1:17" ht="14" x14ac:dyDescent="0.3">
      <c r="A22" s="151">
        <f>IF(B22&lt;&gt;"",COUNTA($B$12:B22),"")</f>
        <v>10</v>
      </c>
      <c r="B22" s="207" t="str">
        <f>+'G0 CAMB'!B23</f>
        <v>AG Consulting Expense</v>
      </c>
      <c r="C22" s="233" t="str">
        <f>+'G0 CAMB'!C23</f>
        <v>AGCE</v>
      </c>
      <c r="D22" s="243"/>
      <c r="E22" s="206"/>
      <c r="F22" s="239"/>
      <c r="G22" s="236">
        <v>2.0000000000000002E-5</v>
      </c>
      <c r="H22" s="310"/>
      <c r="I22" s="286">
        <f t="shared" si="0"/>
        <v>1848.813557381307</v>
      </c>
      <c r="K22" s="210"/>
      <c r="L22" s="236">
        <v>5.6784990120226812E-6</v>
      </c>
      <c r="M22" s="211"/>
      <c r="N22" s="210">
        <f t="shared" si="1"/>
        <v>524.9242979501945</v>
      </c>
      <c r="O22" s="272"/>
      <c r="P22" s="274"/>
    </row>
    <row r="23" spans="1:17" ht="14" x14ac:dyDescent="0.3">
      <c r="A23" s="151">
        <f>IF(B23&lt;&gt;"",COUNTA($B$12:B23),"")</f>
        <v>11</v>
      </c>
      <c r="B23" s="207" t="str">
        <f>+'G0 CAMB'!B24</f>
        <v>Storm Cost Recovery Adjustment Factor</v>
      </c>
      <c r="C23" s="233" t="str">
        <f>+'G0 CAMB'!C24</f>
        <v>SCRA</v>
      </c>
      <c r="D23" s="243"/>
      <c r="E23" s="206"/>
      <c r="F23" s="239"/>
      <c r="G23" s="236">
        <v>1.2600000000000001E-3</v>
      </c>
      <c r="H23" s="310"/>
      <c r="I23" s="286">
        <f t="shared" si="0"/>
        <v>116475.25411502234</v>
      </c>
      <c r="K23" s="210"/>
      <c r="L23" s="236">
        <v>2.0470090971587843E-3</v>
      </c>
      <c r="M23" s="211"/>
      <c r="N23" s="210">
        <f t="shared" si="1"/>
        <v>189226.90854550147</v>
      </c>
      <c r="O23" s="272"/>
      <c r="P23" s="274"/>
    </row>
    <row r="24" spans="1:17" ht="14" x14ac:dyDescent="0.3">
      <c r="A24" s="151">
        <f>IF(B24&lt;&gt;"",COUNTA($B$12:B24),"")</f>
        <v>12</v>
      </c>
      <c r="B24" s="207" t="str">
        <f>+'G0 CAMB'!B25</f>
        <v>Storm Reserve Adjustment</v>
      </c>
      <c r="C24" s="233" t="str">
        <f>+'G0 CAMB'!C25</f>
        <v>SRA</v>
      </c>
      <c r="D24" s="243"/>
      <c r="E24" s="206"/>
      <c r="F24" s="239"/>
      <c r="G24" s="236">
        <v>0</v>
      </c>
      <c r="H24" s="310"/>
      <c r="I24" s="286">
        <f t="shared" si="0"/>
        <v>0</v>
      </c>
      <c r="K24" s="210"/>
      <c r="L24" s="236">
        <v>0</v>
      </c>
      <c r="M24" s="211"/>
      <c r="N24" s="210">
        <f t="shared" si="1"/>
        <v>0</v>
      </c>
      <c r="O24" s="272"/>
      <c r="P24" s="274"/>
    </row>
    <row r="25" spans="1:17" ht="14" x14ac:dyDescent="0.3">
      <c r="A25" s="151">
        <f>IF(B25&lt;&gt;"",COUNTA($B$12:B25),"")</f>
        <v>13</v>
      </c>
      <c r="B25" s="207" t="str">
        <f>+'G0 CAMB'!B26</f>
        <v>Basic Service Cost True Up Factor</v>
      </c>
      <c r="C25" s="233" t="str">
        <f>+'G0 CAMB'!C26</f>
        <v>BSTF</v>
      </c>
      <c r="D25" s="243"/>
      <c r="E25" s="206"/>
      <c r="F25" s="239"/>
      <c r="G25" s="236">
        <v>1.09E-3</v>
      </c>
      <c r="H25" s="310"/>
      <c r="I25" s="286">
        <f t="shared" si="0"/>
        <v>100760.33887728123</v>
      </c>
      <c r="K25" s="210"/>
      <c r="L25" s="236">
        <v>-1.3420528507922952E-4</v>
      </c>
      <c r="M25" s="211"/>
      <c r="N25" s="210">
        <f t="shared" si="1"/>
        <v>-12406.027526335138</v>
      </c>
      <c r="O25" s="272"/>
      <c r="P25" s="274"/>
    </row>
    <row r="26" spans="1:17" ht="14" x14ac:dyDescent="0.3">
      <c r="A26" s="151">
        <f>IF(B26&lt;&gt;"",COUNTA($B$12:B26),"")</f>
        <v>14</v>
      </c>
      <c r="B26" s="207" t="str">
        <f>+'G0 CAMB'!B27</f>
        <v>Solar Program Cost Adjustment Factor</v>
      </c>
      <c r="C26" s="233" t="str">
        <f>+'G0 CAMB'!C27</f>
        <v>SPCA</v>
      </c>
      <c r="D26" s="233"/>
      <c r="E26" s="206"/>
      <c r="F26" s="239"/>
      <c r="G26" s="236">
        <v>0</v>
      </c>
      <c r="H26" s="310"/>
      <c r="I26" s="286">
        <f t="shared" si="0"/>
        <v>0</v>
      </c>
      <c r="K26" s="210"/>
      <c r="L26" s="236">
        <v>2.3883778820457414E-5</v>
      </c>
      <c r="M26" s="211"/>
      <c r="N26" s="210">
        <f t="shared" si="1"/>
        <v>2207.8327042379092</v>
      </c>
      <c r="O26" s="272"/>
      <c r="P26" s="301"/>
    </row>
    <row r="27" spans="1:17" ht="14" x14ac:dyDescent="0.3">
      <c r="A27" s="151">
        <f>IF(B27&lt;&gt;"",COUNTA($B$12:B27),"")</f>
        <v>15</v>
      </c>
      <c r="B27" s="207" t="str">
        <f>+'G0 CAMB'!B28</f>
        <v>Solar Expansion Cost Recovery Factor</v>
      </c>
      <c r="C27" s="233" t="str">
        <f>+'G0 CAMB'!C28</f>
        <v>SECRF</v>
      </c>
      <c r="D27" s="233"/>
      <c r="E27" s="206"/>
      <c r="F27" s="239"/>
      <c r="G27" s="236">
        <v>0</v>
      </c>
      <c r="H27" s="310"/>
      <c r="I27" s="286">
        <f t="shared" si="0"/>
        <v>0</v>
      </c>
      <c r="K27" s="210"/>
      <c r="L27" s="236">
        <v>4.2125521885379743E-4</v>
      </c>
      <c r="M27" s="211"/>
      <c r="N27" s="210">
        <f t="shared" si="1"/>
        <v>38941.117986726509</v>
      </c>
      <c r="O27" s="272"/>
      <c r="P27" s="301"/>
    </row>
    <row r="28" spans="1:17" ht="14" x14ac:dyDescent="0.3">
      <c r="A28" s="151">
        <f>IF(B28&lt;&gt;"",COUNTA($B$12:B28),"")</f>
        <v>16</v>
      </c>
      <c r="B28" s="207" t="str">
        <f>+'G0 CAMB'!B29</f>
        <v>Vegetation Management</v>
      </c>
      <c r="C28" s="233" t="str">
        <f>+'G0 CAMB'!C29</f>
        <v>RTWF</v>
      </c>
      <c r="D28" s="233"/>
      <c r="E28" s="206"/>
      <c r="F28" s="239"/>
      <c r="G28" s="236">
        <v>0</v>
      </c>
      <c r="H28" s="310"/>
      <c r="I28" s="286">
        <f t="shared" si="0"/>
        <v>0</v>
      </c>
      <c r="K28" s="210"/>
      <c r="L28" s="236">
        <v>3.7892693271018621E-3</v>
      </c>
      <c r="M28" s="211"/>
      <c r="N28" s="210">
        <f t="shared" si="1"/>
        <v>350282.62522575323</v>
      </c>
      <c r="O28" s="272"/>
      <c r="P28" s="301"/>
    </row>
    <row r="29" spans="1:17" ht="14" x14ac:dyDescent="0.3">
      <c r="A29" s="151">
        <f>IF(B29&lt;&gt;"",COUNTA($B$12:B29),"")</f>
        <v>17</v>
      </c>
      <c r="B29" s="207" t="str">
        <f>+'G0 CAMB'!B30</f>
        <v>Solar Massachusetts Renewable Target</v>
      </c>
      <c r="C29" s="233" t="str">
        <f>+'G0 CAMB'!C30</f>
        <v>SMART</v>
      </c>
      <c r="D29" s="233"/>
      <c r="E29" s="206"/>
      <c r="F29" s="239"/>
      <c r="G29" s="236">
        <v>0</v>
      </c>
      <c r="H29" s="310"/>
      <c r="I29" s="286">
        <f t="shared" si="0"/>
        <v>0</v>
      </c>
      <c r="K29" s="210"/>
      <c r="L29" s="236">
        <v>4.9355960298421331E-4</v>
      </c>
      <c r="M29" s="211"/>
      <c r="N29" s="210">
        <f t="shared" si="1"/>
        <v>45624.984268647444</v>
      </c>
      <c r="O29" s="272"/>
      <c r="P29" s="301"/>
    </row>
    <row r="30" spans="1:17" ht="14" x14ac:dyDescent="0.3">
      <c r="A30" s="151">
        <f>IF(B30&lt;&gt;"",COUNTA($B$12:B30),"")</f>
        <v>18</v>
      </c>
      <c r="B30" s="207" t="str">
        <f>+'G0 CAMB'!B31</f>
        <v>Tax Act Credit Factor</v>
      </c>
      <c r="C30" s="233" t="str">
        <f>+'G0 CAMB'!C31</f>
        <v>TACF</v>
      </c>
      <c r="D30" s="233"/>
      <c r="E30" s="206"/>
      <c r="F30" s="239"/>
      <c r="G30" s="236">
        <v>0</v>
      </c>
      <c r="H30" s="310"/>
      <c r="I30" s="286">
        <f t="shared" si="0"/>
        <v>0</v>
      </c>
      <c r="K30" s="210"/>
      <c r="L30" s="236">
        <v>-7.4716678568530215E-4</v>
      </c>
      <c r="M30" s="211"/>
      <c r="N30" s="210">
        <f t="shared" si="1"/>
        <v>-69068.604149999999</v>
      </c>
      <c r="O30" s="272"/>
      <c r="P30" s="301"/>
    </row>
    <row r="31" spans="1:17" ht="14" x14ac:dyDescent="0.3">
      <c r="A31" s="151">
        <f>IF(B31&lt;&gt;"",COUNTA($B$12:B31),"")</f>
        <v>19</v>
      </c>
      <c r="B31" s="207" t="str">
        <f>+'G0 CAMB'!B32</f>
        <v>Transition</v>
      </c>
      <c r="C31" s="233" t="str">
        <f>+'G0 CAMB'!C32</f>
        <v>TRNSN</v>
      </c>
      <c r="D31" s="233"/>
      <c r="E31" s="206"/>
      <c r="F31" s="239"/>
      <c r="G31" s="236">
        <v>-6.0999999999999997E-4</v>
      </c>
      <c r="H31" s="310"/>
      <c r="I31" s="286">
        <f t="shared" si="0"/>
        <v>-56388.813500129858</v>
      </c>
      <c r="K31" s="210"/>
      <c r="L31" s="236">
        <v>-5.210932140356871E-4</v>
      </c>
      <c r="M31" s="211"/>
      <c r="N31" s="210">
        <f t="shared" si="1"/>
        <v>-48170.209938428874</v>
      </c>
      <c r="O31" s="272"/>
      <c r="P31" s="275"/>
    </row>
    <row r="32" spans="1:17" ht="14" x14ac:dyDescent="0.3">
      <c r="A32" s="151">
        <f>IF(B32&lt;&gt;"",COUNTA($B$12:B32),"")</f>
        <v>20</v>
      </c>
      <c r="B32" s="207" t="str">
        <f>+'G0 CAMB'!B33</f>
        <v>Transmission Energy</v>
      </c>
      <c r="C32" s="233" t="str">
        <f>+'G0 CAMB'!C33</f>
        <v>TMKWH</v>
      </c>
      <c r="D32" s="233"/>
      <c r="E32" s="206"/>
      <c r="F32" s="239"/>
      <c r="G32" s="311">
        <v>1.2579999999999999E-2</v>
      </c>
      <c r="H32" s="310"/>
      <c r="I32" s="286">
        <f t="shared" si="0"/>
        <v>1162903.727592842</v>
      </c>
      <c r="K32" s="210"/>
      <c r="L32" s="311">
        <v>9.0704104926352166E-3</v>
      </c>
      <c r="M32" s="211"/>
      <c r="N32" s="210">
        <f t="shared" si="1"/>
        <v>838474.8944898824</v>
      </c>
      <c r="O32" s="272"/>
      <c r="P32" s="275"/>
    </row>
    <row r="33" spans="1:16" ht="14" x14ac:dyDescent="0.3">
      <c r="A33" s="151">
        <f>IF(B33&lt;&gt;"",COUNTA($B$12:B33),"")</f>
        <v>21</v>
      </c>
      <c r="B33" s="207" t="str">
        <f>+'G0 CAMB'!B34</f>
        <v>Energy Efficiency Reconciliation Factor</v>
      </c>
      <c r="C33" s="233" t="str">
        <f>+'G0 CAMB'!C34</f>
        <v>EERF</v>
      </c>
      <c r="D33" s="233"/>
      <c r="E33" s="206"/>
      <c r="F33" s="239"/>
      <c r="G33" s="311">
        <v>8.4600000000000005E-3</v>
      </c>
      <c r="H33" s="310"/>
      <c r="I33" s="286">
        <f t="shared" si="0"/>
        <v>782048.1347722928</v>
      </c>
      <c r="K33" s="210"/>
      <c r="L33" s="281">
        <v>8.4600000000000005E-3</v>
      </c>
      <c r="M33" s="211"/>
      <c r="N33" s="210">
        <f t="shared" si="1"/>
        <v>782048.1347722928</v>
      </c>
      <c r="O33" s="272"/>
      <c r="P33" s="232"/>
    </row>
    <row r="34" spans="1:16" ht="14" x14ac:dyDescent="0.3">
      <c r="A34" s="151">
        <f>IF(B34&lt;&gt;"",COUNTA($B$12:B34),"")</f>
        <v>22</v>
      </c>
      <c r="B34" s="207" t="str">
        <f>+'G0 CAMB'!B35</f>
        <v>System Benefits Charge</v>
      </c>
      <c r="C34" s="233" t="str">
        <f>+'G0 CAMB'!C35</f>
        <v>SBC</v>
      </c>
      <c r="D34" s="233"/>
      <c r="E34" s="206"/>
      <c r="F34" s="239"/>
      <c r="G34" s="311">
        <v>2.5000000000000001E-3</v>
      </c>
      <c r="H34" s="310"/>
      <c r="I34" s="286">
        <f t="shared" si="0"/>
        <v>231101.69467266338</v>
      </c>
      <c r="K34" s="210"/>
      <c r="L34" s="281">
        <f>+G34</f>
        <v>2.5000000000000001E-3</v>
      </c>
      <c r="M34" s="211"/>
      <c r="N34" s="210">
        <f t="shared" si="1"/>
        <v>231101.69467266338</v>
      </c>
      <c r="O34" s="272"/>
      <c r="P34" s="275"/>
    </row>
    <row r="35" spans="1:16" ht="14" x14ac:dyDescent="0.3">
      <c r="A35" s="151">
        <f>IF(B35&lt;&gt;"",COUNTA($B$12:B35),"")</f>
        <v>23</v>
      </c>
      <c r="B35" s="207" t="str">
        <f>+'G0 CAMB'!B36</f>
        <v>Renewable Energy Charge</v>
      </c>
      <c r="C35" s="233" t="str">
        <f>+'G0 CAMB'!C36</f>
        <v>RNEW</v>
      </c>
      <c r="D35" s="233"/>
      <c r="E35" s="206"/>
      <c r="F35" s="239"/>
      <c r="G35" s="311">
        <v>5.0000000000000001E-4</v>
      </c>
      <c r="H35" s="310"/>
      <c r="I35" s="286">
        <f t="shared" si="0"/>
        <v>46220.338934532672</v>
      </c>
      <c r="K35" s="210"/>
      <c r="L35" s="281">
        <f>+G35</f>
        <v>5.0000000000000001E-4</v>
      </c>
      <c r="M35" s="211"/>
      <c r="N35" s="210">
        <f t="shared" si="1"/>
        <v>46220.338934532672</v>
      </c>
      <c r="O35" s="272"/>
      <c r="P35" s="275"/>
    </row>
    <row r="36" spans="1:16" ht="14" x14ac:dyDescent="0.3">
      <c r="A36" s="151">
        <f>IF(B36&lt;&gt;"",COUNTA($B$12:B36),"")</f>
        <v>24</v>
      </c>
      <c r="B36" s="207" t="str">
        <f>+'G0 CAMB'!B37</f>
        <v>Basic Service Charge</v>
      </c>
      <c r="C36" s="233" t="str">
        <f>+'G0 CAMB'!C37</f>
        <v>BS</v>
      </c>
      <c r="D36" s="233"/>
      <c r="E36" s="206"/>
      <c r="F36" s="239"/>
      <c r="G36" s="236">
        <v>0.11403000000000001</v>
      </c>
      <c r="H36" s="310"/>
      <c r="I36" s="312">
        <f t="shared" si="0"/>
        <v>10541010.497409523</v>
      </c>
      <c r="K36" s="210"/>
      <c r="L36" s="281">
        <v>0.13185000000000002</v>
      </c>
      <c r="M36" s="211"/>
      <c r="N36" s="237">
        <f t="shared" si="1"/>
        <v>12188303.377036268</v>
      </c>
      <c r="O36" s="272"/>
      <c r="P36" s="232"/>
    </row>
    <row r="37" spans="1:16" ht="14" x14ac:dyDescent="0.3">
      <c r="A37" s="151" t="str">
        <f>IF(B37&lt;&gt;"",COUNTA($B$12:B37),"")</f>
        <v/>
      </c>
      <c r="B37" s="207"/>
      <c r="E37" s="206"/>
      <c r="F37" s="239"/>
      <c r="G37" s="311"/>
      <c r="H37" s="310"/>
      <c r="I37" s="313"/>
      <c r="K37" s="210"/>
      <c r="L37" s="281"/>
      <c r="M37" s="211"/>
      <c r="N37" s="244"/>
      <c r="O37" s="272"/>
    </row>
    <row r="38" spans="1:16" ht="14" x14ac:dyDescent="0.3">
      <c r="A38" s="151">
        <f>IF(B38&lt;&gt;"",COUNTA($B$12:B38),"")</f>
        <v>25</v>
      </c>
      <c r="B38" s="188" t="s">
        <v>46</v>
      </c>
      <c r="E38" s="188"/>
      <c r="G38" s="314" t="s">
        <v>324</v>
      </c>
      <c r="H38" s="315"/>
      <c r="I38" s="262">
        <f>SUM(I14:I37)</f>
        <v>19756317.182327162</v>
      </c>
      <c r="K38" s="247"/>
      <c r="L38" s="245"/>
      <c r="N38" s="262">
        <f>SUM(N14:N37)</f>
        <v>21762379.595560391</v>
      </c>
      <c r="P38" s="154"/>
    </row>
    <row r="39" spans="1:16" ht="14" x14ac:dyDescent="0.3">
      <c r="A39" s="151" t="str">
        <f>IF(B39&lt;&gt;"",COUNTA($B$12:B39),"")</f>
        <v/>
      </c>
      <c r="E39" s="188"/>
      <c r="H39" s="188"/>
      <c r="I39" s="154"/>
      <c r="K39" s="265"/>
      <c r="L39" s="278"/>
      <c r="N39" s="265"/>
      <c r="P39" s="154"/>
    </row>
    <row r="40" spans="1:16" ht="14" x14ac:dyDescent="0.3">
      <c r="A40" s="151">
        <f>IF(B40&lt;&gt;"",COUNTA($B$12:B40),"")</f>
        <v>26</v>
      </c>
      <c r="B40" s="188" t="s">
        <v>46</v>
      </c>
      <c r="E40" s="188"/>
      <c r="G40" s="188"/>
      <c r="H40" s="188"/>
      <c r="I40" s="188"/>
      <c r="J40" s="188"/>
      <c r="L40" s="248" t="s">
        <v>325</v>
      </c>
      <c r="N40" s="160">
        <f>+N38/I38-1</f>
        <v>0.1015403020066783</v>
      </c>
    </row>
    <row r="41" spans="1:16" ht="14" x14ac:dyDescent="0.3">
      <c r="A41" s="151" t="str">
        <f>IF(B41&lt;&gt;"",COUNTA($B$12:B41),"")</f>
        <v/>
      </c>
      <c r="E41" s="188"/>
      <c r="G41" s="188"/>
      <c r="H41" s="188"/>
      <c r="I41" s="188"/>
      <c r="J41" s="188"/>
      <c r="L41" s="248"/>
      <c r="N41" s="160"/>
    </row>
    <row r="42" spans="1:16" ht="14" x14ac:dyDescent="0.3">
      <c r="A42" s="151" t="str">
        <f>IF(B42&lt;&gt;"",COUNTA($B$12:B42),"")</f>
        <v/>
      </c>
      <c r="E42" s="188"/>
      <c r="G42" s="186"/>
      <c r="H42" s="188"/>
      <c r="I42" s="188"/>
      <c r="L42" s="248"/>
      <c r="N42" s="160"/>
    </row>
    <row r="43" spans="1:16" ht="14.5" thickBot="1" x14ac:dyDescent="0.35">
      <c r="A43" s="151">
        <f>IF(B43&lt;&gt;"",COUNTA($B$12:B43),"")</f>
        <v>27</v>
      </c>
      <c r="B43" s="188" t="s">
        <v>46</v>
      </c>
      <c r="E43" s="279" t="s">
        <v>326</v>
      </c>
      <c r="F43" s="135"/>
      <c r="G43" s="280"/>
      <c r="I43" s="279" t="s">
        <v>327</v>
      </c>
      <c r="J43" s="135"/>
      <c r="L43" s="279" t="s">
        <v>328</v>
      </c>
      <c r="M43" s="135"/>
      <c r="N43" s="137"/>
    </row>
    <row r="44" spans="1:16" ht="14" x14ac:dyDescent="0.3">
      <c r="A44" s="151">
        <f>IF(B44&lt;&gt;"",COUNTA($B$12:B44),"")</f>
        <v>28</v>
      </c>
      <c r="B44" s="144" t="s">
        <v>329</v>
      </c>
      <c r="C44" s="144"/>
      <c r="D44" s="144"/>
      <c r="E44" s="249" t="s">
        <v>148</v>
      </c>
      <c r="F44" s="250"/>
      <c r="G44" s="251" t="s">
        <v>330</v>
      </c>
      <c r="I44" s="249" t="s">
        <v>148</v>
      </c>
      <c r="J44" s="251" t="s">
        <v>330</v>
      </c>
      <c r="K44" s="212"/>
      <c r="L44" s="249" t="s">
        <v>148</v>
      </c>
      <c r="M44" s="252"/>
      <c r="N44" s="251" t="s">
        <v>330</v>
      </c>
    </row>
    <row r="45" spans="1:16" ht="14" x14ac:dyDescent="0.3">
      <c r="A45" s="151">
        <f>IF(B45&lt;&gt;"",COUNTA($B$12:B45),"")</f>
        <v>29</v>
      </c>
      <c r="B45" s="130" t="str">
        <f>+'G0 CAMB'!B46</f>
        <v>Distribution</v>
      </c>
      <c r="C45" s="253" t="str">
        <f>+'G0 CAMB'!C46</f>
        <v>DIST</v>
      </c>
      <c r="D45" s="253"/>
      <c r="E45" s="154">
        <f t="shared" ref="E45:E60" si="2">SUMIF($C$12:$C$36,$C45,$I$12:$I$36)</f>
        <v>6074172.4509267993</v>
      </c>
      <c r="G45" s="254">
        <f>+E45/$E$13*100</f>
        <v>6.5708869633456901</v>
      </c>
      <c r="I45" s="154">
        <f t="shared" ref="I45:I60" si="3">SUMIF($C$12:$C$36,$C45,$N$12:$N$36)</f>
        <v>6276559.0945160864</v>
      </c>
      <c r="J45" s="254">
        <f>+I45/$E$13*100</f>
        <v>6.7898237434025734</v>
      </c>
      <c r="L45" s="154">
        <f t="shared" ref="L45:L65" si="4">I45-E45</f>
        <v>202386.64358928706</v>
      </c>
      <c r="N45" s="254">
        <f>+L45/$E$13*100</f>
        <v>0.21893678005688272</v>
      </c>
      <c r="O45" s="272"/>
    </row>
    <row r="46" spans="1:16" ht="14" x14ac:dyDescent="0.3">
      <c r="A46" s="151">
        <f>IF(B46&lt;&gt;"",COUNTA($B$12:B46),"")</f>
        <v>30</v>
      </c>
      <c r="B46" s="130" t="str">
        <f>+'G0 CAMB'!B47</f>
        <v>Revenue Decoupling</v>
      </c>
      <c r="C46" s="253" t="str">
        <f>+'G0 CAMB'!C47</f>
        <v>RDAF</v>
      </c>
      <c r="D46" s="253"/>
      <c r="E46" s="154">
        <f t="shared" si="2"/>
        <v>0</v>
      </c>
      <c r="G46" s="254">
        <f t="shared" ref="G46:G66" si="5">+E46/$E$13*100</f>
        <v>0</v>
      </c>
      <c r="I46" s="154">
        <f t="shared" si="3"/>
        <v>-29592.850685355275</v>
      </c>
      <c r="J46" s="254">
        <f t="shared" ref="J46:J66" si="6">+I46/$E$13*100</f>
        <v>-3.2012801471740751E-2</v>
      </c>
      <c r="L46" s="154">
        <f>I46-E46</f>
        <v>-29592.850685355275</v>
      </c>
      <c r="N46" s="254">
        <f t="shared" ref="N46:N66" si="7">+L46/$E$13*100</f>
        <v>-3.2012801471740751E-2</v>
      </c>
      <c r="O46" s="272"/>
    </row>
    <row r="47" spans="1:16" ht="14" x14ac:dyDescent="0.3">
      <c r="A47" s="151">
        <f>IF(B47&lt;&gt;"",COUNTA($B$12:B47),"")</f>
        <v>31</v>
      </c>
      <c r="B47" s="130" t="str">
        <f>+'G0 CAMB'!B48</f>
        <v>Residential Assistance Adjustment Factor</v>
      </c>
      <c r="C47" s="253" t="str">
        <f>+'G0 CAMB'!C48</f>
        <v>RAAF</v>
      </c>
      <c r="D47" s="253"/>
      <c r="E47" s="154">
        <f t="shared" si="2"/>
        <v>188578.98285289333</v>
      </c>
      <c r="G47" s="254">
        <f t="shared" si="5"/>
        <v>0.20400000000000001</v>
      </c>
      <c r="I47" s="154">
        <f t="shared" si="3"/>
        <v>250008.36138348505</v>
      </c>
      <c r="J47" s="254">
        <f t="shared" si="6"/>
        <v>0.27045275645598515</v>
      </c>
      <c r="L47" s="154">
        <f t="shared" si="4"/>
        <v>61429.378530591726</v>
      </c>
      <c r="N47" s="254">
        <f t="shared" si="7"/>
        <v>6.6452756455985112E-2</v>
      </c>
      <c r="O47" s="272"/>
    </row>
    <row r="48" spans="1:16" ht="14" x14ac:dyDescent="0.3">
      <c r="A48" s="151">
        <f>IF(B48&lt;&gt;"",COUNTA($B$12:B48),"")</f>
        <v>32</v>
      </c>
      <c r="B48" s="130" t="str">
        <f>+'G0 CAMB'!B49</f>
        <v>Pension Adjustment Factor</v>
      </c>
      <c r="C48" s="253" t="str">
        <f>+'G0 CAMB'!C49</f>
        <v>PAF</v>
      </c>
      <c r="D48" s="253"/>
      <c r="E48" s="154">
        <f t="shared" si="2"/>
        <v>-22185.762688575684</v>
      </c>
      <c r="G48" s="254">
        <f t="shared" si="5"/>
        <v>-2.4E-2</v>
      </c>
      <c r="I48" s="154">
        <f t="shared" si="3"/>
        <v>195651.6748845852</v>
      </c>
      <c r="J48" s="254">
        <f t="shared" si="6"/>
        <v>0.21165106032834352</v>
      </c>
      <c r="L48" s="154">
        <f t="shared" si="4"/>
        <v>217837.43757316089</v>
      </c>
      <c r="N48" s="254">
        <f t="shared" si="7"/>
        <v>0.23565106032834354</v>
      </c>
      <c r="O48" s="272"/>
    </row>
    <row r="49" spans="1:15" ht="14" x14ac:dyDescent="0.3">
      <c r="A49" s="151">
        <f>IF(B49&lt;&gt;"",COUNTA($B$12:B49),"")</f>
        <v>33</v>
      </c>
      <c r="B49" s="130" t="str">
        <f>+'G0 CAMB'!B50</f>
        <v>Net Metering Recovery Surcharge</v>
      </c>
      <c r="C49" s="253" t="str">
        <f>+'G0 CAMB'!C50</f>
        <v>NMRS</v>
      </c>
      <c r="D49" s="253"/>
      <c r="E49" s="154">
        <f t="shared" si="2"/>
        <v>371611.52503364271</v>
      </c>
      <c r="G49" s="254">
        <f t="shared" si="5"/>
        <v>0.40200000000000002</v>
      </c>
      <c r="I49" s="154">
        <f t="shared" si="3"/>
        <v>325990.84909442608</v>
      </c>
      <c r="J49" s="254">
        <f t="shared" si="6"/>
        <v>0.35264870034398216</v>
      </c>
      <c r="L49" s="154">
        <f t="shared" si="4"/>
        <v>-45620.675939216628</v>
      </c>
      <c r="N49" s="254">
        <f t="shared" si="7"/>
        <v>-4.9351299656017866E-2</v>
      </c>
      <c r="O49" s="272"/>
    </row>
    <row r="50" spans="1:15" ht="14" x14ac:dyDescent="0.3">
      <c r="A50" s="151">
        <f>IF(B50&lt;&gt;"",COUNTA($B$12:B50),"")</f>
        <v>34</v>
      </c>
      <c r="B50" s="130" t="str">
        <f>+'G0 CAMB'!B51</f>
        <v>Long Term Renewable Contract Adjustment</v>
      </c>
      <c r="C50" s="253" t="str">
        <f>+'G0 CAMB'!C51</f>
        <v>LTRCA</v>
      </c>
      <c r="D50" s="253"/>
      <c r="E50" s="154">
        <f t="shared" si="2"/>
        <v>218159.99977099421</v>
      </c>
      <c r="G50" s="254">
        <f t="shared" si="5"/>
        <v>0.23600000000000002</v>
      </c>
      <c r="I50" s="154">
        <f t="shared" si="3"/>
        <v>160450.47504747086</v>
      </c>
      <c r="J50" s="254">
        <f t="shared" si="6"/>
        <v>0.17357128782064518</v>
      </c>
      <c r="L50" s="154">
        <f t="shared" si="4"/>
        <v>-57709.524723523355</v>
      </c>
      <c r="N50" s="254">
        <f t="shared" si="7"/>
        <v>-6.242871217935482E-2</v>
      </c>
      <c r="O50" s="272"/>
    </row>
    <row r="51" spans="1:15" ht="14" x14ac:dyDescent="0.3">
      <c r="A51" s="151">
        <f>IF(B51&lt;&gt;"",COUNTA($B$12:B51),"")</f>
        <v>35</v>
      </c>
      <c r="B51" s="130" t="str">
        <f>+'G0 CAMB'!B52</f>
        <v>AG Consulting Expense</v>
      </c>
      <c r="C51" s="253" t="str">
        <f>+'G0 CAMB'!C52</f>
        <v>AGCE</v>
      </c>
      <c r="D51" s="253"/>
      <c r="E51" s="154">
        <f t="shared" si="2"/>
        <v>1848.813557381307</v>
      </c>
      <c r="G51" s="254">
        <f t="shared" si="5"/>
        <v>2E-3</v>
      </c>
      <c r="I51" s="154">
        <f t="shared" si="3"/>
        <v>524.9242979501945</v>
      </c>
      <c r="J51" s="254">
        <f t="shared" si="6"/>
        <v>5.6784990120226813E-4</v>
      </c>
      <c r="L51" s="154">
        <f t="shared" si="4"/>
        <v>-1323.8892594311124</v>
      </c>
      <c r="N51" s="254">
        <f t="shared" si="7"/>
        <v>-1.4321500987977318E-3</v>
      </c>
      <c r="O51" s="272"/>
    </row>
    <row r="52" spans="1:15" ht="14" x14ac:dyDescent="0.3">
      <c r="A52" s="151">
        <f>IF(B52&lt;&gt;"",COUNTA($B$12:B52),"")</f>
        <v>36</v>
      </c>
      <c r="B52" s="130" t="str">
        <f>+'G0 CAMB'!B53</f>
        <v>Storm Cost Recovery Adjustment Factor</v>
      </c>
      <c r="C52" s="253" t="str">
        <f>+'G0 CAMB'!C53</f>
        <v>SCRA</v>
      </c>
      <c r="D52" s="253"/>
      <c r="E52" s="154">
        <f t="shared" si="2"/>
        <v>116475.25411502234</v>
      </c>
      <c r="G52" s="254">
        <f t="shared" si="5"/>
        <v>0.126</v>
      </c>
      <c r="I52" s="154">
        <f t="shared" si="3"/>
        <v>189226.90854550147</v>
      </c>
      <c r="J52" s="254">
        <f t="shared" si="6"/>
        <v>0.20470090971587843</v>
      </c>
      <c r="L52" s="154">
        <f>I52-E52</f>
        <v>72751.654430479131</v>
      </c>
      <c r="N52" s="254">
        <f t="shared" si="7"/>
        <v>7.8700909715878439E-2</v>
      </c>
      <c r="O52" s="272"/>
    </row>
    <row r="53" spans="1:15" ht="14" x14ac:dyDescent="0.3">
      <c r="A53" s="151">
        <f>IF(B53&lt;&gt;"",COUNTA($B$12:B53),"")</f>
        <v>37</v>
      </c>
      <c r="B53" s="130" t="str">
        <f>+'G0 CAMB'!B54</f>
        <v>Storm Reserve Adjustment</v>
      </c>
      <c r="C53" s="253" t="str">
        <f>+'G0 CAMB'!C54</f>
        <v>SRA</v>
      </c>
      <c r="D53" s="253"/>
      <c r="E53" s="154">
        <f t="shared" si="2"/>
        <v>0</v>
      </c>
      <c r="G53" s="254">
        <f t="shared" si="5"/>
        <v>0</v>
      </c>
      <c r="I53" s="154">
        <f t="shared" si="3"/>
        <v>0</v>
      </c>
      <c r="J53" s="254">
        <f t="shared" si="6"/>
        <v>0</v>
      </c>
      <c r="L53" s="154">
        <f>I53-E53</f>
        <v>0</v>
      </c>
      <c r="N53" s="254">
        <f t="shared" si="7"/>
        <v>0</v>
      </c>
      <c r="O53" s="272"/>
    </row>
    <row r="54" spans="1:15" ht="14" x14ac:dyDescent="0.3">
      <c r="A54" s="151">
        <f>IF(B54&lt;&gt;"",COUNTA($B$12:B54),"")</f>
        <v>38</v>
      </c>
      <c r="B54" s="130" t="str">
        <f>+'G0 CAMB'!B55</f>
        <v>Basic Service Cost True Up Factor</v>
      </c>
      <c r="C54" s="253" t="str">
        <f>+'G0 CAMB'!C55</f>
        <v>BSTF</v>
      </c>
      <c r="D54" s="253"/>
      <c r="E54" s="154">
        <f t="shared" si="2"/>
        <v>100760.33887728123</v>
      </c>
      <c r="G54" s="254">
        <f t="shared" si="5"/>
        <v>0.109</v>
      </c>
      <c r="I54" s="154">
        <f t="shared" si="3"/>
        <v>-12406.027526335138</v>
      </c>
      <c r="J54" s="254">
        <f t="shared" si="6"/>
        <v>-1.3420528507922951E-2</v>
      </c>
      <c r="L54" s="154">
        <f>I54-E54</f>
        <v>-113166.36640361637</v>
      </c>
      <c r="N54" s="254">
        <f t="shared" si="7"/>
        <v>-0.12242052850792297</v>
      </c>
      <c r="O54" s="272"/>
    </row>
    <row r="55" spans="1:15" ht="14" x14ac:dyDescent="0.3">
      <c r="A55" s="151">
        <f>IF(B55&lt;&gt;"",COUNTA($B$12:B55),"")</f>
        <v>39</v>
      </c>
      <c r="B55" s="130" t="str">
        <f>+'G0 CAMB'!B56</f>
        <v>Solar Program Cost Adjustment Factor</v>
      </c>
      <c r="C55" s="253" t="str">
        <f>+'G0 CAMB'!C56</f>
        <v>SPCA</v>
      </c>
      <c r="D55" s="253"/>
      <c r="E55" s="154">
        <f t="shared" si="2"/>
        <v>0</v>
      </c>
      <c r="G55" s="254">
        <f t="shared" si="5"/>
        <v>0</v>
      </c>
      <c r="I55" s="154">
        <f t="shared" si="3"/>
        <v>2207.8327042379092</v>
      </c>
      <c r="J55" s="254">
        <f t="shared" si="6"/>
        <v>2.3883778820457413E-3</v>
      </c>
      <c r="L55" s="154">
        <f t="shared" si="4"/>
        <v>2207.8327042379092</v>
      </c>
      <c r="N55" s="254">
        <f t="shared" si="7"/>
        <v>2.3883778820457413E-3</v>
      </c>
    </row>
    <row r="56" spans="1:15" ht="14" x14ac:dyDescent="0.3">
      <c r="A56" s="151">
        <f>IF(B56&lt;&gt;"",COUNTA($B$12:B56),"")</f>
        <v>40</v>
      </c>
      <c r="B56" s="130" t="str">
        <f>+'G0 CAMB'!B57</f>
        <v>Solar Expansion Cost Recovery Factor</v>
      </c>
      <c r="C56" s="253" t="str">
        <f>+'G0 CAMB'!C57</f>
        <v>SECRF</v>
      </c>
      <c r="D56" s="253"/>
      <c r="E56" s="154">
        <f t="shared" si="2"/>
        <v>0</v>
      </c>
      <c r="G56" s="254">
        <f t="shared" si="5"/>
        <v>0</v>
      </c>
      <c r="I56" s="154">
        <f t="shared" si="3"/>
        <v>38941.117986726509</v>
      </c>
      <c r="J56" s="254">
        <f t="shared" si="6"/>
        <v>4.2125521885379741E-2</v>
      </c>
      <c r="L56" s="154">
        <f t="shared" si="4"/>
        <v>38941.117986726509</v>
      </c>
      <c r="N56" s="254">
        <f t="shared" si="7"/>
        <v>4.2125521885379741E-2</v>
      </c>
    </row>
    <row r="57" spans="1:15" ht="14" x14ac:dyDescent="0.3">
      <c r="A57" s="151">
        <f>IF(B57&lt;&gt;"",COUNTA($B$12:B57),"")</f>
        <v>41</v>
      </c>
      <c r="B57" s="130" t="str">
        <f>+'G0 CAMB'!B58</f>
        <v>Vegetation Management</v>
      </c>
      <c r="C57" s="253" t="str">
        <f>+'G0 CAMB'!C58</f>
        <v>RTWF</v>
      </c>
      <c r="D57" s="253"/>
      <c r="E57" s="154">
        <f t="shared" si="2"/>
        <v>0</v>
      </c>
      <c r="G57" s="254">
        <f t="shared" si="5"/>
        <v>0</v>
      </c>
      <c r="I57" s="154">
        <f t="shared" si="3"/>
        <v>350282.62522575323</v>
      </c>
      <c r="J57" s="254">
        <f t="shared" si="6"/>
        <v>0.37892693271018624</v>
      </c>
      <c r="L57" s="154">
        <f t="shared" si="4"/>
        <v>350282.62522575323</v>
      </c>
      <c r="N57" s="254">
        <f t="shared" si="7"/>
        <v>0.37892693271018624</v>
      </c>
    </row>
    <row r="58" spans="1:15" ht="14" x14ac:dyDescent="0.3">
      <c r="A58" s="151">
        <f>IF(B58&lt;&gt;"",COUNTA($B$12:B58),"")</f>
        <v>42</v>
      </c>
      <c r="B58" s="130" t="str">
        <f>+'G0 CAMB'!B59</f>
        <v>Solar Massachusetts Renewable Target</v>
      </c>
      <c r="C58" s="253" t="str">
        <f>+'G0 CAMB'!C59</f>
        <v>SMART</v>
      </c>
      <c r="D58" s="253"/>
      <c r="E58" s="154">
        <f t="shared" si="2"/>
        <v>0</v>
      </c>
      <c r="G58" s="254">
        <f t="shared" si="5"/>
        <v>0</v>
      </c>
      <c r="I58" s="154">
        <f t="shared" si="3"/>
        <v>45624.984268647444</v>
      </c>
      <c r="J58" s="254">
        <f t="shared" si="6"/>
        <v>4.9355960298421334E-2</v>
      </c>
      <c r="L58" s="154">
        <f t="shared" si="4"/>
        <v>45624.984268647444</v>
      </c>
      <c r="N58" s="254">
        <f t="shared" si="7"/>
        <v>4.9355960298421334E-2</v>
      </c>
    </row>
    <row r="59" spans="1:15" ht="14" x14ac:dyDescent="0.3">
      <c r="A59" s="151">
        <f>IF(B59&lt;&gt;"",COUNTA($B$12:B59),"")</f>
        <v>43</v>
      </c>
      <c r="B59" s="130" t="str">
        <f>+'G0 CAMB'!B60</f>
        <v>Tax Act Credit Factor</v>
      </c>
      <c r="C59" s="253" t="str">
        <f>+'G0 CAMB'!C60</f>
        <v>TACF</v>
      </c>
      <c r="D59" s="253"/>
      <c r="E59" s="154">
        <f t="shared" si="2"/>
        <v>0</v>
      </c>
      <c r="G59" s="254">
        <f t="shared" si="5"/>
        <v>0</v>
      </c>
      <c r="I59" s="154">
        <f t="shared" si="3"/>
        <v>-69068.604149999999</v>
      </c>
      <c r="J59" s="254">
        <f t="shared" si="6"/>
        <v>-7.4716678568530218E-2</v>
      </c>
      <c r="L59" s="154">
        <f t="shared" si="4"/>
        <v>-69068.604149999999</v>
      </c>
      <c r="N59" s="254">
        <f t="shared" si="7"/>
        <v>-7.4716678568530218E-2</v>
      </c>
    </row>
    <row r="60" spans="1:15" ht="14" x14ac:dyDescent="0.3">
      <c r="A60" s="151">
        <f>IF(B60&lt;&gt;"",COUNTA($B$12:B60),"")</f>
        <v>44</v>
      </c>
      <c r="B60" s="130" t="str">
        <f>+'G0 CAMB'!B61</f>
        <v>Transition</v>
      </c>
      <c r="C60" s="253" t="str">
        <f>+'G0 CAMB'!C61</f>
        <v>TRNSN</v>
      </c>
      <c r="D60" s="253"/>
      <c r="E60" s="154">
        <f t="shared" si="2"/>
        <v>-56388.813500129858</v>
      </c>
      <c r="G60" s="254">
        <f t="shared" si="5"/>
        <v>-6.0999999999999999E-2</v>
      </c>
      <c r="I60" s="154">
        <f t="shared" si="3"/>
        <v>-48170.209938428874</v>
      </c>
      <c r="J60" s="254">
        <f t="shared" si="6"/>
        <v>-5.2109321403568713E-2</v>
      </c>
      <c r="L60" s="154">
        <f t="shared" si="4"/>
        <v>8218.6035617009838</v>
      </c>
      <c r="N60" s="254">
        <f t="shared" si="7"/>
        <v>8.8906785964312837E-3</v>
      </c>
    </row>
    <row r="61" spans="1:15" ht="14" x14ac:dyDescent="0.3">
      <c r="A61" s="151">
        <f>IF(B61&lt;&gt;"",COUNTA($B$12:B61),"")</f>
        <v>45</v>
      </c>
      <c r="B61" s="130" t="str">
        <f>+'G0 CAMB'!B62</f>
        <v>Transmission</v>
      </c>
      <c r="C61" s="253" t="str">
        <f>+'G0 CAMB'!C62</f>
        <v>TRNSM</v>
      </c>
      <c r="D61" s="253"/>
      <c r="E61" s="154">
        <f>SUM(SUMIF($C$12:$C$36,{"TMKW","TMKWH"},$I$12:$I$36))</f>
        <v>1162903.727592842</v>
      </c>
      <c r="G61" s="254">
        <f t="shared" si="5"/>
        <v>1.258</v>
      </c>
      <c r="I61" s="154">
        <f>SUM(SUMIF($C$12:$C$36,{"TMKW","TMKWH"},$N$12:$N$36))</f>
        <v>838474.8944898824</v>
      </c>
      <c r="J61" s="254">
        <f t="shared" si="6"/>
        <v>0.90704104926352169</v>
      </c>
      <c r="L61" s="154">
        <f t="shared" si="4"/>
        <v>-324428.83310295956</v>
      </c>
      <c r="N61" s="254">
        <f t="shared" si="7"/>
        <v>-0.3509589507364782</v>
      </c>
    </row>
    <row r="62" spans="1:15" ht="14" x14ac:dyDescent="0.3">
      <c r="A62" s="151">
        <f>IF(B62&lt;&gt;"",COUNTA($B$12:B62),"")</f>
        <v>46</v>
      </c>
      <c r="B62" s="130" t="str">
        <f>+'G0 CAMB'!B63</f>
        <v>Energy Efficiency Reconciliation Factor</v>
      </c>
      <c r="C62" s="253" t="str">
        <f>+'G0 CAMB'!C63</f>
        <v>EERF</v>
      </c>
      <c r="D62" s="253"/>
      <c r="E62" s="154">
        <f>SUMIF($C$12:$C$36,$C62,$I$12:$I$36)</f>
        <v>782048.1347722928</v>
      </c>
      <c r="G62" s="254">
        <f t="shared" si="5"/>
        <v>0.84600000000000009</v>
      </c>
      <c r="I62" s="154">
        <f>SUMIF($C$12:$C$36,$C62,$N$12:$N$36)</f>
        <v>782048.1347722928</v>
      </c>
      <c r="J62" s="254">
        <f t="shared" si="6"/>
        <v>0.84600000000000009</v>
      </c>
      <c r="L62" s="154">
        <f t="shared" si="4"/>
        <v>0</v>
      </c>
      <c r="N62" s="254">
        <f t="shared" si="7"/>
        <v>0</v>
      </c>
    </row>
    <row r="63" spans="1:15" ht="14" x14ac:dyDescent="0.3">
      <c r="A63" s="151">
        <f>IF(B63&lt;&gt;"",COUNTA($B$12:B63),"")</f>
        <v>47</v>
      </c>
      <c r="B63" s="130" t="str">
        <f>+'G0 CAMB'!B64</f>
        <v>System Benefits Charge</v>
      </c>
      <c r="C63" s="253" t="str">
        <f>+'G0 CAMB'!C64</f>
        <v>SBC</v>
      </c>
      <c r="D63" s="253"/>
      <c r="E63" s="154">
        <f>SUMIF($C$12:$C$36,$C63,$I$12:$I$36)</f>
        <v>231101.69467266338</v>
      </c>
      <c r="G63" s="254">
        <f t="shared" si="5"/>
        <v>0.25</v>
      </c>
      <c r="I63" s="154">
        <f>SUMIF($C$12:$C$36,$C63,$N$12:$N$36)</f>
        <v>231101.69467266338</v>
      </c>
      <c r="J63" s="254">
        <f t="shared" si="6"/>
        <v>0.25</v>
      </c>
      <c r="L63" s="154">
        <f t="shared" si="4"/>
        <v>0</v>
      </c>
      <c r="N63" s="254">
        <f t="shared" si="7"/>
        <v>0</v>
      </c>
    </row>
    <row r="64" spans="1:15" ht="14" x14ac:dyDescent="0.3">
      <c r="A64" s="151">
        <f>IF(B64&lt;&gt;"",COUNTA($B$12:B64),"")</f>
        <v>48</v>
      </c>
      <c r="B64" s="130" t="str">
        <f>+'G0 CAMB'!B65</f>
        <v>Renewable Energy Charge</v>
      </c>
      <c r="C64" s="253" t="str">
        <f>+'G0 CAMB'!C65</f>
        <v>RNEW</v>
      </c>
      <c r="D64" s="253"/>
      <c r="E64" s="154">
        <f>SUMIF($C$12:$C$36,$C64,$I$12:$I$36)</f>
        <v>46220.338934532672</v>
      </c>
      <c r="G64" s="254">
        <f t="shared" si="5"/>
        <v>0.05</v>
      </c>
      <c r="I64" s="154">
        <f>SUMIF($C$12:$C$36,$C64,$N$12:$N$36)</f>
        <v>46220.338934532672</v>
      </c>
      <c r="J64" s="254">
        <f t="shared" si="6"/>
        <v>0.05</v>
      </c>
      <c r="L64" s="154">
        <f>I64-E64</f>
        <v>0</v>
      </c>
      <c r="N64" s="254">
        <f t="shared" si="7"/>
        <v>0</v>
      </c>
    </row>
    <row r="65" spans="1:14" ht="14" x14ac:dyDescent="0.3">
      <c r="A65" s="151">
        <f>IF(B65&lt;&gt;"",COUNTA($B$12:B65),"")</f>
        <v>49</v>
      </c>
      <c r="B65" s="130" t="str">
        <f>+'G0 CAMB'!B66</f>
        <v>Basic Service Charge</v>
      </c>
      <c r="C65" s="253" t="str">
        <f>+'G0 CAMB'!C66</f>
        <v>BS</v>
      </c>
      <c r="D65" s="253"/>
      <c r="E65" s="255">
        <f>SUMIF($C$12:$C$36,$C65,$I$12:$I$36)</f>
        <v>10541010.497409523</v>
      </c>
      <c r="F65" s="256"/>
      <c r="G65" s="257">
        <f t="shared" si="5"/>
        <v>11.403000000000002</v>
      </c>
      <c r="H65" s="258"/>
      <c r="I65" s="255">
        <f>SUMIF($C$12:$C$36,$C65,$N$12:$N$36)</f>
        <v>12188303.377036268</v>
      </c>
      <c r="J65" s="257">
        <f t="shared" si="6"/>
        <v>13.185000000000002</v>
      </c>
      <c r="K65" s="255"/>
      <c r="L65" s="255">
        <f t="shared" si="4"/>
        <v>1647292.8796267454</v>
      </c>
      <c r="M65" s="259"/>
      <c r="N65" s="257">
        <f t="shared" si="7"/>
        <v>1.7820000000000009</v>
      </c>
    </row>
    <row r="66" spans="1:14" ht="14" x14ac:dyDescent="0.3">
      <c r="A66" s="151">
        <f>IF(B66&lt;&gt;"",COUNTA($B$12:B66),"")</f>
        <v>50</v>
      </c>
      <c r="B66" s="130" t="str">
        <f>+'G0 CAMB'!B67</f>
        <v>Total</v>
      </c>
      <c r="C66" s="130"/>
      <c r="D66" s="130"/>
      <c r="E66" s="154">
        <f>SUM(E45:E65)</f>
        <v>19756317.182327162</v>
      </c>
      <c r="G66" s="254">
        <f t="shared" si="5"/>
        <v>21.371886963345695</v>
      </c>
      <c r="I66" s="154">
        <f>SUM(I45:I65)</f>
        <v>21762379.595560391</v>
      </c>
      <c r="J66" s="254">
        <f t="shared" si="6"/>
        <v>23.541994820056406</v>
      </c>
      <c r="L66" s="154">
        <f>SUM(L45:L65)</f>
        <v>2006062.413233228</v>
      </c>
      <c r="N66" s="254">
        <f t="shared" si="7"/>
        <v>2.1701078567107128</v>
      </c>
    </row>
    <row r="67" spans="1:14" ht="14" x14ac:dyDescent="0.3">
      <c r="A67" s="151" t="str">
        <f>IF(B67&lt;&gt;"",COUNTA($B$13:B67),"")</f>
        <v/>
      </c>
    </row>
    <row r="68" spans="1:14" ht="14" x14ac:dyDescent="0.3">
      <c r="A68" s="151"/>
      <c r="B68" s="256" t="s">
        <v>164</v>
      </c>
      <c r="E68" s="188"/>
      <c r="G68" s="188"/>
      <c r="H68" s="188"/>
      <c r="I68" s="188"/>
      <c r="J68" s="188"/>
      <c r="K68" s="188"/>
      <c r="L68" s="188"/>
      <c r="M68" s="188"/>
      <c r="N68" s="188"/>
    </row>
    <row r="69" spans="1:14" ht="14" x14ac:dyDescent="0.3">
      <c r="A69" s="151"/>
      <c r="B69" s="130" t="str">
        <f>+'G0 CAMB'!B70</f>
        <v>Col. (a): Company's forecast</v>
      </c>
    </row>
    <row r="70" spans="1:14" ht="14" x14ac:dyDescent="0.3">
      <c r="A70" s="151"/>
      <c r="B70" s="130" t="str">
        <f>+'G0 CAMB'!B71</f>
        <v>Col. (b): Current rates</v>
      </c>
    </row>
    <row r="71" spans="1:14" ht="14" x14ac:dyDescent="0.3">
      <c r="A71" s="151"/>
      <c r="B71" s="130" t="str">
        <f>+'G0 CAMB'!B72</f>
        <v>Col. (c): Col. (a) x Col. (b)</v>
      </c>
    </row>
    <row r="72" spans="1:14" ht="14" x14ac:dyDescent="0.3">
      <c r="A72" s="151"/>
      <c r="B72" s="130" t="str">
        <f>+'G0 CAMB'!B73</f>
        <v>Col. (e): Proposed rates</v>
      </c>
    </row>
    <row r="73" spans="1:14" ht="14" x14ac:dyDescent="0.3">
      <c r="A73" s="151"/>
      <c r="B73" s="130" t="str">
        <f>+'G0 CAMB'!B74</f>
        <v>Col. (f): Col. (a), Line 1 or Line 2 x Col. (e)</v>
      </c>
    </row>
    <row r="74" spans="1:14" ht="14" x14ac:dyDescent="0.3">
      <c r="A74" s="151"/>
      <c r="B74" s="188"/>
    </row>
    <row r="75" spans="1:14" ht="14" x14ac:dyDescent="0.3">
      <c r="A75" s="151"/>
    </row>
  </sheetData>
  <mergeCells count="5">
    <mergeCell ref="A4:N4"/>
    <mergeCell ref="A5:N5"/>
    <mergeCell ref="A7:N7"/>
    <mergeCell ref="G9:I9"/>
    <mergeCell ref="L9:N9"/>
  </mergeCells>
  <pageMargins left="0.7" right="0.7" top="0.75" bottom="0.75" header="0.3" footer="0.3"/>
  <pageSetup scale="68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9446B-4F8E-4B4C-9CCF-D3E44D00F8B7}">
  <sheetPr>
    <tabColor theme="9" tint="0.59999389629810485"/>
    <pageSetUpPr fitToPage="1"/>
  </sheetPr>
  <dimension ref="A3:Q75"/>
  <sheetViews>
    <sheetView workbookViewId="0"/>
  </sheetViews>
  <sheetFormatPr defaultRowHeight="12.5" x14ac:dyDescent="0.25"/>
  <cols>
    <col min="1" max="1" width="3.26953125" bestFit="1" customWidth="1"/>
    <col min="2" max="2" width="41.81640625" customWidth="1"/>
    <col min="3" max="3" width="8.81640625" bestFit="1" customWidth="1"/>
    <col min="4" max="4" width="1.26953125" customWidth="1"/>
    <col min="5" max="5" width="13.7265625" bestFit="1" customWidth="1"/>
    <col min="6" max="6" width="1.26953125" customWidth="1"/>
    <col min="7" max="7" width="12.7265625" customWidth="1"/>
    <col min="8" max="8" width="1.26953125" customWidth="1"/>
    <col min="9" max="9" width="13.26953125" bestFit="1" customWidth="1"/>
    <col min="11" max="11" width="1.26953125" customWidth="1"/>
    <col min="12" max="12" width="12.7265625" customWidth="1"/>
    <col min="13" max="13" width="1.26953125" customWidth="1"/>
    <col min="14" max="14" width="13.26953125" bestFit="1" customWidth="1"/>
  </cols>
  <sheetData>
    <row r="3" spans="1:17" ht="14" x14ac:dyDescent="0.3">
      <c r="A3" s="268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</row>
    <row r="4" spans="1:17" ht="14" x14ac:dyDescent="0.3">
      <c r="A4" s="748" t="str">
        <f>'T5 WMA'!A4:N4</f>
        <v>Western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7" ht="14" x14ac:dyDescent="0.3">
      <c r="A5" s="748" t="str">
        <f>'S1_S2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7" ht="14" x14ac:dyDescent="0.3">
      <c r="A6" s="205"/>
      <c r="C6" s="205"/>
      <c r="D6" s="205"/>
      <c r="E6" s="206"/>
      <c r="F6" s="207"/>
      <c r="G6" s="208"/>
      <c r="H6" s="209"/>
      <c r="I6" s="210"/>
      <c r="J6" s="210"/>
      <c r="K6" s="210"/>
      <c r="L6" s="211"/>
      <c r="M6" s="211"/>
      <c r="N6" s="212"/>
    </row>
    <row r="7" spans="1:17" ht="14" x14ac:dyDescent="0.3">
      <c r="A7" s="748" t="str">
        <f>'S1_S2 EMA'!A7:N7</f>
        <v>S-1/S-2 Street Lighting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7" ht="14" x14ac:dyDescent="0.3">
      <c r="B8" s="207"/>
      <c r="C8" s="207"/>
      <c r="D8" s="207"/>
      <c r="E8" s="213"/>
      <c r="F8" s="207"/>
      <c r="I8" s="210"/>
      <c r="J8" s="210"/>
      <c r="K8" s="210"/>
      <c r="L8" s="214"/>
      <c r="M8" s="214"/>
      <c r="N8" s="215"/>
    </row>
    <row r="9" spans="1:17" ht="14.5" thickBot="1" x14ac:dyDescent="0.35">
      <c r="A9" s="151"/>
      <c r="B9" s="216" t="s">
        <v>46</v>
      </c>
      <c r="C9" s="216"/>
      <c r="D9" s="216"/>
      <c r="E9" s="217" t="s">
        <v>144</v>
      </c>
      <c r="F9" s="216"/>
      <c r="G9" s="749" t="s">
        <v>63</v>
      </c>
      <c r="H9" s="749"/>
      <c r="I9" s="749"/>
      <c r="J9" s="218"/>
      <c r="K9" s="216"/>
      <c r="L9" s="750" t="s">
        <v>64</v>
      </c>
      <c r="M9" s="750"/>
      <c r="N9" s="750"/>
    </row>
    <row r="10" spans="1:17" ht="14" x14ac:dyDescent="0.3">
      <c r="A10" s="151"/>
      <c r="B10" s="219" t="s">
        <v>293</v>
      </c>
      <c r="C10" s="220" t="s">
        <v>294</v>
      </c>
      <c r="D10" s="220"/>
      <c r="E10" s="221" t="s">
        <v>295</v>
      </c>
      <c r="F10" s="222"/>
      <c r="G10" s="223" t="s">
        <v>211</v>
      </c>
      <c r="H10" s="223"/>
      <c r="I10" s="223" t="s">
        <v>148</v>
      </c>
      <c r="J10" s="224"/>
      <c r="K10" s="222"/>
      <c r="L10" s="225" t="s">
        <v>211</v>
      </c>
      <c r="M10" s="226"/>
      <c r="N10" s="227" t="s">
        <v>148</v>
      </c>
    </row>
    <row r="11" spans="1:17" ht="14" x14ac:dyDescent="0.3">
      <c r="A11" s="151" t="str">
        <f>IF(B11&lt;&gt;"",COUNTA($B$9:B11),"")</f>
        <v/>
      </c>
      <c r="B11" s="228"/>
      <c r="C11" s="220"/>
      <c r="D11" s="220"/>
      <c r="E11" s="213" t="s">
        <v>66</v>
      </c>
      <c r="F11" s="222"/>
      <c r="G11" s="229" t="s">
        <v>67</v>
      </c>
      <c r="H11" s="230"/>
      <c r="I11" s="231" t="s">
        <v>68</v>
      </c>
      <c r="J11" s="231" t="s">
        <v>69</v>
      </c>
      <c r="K11" s="222"/>
      <c r="L11" s="226" t="s">
        <v>70</v>
      </c>
      <c r="M11" s="230"/>
      <c r="N11" s="231" t="s">
        <v>71</v>
      </c>
    </row>
    <row r="12" spans="1:17" ht="14" x14ac:dyDescent="0.3">
      <c r="A12" s="151">
        <f>IF(B12&lt;&gt;"",COUNTA($B$12:B12),"")</f>
        <v>1</v>
      </c>
      <c r="B12" s="232" t="s">
        <v>296</v>
      </c>
      <c r="C12" s="233" t="s">
        <v>297</v>
      </c>
      <c r="D12" s="233"/>
      <c r="E12" s="234">
        <v>56251.111627669357</v>
      </c>
      <c r="F12" s="207"/>
      <c r="G12" s="209"/>
      <c r="H12" s="209"/>
      <c r="I12" s="210"/>
      <c r="J12" s="235"/>
      <c r="K12" s="210"/>
      <c r="L12" s="209"/>
      <c r="M12" s="211"/>
      <c r="N12" s="210"/>
      <c r="O12" s="272"/>
      <c r="P12" s="234"/>
      <c r="Q12" s="154"/>
    </row>
    <row r="13" spans="1:17" ht="14" x14ac:dyDescent="0.3">
      <c r="A13" s="151">
        <f>IF(B13&lt;&gt;"",COUNTA($B$12:B13),"")</f>
        <v>2</v>
      </c>
      <c r="B13" s="207" t="s">
        <v>298</v>
      </c>
      <c r="C13" s="233" t="s">
        <v>299</v>
      </c>
      <c r="D13" s="233"/>
      <c r="E13" s="234">
        <v>31271839.367078818</v>
      </c>
      <c r="F13" s="207"/>
      <c r="G13" s="236"/>
      <c r="H13" s="209"/>
      <c r="I13" s="237"/>
      <c r="J13" s="235"/>
      <c r="K13" s="210"/>
      <c r="L13" s="236"/>
      <c r="M13" s="211"/>
      <c r="N13" s="237"/>
      <c r="O13" s="272"/>
      <c r="P13" s="273"/>
    </row>
    <row r="14" spans="1:17" ht="14" x14ac:dyDescent="0.3">
      <c r="A14" s="151">
        <f>IF(B14&lt;&gt;"",COUNTA($B$12:B14),"")</f>
        <v>3</v>
      </c>
      <c r="B14" s="207" t="s">
        <v>300</v>
      </c>
      <c r="C14" s="233" t="s">
        <v>301</v>
      </c>
      <c r="D14" s="233"/>
      <c r="E14" s="234"/>
      <c r="F14" s="207"/>
      <c r="G14" s="209"/>
      <c r="H14" s="209"/>
      <c r="I14" s="210">
        <v>4686497.3278661063</v>
      </c>
      <c r="J14" s="235"/>
      <c r="K14" s="210"/>
      <c r="L14" s="209"/>
      <c r="M14" s="211"/>
      <c r="N14" s="210">
        <v>4842647.7496475819</v>
      </c>
      <c r="O14" s="272"/>
      <c r="P14" s="273"/>
    </row>
    <row r="15" spans="1:17" ht="14" x14ac:dyDescent="0.3">
      <c r="A15" s="151" t="str">
        <f>IF(B15&lt;&gt;"",COUNTA($B$12:B15),"")</f>
        <v/>
      </c>
      <c r="B15" s="207"/>
      <c r="C15" s="233"/>
      <c r="D15" s="233"/>
      <c r="E15" s="234"/>
      <c r="F15" s="207"/>
      <c r="G15" s="209"/>
      <c r="H15" s="209"/>
      <c r="I15" s="210"/>
      <c r="J15" s="235"/>
      <c r="K15" s="210"/>
      <c r="L15" s="209"/>
      <c r="M15" s="211"/>
      <c r="N15" s="210"/>
      <c r="O15" s="272"/>
      <c r="P15" s="273"/>
    </row>
    <row r="16" spans="1:17" ht="14" x14ac:dyDescent="0.3">
      <c r="A16" s="151">
        <f>IF(B16&lt;&gt;"",COUNTA($B$12:B16),"")</f>
        <v>4</v>
      </c>
      <c r="B16" s="228" t="s">
        <v>302</v>
      </c>
      <c r="F16" s="239"/>
      <c r="G16" s="240"/>
      <c r="H16" s="211"/>
      <c r="I16" s="210"/>
      <c r="K16" s="210"/>
      <c r="L16" s="241"/>
      <c r="M16" s="211"/>
      <c r="N16" s="210"/>
      <c r="O16" s="272"/>
    </row>
    <row r="17" spans="1:17" ht="14" x14ac:dyDescent="0.3">
      <c r="A17" s="151">
        <f>IF(B17&lt;&gt;"",COUNTA($B$12:B17),"")</f>
        <v>5</v>
      </c>
      <c r="B17" s="207" t="str">
        <f>'23 WMA'!B18</f>
        <v>Revenue Decoupling</v>
      </c>
      <c r="C17" s="233" t="str">
        <f>'23 WMA'!C18</f>
        <v>RDAF</v>
      </c>
      <c r="D17" s="233"/>
      <c r="E17" s="242"/>
      <c r="F17" s="239"/>
      <c r="G17" s="236">
        <v>3.6999999999999999E-4</v>
      </c>
      <c r="H17" s="310"/>
      <c r="I17" s="286">
        <f>G17*$E$13</f>
        <v>11570.580565819162</v>
      </c>
      <c r="K17" s="210"/>
      <c r="L17" s="236">
        <v>-2.8539504439472691E-4</v>
      </c>
      <c r="M17" s="211"/>
      <c r="N17" s="210">
        <f>L17*$E$13</f>
        <v>-8924.8279844722274</v>
      </c>
      <c r="O17" s="272"/>
      <c r="P17" s="234"/>
    </row>
    <row r="18" spans="1:17" ht="14" x14ac:dyDescent="0.3">
      <c r="A18" s="151">
        <f>IF(B18&lt;&gt;"",COUNTA($B$12:B18),"")</f>
        <v>6</v>
      </c>
      <c r="B18" s="207" t="str">
        <f>'23 WMA'!B19</f>
        <v>Residential Assistance Adjustment Factor</v>
      </c>
      <c r="C18" s="233" t="str">
        <f>'23 WMA'!C19</f>
        <v>RAAF</v>
      </c>
      <c r="D18" s="243"/>
      <c r="E18" s="206"/>
      <c r="F18" s="239"/>
      <c r="G18" s="236">
        <v>6.5700000000000003E-3</v>
      </c>
      <c r="H18" s="310"/>
      <c r="I18" s="286">
        <f t="shared" ref="I18:I36" si="0">G18*$E$13</f>
        <v>205455.98464170785</v>
      </c>
      <c r="K18" s="210"/>
      <c r="L18" s="236">
        <v>2.411094090080427E-3</v>
      </c>
      <c r="M18" s="211"/>
      <c r="N18" s="210">
        <f t="shared" ref="N18:N36" si="1">L18*$E$13</f>
        <v>75399.347083908186</v>
      </c>
      <c r="O18" s="272"/>
      <c r="P18" s="234"/>
      <c r="Q18" s="210"/>
    </row>
    <row r="19" spans="1:17" ht="14" x14ac:dyDescent="0.3">
      <c r="A19" s="151">
        <f>IF(B19&lt;&gt;"",COUNTA($B$12:B19),"")</f>
        <v>7</v>
      </c>
      <c r="B19" s="207" t="str">
        <f>'23 WMA'!B20</f>
        <v>Pension Adjustment Factor</v>
      </c>
      <c r="C19" s="233" t="str">
        <f>'23 WMA'!C20</f>
        <v>PAF</v>
      </c>
      <c r="D19" s="243"/>
      <c r="E19" s="206"/>
      <c r="F19" s="239"/>
      <c r="G19" s="236">
        <v>3.8800000000000002E-3</v>
      </c>
      <c r="H19" s="310"/>
      <c r="I19" s="286">
        <f t="shared" si="0"/>
        <v>121334.73674426583</v>
      </c>
      <c r="K19" s="210"/>
      <c r="L19" s="236">
        <v>2.266378391503308E-3</v>
      </c>
      <c r="M19" s="211"/>
      <c r="N19" s="210">
        <f t="shared" si="1"/>
        <v>70873.821004109923</v>
      </c>
      <c r="O19" s="272"/>
      <c r="P19" s="274"/>
    </row>
    <row r="20" spans="1:17" ht="14" x14ac:dyDescent="0.3">
      <c r="A20" s="151">
        <f>IF(B20&lt;&gt;"",COUNTA($B$12:B20),"")</f>
        <v>8</v>
      </c>
      <c r="B20" s="207" t="str">
        <f>'23 WMA'!B21</f>
        <v>Net Metering Recovery Surcharge</v>
      </c>
      <c r="C20" s="233" t="str">
        <f>'23 WMA'!C21</f>
        <v>NMRS</v>
      </c>
      <c r="D20" s="243"/>
      <c r="E20" s="206"/>
      <c r="F20" s="239"/>
      <c r="G20" s="236">
        <v>2.8600000000000001E-3</v>
      </c>
      <c r="H20" s="310"/>
      <c r="I20" s="286">
        <f t="shared" si="0"/>
        <v>89437.460589845417</v>
      </c>
      <c r="K20" s="210"/>
      <c r="L20" s="236">
        <v>3.1438732901666547E-3</v>
      </c>
      <c r="M20" s="211"/>
      <c r="N20" s="210">
        <f t="shared" si="1"/>
        <v>98314.700520541199</v>
      </c>
      <c r="O20" s="272"/>
      <c r="P20" s="274"/>
    </row>
    <row r="21" spans="1:17" ht="14" x14ac:dyDescent="0.3">
      <c r="A21" s="151">
        <f>IF(B21&lt;&gt;"",COUNTA($B$12:B21),"")</f>
        <v>9</v>
      </c>
      <c r="B21" s="207" t="str">
        <f>'23 WMA'!B22</f>
        <v>Long Term Renewable Contract Adjustment</v>
      </c>
      <c r="C21" s="233" t="str">
        <f>'23 WMA'!C22</f>
        <v>LTRCA</v>
      </c>
      <c r="D21" s="243"/>
      <c r="E21" s="206"/>
      <c r="F21" s="239"/>
      <c r="G21" s="236">
        <v>3.31E-3</v>
      </c>
      <c r="H21" s="310"/>
      <c r="I21" s="286">
        <f t="shared" si="0"/>
        <v>103509.78830503089</v>
      </c>
      <c r="K21" s="210"/>
      <c r="L21" s="236">
        <v>1.7357128782064517E-3</v>
      </c>
      <c r="M21" s="211"/>
      <c r="N21" s="210">
        <f t="shared" si="1"/>
        <v>54278.934314642196</v>
      </c>
      <c r="O21" s="272"/>
      <c r="P21" s="275"/>
    </row>
    <row r="22" spans="1:17" ht="14" x14ac:dyDescent="0.3">
      <c r="A22" s="151">
        <f>IF(B22&lt;&gt;"",COUNTA($B$12:B22),"")</f>
        <v>10</v>
      </c>
      <c r="B22" s="207" t="str">
        <f>'23 WMA'!B23</f>
        <v>AG Consulting Expense</v>
      </c>
      <c r="C22" s="233" t="str">
        <f>'23 WMA'!C23</f>
        <v>AGCE</v>
      </c>
      <c r="D22" s="243"/>
      <c r="E22" s="206"/>
      <c r="F22" s="239"/>
      <c r="G22" s="236">
        <v>2.0000000000000002E-5</v>
      </c>
      <c r="H22" s="310"/>
      <c r="I22" s="286">
        <f t="shared" si="0"/>
        <v>625.43678734157641</v>
      </c>
      <c r="K22" s="210"/>
      <c r="L22" s="236">
        <v>5.0623981754993283E-6</v>
      </c>
      <c r="M22" s="211"/>
      <c r="N22" s="210">
        <f t="shared" si="1"/>
        <v>158.31050255640787</v>
      </c>
      <c r="O22" s="272"/>
      <c r="P22" s="274"/>
    </row>
    <row r="23" spans="1:17" ht="14" x14ac:dyDescent="0.3">
      <c r="A23" s="151">
        <f>IF(B23&lt;&gt;"",COUNTA($B$12:B23),"")</f>
        <v>11</v>
      </c>
      <c r="B23" s="207" t="str">
        <f>'23 WMA'!B24</f>
        <v>Storm Cost Recovery Adjustment Factor</v>
      </c>
      <c r="C23" s="233" t="str">
        <f>'23 WMA'!C24</f>
        <v>SCRA</v>
      </c>
      <c r="D23" s="243"/>
      <c r="E23" s="206"/>
      <c r="F23" s="239"/>
      <c r="G23" s="236">
        <v>1.5299999999999999E-3</v>
      </c>
      <c r="H23" s="310"/>
      <c r="I23" s="286">
        <f t="shared" si="0"/>
        <v>47845.914231630588</v>
      </c>
      <c r="K23" s="210"/>
      <c r="L23" s="236">
        <v>1.8128868228867261E-3</v>
      </c>
      <c r="M23" s="211"/>
      <c r="N23" s="210">
        <f t="shared" si="1"/>
        <v>56692.305516007567</v>
      </c>
      <c r="O23" s="272"/>
      <c r="P23" s="274"/>
    </row>
    <row r="24" spans="1:17" ht="14" x14ac:dyDescent="0.3">
      <c r="A24" s="151">
        <f>IF(B24&lt;&gt;"",COUNTA($B$12:B24),"")</f>
        <v>12</v>
      </c>
      <c r="B24" s="207" t="str">
        <f>'23 WMA'!B25</f>
        <v>Storm Reserve Adjustment</v>
      </c>
      <c r="C24" s="233" t="str">
        <f>'23 WMA'!C25</f>
        <v>SRA</v>
      </c>
      <c r="D24" s="243"/>
      <c r="E24" s="206"/>
      <c r="F24" s="239"/>
      <c r="G24" s="236">
        <v>0</v>
      </c>
      <c r="H24" s="310"/>
      <c r="I24" s="286">
        <f t="shared" si="0"/>
        <v>0</v>
      </c>
      <c r="K24" s="210"/>
      <c r="L24" s="236">
        <v>0</v>
      </c>
      <c r="M24" s="211"/>
      <c r="N24" s="210">
        <f t="shared" si="1"/>
        <v>0</v>
      </c>
      <c r="O24" s="272"/>
      <c r="P24" s="274"/>
    </row>
    <row r="25" spans="1:17" ht="14" x14ac:dyDescent="0.3">
      <c r="A25" s="151">
        <f>IF(B25&lt;&gt;"",COUNTA($B$12:B25),"")</f>
        <v>13</v>
      </c>
      <c r="B25" s="207" t="str">
        <f>'23 WMA'!B26</f>
        <v>Basic Service Cost True Up Factor</v>
      </c>
      <c r="C25" s="233" t="str">
        <f>'23 WMA'!C26</f>
        <v>BSTF</v>
      </c>
      <c r="D25" s="243"/>
      <c r="E25" s="206"/>
      <c r="F25" s="239"/>
      <c r="G25" s="236">
        <v>1.3999999999999999E-4</v>
      </c>
      <c r="H25" s="310"/>
      <c r="I25" s="286">
        <f t="shared" si="0"/>
        <v>4378.0575113910345</v>
      </c>
      <c r="K25" s="210"/>
      <c r="L25" s="236">
        <v>-1.1964439702974541E-4</v>
      </c>
      <c r="M25" s="211"/>
      <c r="N25" s="210">
        <f t="shared" si="1"/>
        <v>-3741.5003650852004</v>
      </c>
      <c r="O25" s="272"/>
      <c r="P25" s="274"/>
    </row>
    <row r="26" spans="1:17" ht="14" x14ac:dyDescent="0.3">
      <c r="A26" s="151">
        <f>IF(B26&lt;&gt;"",COUNTA($B$12:B26),"")</f>
        <v>14</v>
      </c>
      <c r="B26" s="207" t="str">
        <f>'23 WMA'!B27</f>
        <v>Solar Program Cost Adjustment Factor</v>
      </c>
      <c r="C26" s="233" t="str">
        <f>'23 WMA'!C27</f>
        <v>SPCA</v>
      </c>
      <c r="D26" s="233"/>
      <c r="E26" s="206"/>
      <c r="F26" s="239"/>
      <c r="G26" s="236">
        <v>-8.0000000000000007E-5</v>
      </c>
      <c r="H26" s="310"/>
      <c r="I26" s="286">
        <f t="shared" si="0"/>
        <v>-2501.7471493663056</v>
      </c>
      <c r="K26" s="210"/>
      <c r="L26" s="236">
        <v>2.1292457402690511E-5</v>
      </c>
      <c r="M26" s="211"/>
      <c r="N26" s="210">
        <f t="shared" si="1"/>
        <v>665.85430762730596</v>
      </c>
      <c r="O26" s="272"/>
      <c r="P26" s="301"/>
    </row>
    <row r="27" spans="1:17" ht="14" x14ac:dyDescent="0.3">
      <c r="A27" s="151">
        <f>IF(B27&lt;&gt;"",COUNTA($B$12:B27),"")</f>
        <v>15</v>
      </c>
      <c r="B27" s="207" t="str">
        <f>'23 WMA'!B28</f>
        <v>Solar Expansion Cost Recovery Factor</v>
      </c>
      <c r="C27" s="233" t="str">
        <f>'23 WMA'!C28</f>
        <v>SECRF</v>
      </c>
      <c r="D27" s="233"/>
      <c r="E27" s="206"/>
      <c r="F27" s="239"/>
      <c r="G27" s="236">
        <v>0</v>
      </c>
      <c r="H27" s="310"/>
      <c r="I27" s="286">
        <f t="shared" si="0"/>
        <v>0</v>
      </c>
      <c r="K27" s="210"/>
      <c r="L27" s="236">
        <v>3.7555023727747658E-4</v>
      </c>
      <c r="M27" s="211"/>
      <c r="N27" s="210">
        <f t="shared" si="1"/>
        <v>11744.146694409583</v>
      </c>
      <c r="O27" s="272"/>
      <c r="P27" s="301"/>
    </row>
    <row r="28" spans="1:17" ht="14" x14ac:dyDescent="0.3">
      <c r="A28" s="151">
        <f>IF(B28&lt;&gt;"",COUNTA($B$12:B28),"")</f>
        <v>16</v>
      </c>
      <c r="B28" s="207" t="str">
        <f>'23 WMA'!B29</f>
        <v>Vegetation Management</v>
      </c>
      <c r="C28" s="233" t="str">
        <f>'23 WMA'!C29</f>
        <v>RTWF</v>
      </c>
      <c r="D28" s="233"/>
      <c r="E28" s="206"/>
      <c r="F28" s="239"/>
      <c r="G28" s="236">
        <v>0</v>
      </c>
      <c r="H28" s="310"/>
      <c r="I28" s="286">
        <f t="shared" si="0"/>
        <v>0</v>
      </c>
      <c r="K28" s="210"/>
      <c r="L28" s="236">
        <v>4.0575833209657124E-3</v>
      </c>
      <c r="M28" s="211"/>
      <c r="N28" s="210">
        <f t="shared" si="1"/>
        <v>126888.09383177797</v>
      </c>
      <c r="O28" s="272"/>
      <c r="P28" s="301"/>
    </row>
    <row r="29" spans="1:17" ht="14" x14ac:dyDescent="0.3">
      <c r="A29" s="151">
        <f>IF(B29&lt;&gt;"",COUNTA($B$12:B29),"")</f>
        <v>17</v>
      </c>
      <c r="B29" s="207" t="str">
        <f>'23 WMA'!B30</f>
        <v>Solar Massachusetts Renewable Target</v>
      </c>
      <c r="C29" s="233" t="str">
        <f>'23 WMA'!C30</f>
        <v>SMART</v>
      </c>
      <c r="D29" s="233"/>
      <c r="E29" s="206"/>
      <c r="F29" s="239"/>
      <c r="G29" s="236">
        <v>0</v>
      </c>
      <c r="H29" s="310"/>
      <c r="I29" s="286">
        <f t="shared" si="0"/>
        <v>0</v>
      </c>
      <c r="K29" s="210"/>
      <c r="L29" s="236">
        <v>4.4000980335778101E-4</v>
      </c>
      <c r="M29" s="211"/>
      <c r="N29" s="210">
        <f t="shared" si="1"/>
        <v>13759.915890544466</v>
      </c>
      <c r="O29" s="272"/>
      <c r="P29" s="301"/>
    </row>
    <row r="30" spans="1:17" ht="14" x14ac:dyDescent="0.3">
      <c r="A30" s="151">
        <f>IF(B30&lt;&gt;"",COUNTA($B$12:B30),"")</f>
        <v>18</v>
      </c>
      <c r="B30" s="207" t="str">
        <f>'23 WMA'!B31</f>
        <v>Tax Act Credit Factor</v>
      </c>
      <c r="C30" s="233" t="str">
        <f>'23 WMA'!C31</f>
        <v>TACF</v>
      </c>
      <c r="D30" s="233"/>
      <c r="E30" s="206"/>
      <c r="F30" s="239"/>
      <c r="G30" s="236">
        <v>0</v>
      </c>
      <c r="H30" s="310"/>
      <c r="I30" s="286">
        <f t="shared" si="0"/>
        <v>0</v>
      </c>
      <c r="K30" s="210"/>
      <c r="L30" s="236">
        <v>-6.6610133498987091E-4</v>
      </c>
      <c r="M30" s="211"/>
      <c r="N30" s="210">
        <f t="shared" si="1"/>
        <v>-20830.213950000001</v>
      </c>
      <c r="O30" s="272"/>
      <c r="P30" s="301"/>
    </row>
    <row r="31" spans="1:17" ht="14" x14ac:dyDescent="0.3">
      <c r="A31" s="151">
        <f>IF(B31&lt;&gt;"",COUNTA($B$12:B31),"")</f>
        <v>19</v>
      </c>
      <c r="B31" s="207" t="str">
        <f>'23 WMA'!B32</f>
        <v>Transition</v>
      </c>
      <c r="C31" s="233" t="str">
        <f>'23 WMA'!C32</f>
        <v>TRNSN</v>
      </c>
      <c r="D31" s="233"/>
      <c r="E31" s="206"/>
      <c r="F31" s="239"/>
      <c r="G31" s="236">
        <v>-1.7099999999999999E-3</v>
      </c>
      <c r="H31" s="310"/>
      <c r="I31" s="286">
        <f t="shared" si="0"/>
        <v>-53474.845317704778</v>
      </c>
      <c r="K31" s="210"/>
      <c r="L31" s="236">
        <v>-5.210932140356871E-4</v>
      </c>
      <c r="M31" s="211"/>
      <c r="N31" s="210">
        <f t="shared" si="1"/>
        <v>-16295.543284598829</v>
      </c>
      <c r="O31" s="272"/>
      <c r="P31" s="275"/>
    </row>
    <row r="32" spans="1:17" ht="14" x14ac:dyDescent="0.3">
      <c r="A32" s="151">
        <f>IF(B32&lt;&gt;"",COUNTA($B$12:B32),"")</f>
        <v>20</v>
      </c>
      <c r="B32" s="207" t="str">
        <f>'23 WMA'!B33</f>
        <v>Transmission Energy</v>
      </c>
      <c r="C32" s="233" t="str">
        <f>'23 WMA'!C33</f>
        <v>TMKWH</v>
      </c>
      <c r="D32" s="233"/>
      <c r="E32" s="206"/>
      <c r="F32" s="239"/>
      <c r="G32" s="311">
        <v>1.4930000000000001E-2</v>
      </c>
      <c r="H32" s="310"/>
      <c r="I32" s="286">
        <f t="shared" si="0"/>
        <v>466888.56175048678</v>
      </c>
      <c r="K32" s="210"/>
      <c r="L32" s="311">
        <v>1.1121070758426759E-2</v>
      </c>
      <c r="M32" s="211"/>
      <c r="N32" s="210">
        <f t="shared" si="1"/>
        <v>347776.33834743901</v>
      </c>
      <c r="O32" s="272"/>
      <c r="P32" s="275"/>
    </row>
    <row r="33" spans="1:16" ht="14" x14ac:dyDescent="0.3">
      <c r="A33" s="151">
        <f>IF(B33&lt;&gt;"",COUNTA($B$12:B33),"")</f>
        <v>21</v>
      </c>
      <c r="B33" s="207" t="str">
        <f>'23 WMA'!B34</f>
        <v>Energy Efficiency Reconciliation Factor</v>
      </c>
      <c r="C33" s="233" t="str">
        <f>'23 WMA'!C34</f>
        <v>EERF</v>
      </c>
      <c r="D33" s="233"/>
      <c r="E33" s="206"/>
      <c r="F33" s="239"/>
      <c r="G33" s="311">
        <v>9.7199999999999995E-3</v>
      </c>
      <c r="H33" s="310"/>
      <c r="I33" s="286">
        <f t="shared" si="0"/>
        <v>303962.27864800609</v>
      </c>
      <c r="K33" s="210"/>
      <c r="L33" s="241">
        <v>9.7199999999999995E-3</v>
      </c>
      <c r="M33" s="211"/>
      <c r="N33" s="210">
        <f t="shared" si="1"/>
        <v>303962.27864800609</v>
      </c>
      <c r="O33" s="272"/>
      <c r="P33" s="232"/>
    </row>
    <row r="34" spans="1:16" ht="14" x14ac:dyDescent="0.3">
      <c r="A34" s="151">
        <f>IF(B34&lt;&gt;"",COUNTA($B$12:B34),"")</f>
        <v>22</v>
      </c>
      <c r="B34" s="207" t="str">
        <f>'23 WMA'!B35</f>
        <v>System Benefits Charge</v>
      </c>
      <c r="C34" s="233" t="str">
        <f>'23 WMA'!C35</f>
        <v>SBC</v>
      </c>
      <c r="D34" s="233"/>
      <c r="E34" s="206"/>
      <c r="F34" s="239"/>
      <c r="G34" s="311">
        <v>2.5000000000000001E-3</v>
      </c>
      <c r="H34" s="310"/>
      <c r="I34" s="286">
        <f t="shared" si="0"/>
        <v>78179.598417697052</v>
      </c>
      <c r="K34" s="210"/>
      <c r="L34" s="281">
        <f>+G34</f>
        <v>2.5000000000000001E-3</v>
      </c>
      <c r="M34" s="211"/>
      <c r="N34" s="210">
        <f t="shared" si="1"/>
        <v>78179.598417697052</v>
      </c>
      <c r="O34" s="272"/>
      <c r="P34" s="275"/>
    </row>
    <row r="35" spans="1:16" ht="14" x14ac:dyDescent="0.3">
      <c r="A35" s="151">
        <f>IF(B35&lt;&gt;"",COUNTA($B$12:B35),"")</f>
        <v>23</v>
      </c>
      <c r="B35" s="207" t="str">
        <f>'23 WMA'!B36</f>
        <v>Renewable Energy Charge</v>
      </c>
      <c r="C35" s="233" t="str">
        <f>'23 WMA'!C36</f>
        <v>RNEW</v>
      </c>
      <c r="D35" s="233"/>
      <c r="E35" s="206"/>
      <c r="F35" s="239"/>
      <c r="G35" s="311">
        <v>5.0000000000000001E-4</v>
      </c>
      <c r="H35" s="310"/>
      <c r="I35" s="286">
        <f t="shared" si="0"/>
        <v>15635.919683539409</v>
      </c>
      <c r="K35" s="210"/>
      <c r="L35" s="281">
        <f>+G35</f>
        <v>5.0000000000000001E-4</v>
      </c>
      <c r="M35" s="211"/>
      <c r="N35" s="210">
        <f t="shared" si="1"/>
        <v>15635.919683539409</v>
      </c>
      <c r="O35" s="272"/>
      <c r="P35" s="275"/>
    </row>
    <row r="36" spans="1:16" ht="14" x14ac:dyDescent="0.3">
      <c r="A36" s="151">
        <f>IF(B36&lt;&gt;"",COUNTA($B$12:B36),"")</f>
        <v>24</v>
      </c>
      <c r="B36" s="207" t="str">
        <f>'23 WMA'!B37</f>
        <v>Basic Service Charge</v>
      </c>
      <c r="C36" s="233" t="str">
        <f>'23 WMA'!C37</f>
        <v>BS</v>
      </c>
      <c r="D36" s="233"/>
      <c r="E36" s="206"/>
      <c r="F36" s="239"/>
      <c r="G36" s="236">
        <v>6.2670000000000003E-2</v>
      </c>
      <c r="H36" s="310"/>
      <c r="I36" s="312">
        <f t="shared" si="0"/>
        <v>1959806.1731348296</v>
      </c>
      <c r="K36" s="210"/>
      <c r="L36" s="281">
        <v>7.9229999999999995E-2</v>
      </c>
      <c r="M36" s="211"/>
      <c r="N36" s="237">
        <f t="shared" si="1"/>
        <v>2477667.8330536545</v>
      </c>
      <c r="O36" s="272"/>
      <c r="P36" s="232"/>
    </row>
    <row r="37" spans="1:16" ht="14" x14ac:dyDescent="0.3">
      <c r="A37" s="151" t="str">
        <f>IF(B37&lt;&gt;"",COUNTA($B$12:B37),"")</f>
        <v/>
      </c>
      <c r="B37" s="207"/>
      <c r="E37" s="206"/>
      <c r="F37" s="239"/>
      <c r="G37" s="311"/>
      <c r="H37" s="310"/>
      <c r="I37" s="313"/>
      <c r="K37" s="210"/>
      <c r="L37" s="281"/>
      <c r="M37" s="211"/>
      <c r="N37" s="244"/>
      <c r="O37" s="272"/>
    </row>
    <row r="38" spans="1:16" ht="14" x14ac:dyDescent="0.3">
      <c r="A38" s="151">
        <f>IF(B38&lt;&gt;"",COUNTA($B$12:B38),"")</f>
        <v>25</v>
      </c>
      <c r="B38" s="188" t="s">
        <v>46</v>
      </c>
      <c r="E38" s="188"/>
      <c r="G38" s="314" t="s">
        <v>324</v>
      </c>
      <c r="H38" s="315"/>
      <c r="I38" s="262">
        <f>SUM(I14:I37)</f>
        <v>8039151.2264106283</v>
      </c>
      <c r="K38" s="247"/>
      <c r="L38" s="245"/>
      <c r="N38" s="262">
        <f>SUM(N14:N37)</f>
        <v>8524853.0618798863</v>
      </c>
      <c r="P38" s="154"/>
    </row>
    <row r="39" spans="1:16" ht="14" x14ac:dyDescent="0.3">
      <c r="A39" s="151" t="str">
        <f>IF(B39&lt;&gt;"",COUNTA($B$12:B39),"")</f>
        <v/>
      </c>
      <c r="E39" s="188"/>
      <c r="H39" s="188"/>
      <c r="I39" s="154"/>
      <c r="K39" s="265"/>
      <c r="L39" s="278"/>
      <c r="N39" s="265"/>
      <c r="P39" s="154"/>
    </row>
    <row r="40" spans="1:16" ht="14" x14ac:dyDescent="0.3">
      <c r="A40" s="151">
        <f>IF(B40&lt;&gt;"",COUNTA($B$12:B40),"")</f>
        <v>26</v>
      </c>
      <c r="B40" s="188" t="s">
        <v>46</v>
      </c>
      <c r="E40" s="188"/>
      <c r="G40" s="188"/>
      <c r="H40" s="188"/>
      <c r="I40" s="188"/>
      <c r="J40" s="188"/>
      <c r="L40" s="248" t="s">
        <v>325</v>
      </c>
      <c r="N40" s="160">
        <f>+N38/I38-1</f>
        <v>6.0417054212589694E-2</v>
      </c>
    </row>
    <row r="41" spans="1:16" ht="14" x14ac:dyDescent="0.3">
      <c r="A41" s="151" t="str">
        <f>IF(B41&lt;&gt;"",COUNTA($B$12:B41),"")</f>
        <v/>
      </c>
      <c r="E41" s="188"/>
      <c r="G41" s="188"/>
      <c r="H41" s="188"/>
      <c r="I41" s="188"/>
      <c r="J41" s="188"/>
      <c r="L41" s="248"/>
      <c r="N41" s="160"/>
    </row>
    <row r="42" spans="1:16" ht="14" x14ac:dyDescent="0.3">
      <c r="A42" s="151" t="str">
        <f>IF(B42&lt;&gt;"",COUNTA($B$12:B42),"")</f>
        <v/>
      </c>
      <c r="E42" s="188"/>
      <c r="G42" s="186"/>
      <c r="H42" s="188"/>
      <c r="I42" s="188"/>
      <c r="L42" s="248"/>
      <c r="N42" s="160"/>
    </row>
    <row r="43" spans="1:16" ht="14.5" thickBot="1" x14ac:dyDescent="0.35">
      <c r="A43" s="151">
        <f>IF(B43&lt;&gt;"",COUNTA($B$12:B43),"")</f>
        <v>27</v>
      </c>
      <c r="B43" s="188" t="s">
        <v>46</v>
      </c>
      <c r="E43" s="279" t="s">
        <v>326</v>
      </c>
      <c r="F43" s="135"/>
      <c r="G43" s="280"/>
      <c r="I43" s="279" t="s">
        <v>327</v>
      </c>
      <c r="J43" s="135"/>
      <c r="L43" s="279" t="s">
        <v>328</v>
      </c>
      <c r="M43" s="135"/>
      <c r="N43" s="137"/>
    </row>
    <row r="44" spans="1:16" ht="14" x14ac:dyDescent="0.3">
      <c r="A44" s="151">
        <f>IF(B44&lt;&gt;"",COUNTA($B$12:B44),"")</f>
        <v>28</v>
      </c>
      <c r="B44" s="144" t="s">
        <v>329</v>
      </c>
      <c r="C44" s="144"/>
      <c r="D44" s="144"/>
      <c r="E44" s="249" t="s">
        <v>148</v>
      </c>
      <c r="F44" s="250"/>
      <c r="G44" s="251" t="s">
        <v>330</v>
      </c>
      <c r="I44" s="249" t="s">
        <v>148</v>
      </c>
      <c r="J44" s="251" t="s">
        <v>330</v>
      </c>
      <c r="K44" s="212"/>
      <c r="L44" s="249" t="s">
        <v>148</v>
      </c>
      <c r="M44" s="252"/>
      <c r="N44" s="251" t="s">
        <v>330</v>
      </c>
    </row>
    <row r="45" spans="1:16" ht="14" x14ac:dyDescent="0.3">
      <c r="A45" s="151">
        <f>IF(B45&lt;&gt;"",COUNTA($B$12:B45),"")</f>
        <v>29</v>
      </c>
      <c r="B45" s="130" t="str">
        <f>'23 WMA'!B46</f>
        <v>Distribution</v>
      </c>
      <c r="C45" s="253" t="str">
        <f>'23 WMA'!C46</f>
        <v>DIST</v>
      </c>
      <c r="D45" s="253"/>
      <c r="E45" s="154">
        <f t="shared" ref="E45:E60" si="2">SUMIF($C$12:$C$36,$C45,$I$12:$I$36)</f>
        <v>4686497.3278661063</v>
      </c>
      <c r="G45" s="254">
        <f>+E45/$E$13*100</f>
        <v>14.986318114692605</v>
      </c>
      <c r="I45" s="154">
        <f t="shared" ref="I45:I60" si="3">SUMIF($C$12:$C$36,$C45,$N$12:$N$36)</f>
        <v>4842647.7496475819</v>
      </c>
      <c r="J45" s="254">
        <f>+I45/$E$13*100</f>
        <v>15.48565050108834</v>
      </c>
      <c r="L45" s="154">
        <f t="shared" ref="L45:L65" si="4">I45-E45</f>
        <v>156150.42178147566</v>
      </c>
      <c r="N45" s="254">
        <f>+L45/$E$13*100</f>
        <v>0.49933238639573529</v>
      </c>
      <c r="O45" s="272"/>
    </row>
    <row r="46" spans="1:16" ht="14" x14ac:dyDescent="0.3">
      <c r="A46" s="151">
        <f>IF(B46&lt;&gt;"",COUNTA($B$12:B46),"")</f>
        <v>30</v>
      </c>
      <c r="B46" s="130" t="str">
        <f>'23 WMA'!B47</f>
        <v>Revenue Decoupling</v>
      </c>
      <c r="C46" s="253" t="str">
        <f>'23 WMA'!C47</f>
        <v>RDAF</v>
      </c>
      <c r="D46" s="253"/>
      <c r="E46" s="154">
        <f t="shared" si="2"/>
        <v>11570.580565819162</v>
      </c>
      <c r="G46" s="254">
        <f t="shared" ref="G46:G66" si="5">+E46/$E$13*100</f>
        <v>3.6999999999999998E-2</v>
      </c>
      <c r="I46" s="154">
        <f t="shared" si="3"/>
        <v>-8924.8279844722274</v>
      </c>
      <c r="J46" s="254">
        <f t="shared" ref="J46:J66" si="6">+I46/$E$13*100</f>
        <v>-2.8539504439472691E-2</v>
      </c>
      <c r="L46" s="154">
        <f>I46-E46</f>
        <v>-20495.408550291388</v>
      </c>
      <c r="N46" s="254">
        <f t="shared" ref="N46:N66" si="7">+L46/$E$13*100</f>
        <v>-6.5539504439472679E-2</v>
      </c>
      <c r="O46" s="272"/>
    </row>
    <row r="47" spans="1:16" ht="14" x14ac:dyDescent="0.3">
      <c r="A47" s="151">
        <f>IF(B47&lt;&gt;"",COUNTA($B$12:B47),"")</f>
        <v>31</v>
      </c>
      <c r="B47" s="130" t="str">
        <f>'23 WMA'!B48</f>
        <v>Residential Assistance Adjustment Factor</v>
      </c>
      <c r="C47" s="253" t="str">
        <f>'23 WMA'!C48</f>
        <v>RAAF</v>
      </c>
      <c r="D47" s="253"/>
      <c r="E47" s="154">
        <f t="shared" si="2"/>
        <v>205455.98464170785</v>
      </c>
      <c r="G47" s="254">
        <f t="shared" si="5"/>
        <v>0.65700000000000003</v>
      </c>
      <c r="I47" s="154">
        <f t="shared" si="3"/>
        <v>75399.347083908186</v>
      </c>
      <c r="J47" s="254">
        <f t="shared" si="6"/>
        <v>0.2411094090080427</v>
      </c>
      <c r="L47" s="154">
        <f t="shared" si="4"/>
        <v>-130056.63755779967</v>
      </c>
      <c r="N47" s="254">
        <f t="shared" si="7"/>
        <v>-0.4158905909919573</v>
      </c>
      <c r="O47" s="272"/>
    </row>
    <row r="48" spans="1:16" ht="14" x14ac:dyDescent="0.3">
      <c r="A48" s="151">
        <f>IF(B48&lt;&gt;"",COUNTA($B$12:B48),"")</f>
        <v>32</v>
      </c>
      <c r="B48" s="130" t="str">
        <f>'23 WMA'!B49</f>
        <v>Pension Adjustment Factor</v>
      </c>
      <c r="C48" s="253" t="str">
        <f>'23 WMA'!C49</f>
        <v>PAF</v>
      </c>
      <c r="D48" s="253"/>
      <c r="E48" s="154">
        <f t="shared" si="2"/>
        <v>121334.73674426583</v>
      </c>
      <c r="G48" s="254">
        <f t="shared" si="5"/>
        <v>0.38800000000000007</v>
      </c>
      <c r="I48" s="154">
        <f t="shared" si="3"/>
        <v>70873.821004109923</v>
      </c>
      <c r="J48" s="254">
        <f t="shared" si="6"/>
        <v>0.22663783915033078</v>
      </c>
      <c r="L48" s="154">
        <f t="shared" si="4"/>
        <v>-50460.915740155906</v>
      </c>
      <c r="N48" s="254">
        <f t="shared" si="7"/>
        <v>-0.16136216084966923</v>
      </c>
      <c r="O48" s="272"/>
    </row>
    <row r="49" spans="1:15" ht="14" x14ac:dyDescent="0.3">
      <c r="A49" s="151">
        <f>IF(B49&lt;&gt;"",COUNTA($B$12:B49),"")</f>
        <v>33</v>
      </c>
      <c r="B49" s="130" t="str">
        <f>'23 WMA'!B50</f>
        <v>Net Metering Recovery Surcharge</v>
      </c>
      <c r="C49" s="253" t="str">
        <f>'23 WMA'!C50</f>
        <v>NMRS</v>
      </c>
      <c r="D49" s="253"/>
      <c r="E49" s="154">
        <f t="shared" si="2"/>
        <v>89437.460589845417</v>
      </c>
      <c r="G49" s="254">
        <f t="shared" si="5"/>
        <v>0.28599999999999998</v>
      </c>
      <c r="I49" s="154">
        <f t="shared" si="3"/>
        <v>98314.700520541199</v>
      </c>
      <c r="J49" s="254">
        <f t="shared" si="6"/>
        <v>0.3143873290166655</v>
      </c>
      <c r="L49" s="154">
        <f t="shared" si="4"/>
        <v>8877.2399306957814</v>
      </c>
      <c r="N49" s="254">
        <f t="shared" si="7"/>
        <v>2.8387329016665474E-2</v>
      </c>
      <c r="O49" s="272"/>
    </row>
    <row r="50" spans="1:15" ht="14" x14ac:dyDescent="0.3">
      <c r="A50" s="151">
        <f>IF(B50&lt;&gt;"",COUNTA($B$12:B50),"")</f>
        <v>34</v>
      </c>
      <c r="B50" s="130" t="str">
        <f>'23 WMA'!B51</f>
        <v>Long Term Renewable Contract Adjustment</v>
      </c>
      <c r="C50" s="253" t="str">
        <f>'23 WMA'!C51</f>
        <v>LTRCA</v>
      </c>
      <c r="D50" s="253"/>
      <c r="E50" s="154">
        <f t="shared" si="2"/>
        <v>103509.78830503089</v>
      </c>
      <c r="G50" s="254">
        <f t="shared" si="5"/>
        <v>0.33100000000000002</v>
      </c>
      <c r="I50" s="154">
        <f t="shared" si="3"/>
        <v>54278.934314642196</v>
      </c>
      <c r="J50" s="254">
        <f t="shared" si="6"/>
        <v>0.17357128782064518</v>
      </c>
      <c r="L50" s="154">
        <f t="shared" si="4"/>
        <v>-49230.853990388692</v>
      </c>
      <c r="N50" s="254">
        <f t="shared" si="7"/>
        <v>-0.15742871217935483</v>
      </c>
      <c r="O50" s="272"/>
    </row>
    <row r="51" spans="1:15" ht="14" x14ac:dyDescent="0.3">
      <c r="A51" s="151">
        <f>IF(B51&lt;&gt;"",COUNTA($B$12:B51),"")</f>
        <v>35</v>
      </c>
      <c r="B51" s="130" t="str">
        <f>'23 WMA'!B52</f>
        <v>AG Consulting Expense</v>
      </c>
      <c r="C51" s="253" t="str">
        <f>'23 WMA'!C52</f>
        <v>AGCE</v>
      </c>
      <c r="D51" s="253"/>
      <c r="E51" s="154">
        <f t="shared" si="2"/>
        <v>625.43678734157641</v>
      </c>
      <c r="G51" s="254">
        <f t="shared" si="5"/>
        <v>2E-3</v>
      </c>
      <c r="I51" s="154">
        <f t="shared" si="3"/>
        <v>158.31050255640787</v>
      </c>
      <c r="J51" s="254">
        <f t="shared" si="6"/>
        <v>5.0623981754993282E-4</v>
      </c>
      <c r="L51" s="154">
        <f t="shared" si="4"/>
        <v>-467.12628478516854</v>
      </c>
      <c r="N51" s="254">
        <f t="shared" si="7"/>
        <v>-1.4937601824500674E-3</v>
      </c>
      <c r="O51" s="272"/>
    </row>
    <row r="52" spans="1:15" ht="14" x14ac:dyDescent="0.3">
      <c r="A52" s="151">
        <f>IF(B52&lt;&gt;"",COUNTA($B$12:B52),"")</f>
        <v>36</v>
      </c>
      <c r="B52" s="130" t="str">
        <f>'23 WMA'!B53</f>
        <v>Storm Cost Recovery Adjustment Factor</v>
      </c>
      <c r="C52" s="253" t="str">
        <f>'23 WMA'!C53</f>
        <v>SCRA</v>
      </c>
      <c r="D52" s="253"/>
      <c r="E52" s="154">
        <f t="shared" si="2"/>
        <v>47845.914231630588</v>
      </c>
      <c r="G52" s="254">
        <f t="shared" si="5"/>
        <v>0.153</v>
      </c>
      <c r="I52" s="154">
        <f t="shared" si="3"/>
        <v>56692.305516007567</v>
      </c>
      <c r="J52" s="254">
        <f t="shared" si="6"/>
        <v>0.18128868228867262</v>
      </c>
      <c r="L52" s="154">
        <f>I52-E52</f>
        <v>8846.3912843769795</v>
      </c>
      <c r="N52" s="254">
        <f t="shared" si="7"/>
        <v>2.8288682288672626E-2</v>
      </c>
      <c r="O52" s="272"/>
    </row>
    <row r="53" spans="1:15" ht="14" x14ac:dyDescent="0.3">
      <c r="A53" s="151">
        <f>IF(B53&lt;&gt;"",COUNTA($B$12:B53),"")</f>
        <v>37</v>
      </c>
      <c r="B53" s="130" t="str">
        <f>'23 WMA'!B54</f>
        <v>Storm Reserve Adjustment</v>
      </c>
      <c r="C53" s="253" t="str">
        <f>'23 WMA'!C54</f>
        <v>SRA</v>
      </c>
      <c r="D53" s="253"/>
      <c r="E53" s="154">
        <f t="shared" si="2"/>
        <v>0</v>
      </c>
      <c r="G53" s="254">
        <f t="shared" si="5"/>
        <v>0</v>
      </c>
      <c r="I53" s="154">
        <f t="shared" si="3"/>
        <v>0</v>
      </c>
      <c r="J53" s="254">
        <f t="shared" si="6"/>
        <v>0</v>
      </c>
      <c r="L53" s="154">
        <f>I53-E53</f>
        <v>0</v>
      </c>
      <c r="N53" s="254">
        <f t="shared" si="7"/>
        <v>0</v>
      </c>
      <c r="O53" s="272"/>
    </row>
    <row r="54" spans="1:15" ht="14" x14ac:dyDescent="0.3">
      <c r="A54" s="151">
        <f>IF(B54&lt;&gt;"",COUNTA($B$12:B54),"")</f>
        <v>38</v>
      </c>
      <c r="B54" s="130" t="str">
        <f>'23 WMA'!B55</f>
        <v>Basic Service Cost True Up Factor</v>
      </c>
      <c r="C54" s="253" t="str">
        <f>'23 WMA'!C55</f>
        <v>BSTF</v>
      </c>
      <c r="D54" s="253"/>
      <c r="E54" s="154">
        <f t="shared" si="2"/>
        <v>4378.0575113910345</v>
      </c>
      <c r="G54" s="254">
        <f t="shared" si="5"/>
        <v>1.3999999999999999E-2</v>
      </c>
      <c r="I54" s="154">
        <f t="shared" si="3"/>
        <v>-3741.5003650852004</v>
      </c>
      <c r="J54" s="254">
        <f t="shared" si="6"/>
        <v>-1.196443970297454E-2</v>
      </c>
      <c r="L54" s="154">
        <f>I54-E54</f>
        <v>-8119.5578764762349</v>
      </c>
      <c r="N54" s="254">
        <f t="shared" si="7"/>
        <v>-2.5964439702974542E-2</v>
      </c>
      <c r="O54" s="272"/>
    </row>
    <row r="55" spans="1:15" ht="14" x14ac:dyDescent="0.3">
      <c r="A55" s="151">
        <f>IF(B55&lt;&gt;"",COUNTA($B$12:B55),"")</f>
        <v>39</v>
      </c>
      <c r="B55" s="130" t="str">
        <f>'23 WMA'!B56</f>
        <v>Solar Program Cost Adjustment Factor</v>
      </c>
      <c r="C55" s="253" t="str">
        <f>'23 WMA'!C56</f>
        <v>SPCA</v>
      </c>
      <c r="D55" s="253"/>
      <c r="E55" s="154">
        <f t="shared" si="2"/>
        <v>-2501.7471493663056</v>
      </c>
      <c r="G55" s="254">
        <f t="shared" si="5"/>
        <v>-8.0000000000000002E-3</v>
      </c>
      <c r="I55" s="154">
        <f t="shared" si="3"/>
        <v>665.85430762730596</v>
      </c>
      <c r="J55" s="254">
        <f t="shared" si="6"/>
        <v>2.129245740269051E-3</v>
      </c>
      <c r="L55" s="154">
        <f t="shared" si="4"/>
        <v>3167.6014569936115</v>
      </c>
      <c r="N55" s="254">
        <f t="shared" si="7"/>
        <v>1.0129245740269051E-2</v>
      </c>
    </row>
    <row r="56" spans="1:15" ht="14" x14ac:dyDescent="0.3">
      <c r="A56" s="151">
        <f>IF(B56&lt;&gt;"",COUNTA($B$12:B56),"")</f>
        <v>40</v>
      </c>
      <c r="B56" s="130" t="str">
        <f>'23 WMA'!B57</f>
        <v>Solar Expansion Cost Recovery Factor</v>
      </c>
      <c r="C56" s="253" t="str">
        <f>'23 WMA'!C57</f>
        <v>SECRF</v>
      </c>
      <c r="D56" s="253"/>
      <c r="E56" s="154">
        <f t="shared" si="2"/>
        <v>0</v>
      </c>
      <c r="G56" s="254">
        <f t="shared" si="5"/>
        <v>0</v>
      </c>
      <c r="I56" s="154">
        <f t="shared" si="3"/>
        <v>11744.146694409583</v>
      </c>
      <c r="J56" s="254">
        <f t="shared" si="6"/>
        <v>3.7555023727747661E-2</v>
      </c>
      <c r="L56" s="154">
        <f t="shared" si="4"/>
        <v>11744.146694409583</v>
      </c>
      <c r="N56" s="254">
        <f t="shared" si="7"/>
        <v>3.7555023727747661E-2</v>
      </c>
    </row>
    <row r="57" spans="1:15" ht="14" x14ac:dyDescent="0.3">
      <c r="A57" s="151">
        <f>IF(B57&lt;&gt;"",COUNTA($B$12:B57),"")</f>
        <v>41</v>
      </c>
      <c r="B57" s="130" t="str">
        <f>'23 WMA'!B58</f>
        <v>Vegetation Management</v>
      </c>
      <c r="C57" s="253" t="str">
        <f>'23 WMA'!C58</f>
        <v>RTWF</v>
      </c>
      <c r="D57" s="253"/>
      <c r="E57" s="154">
        <f t="shared" si="2"/>
        <v>0</v>
      </c>
      <c r="G57" s="254">
        <f t="shared" si="5"/>
        <v>0</v>
      </c>
      <c r="I57" s="154">
        <f t="shared" si="3"/>
        <v>126888.09383177797</v>
      </c>
      <c r="J57" s="254">
        <f t="shared" si="6"/>
        <v>0.40575833209657125</v>
      </c>
      <c r="L57" s="154">
        <f t="shared" si="4"/>
        <v>126888.09383177797</v>
      </c>
      <c r="N57" s="254">
        <f t="shared" si="7"/>
        <v>0.40575833209657125</v>
      </c>
    </row>
    <row r="58" spans="1:15" ht="14" x14ac:dyDescent="0.3">
      <c r="A58" s="151">
        <f>IF(B58&lt;&gt;"",COUNTA($B$12:B58),"")</f>
        <v>42</v>
      </c>
      <c r="B58" s="130" t="str">
        <f>'23 WMA'!B59</f>
        <v>Solar Massachusetts Renewable Target</v>
      </c>
      <c r="C58" s="253" t="str">
        <f>'23 WMA'!C59</f>
        <v>SMART</v>
      </c>
      <c r="D58" s="253"/>
      <c r="E58" s="154">
        <f t="shared" si="2"/>
        <v>0</v>
      </c>
      <c r="G58" s="254">
        <f t="shared" si="5"/>
        <v>0</v>
      </c>
      <c r="I58" s="154">
        <f t="shared" si="3"/>
        <v>13759.915890544466</v>
      </c>
      <c r="J58" s="254">
        <f t="shared" si="6"/>
        <v>4.4000980335778102E-2</v>
      </c>
      <c r="L58" s="154">
        <f t="shared" si="4"/>
        <v>13759.915890544466</v>
      </c>
      <c r="N58" s="254">
        <f t="shared" si="7"/>
        <v>4.4000980335778102E-2</v>
      </c>
    </row>
    <row r="59" spans="1:15" ht="14" x14ac:dyDescent="0.3">
      <c r="A59" s="151">
        <f>IF(B59&lt;&gt;"",COUNTA($B$12:B59),"")</f>
        <v>43</v>
      </c>
      <c r="B59" s="130" t="str">
        <f>'23 WMA'!B60</f>
        <v>Tax Act Credit Factor</v>
      </c>
      <c r="C59" s="253" t="str">
        <f>'23 WMA'!C60</f>
        <v>TACF</v>
      </c>
      <c r="D59" s="253"/>
      <c r="E59" s="154">
        <f t="shared" si="2"/>
        <v>0</v>
      </c>
      <c r="G59" s="254">
        <f t="shared" si="5"/>
        <v>0</v>
      </c>
      <c r="I59" s="154">
        <f t="shared" si="3"/>
        <v>-20830.213950000001</v>
      </c>
      <c r="J59" s="254">
        <f t="shared" si="6"/>
        <v>-6.661013349898709E-2</v>
      </c>
      <c r="L59" s="154">
        <f t="shared" si="4"/>
        <v>-20830.213950000001</v>
      </c>
      <c r="N59" s="254">
        <f t="shared" si="7"/>
        <v>-6.661013349898709E-2</v>
      </c>
    </row>
    <row r="60" spans="1:15" ht="14" x14ac:dyDescent="0.3">
      <c r="A60" s="151">
        <f>IF(B60&lt;&gt;"",COUNTA($B$12:B60),"")</f>
        <v>44</v>
      </c>
      <c r="B60" s="130" t="str">
        <f>'23 WMA'!B61</f>
        <v>Transition</v>
      </c>
      <c r="C60" s="253" t="str">
        <f>'23 WMA'!C61</f>
        <v>TRNSN</v>
      </c>
      <c r="D60" s="253"/>
      <c r="E60" s="154">
        <f t="shared" si="2"/>
        <v>-53474.845317704778</v>
      </c>
      <c r="G60" s="254">
        <f t="shared" si="5"/>
        <v>-0.17099999999999999</v>
      </c>
      <c r="I60" s="154">
        <f t="shared" si="3"/>
        <v>-16295.543284598829</v>
      </c>
      <c r="J60" s="254">
        <f t="shared" si="6"/>
        <v>-5.2109321403568713E-2</v>
      </c>
      <c r="L60" s="154">
        <f t="shared" si="4"/>
        <v>37179.302033105952</v>
      </c>
      <c r="N60" s="254">
        <f t="shared" si="7"/>
        <v>0.11889067859643129</v>
      </c>
    </row>
    <row r="61" spans="1:15" ht="14" x14ac:dyDescent="0.3">
      <c r="A61" s="151">
        <f>IF(B61&lt;&gt;"",COUNTA($B$12:B61),"")</f>
        <v>45</v>
      </c>
      <c r="B61" s="130" t="str">
        <f>'23 WMA'!B62</f>
        <v>Transmission</v>
      </c>
      <c r="C61" s="253" t="str">
        <f>'23 WMA'!C62</f>
        <v>TRNSM</v>
      </c>
      <c r="D61" s="253"/>
      <c r="E61" s="154">
        <f>SUM(SUMIF($C$12:$C$36,{"TMKW","TMKWH"},$I$12:$I$36))</f>
        <v>466888.56175048678</v>
      </c>
      <c r="G61" s="254">
        <f t="shared" si="5"/>
        <v>1.4930000000000001</v>
      </c>
      <c r="I61" s="154">
        <f>SUM(SUMIF($C$12:$C$36,{"TMKW","TMKWH"},$N$12:$N$36))</f>
        <v>347776.33834743901</v>
      </c>
      <c r="J61" s="254">
        <f t="shared" si="6"/>
        <v>1.1121070758426759</v>
      </c>
      <c r="L61" s="154">
        <f t="shared" si="4"/>
        <v>-119112.22340304777</v>
      </c>
      <c r="N61" s="254">
        <f t="shared" si="7"/>
        <v>-0.38089292415732418</v>
      </c>
    </row>
    <row r="62" spans="1:15" ht="14" x14ac:dyDescent="0.3">
      <c r="A62" s="151">
        <f>IF(B62&lt;&gt;"",COUNTA($B$12:B62),"")</f>
        <v>46</v>
      </c>
      <c r="B62" s="130" t="str">
        <f>'23 WMA'!B63</f>
        <v>Energy Efficiency Reconciliation Factor</v>
      </c>
      <c r="C62" s="253" t="str">
        <f>'23 WMA'!C63</f>
        <v>EERF</v>
      </c>
      <c r="D62" s="253"/>
      <c r="E62" s="154">
        <f>SUMIF($C$12:$C$36,$C62,$I$12:$I$36)</f>
        <v>303962.27864800609</v>
      </c>
      <c r="G62" s="254">
        <f t="shared" si="5"/>
        <v>0.97199999999999998</v>
      </c>
      <c r="I62" s="154">
        <f>SUMIF($C$12:$C$36,$C62,$N$12:$N$36)</f>
        <v>303962.27864800609</v>
      </c>
      <c r="J62" s="254">
        <f t="shared" si="6"/>
        <v>0.97199999999999998</v>
      </c>
      <c r="L62" s="154">
        <f t="shared" si="4"/>
        <v>0</v>
      </c>
      <c r="N62" s="254">
        <f t="shared" si="7"/>
        <v>0</v>
      </c>
    </row>
    <row r="63" spans="1:15" ht="14" x14ac:dyDescent="0.3">
      <c r="A63" s="151">
        <f>IF(B63&lt;&gt;"",COUNTA($B$12:B63),"")</f>
        <v>47</v>
      </c>
      <c r="B63" s="130" t="str">
        <f>'23 WMA'!B64</f>
        <v>System Benefits Charge</v>
      </c>
      <c r="C63" s="253" t="str">
        <f>'23 WMA'!C64</f>
        <v>SBC</v>
      </c>
      <c r="D63" s="253"/>
      <c r="E63" s="154">
        <f>SUMIF($C$12:$C$36,$C63,$I$12:$I$36)</f>
        <v>78179.598417697052</v>
      </c>
      <c r="G63" s="254">
        <f t="shared" si="5"/>
        <v>0.25</v>
      </c>
      <c r="I63" s="154">
        <f>SUMIF($C$12:$C$36,$C63,$N$12:$N$36)</f>
        <v>78179.598417697052</v>
      </c>
      <c r="J63" s="254">
        <f t="shared" si="6"/>
        <v>0.25</v>
      </c>
      <c r="L63" s="154">
        <f t="shared" si="4"/>
        <v>0</v>
      </c>
      <c r="N63" s="254">
        <f t="shared" si="7"/>
        <v>0</v>
      </c>
    </row>
    <row r="64" spans="1:15" ht="14" x14ac:dyDescent="0.3">
      <c r="A64" s="151">
        <f>IF(B64&lt;&gt;"",COUNTA($B$12:B64),"")</f>
        <v>48</v>
      </c>
      <c r="B64" s="130" t="str">
        <f>'23 WMA'!B65</f>
        <v>Renewable Energy Charge</v>
      </c>
      <c r="C64" s="253" t="str">
        <f>'23 WMA'!C65</f>
        <v>RNEW</v>
      </c>
      <c r="D64" s="253"/>
      <c r="E64" s="154">
        <f>SUMIF($C$12:$C$36,$C64,$I$12:$I$36)</f>
        <v>15635.919683539409</v>
      </c>
      <c r="G64" s="254">
        <f t="shared" si="5"/>
        <v>0.05</v>
      </c>
      <c r="I64" s="154">
        <f>SUMIF($C$12:$C$36,$C64,$N$12:$N$36)</f>
        <v>15635.919683539409</v>
      </c>
      <c r="J64" s="254">
        <f t="shared" si="6"/>
        <v>0.05</v>
      </c>
      <c r="L64" s="154">
        <f>I64-E64</f>
        <v>0</v>
      </c>
      <c r="N64" s="254">
        <f t="shared" si="7"/>
        <v>0</v>
      </c>
    </row>
    <row r="65" spans="1:14" ht="14" x14ac:dyDescent="0.3">
      <c r="A65" s="151">
        <f>IF(B65&lt;&gt;"",COUNTA($B$12:B65),"")</f>
        <v>49</v>
      </c>
      <c r="B65" s="130" t="str">
        <f>'23 WMA'!B66</f>
        <v>Basic Service Charge</v>
      </c>
      <c r="C65" s="253" t="str">
        <f>'23 WMA'!C66</f>
        <v>BS</v>
      </c>
      <c r="D65" s="253"/>
      <c r="E65" s="255">
        <f>SUMIF($C$12:$C$36,$C65,$I$12:$I$36)</f>
        <v>1959806.1731348296</v>
      </c>
      <c r="F65" s="256"/>
      <c r="G65" s="257">
        <f t="shared" si="5"/>
        <v>6.2670000000000003</v>
      </c>
      <c r="H65" s="258"/>
      <c r="I65" s="255">
        <f>SUMIF($C$12:$C$36,$C65,$N$12:$N$36)</f>
        <v>2477667.8330536545</v>
      </c>
      <c r="J65" s="257">
        <f t="shared" si="6"/>
        <v>7.9229999999999992</v>
      </c>
      <c r="K65" s="255"/>
      <c r="L65" s="255">
        <f t="shared" si="4"/>
        <v>517861.65991882491</v>
      </c>
      <c r="M65" s="259"/>
      <c r="N65" s="257">
        <f t="shared" si="7"/>
        <v>1.6559999999999993</v>
      </c>
    </row>
    <row r="66" spans="1:14" ht="14" x14ac:dyDescent="0.3">
      <c r="A66" s="151">
        <f>IF(B66&lt;&gt;"",COUNTA($B$12:B66),"")</f>
        <v>50</v>
      </c>
      <c r="B66" s="130" t="str">
        <f>'23 WMA'!B67</f>
        <v>Total</v>
      </c>
      <c r="C66" s="130"/>
      <c r="D66" s="130"/>
      <c r="E66" s="154">
        <f>SUM(E45:E65)</f>
        <v>8039151.2264106283</v>
      </c>
      <c r="G66" s="254">
        <f t="shared" si="5"/>
        <v>25.707318114692612</v>
      </c>
      <c r="I66" s="154">
        <f>SUM(I45:I65)</f>
        <v>8524853.0618798863</v>
      </c>
      <c r="J66" s="254">
        <f t="shared" si="6"/>
        <v>27.260478546888283</v>
      </c>
      <c r="L66" s="154">
        <f>SUM(L45:L65)</f>
        <v>485701.83546926011</v>
      </c>
      <c r="N66" s="254">
        <f t="shared" si="7"/>
        <v>1.5531604321956798</v>
      </c>
    </row>
    <row r="67" spans="1:14" ht="14" x14ac:dyDescent="0.3">
      <c r="A67" s="151" t="str">
        <f>IF(B67&lt;&gt;"",COUNTA($B$9:B67),"")</f>
        <v/>
      </c>
    </row>
    <row r="68" spans="1:14" ht="14" x14ac:dyDescent="0.3">
      <c r="A68" s="151"/>
      <c r="B68" s="256" t="s">
        <v>164</v>
      </c>
      <c r="E68" s="188"/>
      <c r="G68" s="188"/>
      <c r="H68" s="188"/>
      <c r="I68" s="188"/>
      <c r="J68" s="188"/>
      <c r="K68" s="188"/>
      <c r="L68" s="188"/>
      <c r="M68" s="188"/>
      <c r="N68" s="188"/>
    </row>
    <row r="69" spans="1:14" ht="14" x14ac:dyDescent="0.3">
      <c r="A69" s="151"/>
      <c r="B69" s="130" t="str">
        <f>'23 WMA'!B70</f>
        <v>Col. (a): Company's forecast</v>
      </c>
    </row>
    <row r="70" spans="1:14" ht="14" x14ac:dyDescent="0.3">
      <c r="A70" s="151"/>
      <c r="B70" s="130" t="str">
        <f>'23 WMA'!B71</f>
        <v>Col. (b): Current rates</v>
      </c>
    </row>
    <row r="71" spans="1:14" ht="14" x14ac:dyDescent="0.3">
      <c r="A71" s="151"/>
      <c r="B71" s="130" t="str">
        <f>'23 WMA'!B72</f>
        <v>Col. (c): Col. (a) x Col. (b)</v>
      </c>
    </row>
    <row r="72" spans="1:14" ht="14" x14ac:dyDescent="0.3">
      <c r="A72" s="151"/>
      <c r="B72" s="130" t="str">
        <f>'23 WMA'!B73</f>
        <v>Col. (e): Proposed rates</v>
      </c>
    </row>
    <row r="73" spans="1:14" ht="14" x14ac:dyDescent="0.3">
      <c r="A73" s="151"/>
      <c r="B73" s="130" t="str">
        <f>'23 WMA'!B74</f>
        <v>Col. (f): Col. (a), Line 1 or Line 2  x Col. (e)</v>
      </c>
    </row>
    <row r="74" spans="1:14" ht="14" x14ac:dyDescent="0.3">
      <c r="A74" s="151"/>
      <c r="B74" s="188"/>
    </row>
    <row r="75" spans="1:14" ht="14" x14ac:dyDescent="0.3">
      <c r="A75" s="151"/>
    </row>
  </sheetData>
  <mergeCells count="5">
    <mergeCell ref="A4:N4"/>
    <mergeCell ref="A5:N5"/>
    <mergeCell ref="A7:N7"/>
    <mergeCell ref="G9:I9"/>
    <mergeCell ref="L9:N9"/>
  </mergeCells>
  <pageMargins left="0.7" right="0.7" top="0.75" bottom="0.75" header="0.3" footer="0.3"/>
  <pageSetup scale="68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A9BE1-C404-4872-9467-279B0972ECD5}">
  <sheetPr>
    <tabColor theme="3" tint="0.59999389629810485"/>
  </sheetPr>
  <dimension ref="A4:L140"/>
  <sheetViews>
    <sheetView zoomScaleNormal="100" workbookViewId="0"/>
  </sheetViews>
  <sheetFormatPr defaultRowHeight="12.5" x14ac:dyDescent="0.25"/>
  <cols>
    <col min="1" max="1" width="3.26953125" bestFit="1" customWidth="1"/>
    <col min="2" max="2" width="15.453125" bestFit="1" customWidth="1"/>
    <col min="5" max="5" width="11.54296875" bestFit="1" customWidth="1"/>
    <col min="6" max="6" width="7.54296875" bestFit="1" customWidth="1"/>
    <col min="7" max="7" width="1.7265625" customWidth="1"/>
    <col min="8" max="8" width="13.54296875" bestFit="1" customWidth="1"/>
    <col min="9" max="9" width="10.7265625" bestFit="1" customWidth="1"/>
    <col min="10" max="10" width="1.7265625" customWidth="1"/>
    <col min="11" max="11" width="13.54296875" bestFit="1" customWidth="1"/>
    <col min="12" max="12" width="10.7265625" bestFit="1" customWidth="1"/>
  </cols>
  <sheetData>
    <row r="4" spans="1:12" ht="14" x14ac:dyDescent="0.3">
      <c r="A4" s="744" t="s">
        <v>290</v>
      </c>
      <c r="B4" s="744"/>
      <c r="C4" s="744"/>
      <c r="D4" s="744"/>
      <c r="E4" s="744"/>
      <c r="F4" s="744"/>
      <c r="G4" s="744"/>
      <c r="H4" s="744"/>
      <c r="I4" s="744"/>
      <c r="J4" s="744"/>
      <c r="K4" s="744"/>
      <c r="L4" s="744"/>
    </row>
    <row r="5" spans="1:12" ht="14" x14ac:dyDescent="0.3">
      <c r="A5" s="744" t="s">
        <v>527</v>
      </c>
      <c r="B5" s="744"/>
      <c r="C5" s="744"/>
      <c r="D5" s="744"/>
      <c r="E5" s="744"/>
      <c r="F5" s="744"/>
      <c r="G5" s="744"/>
      <c r="H5" s="744"/>
      <c r="I5" s="744"/>
      <c r="J5" s="744"/>
      <c r="K5" s="744"/>
      <c r="L5" s="744"/>
    </row>
    <row r="6" spans="1:12" ht="14" x14ac:dyDescent="0.3">
      <c r="A6" s="744" t="s">
        <v>621</v>
      </c>
      <c r="B6" s="744"/>
      <c r="C6" s="744"/>
      <c r="D6" s="744"/>
      <c r="E6" s="744"/>
      <c r="F6" s="744"/>
      <c r="G6" s="744"/>
      <c r="H6" s="744"/>
      <c r="I6" s="744"/>
      <c r="J6" s="744"/>
      <c r="K6" s="744"/>
      <c r="L6" s="744"/>
    </row>
    <row r="9" spans="1:12" ht="14" x14ac:dyDescent="0.3">
      <c r="E9" s="755" t="s">
        <v>528</v>
      </c>
      <c r="F9" s="755"/>
      <c r="G9" s="316"/>
      <c r="H9" s="755" t="s">
        <v>529</v>
      </c>
      <c r="I9" s="755"/>
      <c r="J9" s="317"/>
      <c r="K9" s="756" t="s">
        <v>530</v>
      </c>
      <c r="L9" s="756"/>
    </row>
    <row r="10" spans="1:12" ht="14" x14ac:dyDescent="0.3">
      <c r="B10" s="144" t="s">
        <v>531</v>
      </c>
      <c r="C10" s="256" t="s">
        <v>211</v>
      </c>
      <c r="D10" s="256" t="s">
        <v>532</v>
      </c>
      <c r="E10" s="318" t="s">
        <v>533</v>
      </c>
      <c r="F10" s="250" t="s">
        <v>534</v>
      </c>
      <c r="G10" s="319"/>
      <c r="H10" s="320" t="s">
        <v>535</v>
      </c>
      <c r="I10" s="320" t="s">
        <v>325</v>
      </c>
      <c r="J10" s="320"/>
      <c r="K10" s="320" t="s">
        <v>535</v>
      </c>
      <c r="L10" s="320" t="s">
        <v>325</v>
      </c>
    </row>
    <row r="11" spans="1:12" ht="14" x14ac:dyDescent="0.3">
      <c r="A11" s="138">
        <f>IF(B11&lt;&gt;"",COUNTA($B11:B$11),"")</f>
        <v>1</v>
      </c>
      <c r="B11" s="130" t="s">
        <v>274</v>
      </c>
      <c r="C11" s="188" t="s">
        <v>244</v>
      </c>
      <c r="E11" s="321">
        <f>+'Bill_EMA R1'!$C$26</f>
        <v>516</v>
      </c>
      <c r="F11" s="321"/>
      <c r="G11" s="204"/>
      <c r="H11" s="322">
        <f>+'Bill_EMA R1'!$L$26</f>
        <v>10.36</v>
      </c>
      <c r="I11" s="323">
        <f>+'Bill_EMA R1'!$M$26</f>
        <v>8.4820697560176836E-2</v>
      </c>
      <c r="J11" s="162"/>
      <c r="K11" s="324">
        <f>+H11*12</f>
        <v>124.32</v>
      </c>
      <c r="L11" s="162">
        <f>+I11</f>
        <v>8.4820697560176836E-2</v>
      </c>
    </row>
    <row r="12" spans="1:12" ht="14" x14ac:dyDescent="0.3">
      <c r="E12" s="321"/>
      <c r="F12" s="321"/>
      <c r="G12" s="204"/>
      <c r="H12" s="322"/>
      <c r="I12" s="323"/>
      <c r="J12" s="162"/>
      <c r="K12" s="324"/>
      <c r="L12" s="162"/>
    </row>
    <row r="13" spans="1:12" ht="14" x14ac:dyDescent="0.3">
      <c r="A13" s="138">
        <f>IF(B13&lt;&gt;"",COUNTA($B$11:B13),"")</f>
        <v>2</v>
      </c>
      <c r="B13" s="130" t="s">
        <v>274</v>
      </c>
      <c r="C13" s="188" t="s">
        <v>246</v>
      </c>
      <c r="E13" s="321">
        <f>+'Bill_EMA R2'!$C$26</f>
        <v>488</v>
      </c>
      <c r="F13" s="321"/>
      <c r="G13" s="204"/>
      <c r="H13" s="322">
        <f>+'Bill_EMA R2'!$L$26</f>
        <v>6.269999999999996</v>
      </c>
      <c r="I13" s="323">
        <f>+'Bill_EMA R2'!$M$26</f>
        <v>8.9673913043478201E-2</v>
      </c>
      <c r="J13" s="162"/>
      <c r="K13" s="324">
        <f t="shared" ref="K13:K17" si="0">+H13*12</f>
        <v>75.239999999999952</v>
      </c>
      <c r="L13" s="162">
        <f t="shared" ref="L13:L17" si="1">+I13</f>
        <v>8.9673913043478201E-2</v>
      </c>
    </row>
    <row r="14" spans="1:12" ht="14" x14ac:dyDescent="0.3">
      <c r="E14" s="321"/>
      <c r="F14" s="321"/>
      <c r="G14" s="204"/>
      <c r="H14" s="322"/>
      <c r="I14" s="323"/>
      <c r="J14" s="162"/>
      <c r="K14" s="324"/>
      <c r="L14" s="162"/>
    </row>
    <row r="15" spans="1:12" ht="14" x14ac:dyDescent="0.3">
      <c r="A15" s="138">
        <f>IF(B15&lt;&gt;"",COUNTA($B$11:B15),"")</f>
        <v>3</v>
      </c>
      <c r="B15" s="130" t="s">
        <v>274</v>
      </c>
      <c r="C15" s="188" t="s">
        <v>247</v>
      </c>
      <c r="E15" s="321">
        <f>+'Bill_EMA R3'!$C$26</f>
        <v>740</v>
      </c>
      <c r="F15" s="321"/>
      <c r="G15" s="204"/>
      <c r="H15" s="322">
        <f>+'Bill_EMA R3'!$L$26</f>
        <v>15.660000000000025</v>
      </c>
      <c r="I15" s="323">
        <f>+'Bill_EMA R3'!$M$26</f>
        <v>9.5191781654610813E-2</v>
      </c>
      <c r="J15" s="162"/>
      <c r="K15" s="324">
        <f t="shared" si="0"/>
        <v>187.9200000000003</v>
      </c>
      <c r="L15" s="162">
        <f t="shared" si="1"/>
        <v>9.5191781654610813E-2</v>
      </c>
    </row>
    <row r="16" spans="1:12" ht="14" x14ac:dyDescent="0.3">
      <c r="E16" s="321"/>
      <c r="F16" s="321"/>
      <c r="G16" s="204"/>
      <c r="H16" s="322"/>
      <c r="I16" s="323"/>
      <c r="J16" s="162"/>
      <c r="K16" s="324"/>
      <c r="L16" s="162"/>
    </row>
    <row r="17" spans="1:12" ht="14" x14ac:dyDescent="0.3">
      <c r="A17" s="138">
        <f>IF(B17&lt;&gt;"",COUNTA($B$11:B17),"")</f>
        <v>4</v>
      </c>
      <c r="B17" s="130" t="s">
        <v>274</v>
      </c>
      <c r="C17" s="188" t="s">
        <v>248</v>
      </c>
      <c r="E17" s="321">
        <f>+'Bill_EMA R4'!$C$26</f>
        <v>874</v>
      </c>
      <c r="F17" s="321"/>
      <c r="G17" s="204"/>
      <c r="H17" s="322">
        <f>+'Bill_EMA R4'!$L$26</f>
        <v>11.840000000000003</v>
      </c>
      <c r="I17" s="323">
        <f>+'Bill_EMA R4'!$M$26</f>
        <v>0.1021394064872326</v>
      </c>
      <c r="J17" s="162"/>
      <c r="K17" s="324">
        <f t="shared" si="0"/>
        <v>142.08000000000004</v>
      </c>
      <c r="L17" s="162">
        <f t="shared" si="1"/>
        <v>0.1021394064872326</v>
      </c>
    </row>
    <row r="18" spans="1:12" ht="14" x14ac:dyDescent="0.3">
      <c r="E18" s="321"/>
      <c r="F18" s="321"/>
      <c r="G18" s="204"/>
      <c r="H18" s="322"/>
      <c r="I18" s="323"/>
      <c r="J18" s="162"/>
      <c r="K18" s="324"/>
      <c r="L18" s="162"/>
    </row>
    <row r="19" spans="1:12" ht="14" x14ac:dyDescent="0.3">
      <c r="A19" s="138">
        <f>IF(B19&lt;&gt;"",COUNTA($B$11:B19),"")</f>
        <v>5</v>
      </c>
      <c r="B19" s="130" t="s">
        <v>249</v>
      </c>
      <c r="C19" s="188" t="s">
        <v>536</v>
      </c>
      <c r="D19" s="188" t="s">
        <v>537</v>
      </c>
      <c r="E19" s="242">
        <f>+'Bill_Bos G1 nonDem'!C24</f>
        <v>493</v>
      </c>
      <c r="H19" s="322">
        <f>+'Bill_Bos G1 nonDem'!L24</f>
        <v>9.1599999999999966</v>
      </c>
      <c r="I19" s="323">
        <f>+'Bill_Bos G1 nonDem'!M24</f>
        <v>8.0975954738330941E-2</v>
      </c>
      <c r="K19" s="324">
        <f t="shared" ref="K19:K20" si="2">+H19*12</f>
        <v>109.91999999999996</v>
      </c>
      <c r="L19" s="162">
        <f t="shared" ref="L19:L20" si="3">+I19</f>
        <v>8.0975954738330941E-2</v>
      </c>
    </row>
    <row r="20" spans="1:12" ht="14" x14ac:dyDescent="0.3">
      <c r="A20" s="138">
        <f>IF(B20&lt;&gt;"",COUNTA($B$11:B20),"")</f>
        <v>6</v>
      </c>
      <c r="B20" s="130" t="s">
        <v>249</v>
      </c>
      <c r="C20" s="188" t="s">
        <v>536</v>
      </c>
      <c r="D20" s="188" t="s">
        <v>538</v>
      </c>
      <c r="E20" s="321">
        <f>+'Bill_Bos G1 nonDem'!C38</f>
        <v>464</v>
      </c>
      <c r="F20" s="321"/>
      <c r="G20" s="204"/>
      <c r="H20" s="322">
        <f>+'Bill_Bos G1 nonDem'!L38</f>
        <v>9.1700000000000159</v>
      </c>
      <c r="I20" s="323">
        <f>+'Bill_Bos G1 nonDem'!M38</f>
        <v>7.6910173614023455E-2</v>
      </c>
      <c r="J20" s="162"/>
      <c r="K20" s="324">
        <f t="shared" si="2"/>
        <v>110.04000000000019</v>
      </c>
      <c r="L20" s="162">
        <f t="shared" si="3"/>
        <v>7.6910173614023455E-2</v>
      </c>
    </row>
    <row r="21" spans="1:12" ht="14" x14ac:dyDescent="0.3">
      <c r="E21" s="321"/>
      <c r="F21" s="321"/>
      <c r="G21" s="204"/>
      <c r="H21" s="322"/>
      <c r="I21" s="323"/>
      <c r="J21" s="162"/>
      <c r="K21" s="324"/>
      <c r="L21" s="162"/>
    </row>
    <row r="22" spans="1:12" ht="14" x14ac:dyDescent="0.3">
      <c r="A22" s="138">
        <f>IF(B22&lt;&gt;"",COUNTA($B$11:B22),"")</f>
        <v>7</v>
      </c>
      <c r="B22" s="130" t="s">
        <v>249</v>
      </c>
      <c r="C22" s="188" t="s">
        <v>539</v>
      </c>
      <c r="D22" s="188" t="s">
        <v>537</v>
      </c>
      <c r="E22" s="321">
        <f>+'Bill_Bos G1 Dmd p1'!D25</f>
        <v>300</v>
      </c>
      <c r="F22" s="321">
        <f>+'Bill_Bos G1 Dmd p1'!C25</f>
        <v>3</v>
      </c>
      <c r="G22" s="321"/>
      <c r="H22" s="322">
        <f>+'Bill_Bos G1 Dmd p1'!M25</f>
        <v>5.75</v>
      </c>
      <c r="I22" s="323">
        <f>+'Bill_Bos G1 Dmd p1'!N25</f>
        <v>7.9661956220559701E-2</v>
      </c>
      <c r="J22" s="162"/>
      <c r="K22" s="324">
        <f t="shared" ref="K22:K27" si="4">+H22*12</f>
        <v>69</v>
      </c>
      <c r="L22" s="162">
        <f t="shared" ref="L22:L27" si="5">+I22</f>
        <v>7.9661956220559701E-2</v>
      </c>
    </row>
    <row r="23" spans="1:12" ht="14" x14ac:dyDescent="0.3">
      <c r="A23" s="138">
        <f>IF(B23&lt;&gt;"",COUNTA($B$11:B23),"")</f>
        <v>8</v>
      </c>
      <c r="B23" s="130" t="s">
        <v>249</v>
      </c>
      <c r="C23" s="188" t="s">
        <v>539</v>
      </c>
      <c r="D23" s="188" t="s">
        <v>537</v>
      </c>
      <c r="E23" s="321">
        <f>+'Bill_Bos G1 Dmd p2'!D25</f>
        <v>1250</v>
      </c>
      <c r="F23" s="321">
        <f>+'Bill_Bos G1 Dmd p2'!C25</f>
        <v>5</v>
      </c>
      <c r="G23" s="321"/>
      <c r="H23" s="322">
        <f>+'Bill_Bos G1 Dmd p2'!M25</f>
        <v>23.960000000000036</v>
      </c>
      <c r="I23" s="323">
        <f>+'Bill_Bos G1 Dmd p2'!N25</f>
        <v>9.0109063557728616E-2</v>
      </c>
      <c r="J23" s="162"/>
      <c r="K23" s="324">
        <f t="shared" si="4"/>
        <v>287.52000000000044</v>
      </c>
      <c r="L23" s="162">
        <f t="shared" si="5"/>
        <v>9.0109063557728616E-2</v>
      </c>
    </row>
    <row r="24" spans="1:12" ht="14" x14ac:dyDescent="0.3">
      <c r="A24" s="138">
        <f>IF(B24&lt;&gt;"",COUNTA($B$11:B24),"")</f>
        <v>9</v>
      </c>
      <c r="B24" s="130" t="s">
        <v>249</v>
      </c>
      <c r="C24" s="188" t="s">
        <v>539</v>
      </c>
      <c r="D24" s="188" t="s">
        <v>537</v>
      </c>
      <c r="E24" s="321">
        <f>+'Bill_Bos G1 Dmd p3'!D25</f>
        <v>2000</v>
      </c>
      <c r="F24" s="321">
        <f>+'Bill_Bos G1 Dmd p3'!C25</f>
        <v>5</v>
      </c>
      <c r="G24" s="321"/>
      <c r="H24" s="322">
        <f>+'Bill_Bos G1 Dmd p3'!M25</f>
        <v>38.329999999999927</v>
      </c>
      <c r="I24" s="323">
        <f>+'Bill_Bos G1 Dmd p3'!N25</f>
        <v>9.1514659535860771E-2</v>
      </c>
      <c r="J24" s="162"/>
      <c r="K24" s="324">
        <f t="shared" si="4"/>
        <v>459.95999999999913</v>
      </c>
      <c r="L24" s="162">
        <f t="shared" si="5"/>
        <v>9.1514659535860771E-2</v>
      </c>
    </row>
    <row r="25" spans="1:12" ht="14" x14ac:dyDescent="0.3">
      <c r="A25" s="138">
        <f>IF(B25&lt;&gt;"",COUNTA($B$11:B25),"")</f>
        <v>10</v>
      </c>
      <c r="B25" s="130" t="s">
        <v>249</v>
      </c>
      <c r="C25" s="188" t="s">
        <v>539</v>
      </c>
      <c r="D25" s="188" t="s">
        <v>538</v>
      </c>
      <c r="E25" s="321">
        <f>+'Bill_Bos G1 Dmd p1'!D39</f>
        <v>300</v>
      </c>
      <c r="F25" s="321">
        <f>+'Bill_Bos G1 Dmd p1'!C39</f>
        <v>3</v>
      </c>
      <c r="G25" s="321"/>
      <c r="H25" s="322">
        <f>+'Bill_Bos G1 Dmd p1'!M39</f>
        <v>6.0600000000000023</v>
      </c>
      <c r="I25" s="323">
        <f>+'Bill_Bos G1 Dmd p1'!N39</f>
        <v>7.6140218620429731E-2</v>
      </c>
      <c r="J25" s="162"/>
      <c r="K25" s="324">
        <f t="shared" si="4"/>
        <v>72.720000000000027</v>
      </c>
      <c r="L25" s="162">
        <f t="shared" si="5"/>
        <v>7.6140218620429731E-2</v>
      </c>
    </row>
    <row r="26" spans="1:12" ht="14" x14ac:dyDescent="0.3">
      <c r="A26" s="138">
        <f>IF(B26&lt;&gt;"",COUNTA($B$11:B26),"")</f>
        <v>11</v>
      </c>
      <c r="B26" s="130" t="s">
        <v>249</v>
      </c>
      <c r="C26" s="188" t="s">
        <v>539</v>
      </c>
      <c r="D26" s="188" t="s">
        <v>538</v>
      </c>
      <c r="E26" s="321">
        <f>+'Bill_Bos G1 Dmd p2'!D39</f>
        <v>1250</v>
      </c>
      <c r="F26" s="321">
        <f>+'Bill_Bos G1 Dmd p2'!C39</f>
        <v>5</v>
      </c>
      <c r="G26" s="321"/>
      <c r="H26" s="322">
        <f>+'Bill_Bos G1 Dmd p2'!M39</f>
        <v>25.240000000000009</v>
      </c>
      <c r="I26" s="323">
        <f>+'Bill_Bos G1 Dmd p2'!N39</f>
        <v>8.5046162140305984E-2</v>
      </c>
      <c r="J26" s="162"/>
      <c r="K26" s="324">
        <f t="shared" si="4"/>
        <v>302.88000000000011</v>
      </c>
      <c r="L26" s="162">
        <f t="shared" si="5"/>
        <v>8.5046162140305984E-2</v>
      </c>
    </row>
    <row r="27" spans="1:12" ht="14" x14ac:dyDescent="0.3">
      <c r="A27" s="138">
        <f>IF(B27&lt;&gt;"",COUNTA($B$11:B27),"")</f>
        <v>12</v>
      </c>
      <c r="B27" s="130" t="s">
        <v>249</v>
      </c>
      <c r="C27" s="188" t="s">
        <v>539</v>
      </c>
      <c r="D27" s="188" t="s">
        <v>538</v>
      </c>
      <c r="E27" s="321">
        <f>+'Bill_Bos G1 Dmd p3'!D39</f>
        <v>2000</v>
      </c>
      <c r="F27" s="321">
        <f>+'Bill_Bos G1 Dmd p3'!C39</f>
        <v>5</v>
      </c>
      <c r="G27" s="321"/>
      <c r="H27" s="322">
        <f>+'Bill_Bos G1 Dmd p3'!M39</f>
        <v>40.389999999999986</v>
      </c>
      <c r="I27" s="323">
        <f>+'Bill_Bos G1 Dmd p3'!N39</f>
        <v>8.625918332479067E-2</v>
      </c>
      <c r="J27" s="162"/>
      <c r="K27" s="324">
        <f t="shared" si="4"/>
        <v>484.67999999999984</v>
      </c>
      <c r="L27" s="162">
        <f t="shared" si="5"/>
        <v>8.625918332479067E-2</v>
      </c>
    </row>
    <row r="28" spans="1:12" ht="14" x14ac:dyDescent="0.3">
      <c r="A28" s="138" t="str">
        <f>IF(B28&lt;&gt;"",COUNTA($B$11:B28),"")</f>
        <v/>
      </c>
      <c r="E28" s="321"/>
      <c r="F28" s="321"/>
      <c r="G28" s="321"/>
      <c r="H28" s="322"/>
      <c r="I28" s="323"/>
      <c r="J28" s="162"/>
      <c r="K28" s="324"/>
      <c r="L28" s="162"/>
    </row>
    <row r="29" spans="1:12" ht="14" x14ac:dyDescent="0.3">
      <c r="A29" s="138">
        <f>IF(B29&lt;&gt;"",COUNTA($B$11:B29),"")</f>
        <v>13</v>
      </c>
      <c r="B29" s="130" t="s">
        <v>249</v>
      </c>
      <c r="C29" s="188" t="s">
        <v>121</v>
      </c>
      <c r="D29" s="188" t="s">
        <v>537</v>
      </c>
      <c r="E29" s="321">
        <f>+'Bill_Bos G2 p1'!D25</f>
        <v>3400</v>
      </c>
      <c r="F29" s="321">
        <f>+'Bill_Bos G2 p1'!C25</f>
        <v>17</v>
      </c>
      <c r="G29" s="321"/>
      <c r="H29" s="322">
        <f>+'Bill_Bos G2 p1'!M25</f>
        <v>59.019999999999982</v>
      </c>
      <c r="I29" s="323">
        <f>+'Bill_Bos G2 p1'!N25</f>
        <v>8.8761222985878171E-2</v>
      </c>
      <c r="J29" s="162"/>
      <c r="K29" s="324">
        <f t="shared" ref="K29:K34" si="6">+H29*12</f>
        <v>708.23999999999978</v>
      </c>
      <c r="L29" s="162">
        <f t="shared" ref="L29:L34" si="7">+I29</f>
        <v>8.8761222985878171E-2</v>
      </c>
    </row>
    <row r="30" spans="1:12" ht="14" x14ac:dyDescent="0.3">
      <c r="A30" s="138">
        <f>IF(B30&lt;&gt;"",COUNTA($B$11:B30),"")</f>
        <v>14</v>
      </c>
      <c r="B30" s="130" t="s">
        <v>249</v>
      </c>
      <c r="C30" s="188" t="s">
        <v>121</v>
      </c>
      <c r="D30" s="188" t="s">
        <v>537</v>
      </c>
      <c r="E30" s="321">
        <f>+'Bill_Bos G2 p2'!D25</f>
        <v>7200</v>
      </c>
      <c r="F30" s="321">
        <f>+'Bill_Bos G2 p2'!C25</f>
        <v>24</v>
      </c>
      <c r="G30" s="321"/>
      <c r="H30" s="322">
        <f>+'Bill_Bos G2 p2'!M25</f>
        <v>125.21000000000004</v>
      </c>
      <c r="I30" s="323">
        <f>+'Bill_Bos G2 p2'!N25</f>
        <v>9.2135955907783132E-2</v>
      </c>
      <c r="J30" s="162"/>
      <c r="K30" s="324">
        <f t="shared" si="6"/>
        <v>1502.5200000000004</v>
      </c>
      <c r="L30" s="162">
        <f t="shared" si="7"/>
        <v>9.2135955907783132E-2</v>
      </c>
    </row>
    <row r="31" spans="1:12" ht="14" x14ac:dyDescent="0.3">
      <c r="A31" s="138">
        <f>IF(B31&lt;&gt;"",COUNTA($B$11:B31),"")</f>
        <v>15</v>
      </c>
      <c r="B31" s="130" t="s">
        <v>249</v>
      </c>
      <c r="C31" s="188" t="s">
        <v>121</v>
      </c>
      <c r="D31" s="188" t="s">
        <v>537</v>
      </c>
      <c r="E31" s="321">
        <f>+'Bill_Bos G2 p3'!D25</f>
        <v>13950</v>
      </c>
      <c r="F31" s="321">
        <f>+'Bill_Bos G2 p3'!C25</f>
        <v>31</v>
      </c>
      <c r="G31" s="321"/>
      <c r="H31" s="322">
        <f>+'Bill_Bos G2 p3'!M25</f>
        <v>247.30999999999995</v>
      </c>
      <c r="I31" s="323">
        <f>+'Bill_Bos G2 p3'!N25</f>
        <v>9.9384348301331749E-2</v>
      </c>
      <c r="J31" s="162"/>
      <c r="K31" s="324">
        <f t="shared" si="6"/>
        <v>2967.7199999999993</v>
      </c>
      <c r="L31" s="162">
        <f t="shared" si="7"/>
        <v>9.9384348301331749E-2</v>
      </c>
    </row>
    <row r="32" spans="1:12" ht="14" x14ac:dyDescent="0.3">
      <c r="A32" s="138">
        <f>IF(B32&lt;&gt;"",COUNTA($B$11:B32),"")</f>
        <v>16</v>
      </c>
      <c r="B32" s="130" t="s">
        <v>249</v>
      </c>
      <c r="C32" s="188" t="s">
        <v>121</v>
      </c>
      <c r="D32" s="188" t="s">
        <v>538</v>
      </c>
      <c r="E32" s="321">
        <f>+'Bill_Bos G2 p1'!D39</f>
        <v>3600</v>
      </c>
      <c r="F32" s="321">
        <f>+'Bill_Bos G2 p1'!C39</f>
        <v>18</v>
      </c>
      <c r="G32" s="321"/>
      <c r="H32" s="322">
        <f>+'Bill_Bos G2 p1'!M39</f>
        <v>47.580000000000041</v>
      </c>
      <c r="I32" s="323">
        <f>+'Bill_Bos G2 p1'!N39</f>
        <v>5.0706026535940786E-2</v>
      </c>
      <c r="J32" s="162"/>
      <c r="K32" s="324">
        <f t="shared" si="6"/>
        <v>570.96000000000049</v>
      </c>
      <c r="L32" s="162">
        <f t="shared" si="7"/>
        <v>5.0706026535940786E-2</v>
      </c>
    </row>
    <row r="33" spans="1:12" ht="14" x14ac:dyDescent="0.3">
      <c r="A33" s="138">
        <f>IF(B33&lt;&gt;"",COUNTA($B$11:B33),"")</f>
        <v>17</v>
      </c>
      <c r="B33" s="130" t="s">
        <v>249</v>
      </c>
      <c r="C33" s="188" t="s">
        <v>121</v>
      </c>
      <c r="D33" s="188" t="s">
        <v>538</v>
      </c>
      <c r="E33" s="321">
        <f>+'Bill_Bos G2 p2'!D39</f>
        <v>7800</v>
      </c>
      <c r="F33" s="321">
        <f>+'Bill_Bos G2 p2'!C39</f>
        <v>26</v>
      </c>
      <c r="G33" s="321"/>
      <c r="H33" s="322">
        <f>+'Bill_Bos G2 p2'!M39</f>
        <v>105.55000000000018</v>
      </c>
      <c r="I33" s="323">
        <f>+'Bill_Bos G2 p2'!N39</f>
        <v>5.5037882540659298E-2</v>
      </c>
      <c r="J33" s="162"/>
      <c r="K33" s="324">
        <f t="shared" si="6"/>
        <v>1266.6000000000022</v>
      </c>
      <c r="L33" s="162">
        <f t="shared" si="7"/>
        <v>5.5037882540659298E-2</v>
      </c>
    </row>
    <row r="34" spans="1:12" ht="14" x14ac:dyDescent="0.3">
      <c r="A34" s="138">
        <f>IF(B34&lt;&gt;"",COUNTA($B$11:B34),"")</f>
        <v>18</v>
      </c>
      <c r="B34" s="130" t="s">
        <v>249</v>
      </c>
      <c r="C34" s="188" t="s">
        <v>121</v>
      </c>
      <c r="D34" s="188" t="s">
        <v>538</v>
      </c>
      <c r="E34" s="321">
        <f>+'Bill_Bos G2 p3'!D39</f>
        <v>14850</v>
      </c>
      <c r="F34" s="321">
        <f>+'Bill_Bos G2 p3'!C39</f>
        <v>33</v>
      </c>
      <c r="G34" s="321"/>
      <c r="H34" s="322">
        <f>+'Bill_Bos G2 p3'!M39</f>
        <v>220.22000000000025</v>
      </c>
      <c r="I34" s="323">
        <f>+'Bill_Bos G2 p3'!N39</f>
        <v>6.7262259281318321E-2</v>
      </c>
      <c r="J34" s="162"/>
      <c r="K34" s="324">
        <f t="shared" si="6"/>
        <v>2642.6400000000031</v>
      </c>
      <c r="L34" s="162">
        <f t="shared" si="7"/>
        <v>6.7262259281318321E-2</v>
      </c>
    </row>
    <row r="35" spans="1:12" ht="14" x14ac:dyDescent="0.3">
      <c r="E35" s="321"/>
      <c r="F35" s="321"/>
      <c r="H35" s="322"/>
      <c r="I35" s="323"/>
      <c r="J35" s="162"/>
      <c r="K35" s="324"/>
      <c r="L35" s="162"/>
    </row>
    <row r="36" spans="1:12" ht="14" x14ac:dyDescent="0.3">
      <c r="A36" s="138">
        <f>IF(B36&lt;&gt;"",COUNTA($B$11:B36),"")</f>
        <v>19</v>
      </c>
      <c r="B36" s="130" t="s">
        <v>540</v>
      </c>
      <c r="C36" s="188" t="s">
        <v>127</v>
      </c>
      <c r="D36" s="188" t="s">
        <v>537</v>
      </c>
      <c r="E36" s="321">
        <f>+'Bill_Bos G3 p1'!D24</f>
        <v>150500</v>
      </c>
      <c r="F36" s="321">
        <f>+'Bill_Bos G3 p1'!C24</f>
        <v>430</v>
      </c>
      <c r="G36" s="321"/>
      <c r="H36" s="322">
        <f>+'Bill_Bos G3 p1'!M24</f>
        <v>5663.9700000000048</v>
      </c>
      <c r="I36" s="323">
        <f>+'Bill_Bos G3 p1'!N24</f>
        <v>0.18145183379769758</v>
      </c>
      <c r="J36" s="162"/>
      <c r="K36" s="324">
        <f t="shared" ref="K36:K41" si="8">+H36*12</f>
        <v>67967.640000000058</v>
      </c>
      <c r="L36" s="162">
        <f t="shared" ref="L36:L41" si="9">+I36</f>
        <v>0.18145183379769758</v>
      </c>
    </row>
    <row r="37" spans="1:12" ht="14" x14ac:dyDescent="0.3">
      <c r="A37" s="138">
        <f>IF(B37&lt;&gt;"",COUNTA($B$11:B37),"")</f>
        <v>20</v>
      </c>
      <c r="B37" s="130" t="s">
        <v>540</v>
      </c>
      <c r="C37" s="188" t="s">
        <v>127</v>
      </c>
      <c r="D37" s="188" t="s">
        <v>537</v>
      </c>
      <c r="E37" s="321">
        <f>+'Bill_Bos G3 p2'!D24</f>
        <v>360000</v>
      </c>
      <c r="F37" s="321">
        <f>+'Bill_Bos G3 p2'!C24</f>
        <v>800</v>
      </c>
      <c r="G37" s="321"/>
      <c r="H37" s="322">
        <f>+'Bill_Bos G3 p2'!M24</f>
        <v>13763.199999999997</v>
      </c>
      <c r="I37" s="323">
        <f>+'Bill_Bos G3 p2'!N24</f>
        <v>0.19659579817048428</v>
      </c>
      <c r="J37" s="162"/>
      <c r="K37" s="324">
        <f t="shared" si="8"/>
        <v>165158.39999999997</v>
      </c>
      <c r="L37" s="162">
        <f t="shared" si="9"/>
        <v>0.19659579817048428</v>
      </c>
    </row>
    <row r="38" spans="1:12" ht="14" x14ac:dyDescent="0.3">
      <c r="A38" s="138">
        <f>IF(B38&lt;&gt;"",COUNTA($B$11:B38),"")</f>
        <v>21</v>
      </c>
      <c r="B38" s="130" t="s">
        <v>540</v>
      </c>
      <c r="C38" s="188" t="s">
        <v>127</v>
      </c>
      <c r="D38" s="188" t="s">
        <v>537</v>
      </c>
      <c r="E38" s="321">
        <f>+'Bill_Bos G3 p3'!D24</f>
        <v>802450</v>
      </c>
      <c r="F38" s="321">
        <f>+'Bill_Bos G3 p3'!C24</f>
        <v>1459</v>
      </c>
      <c r="G38" s="321"/>
      <c r="H38" s="322">
        <f>+'Bill_Bos G3 p3'!M24</f>
        <v>30983.320000000007</v>
      </c>
      <c r="I38" s="323">
        <f>+'Bill_Bos G3 p3'!N24</f>
        <v>0.20707065846492748</v>
      </c>
      <c r="J38" s="162"/>
      <c r="K38" s="324">
        <f t="shared" si="8"/>
        <v>371799.84000000008</v>
      </c>
      <c r="L38" s="162">
        <f t="shared" si="9"/>
        <v>0.20707065846492748</v>
      </c>
    </row>
    <row r="39" spans="1:12" ht="14" x14ac:dyDescent="0.3">
      <c r="A39" s="138">
        <f>IF(B39&lt;&gt;"",COUNTA($B$11:B39),"")</f>
        <v>22</v>
      </c>
      <c r="B39" s="130" t="s">
        <v>540</v>
      </c>
      <c r="C39" s="188" t="s">
        <v>127</v>
      </c>
      <c r="D39" s="188" t="s">
        <v>538</v>
      </c>
      <c r="E39" s="321">
        <f>+'Bill_Bos G3 p1'!D37</f>
        <v>177100</v>
      </c>
      <c r="F39" s="321">
        <f>+'Bill_Bos G3 p1'!C37</f>
        <v>506</v>
      </c>
      <c r="G39" s="321"/>
      <c r="H39" s="322">
        <f>+'Bill_Bos G3 p1'!M37</f>
        <v>6771.2899999999936</v>
      </c>
      <c r="I39" s="323">
        <f>+'Bill_Bos G3 p1'!N37</f>
        <v>0.17054715561641789</v>
      </c>
      <c r="J39" s="162"/>
      <c r="K39" s="324">
        <f t="shared" si="8"/>
        <v>81255.479999999923</v>
      </c>
      <c r="L39" s="162">
        <f t="shared" si="9"/>
        <v>0.17054715561641789</v>
      </c>
    </row>
    <row r="40" spans="1:12" ht="14" x14ac:dyDescent="0.3">
      <c r="A40" s="138">
        <f>IF(B40&lt;&gt;"",COUNTA($B$11:B40),"")</f>
        <v>23</v>
      </c>
      <c r="B40" s="130" t="s">
        <v>540</v>
      </c>
      <c r="C40" s="188" t="s">
        <v>127</v>
      </c>
      <c r="D40" s="188" t="s">
        <v>538</v>
      </c>
      <c r="E40" s="321">
        <f>+'Bill_Bos G3 p2'!D37</f>
        <v>477000</v>
      </c>
      <c r="F40" s="321">
        <f>+'Bill_Bos G3 p2'!C37</f>
        <v>1060</v>
      </c>
      <c r="G40" s="321"/>
      <c r="H40" s="322">
        <f>+'Bill_Bos G3 p2'!M37</f>
        <v>18458.840000000011</v>
      </c>
      <c r="I40" s="323">
        <f>+'Bill_Bos G3 p2'!N37</f>
        <v>0.18645967197601704</v>
      </c>
      <c r="J40" s="162"/>
      <c r="K40" s="324">
        <f t="shared" si="8"/>
        <v>221506.08000000013</v>
      </c>
      <c r="L40" s="162">
        <f t="shared" si="9"/>
        <v>0.18645967197601704</v>
      </c>
    </row>
    <row r="41" spans="1:12" ht="14" x14ac:dyDescent="0.3">
      <c r="A41" s="138">
        <f>IF(B41&lt;&gt;"",COUNTA($B$11:B41),"")</f>
        <v>24</v>
      </c>
      <c r="B41" s="130" t="s">
        <v>540</v>
      </c>
      <c r="C41" s="188" t="s">
        <v>127</v>
      </c>
      <c r="D41" s="188" t="s">
        <v>538</v>
      </c>
      <c r="E41" s="321">
        <f>+'Bill_Bos G3 p3'!D37</f>
        <v>1155550</v>
      </c>
      <c r="F41" s="321">
        <f>+'Bill_Bos G3 p3'!C37</f>
        <v>2101</v>
      </c>
      <c r="G41" s="321"/>
      <c r="H41" s="322">
        <f>+'Bill_Bos G3 p3'!M37</f>
        <v>45058.049999999988</v>
      </c>
      <c r="I41" s="323">
        <f>+'Bill_Bos G3 p3'!N37</f>
        <v>0.19772827325983683</v>
      </c>
      <c r="J41" s="162"/>
      <c r="K41" s="324">
        <f t="shared" si="8"/>
        <v>540696.59999999986</v>
      </c>
      <c r="L41" s="162">
        <f t="shared" si="9"/>
        <v>0.19772827325983683</v>
      </c>
    </row>
    <row r="42" spans="1:12" ht="14" x14ac:dyDescent="0.3">
      <c r="A42" s="138" t="str">
        <f>IF(B42&lt;&gt;"",COUNTA($B$11:B42),"")</f>
        <v/>
      </c>
      <c r="E42" s="321"/>
      <c r="F42" s="321"/>
      <c r="G42" s="321"/>
      <c r="H42" s="322"/>
      <c r="I42" s="323"/>
      <c r="J42" s="162"/>
      <c r="K42" s="324"/>
      <c r="L42" s="162"/>
    </row>
    <row r="43" spans="1:12" ht="14" x14ac:dyDescent="0.3">
      <c r="A43" s="138">
        <f>IF(B43&lt;&gt;"",COUNTA($B$11:B43),"")</f>
        <v>25</v>
      </c>
      <c r="B43" s="130" t="s">
        <v>541</v>
      </c>
      <c r="C43" s="188" t="s">
        <v>127</v>
      </c>
      <c r="D43" s="188" t="s">
        <v>537</v>
      </c>
      <c r="E43" s="321">
        <f>+'Bill_Bos G3 p4'!D24</f>
        <v>150500</v>
      </c>
      <c r="F43" s="321">
        <f>+'Bill_Bos G3 p4'!C24</f>
        <v>430</v>
      </c>
      <c r="G43" s="321"/>
      <c r="H43" s="322">
        <f>+'Bill_Bos G3 p4'!M24</f>
        <v>5478.8499999999985</v>
      </c>
      <c r="I43" s="323">
        <f>+'Bill_Bos G3 p4'!N24</f>
        <v>0.18435661514814206</v>
      </c>
      <c r="J43" s="162"/>
      <c r="K43" s="324">
        <f t="shared" ref="K43:K48" si="10">+H43*12</f>
        <v>65746.199999999983</v>
      </c>
      <c r="L43" s="162">
        <f t="shared" ref="L43:L48" si="11">+I43</f>
        <v>0.18435661514814206</v>
      </c>
    </row>
    <row r="44" spans="1:12" ht="14" x14ac:dyDescent="0.3">
      <c r="A44" s="138">
        <f>IF(B44&lt;&gt;"",COUNTA($B$11:B44),"")</f>
        <v>26</v>
      </c>
      <c r="B44" s="130" t="s">
        <v>541</v>
      </c>
      <c r="C44" s="188" t="s">
        <v>127</v>
      </c>
      <c r="D44" s="188" t="s">
        <v>537</v>
      </c>
      <c r="E44" s="321">
        <f>+'Bill_Bos G3 p5'!D24</f>
        <v>360000</v>
      </c>
      <c r="F44" s="321">
        <f>+'Bill_Bos G3 p5'!C24</f>
        <v>800</v>
      </c>
      <c r="G44" s="321"/>
      <c r="H44" s="322">
        <f>+'Bill_Bos G3 p5'!M24</f>
        <v>13320.400000000009</v>
      </c>
      <c r="I44" s="323">
        <f>+'Bill_Bos G3 p5'!N24</f>
        <v>0.20052025314169084</v>
      </c>
      <c r="J44" s="162"/>
      <c r="K44" s="324">
        <f t="shared" si="10"/>
        <v>159844.8000000001</v>
      </c>
      <c r="L44" s="162">
        <f t="shared" si="11"/>
        <v>0.20052025314169084</v>
      </c>
    </row>
    <row r="45" spans="1:12" ht="14" x14ac:dyDescent="0.3">
      <c r="A45" s="138">
        <f>IF(B45&lt;&gt;"",COUNTA($B$11:B45),"")</f>
        <v>27</v>
      </c>
      <c r="B45" s="130" t="s">
        <v>541</v>
      </c>
      <c r="C45" s="188" t="s">
        <v>127</v>
      </c>
      <c r="D45" s="188" t="s">
        <v>537</v>
      </c>
      <c r="E45" s="321">
        <f>+'Bill_Bos G3 p6'!D24</f>
        <v>802450</v>
      </c>
      <c r="F45" s="321">
        <f>+'Bill_Bos G3 p6'!C24</f>
        <v>1459</v>
      </c>
      <c r="G45" s="321"/>
      <c r="H45" s="322">
        <f>+'Bill_Bos G3 p6'!M24</f>
        <v>29996.309999999998</v>
      </c>
      <c r="I45" s="323">
        <f>+'Bill_Bos G3 p6'!N24</f>
        <v>0.21176289944719551</v>
      </c>
      <c r="J45" s="162"/>
      <c r="K45" s="324">
        <f t="shared" si="10"/>
        <v>359955.72</v>
      </c>
      <c r="L45" s="162">
        <f t="shared" si="11"/>
        <v>0.21176289944719551</v>
      </c>
    </row>
    <row r="46" spans="1:12" ht="14" x14ac:dyDescent="0.3">
      <c r="A46" s="138">
        <f>IF(B46&lt;&gt;"",COUNTA($B$11:B46),"")</f>
        <v>28</v>
      </c>
      <c r="B46" s="130" t="s">
        <v>541</v>
      </c>
      <c r="C46" s="188" t="s">
        <v>127</v>
      </c>
      <c r="D46" s="188" t="s">
        <v>538</v>
      </c>
      <c r="E46" s="321">
        <f>+'Bill_Bos G3 p4'!D37</f>
        <v>177100</v>
      </c>
      <c r="F46" s="321">
        <f>+'Bill_Bos G3 p4'!C37</f>
        <v>506</v>
      </c>
      <c r="G46" s="321"/>
      <c r="H46" s="322">
        <f>+'Bill_Bos G3 p4'!M37</f>
        <v>6553.4500000000044</v>
      </c>
      <c r="I46" s="323">
        <f>+'Bill_Bos G3 p4'!N37</f>
        <v>0.17271847004029217</v>
      </c>
      <c r="J46" s="162"/>
      <c r="K46" s="324">
        <f t="shared" si="10"/>
        <v>78641.400000000052</v>
      </c>
      <c r="L46" s="162">
        <f t="shared" si="11"/>
        <v>0.17271847004029217</v>
      </c>
    </row>
    <row r="47" spans="1:12" ht="14" x14ac:dyDescent="0.3">
      <c r="A47" s="138">
        <f>IF(B47&lt;&gt;"",COUNTA($B$11:B47),"")</f>
        <v>29</v>
      </c>
      <c r="B47" s="130" t="s">
        <v>541</v>
      </c>
      <c r="C47" s="188" t="s">
        <v>127</v>
      </c>
      <c r="D47" s="188" t="s">
        <v>538</v>
      </c>
      <c r="E47" s="321">
        <f>+'Bill_Bos G3 p5'!D37</f>
        <v>477000</v>
      </c>
      <c r="F47" s="321">
        <f>+'Bill_Bos G3 p5'!C37</f>
        <v>1060</v>
      </c>
      <c r="G47" s="321"/>
      <c r="H47" s="322">
        <f>+'Bill_Bos G3 p5'!M37</f>
        <v>17872.130000000005</v>
      </c>
      <c r="I47" s="323">
        <f>+'Bill_Bos G3 p5'!N37</f>
        <v>0.18961458188336669</v>
      </c>
      <c r="J47" s="162"/>
      <c r="K47" s="324">
        <f t="shared" si="10"/>
        <v>214465.56000000006</v>
      </c>
      <c r="L47" s="162">
        <f t="shared" si="11"/>
        <v>0.18961458188336669</v>
      </c>
    </row>
    <row r="48" spans="1:12" ht="14" x14ac:dyDescent="0.3">
      <c r="A48" s="138">
        <f>IF(B48&lt;&gt;"",COUNTA($B$11:B48),"")</f>
        <v>30</v>
      </c>
      <c r="B48" s="130" t="s">
        <v>541</v>
      </c>
      <c r="C48" s="188" t="s">
        <v>127</v>
      </c>
      <c r="D48" s="188" t="s">
        <v>538</v>
      </c>
      <c r="E48" s="321">
        <f>+'Bill_Bos G3 p6'!D37</f>
        <v>1155550</v>
      </c>
      <c r="F48" s="321">
        <f>+'Bill_Bos G3 p6'!C37</f>
        <v>2101</v>
      </c>
      <c r="G48" s="321"/>
      <c r="H48" s="322">
        <f>+'Bill_Bos G3 p6'!M37</f>
        <v>43636.719999999972</v>
      </c>
      <c r="I48" s="323">
        <f>+'Bill_Bos G3 p6'!N37</f>
        <v>0.20165544577406028</v>
      </c>
      <c r="J48" s="162"/>
      <c r="K48" s="324">
        <f t="shared" si="10"/>
        <v>523640.63999999966</v>
      </c>
      <c r="L48" s="162">
        <f t="shared" si="11"/>
        <v>0.20165544577406028</v>
      </c>
    </row>
    <row r="49" spans="1:12" ht="14" x14ac:dyDescent="0.3">
      <c r="E49" s="321"/>
      <c r="F49" s="321"/>
      <c r="G49" s="321"/>
      <c r="H49" s="322"/>
      <c r="I49" s="323"/>
      <c r="J49" s="162"/>
      <c r="K49" s="324"/>
      <c r="L49" s="162"/>
    </row>
    <row r="50" spans="1:12" ht="14" x14ac:dyDescent="0.3">
      <c r="A50" s="138">
        <f>IF(B50&lt;&gt;"",COUNTA($B$11:B50),"")</f>
        <v>31</v>
      </c>
      <c r="B50" s="130" t="s">
        <v>249</v>
      </c>
      <c r="C50" s="188" t="s">
        <v>542</v>
      </c>
      <c r="D50" s="188" t="s">
        <v>537</v>
      </c>
      <c r="E50" s="321">
        <f>+'Bill_Bos T1'!C20</f>
        <v>509</v>
      </c>
      <c r="F50" s="321"/>
      <c r="G50" s="321"/>
      <c r="H50" s="322">
        <f>+'Bill_Bos T1'!L20</f>
        <v>10.310000000000002</v>
      </c>
      <c r="I50" s="323">
        <f>+'Bill_Bos T1'!M20</f>
        <v>8.9349163705693749E-2</v>
      </c>
      <c r="J50" s="162"/>
      <c r="K50" s="324">
        <f t="shared" ref="K50:K51" si="12">+H50*12</f>
        <v>123.72000000000003</v>
      </c>
      <c r="L50" s="162">
        <f t="shared" ref="L50:L51" si="13">+I50</f>
        <v>8.9349163705693749E-2</v>
      </c>
    </row>
    <row r="51" spans="1:12" ht="14" x14ac:dyDescent="0.3">
      <c r="A51" s="138">
        <f>IF(B51&lt;&gt;"",COUNTA($B$11:B51),"")</f>
        <v>32</v>
      </c>
      <c r="B51" s="130" t="s">
        <v>249</v>
      </c>
      <c r="C51" s="188" t="s">
        <v>542</v>
      </c>
      <c r="D51" s="188" t="s">
        <v>538</v>
      </c>
      <c r="E51" s="321">
        <f>+'Bill_Bos T1'!C30</f>
        <v>287</v>
      </c>
      <c r="F51" s="321"/>
      <c r="G51" s="321"/>
      <c r="H51" s="322">
        <f>+'Bill_Bos T1'!L30</f>
        <v>-1.230000000000004</v>
      </c>
      <c r="I51" s="323">
        <f>+'Bill_Bos T1'!M30</f>
        <v>-1.5031162165465038E-2</v>
      </c>
      <c r="J51" s="162"/>
      <c r="K51" s="324">
        <f t="shared" si="12"/>
        <v>-14.760000000000048</v>
      </c>
      <c r="L51" s="162">
        <f t="shared" si="13"/>
        <v>-1.5031162165465038E-2</v>
      </c>
    </row>
    <row r="52" spans="1:12" ht="14" x14ac:dyDescent="0.3">
      <c r="A52" s="138" t="str">
        <f>IF(B52&lt;&gt;"",COUNTA($B$11:B52),"")</f>
        <v/>
      </c>
      <c r="E52" s="321"/>
      <c r="F52" s="321"/>
      <c r="G52" s="321"/>
      <c r="H52" s="322"/>
      <c r="I52" s="323"/>
      <c r="J52" s="162"/>
      <c r="K52" s="324"/>
      <c r="L52" s="162"/>
    </row>
    <row r="53" spans="1:12" ht="14" x14ac:dyDescent="0.3">
      <c r="A53" s="138">
        <f>IF(B53&lt;&gt;"",COUNTA($B$11:B53),"")</f>
        <v>33</v>
      </c>
      <c r="B53" s="130" t="s">
        <v>540</v>
      </c>
      <c r="C53" s="188" t="s">
        <v>131</v>
      </c>
      <c r="D53" s="188" t="s">
        <v>537</v>
      </c>
      <c r="E53" s="321">
        <f>+'Bill_Bos T2 p1'!D23</f>
        <v>70350</v>
      </c>
      <c r="F53" s="321">
        <f>+'Bill_Bos T2 p1'!C23</f>
        <v>201</v>
      </c>
      <c r="G53" s="321"/>
      <c r="H53" s="322">
        <f>+'Bill_Bos T2 p1'!M23</f>
        <v>2691.3899999999994</v>
      </c>
      <c r="I53" s="323">
        <f>+'Bill_Bos T2 p1'!N23</f>
        <v>0.17791114589640733</v>
      </c>
      <c r="J53" s="162"/>
      <c r="K53" s="324">
        <f t="shared" ref="K53:K58" si="14">+H53*12</f>
        <v>32296.679999999993</v>
      </c>
      <c r="L53" s="162">
        <f t="shared" ref="L53:L58" si="15">+I53</f>
        <v>0.17791114589640733</v>
      </c>
    </row>
    <row r="54" spans="1:12" ht="14" x14ac:dyDescent="0.3">
      <c r="A54" s="138">
        <f>IF(B54&lt;&gt;"",COUNTA($B$11:B54),"")</f>
        <v>34</v>
      </c>
      <c r="B54" s="130" t="s">
        <v>540</v>
      </c>
      <c r="C54" s="188" t="s">
        <v>131</v>
      </c>
      <c r="D54" s="188" t="s">
        <v>537</v>
      </c>
      <c r="E54" s="321">
        <f>+'Bill_Bos T2 p2'!D23</f>
        <v>126450</v>
      </c>
      <c r="F54" s="321">
        <f>+'Bill_Bos T2 p2'!C23</f>
        <v>281</v>
      </c>
      <c r="G54" s="321"/>
      <c r="H54" s="322">
        <f>+'Bill_Bos T2 p2'!M23</f>
        <v>4909.0599999999977</v>
      </c>
      <c r="I54" s="323">
        <f>+'Bill_Bos T2 p2'!N23</f>
        <v>0.19257763325805274</v>
      </c>
      <c r="J54" s="162"/>
      <c r="K54" s="324">
        <f t="shared" si="14"/>
        <v>58908.719999999972</v>
      </c>
      <c r="L54" s="162">
        <f t="shared" si="15"/>
        <v>0.19257763325805274</v>
      </c>
    </row>
    <row r="55" spans="1:12" ht="14" x14ac:dyDescent="0.3">
      <c r="A55" s="138">
        <f>IF(B55&lt;&gt;"",COUNTA($B$11:B55),"")</f>
        <v>35</v>
      </c>
      <c r="B55" s="130" t="s">
        <v>540</v>
      </c>
      <c r="C55" s="188" t="s">
        <v>131</v>
      </c>
      <c r="D55" s="188" t="s">
        <v>537</v>
      </c>
      <c r="E55" s="321">
        <f>+'Bill_Bos T2 p3'!D23</f>
        <v>164450</v>
      </c>
      <c r="F55" s="321">
        <f>+'Bill_Bos T2 p3'!C23</f>
        <v>299</v>
      </c>
      <c r="G55" s="321"/>
      <c r="H55" s="322">
        <f>+'Bill_Bos T2 p3'!M23</f>
        <v>6443.4400000000023</v>
      </c>
      <c r="I55" s="323">
        <f>+'Bill_Bos T2 p3'!N23</f>
        <v>0.20272226429364948</v>
      </c>
      <c r="J55" s="162"/>
      <c r="K55" s="324">
        <f t="shared" si="14"/>
        <v>77321.280000000028</v>
      </c>
      <c r="L55" s="162">
        <f t="shared" si="15"/>
        <v>0.20272226429364948</v>
      </c>
    </row>
    <row r="56" spans="1:12" ht="14" x14ac:dyDescent="0.3">
      <c r="A56" s="138">
        <f>IF(B56&lt;&gt;"",COUNTA($B$11:B56),"")</f>
        <v>36</v>
      </c>
      <c r="B56" s="130" t="s">
        <v>540</v>
      </c>
      <c r="C56" s="188" t="s">
        <v>131</v>
      </c>
      <c r="D56" s="188" t="s">
        <v>538</v>
      </c>
      <c r="E56" s="321">
        <f>+'Bill_Bos T2 p1'!D35</f>
        <v>86100</v>
      </c>
      <c r="F56" s="321">
        <f>+'Bill_Bos T2 p1'!C35</f>
        <v>246</v>
      </c>
      <c r="G56" s="321"/>
      <c r="H56" s="322">
        <f>+'Bill_Bos T2 p1'!M35</f>
        <v>3362.8299999999981</v>
      </c>
      <c r="I56" s="323">
        <f>+'Bill_Bos T2 p1'!N35</f>
        <v>0.16365004275165923</v>
      </c>
      <c r="J56" s="162"/>
      <c r="K56" s="324">
        <f t="shared" si="14"/>
        <v>40353.959999999977</v>
      </c>
      <c r="L56" s="162">
        <f t="shared" si="15"/>
        <v>0.16365004275165923</v>
      </c>
    </row>
    <row r="57" spans="1:12" ht="14" x14ac:dyDescent="0.3">
      <c r="A57" s="138">
        <f>IF(B57&lt;&gt;"",COUNTA($B$11:B57),"")</f>
        <v>37</v>
      </c>
      <c r="B57" s="130" t="s">
        <v>540</v>
      </c>
      <c r="C57" s="188" t="s">
        <v>131</v>
      </c>
      <c r="D57" s="188" t="s">
        <v>538</v>
      </c>
      <c r="E57" s="321">
        <f>+'Bill_Bos T2 p2'!D35</f>
        <v>143550</v>
      </c>
      <c r="F57" s="321">
        <f>+'Bill_Bos T2 p2'!C35</f>
        <v>319</v>
      </c>
      <c r="G57" s="321"/>
      <c r="H57" s="322">
        <f>+'Bill_Bos T2 p2'!M35</f>
        <v>5662.25</v>
      </c>
      <c r="I57" s="323">
        <f>+'Bill_Bos T2 p2'!N35</f>
        <v>0.17893761509001316</v>
      </c>
      <c r="J57" s="162"/>
      <c r="K57" s="324">
        <f t="shared" si="14"/>
        <v>67947</v>
      </c>
      <c r="L57" s="162">
        <f t="shared" si="15"/>
        <v>0.17893761509001316</v>
      </c>
    </row>
    <row r="58" spans="1:12" ht="14" x14ac:dyDescent="0.3">
      <c r="A58" s="138">
        <f>IF(B58&lt;&gt;"",COUNTA($B$11:B58),"")</f>
        <v>38</v>
      </c>
      <c r="B58" s="130" t="s">
        <v>540</v>
      </c>
      <c r="C58" s="188" t="s">
        <v>131</v>
      </c>
      <c r="D58" s="188" t="s">
        <v>538</v>
      </c>
      <c r="E58" s="321">
        <f>+'Bill_Bos T2 p3'!D35</f>
        <v>193600</v>
      </c>
      <c r="F58" s="321">
        <f>+'Bill_Bos T2 p3'!C35</f>
        <v>352</v>
      </c>
      <c r="G58" s="321"/>
      <c r="H58" s="322">
        <f>+'Bill_Bos T2 p3'!M35</f>
        <v>7684.1600000000035</v>
      </c>
      <c r="I58" s="323">
        <f>+'Bill_Bos T2 p3'!N35</f>
        <v>0.19022382768714038</v>
      </c>
      <c r="J58" s="162"/>
      <c r="K58" s="324">
        <f t="shared" si="14"/>
        <v>92209.920000000042</v>
      </c>
      <c r="L58" s="162">
        <f t="shared" si="15"/>
        <v>0.19022382768714038</v>
      </c>
    </row>
    <row r="59" spans="1:12" ht="14" x14ac:dyDescent="0.3">
      <c r="A59" s="138" t="str">
        <f>IF(B59&lt;&gt;"",COUNTA($B$11:B59),"")</f>
        <v/>
      </c>
      <c r="E59" s="321"/>
      <c r="F59" s="321"/>
      <c r="G59" s="321"/>
      <c r="H59" s="322"/>
      <c r="I59" s="323"/>
      <c r="J59" s="162"/>
      <c r="K59" s="324"/>
      <c r="L59" s="162"/>
    </row>
    <row r="60" spans="1:12" ht="14" x14ac:dyDescent="0.3">
      <c r="A60" s="138">
        <f>IF(B60&lt;&gt;"",COUNTA($B$11:B60),"")</f>
        <v>39</v>
      </c>
      <c r="B60" s="130" t="s">
        <v>541</v>
      </c>
      <c r="C60" s="188" t="s">
        <v>131</v>
      </c>
      <c r="D60" s="188" t="s">
        <v>537</v>
      </c>
      <c r="E60" s="321">
        <f>+'Bill_Bos T2 p4'!D23</f>
        <v>70350</v>
      </c>
      <c r="F60" s="321">
        <f>+'Bill_Bos T2 p4'!C23</f>
        <v>201</v>
      </c>
      <c r="G60" s="321"/>
      <c r="H60" s="322">
        <f>+'Bill_Bos T2 p4'!M23</f>
        <v>2604.8600000000042</v>
      </c>
      <c r="I60" s="323">
        <f>+'Bill_Bos T2 p4'!N23</f>
        <v>0.18053649597600327</v>
      </c>
      <c r="J60" s="162"/>
      <c r="K60" s="324">
        <f t="shared" ref="K60:K65" si="16">+H60*12</f>
        <v>31258.320000000051</v>
      </c>
      <c r="L60" s="162">
        <f t="shared" ref="L60:L65" si="17">+I60</f>
        <v>0.18053649597600327</v>
      </c>
    </row>
    <row r="61" spans="1:12" ht="14" x14ac:dyDescent="0.3">
      <c r="A61" s="138">
        <f>IF(B61&lt;&gt;"",COUNTA($B$11:B61),"")</f>
        <v>40</v>
      </c>
      <c r="B61" s="130" t="s">
        <v>541</v>
      </c>
      <c r="C61" s="188" t="s">
        <v>131</v>
      </c>
      <c r="D61" s="188" t="s">
        <v>537</v>
      </c>
      <c r="E61" s="321">
        <f>+'Bill_Bos T2 p5'!D23</f>
        <v>126450</v>
      </c>
      <c r="F61" s="321">
        <f>+'Bill_Bos T2 p5'!C23</f>
        <v>281</v>
      </c>
      <c r="G61" s="321"/>
      <c r="H61" s="322">
        <f>+'Bill_Bos T2 p5'!M23</f>
        <v>4753.5300000000025</v>
      </c>
      <c r="I61" s="323">
        <f>+'Bill_Bos T2 p5'!N23</f>
        <v>0.19614787562483454</v>
      </c>
      <c r="J61" s="162"/>
      <c r="K61" s="324">
        <f t="shared" si="16"/>
        <v>57042.36000000003</v>
      </c>
      <c r="L61" s="162">
        <f t="shared" si="17"/>
        <v>0.19614787562483454</v>
      </c>
    </row>
    <row r="62" spans="1:12" ht="14" x14ac:dyDescent="0.3">
      <c r="A62" s="138">
        <f>IF(B62&lt;&gt;"",COUNTA($B$11:B62),"")</f>
        <v>41</v>
      </c>
      <c r="B62" s="130" t="s">
        <v>541</v>
      </c>
      <c r="C62" s="188" t="s">
        <v>131</v>
      </c>
      <c r="D62" s="188" t="s">
        <v>537</v>
      </c>
      <c r="E62" s="321">
        <f>+'Bill_Bos T2 p6'!D23</f>
        <v>164450</v>
      </c>
      <c r="F62" s="321">
        <f>+'Bill_Bos T2 p6'!C23</f>
        <v>299</v>
      </c>
      <c r="G62" s="321"/>
      <c r="H62" s="322">
        <f>+'Bill_Bos T2 p6'!M23</f>
        <v>6241.1700000000019</v>
      </c>
      <c r="I62" s="323">
        <f>+'Bill_Bos T2 p6'!N23</f>
        <v>0.20700439204854146</v>
      </c>
      <c r="J62" s="162"/>
      <c r="K62" s="324">
        <f t="shared" si="16"/>
        <v>74894.040000000023</v>
      </c>
      <c r="L62" s="162">
        <f t="shared" si="17"/>
        <v>0.20700439204854146</v>
      </c>
    </row>
    <row r="63" spans="1:12" ht="14" x14ac:dyDescent="0.3">
      <c r="A63" s="138">
        <f>IF(B63&lt;&gt;"",COUNTA($B$11:B63),"")</f>
        <v>42</v>
      </c>
      <c r="B63" s="130" t="s">
        <v>541</v>
      </c>
      <c r="C63" s="188" t="s">
        <v>131</v>
      </c>
      <c r="D63" s="188" t="s">
        <v>538</v>
      </c>
      <c r="E63" s="321">
        <f>+'Bill_Bos T2 p4'!D35</f>
        <v>86100</v>
      </c>
      <c r="F63" s="321">
        <f>+'Bill_Bos T2 p4'!C35</f>
        <v>246</v>
      </c>
      <c r="G63" s="321"/>
      <c r="H63" s="322">
        <f>+'Bill_Bos T2 p4'!M35</f>
        <v>3256.9199999999983</v>
      </c>
      <c r="I63" s="323">
        <f>+'Bill_Bos T2 p4'!N35</f>
        <v>0.16538398259693243</v>
      </c>
      <c r="J63" s="162"/>
      <c r="K63" s="324">
        <f t="shared" si="16"/>
        <v>39083.039999999979</v>
      </c>
      <c r="L63" s="162">
        <f t="shared" si="17"/>
        <v>0.16538398259693243</v>
      </c>
    </row>
    <row r="64" spans="1:12" ht="14" x14ac:dyDescent="0.3">
      <c r="A64" s="138">
        <f>IF(B64&lt;&gt;"",COUNTA($B$11:B64),"")</f>
        <v>43</v>
      </c>
      <c r="B64" s="130" t="s">
        <v>541</v>
      </c>
      <c r="C64" s="188" t="s">
        <v>131</v>
      </c>
      <c r="D64" s="188" t="s">
        <v>538</v>
      </c>
      <c r="E64" s="321">
        <f>+'Bill_Bos T2 p5'!D35</f>
        <v>143550</v>
      </c>
      <c r="F64" s="321">
        <f>+'Bill_Bos T2 p5'!C35</f>
        <v>319</v>
      </c>
      <c r="G64" s="321"/>
      <c r="H64" s="322">
        <f>+'Bill_Bos T2 p5'!M35</f>
        <v>5485.68</v>
      </c>
      <c r="I64" s="323">
        <f>+'Bill_Bos T2 p5'!N35</f>
        <v>0.18154392156421492</v>
      </c>
      <c r="J64" s="162"/>
      <c r="K64" s="324">
        <f t="shared" si="16"/>
        <v>65828.160000000003</v>
      </c>
      <c r="L64" s="162">
        <f t="shared" si="17"/>
        <v>0.18154392156421492</v>
      </c>
    </row>
    <row r="65" spans="1:12" ht="14" x14ac:dyDescent="0.3">
      <c r="A65" s="138">
        <f>IF(B65&lt;&gt;"",COUNTA($B$11:B65),"")</f>
        <v>44</v>
      </c>
      <c r="B65" s="130" t="s">
        <v>541</v>
      </c>
      <c r="C65" s="188" t="s">
        <v>131</v>
      </c>
      <c r="D65" s="188" t="s">
        <v>538</v>
      </c>
      <c r="E65" s="321">
        <f>+'Bill_Bos T2 p6'!D35</f>
        <v>193600</v>
      </c>
      <c r="F65" s="321">
        <f>+'Bill_Bos T2 p6'!C35</f>
        <v>352</v>
      </c>
      <c r="G65" s="321"/>
      <c r="H65" s="322">
        <f>+'Bill_Bos T2 p6'!M35</f>
        <v>7446.0299999999988</v>
      </c>
      <c r="I65" s="323">
        <f>+'Bill_Bos T2 p6'!N35</f>
        <v>0.19354926752580776</v>
      </c>
      <c r="J65" s="162"/>
      <c r="K65" s="324">
        <f t="shared" si="16"/>
        <v>89352.359999999986</v>
      </c>
      <c r="L65" s="162">
        <f t="shared" si="17"/>
        <v>0.19354926752580776</v>
      </c>
    </row>
    <row r="66" spans="1:12" ht="14" x14ac:dyDescent="0.3">
      <c r="A66" s="138" t="str">
        <f>IF(B66&lt;&gt;"",COUNTA($B$11:B66),"")</f>
        <v/>
      </c>
      <c r="E66" s="321"/>
      <c r="F66" s="321"/>
      <c r="G66" s="321"/>
      <c r="H66" s="322"/>
      <c r="I66" s="323"/>
      <c r="J66" s="162"/>
      <c r="K66" s="324"/>
      <c r="L66" s="162"/>
    </row>
    <row r="67" spans="1:12" ht="14" x14ac:dyDescent="0.3">
      <c r="A67" s="138">
        <f>IF(B67&lt;&gt;"",COUNTA($B$11:B67),"")</f>
        <v>45</v>
      </c>
      <c r="B67" s="130" t="s">
        <v>119</v>
      </c>
      <c r="C67" s="188" t="s">
        <v>268</v>
      </c>
      <c r="E67" s="321">
        <f>+'Bill_Cam G0'!C24</f>
        <v>593</v>
      </c>
      <c r="F67" s="321"/>
      <c r="G67" s="321"/>
      <c r="H67" s="322">
        <f>+'Bill_Cam G0'!L24</f>
        <v>9.4400000000000119</v>
      </c>
      <c r="I67" s="323">
        <f>+'Bill_Cam G0'!M24</f>
        <v>7.7907072707766048E-2</v>
      </c>
      <c r="J67" s="162"/>
      <c r="K67" s="324">
        <f t="shared" ref="K67" si="18">+H67*12</f>
        <v>113.28000000000014</v>
      </c>
      <c r="L67" s="162">
        <f t="shared" ref="L67" si="19">+I67</f>
        <v>7.7907072707766048E-2</v>
      </c>
    </row>
    <row r="68" spans="1:12" ht="14" x14ac:dyDescent="0.3">
      <c r="A68" s="138" t="str">
        <f>IF(B68&lt;&gt;"",COUNTA($B$11:B68),"")</f>
        <v/>
      </c>
      <c r="E68" s="321"/>
      <c r="F68" s="321"/>
      <c r="G68" s="321"/>
      <c r="H68" s="322"/>
      <c r="I68" s="323"/>
      <c r="J68" s="162"/>
      <c r="K68" s="324"/>
      <c r="L68" s="162"/>
    </row>
    <row r="69" spans="1:12" ht="14" x14ac:dyDescent="0.3">
      <c r="A69" s="138">
        <f>IF(B69&lt;&gt;"",COUNTA($B$11:B69),"")</f>
        <v>46</v>
      </c>
      <c r="B69" s="130" t="s">
        <v>119</v>
      </c>
      <c r="C69" s="188" t="s">
        <v>543</v>
      </c>
      <c r="E69" s="321">
        <f>+'Bill_Cam G1'!D24</f>
        <v>4750</v>
      </c>
      <c r="F69" s="321">
        <f>+'Bill_Cam G1'!C24</f>
        <v>19</v>
      </c>
      <c r="G69" s="321"/>
      <c r="H69" s="322">
        <f>+'Bill_Cam G1'!M24</f>
        <v>63.979999999999905</v>
      </c>
      <c r="I69" s="323">
        <f>+'Bill_Cam G1'!N24</f>
        <v>6.5848788621065746E-2</v>
      </c>
      <c r="J69" s="162"/>
      <c r="K69" s="324">
        <f t="shared" ref="K69:K71" si="20">+H69*12</f>
        <v>767.75999999999885</v>
      </c>
      <c r="L69" s="162">
        <f t="shared" ref="L69:L71" si="21">+I69</f>
        <v>6.5848788621065746E-2</v>
      </c>
    </row>
    <row r="70" spans="1:12" ht="14" x14ac:dyDescent="0.3">
      <c r="A70" s="138">
        <f>IF(B70&lt;&gt;"",COUNTA($B$11:B70),"")</f>
        <v>47</v>
      </c>
      <c r="B70" s="130" t="s">
        <v>119</v>
      </c>
      <c r="C70" s="188" t="s">
        <v>543</v>
      </c>
      <c r="E70" s="321">
        <f>+'Bill_Cam G1'!D35</f>
        <v>9100</v>
      </c>
      <c r="F70" s="321">
        <f>+'Bill_Cam G1'!C35</f>
        <v>26</v>
      </c>
      <c r="G70" s="321"/>
      <c r="H70" s="322">
        <f>+'Bill_Cam G1'!M35</f>
        <v>136.6899999999996</v>
      </c>
      <c r="I70" s="323">
        <f>+'Bill_Cam G1'!N35</f>
        <v>7.9425214556737442E-2</v>
      </c>
      <c r="J70" s="162"/>
      <c r="K70" s="324">
        <f t="shared" si="20"/>
        <v>1640.2799999999952</v>
      </c>
      <c r="L70" s="162">
        <f t="shared" si="21"/>
        <v>7.9425214556737442E-2</v>
      </c>
    </row>
    <row r="71" spans="1:12" ht="14" x14ac:dyDescent="0.3">
      <c r="A71" s="138">
        <f>IF(B71&lt;&gt;"",COUNTA($B$11:B71),"")</f>
        <v>48</v>
      </c>
      <c r="B71" s="130" t="s">
        <v>119</v>
      </c>
      <c r="C71" s="188" t="s">
        <v>543</v>
      </c>
      <c r="E71" s="321">
        <f>+'Bill_Cam G1'!D46</f>
        <v>16000</v>
      </c>
      <c r="F71" s="321">
        <f>+'Bill_Cam G1'!C46</f>
        <v>32</v>
      </c>
      <c r="G71" s="321"/>
      <c r="H71" s="322">
        <f>+'Bill_Cam G1'!M46</f>
        <v>258.42000000000007</v>
      </c>
      <c r="I71" s="323">
        <f>+'Bill_Cam G1'!N46</f>
        <v>9.1322877720214607E-2</v>
      </c>
      <c r="J71" s="162"/>
      <c r="K71" s="324">
        <f t="shared" si="20"/>
        <v>3101.0400000000009</v>
      </c>
      <c r="L71" s="162">
        <f t="shared" si="21"/>
        <v>9.1322877720214607E-2</v>
      </c>
    </row>
    <row r="72" spans="1:12" ht="14" x14ac:dyDescent="0.3">
      <c r="A72" s="138" t="str">
        <f>IF(B72&lt;&gt;"",COUNTA($B$11:B72),"")</f>
        <v/>
      </c>
      <c r="E72" s="321"/>
      <c r="F72" s="321"/>
      <c r="G72" s="321"/>
      <c r="H72" s="322"/>
      <c r="I72" s="323"/>
      <c r="J72" s="162"/>
      <c r="K72" s="324"/>
      <c r="L72" s="162"/>
    </row>
    <row r="73" spans="1:12" ht="14" x14ac:dyDescent="0.3">
      <c r="A73" s="138">
        <f>IF(B73&lt;&gt;"",COUNTA($B$11:B73),"")</f>
        <v>49</v>
      </c>
      <c r="B73" s="130" t="s">
        <v>119</v>
      </c>
      <c r="C73" s="188" t="s">
        <v>121</v>
      </c>
      <c r="E73" s="321">
        <f>+'Bill_Cam G2'!D23</f>
        <v>79450</v>
      </c>
      <c r="F73" s="321">
        <f>+'Bill_Cam G2'!C23</f>
        <v>227</v>
      </c>
      <c r="G73" s="321"/>
      <c r="H73" s="322">
        <f>+'Bill_Cam G2'!M23</f>
        <v>2940.3700000000026</v>
      </c>
      <c r="I73" s="323">
        <f>+'Bill_Cam G2'!N23</f>
        <v>0.18470763016637318</v>
      </c>
      <c r="J73" s="162"/>
      <c r="K73" s="324">
        <f t="shared" ref="K73:K75" si="22">+H73*12</f>
        <v>35284.440000000031</v>
      </c>
      <c r="L73" s="162">
        <f t="shared" ref="L73:L75" si="23">+I73</f>
        <v>0.18470763016637318</v>
      </c>
    </row>
    <row r="74" spans="1:12" ht="14" x14ac:dyDescent="0.3">
      <c r="A74" s="138">
        <f>IF(B74&lt;&gt;"",COUNTA($B$11:B74),"")</f>
        <v>50</v>
      </c>
      <c r="B74" s="130" t="s">
        <v>119</v>
      </c>
      <c r="C74" s="188" t="s">
        <v>121</v>
      </c>
      <c r="E74" s="321">
        <f>+'Bill_Cam G2'!D33</f>
        <v>140400</v>
      </c>
      <c r="F74" s="321">
        <f>+'Bill_Cam G2'!C33</f>
        <v>312</v>
      </c>
      <c r="G74" s="321"/>
      <c r="H74" s="322">
        <f>+'Bill_Cam G2'!M33</f>
        <v>5272.9700000000012</v>
      </c>
      <c r="I74" s="323">
        <f>+'Bill_Cam G2'!N33</f>
        <v>0.19437958534576763</v>
      </c>
      <c r="J74" s="162"/>
      <c r="K74" s="324">
        <f t="shared" si="22"/>
        <v>63275.640000000014</v>
      </c>
      <c r="L74" s="162">
        <f t="shared" si="23"/>
        <v>0.19437958534576763</v>
      </c>
    </row>
    <row r="75" spans="1:12" ht="14" x14ac:dyDescent="0.3">
      <c r="A75" s="138">
        <f>IF(B75&lt;&gt;"",COUNTA($B$11:B75),"")</f>
        <v>51</v>
      </c>
      <c r="B75" s="130" t="s">
        <v>119</v>
      </c>
      <c r="C75" s="188" t="s">
        <v>121</v>
      </c>
      <c r="E75" s="321">
        <f>+'Bill_Cam G2'!D43</f>
        <v>155650</v>
      </c>
      <c r="F75" s="321">
        <f>+'Bill_Cam G2'!C43</f>
        <v>283</v>
      </c>
      <c r="G75" s="321"/>
      <c r="H75" s="322">
        <f>+'Bill_Cam G2'!M43</f>
        <v>5938.0299999999988</v>
      </c>
      <c r="I75" s="323">
        <f>+'Bill_Cam G2'!N43</f>
        <v>0.20392510924258925</v>
      </c>
      <c r="J75" s="162"/>
      <c r="K75" s="324">
        <f t="shared" si="22"/>
        <v>71256.359999999986</v>
      </c>
      <c r="L75" s="162">
        <f t="shared" si="23"/>
        <v>0.20392510924258925</v>
      </c>
    </row>
    <row r="76" spans="1:12" ht="14" x14ac:dyDescent="0.3">
      <c r="A76" s="138" t="str">
        <f>IF(B76&lt;&gt;"",COUNTA($B$11:B76),"")</f>
        <v/>
      </c>
      <c r="E76" s="321"/>
      <c r="F76" s="321"/>
      <c r="G76" s="321"/>
      <c r="H76" s="322"/>
      <c r="I76" s="323"/>
      <c r="J76" s="162"/>
      <c r="K76" s="324"/>
      <c r="L76" s="162"/>
    </row>
    <row r="77" spans="1:12" ht="14" x14ac:dyDescent="0.3">
      <c r="A77" s="138">
        <f>IF(B77&lt;&gt;"",COUNTA($B$11:B77),"")</f>
        <v>52</v>
      </c>
      <c r="B77" s="130" t="s">
        <v>119</v>
      </c>
      <c r="C77" s="188" t="s">
        <v>127</v>
      </c>
      <c r="E77" s="321">
        <f>+'Bill_Cam G3'!D22</f>
        <v>320800</v>
      </c>
      <c r="F77" s="321">
        <f>+'Bill_Cam G3'!C22</f>
        <v>802</v>
      </c>
      <c r="G77" s="321"/>
      <c r="H77" s="322">
        <f>+'Bill_Cam G3'!M22</f>
        <v>12906.250000000007</v>
      </c>
      <c r="I77" s="323">
        <f>+'Bill_Cam G3'!N22</f>
        <v>0.22090702606296408</v>
      </c>
      <c r="J77" s="162"/>
      <c r="K77" s="324">
        <f t="shared" ref="K77:K79" si="24">+H77*12</f>
        <v>154875.00000000009</v>
      </c>
      <c r="L77" s="162">
        <f t="shared" ref="L77:L79" si="25">+I77</f>
        <v>0.22090702606296408</v>
      </c>
    </row>
    <row r="78" spans="1:12" ht="14" x14ac:dyDescent="0.3">
      <c r="A78" s="138">
        <f>IF(B78&lt;&gt;"",COUNTA($B$11:B78),"")</f>
        <v>53</v>
      </c>
      <c r="B78" s="130" t="s">
        <v>119</v>
      </c>
      <c r="C78" s="188" t="s">
        <v>127</v>
      </c>
      <c r="E78" s="321">
        <f>+'Bill_Cam G3'!D31</f>
        <v>585000</v>
      </c>
      <c r="F78" s="321">
        <f>+'Bill_Cam G3'!C31</f>
        <v>1170</v>
      </c>
      <c r="G78" s="321"/>
      <c r="H78" s="322">
        <f>+'Bill_Cam G3'!M31</f>
        <v>23570.679999999993</v>
      </c>
      <c r="I78" s="323">
        <f>+'Bill_Cam G3'!N31</f>
        <v>0.22800292322849394</v>
      </c>
      <c r="J78" s="162"/>
      <c r="K78" s="324">
        <f t="shared" si="24"/>
        <v>282848.15999999992</v>
      </c>
      <c r="L78" s="162">
        <f t="shared" si="25"/>
        <v>0.22800292322849394</v>
      </c>
    </row>
    <row r="79" spans="1:12" ht="14" x14ac:dyDescent="0.3">
      <c r="A79" s="138">
        <f>IF(B79&lt;&gt;"",COUNTA($B$11:B79),"")</f>
        <v>54</v>
      </c>
      <c r="B79" s="130" t="s">
        <v>119</v>
      </c>
      <c r="C79" s="188" t="s">
        <v>127</v>
      </c>
      <c r="E79" s="321">
        <f>+'Bill_Cam G3'!D40</f>
        <v>715200</v>
      </c>
      <c r="F79" s="321">
        <f>+'Bill_Cam G3'!C40</f>
        <v>1192</v>
      </c>
      <c r="G79" s="321"/>
      <c r="H79" s="322">
        <f>+'Bill_Cam G3'!M40</f>
        <v>28848.509999999995</v>
      </c>
      <c r="I79" s="323">
        <f>+'Bill_Cam G3'!N40</f>
        <v>0.23360082076263872</v>
      </c>
      <c r="J79" s="162"/>
      <c r="K79" s="324">
        <f t="shared" si="24"/>
        <v>346182.11999999994</v>
      </c>
      <c r="L79" s="162">
        <f t="shared" si="25"/>
        <v>0.23360082076263872</v>
      </c>
    </row>
    <row r="80" spans="1:12" ht="14" x14ac:dyDescent="0.3">
      <c r="A80" s="138" t="str">
        <f>IF(B80&lt;&gt;"",COUNTA($B$11:B80),"")</f>
        <v/>
      </c>
      <c r="E80" s="321"/>
      <c r="F80" s="321"/>
      <c r="G80" s="321"/>
      <c r="H80" s="322"/>
      <c r="I80" s="323"/>
      <c r="J80" s="162"/>
      <c r="K80" s="324"/>
      <c r="L80" s="162"/>
    </row>
    <row r="81" spans="1:12" ht="14" x14ac:dyDescent="0.3">
      <c r="A81" s="138">
        <f>IF(B81&lt;&gt;"",COUNTA($B$11:B81),"")</f>
        <v>55</v>
      </c>
      <c r="B81" s="130" t="s">
        <v>119</v>
      </c>
      <c r="C81" s="188" t="s">
        <v>123</v>
      </c>
      <c r="E81" s="321">
        <f>+'Bill_Cam G4'!D21</f>
        <v>14400</v>
      </c>
      <c r="F81" s="321">
        <f>+'Bill_Cam G4'!C21</f>
        <v>36</v>
      </c>
      <c r="G81" s="321"/>
      <c r="H81" s="322">
        <f>+'Bill_Cam G4'!M21</f>
        <v>198.80000000000018</v>
      </c>
      <c r="I81" s="323">
        <f>+'Bill_Cam G4'!N21</f>
        <v>7.7021424973848437E-2</v>
      </c>
      <c r="J81" s="162"/>
      <c r="K81" s="324">
        <f t="shared" ref="K81:K83" si="26">+H81*12</f>
        <v>2385.6000000000022</v>
      </c>
      <c r="L81" s="162">
        <f t="shared" ref="L81:L83" si="27">+I81</f>
        <v>7.7021424973848437E-2</v>
      </c>
    </row>
    <row r="82" spans="1:12" ht="14" x14ac:dyDescent="0.3">
      <c r="A82" s="138">
        <f>IF(B82&lt;&gt;"",COUNTA($B$11:B82),"")</f>
        <v>56</v>
      </c>
      <c r="B82" s="130" t="s">
        <v>119</v>
      </c>
      <c r="C82" s="188" t="s">
        <v>123</v>
      </c>
      <c r="E82" s="321">
        <f>+'Bill_Cam G4'!D29</f>
        <v>19000</v>
      </c>
      <c r="F82" s="321">
        <f>+'Bill_Cam G4'!C29</f>
        <v>38</v>
      </c>
      <c r="G82" s="321"/>
      <c r="H82" s="322">
        <f>+'Bill_Cam G4'!M29</f>
        <v>283.48</v>
      </c>
      <c r="I82" s="323">
        <f>+'Bill_Cam G4'!N29</f>
        <v>8.6753477269597423E-2</v>
      </c>
      <c r="J82" s="162"/>
      <c r="K82" s="324">
        <f t="shared" si="26"/>
        <v>3401.76</v>
      </c>
      <c r="L82" s="162">
        <f t="shared" si="27"/>
        <v>8.6753477269597423E-2</v>
      </c>
    </row>
    <row r="83" spans="1:12" ht="14" x14ac:dyDescent="0.3">
      <c r="A83" s="138">
        <f>IF(B83&lt;&gt;"",COUNTA($B$11:B83),"")</f>
        <v>57</v>
      </c>
      <c r="B83" s="130" t="s">
        <v>119</v>
      </c>
      <c r="C83" s="188" t="s">
        <v>123</v>
      </c>
      <c r="E83" s="321">
        <f>+'Bill_Cam G4'!D37</f>
        <v>21000</v>
      </c>
      <c r="F83" s="321">
        <f>+'Bill_Cam G4'!C37</f>
        <v>35</v>
      </c>
      <c r="G83" s="321"/>
      <c r="H83" s="322">
        <f>+'Bill_Cam G4'!M37</f>
        <v>328.92999999999938</v>
      </c>
      <c r="I83" s="323">
        <f>+'Bill_Cam G4'!N37</f>
        <v>9.3671953091404941E-2</v>
      </c>
      <c r="J83" s="162"/>
      <c r="K83" s="324">
        <f t="shared" si="26"/>
        <v>3947.1599999999926</v>
      </c>
      <c r="L83" s="162">
        <f t="shared" si="27"/>
        <v>9.3671953091404941E-2</v>
      </c>
    </row>
    <row r="84" spans="1:12" ht="14" x14ac:dyDescent="0.3">
      <c r="A84" s="138" t="str">
        <f>IF(B84&lt;&gt;"",COUNTA($B$11:B84),"")</f>
        <v/>
      </c>
      <c r="E84" s="321"/>
      <c r="F84" s="321"/>
      <c r="G84" s="321"/>
      <c r="H84" s="322"/>
      <c r="I84" s="323"/>
      <c r="J84" s="162"/>
      <c r="K84" s="324"/>
      <c r="L84" s="162"/>
    </row>
    <row r="85" spans="1:12" ht="14" x14ac:dyDescent="0.3">
      <c r="A85" s="138">
        <f>IF(B85&lt;&gt;"",COUNTA($B$11:B85),"")</f>
        <v>58</v>
      </c>
      <c r="B85" s="130" t="s">
        <v>119</v>
      </c>
      <c r="C85" s="188" t="s">
        <v>124</v>
      </c>
      <c r="E85" s="321">
        <f>+'Bill_Cam G5'!C24</f>
        <v>4756</v>
      </c>
      <c r="F85" s="321"/>
      <c r="G85" s="321"/>
      <c r="H85" s="322">
        <f>+'Bill_Cam G5'!L24</f>
        <v>82.710000000000036</v>
      </c>
      <c r="I85" s="323">
        <f>+'Bill_Cam G5'!M24</f>
        <v>9.8658078368223337E-2</v>
      </c>
      <c r="J85" s="162"/>
      <c r="K85" s="324">
        <f t="shared" ref="K85" si="28">+H85*12</f>
        <v>992.52000000000044</v>
      </c>
      <c r="L85" s="162">
        <f t="shared" ref="L85" si="29">+I85</f>
        <v>9.8658078368223337E-2</v>
      </c>
    </row>
    <row r="86" spans="1:12" ht="14" x14ac:dyDescent="0.3">
      <c r="A86" s="138" t="str">
        <f>IF(B86&lt;&gt;"",COUNTA($B$11:B86),"")</f>
        <v/>
      </c>
      <c r="E86" s="321"/>
      <c r="F86" s="321"/>
      <c r="G86" s="321"/>
      <c r="H86" s="322"/>
      <c r="I86" s="323"/>
      <c r="J86" s="162"/>
      <c r="K86" s="324"/>
      <c r="L86" s="162"/>
    </row>
    <row r="87" spans="1:12" ht="14" x14ac:dyDescent="0.3">
      <c r="A87" s="138">
        <f>IF(B87&lt;&gt;"",COUNTA($B$11:B87),"")</f>
        <v>59</v>
      </c>
      <c r="B87" s="130" t="s">
        <v>119</v>
      </c>
      <c r="C87" s="188" t="s">
        <v>128</v>
      </c>
      <c r="E87" s="321">
        <f>+'Bill_Cam G6'!C24</f>
        <v>593</v>
      </c>
      <c r="F87" s="321"/>
      <c r="G87" s="321"/>
      <c r="H87" s="322">
        <f>+'Bill_Cam G6'!L24</f>
        <v>10.61999999999999</v>
      </c>
      <c r="I87" s="323">
        <f>+'Bill_Cam G6'!M24</f>
        <v>9.4669281511855857E-2</v>
      </c>
      <c r="J87" s="162"/>
      <c r="K87" s="324">
        <f t="shared" ref="K87" si="30">+H87*12</f>
        <v>127.43999999999988</v>
      </c>
      <c r="L87" s="162">
        <f t="shared" ref="L87" si="31">+I87</f>
        <v>9.4669281511855857E-2</v>
      </c>
    </row>
    <row r="88" spans="1:12" ht="14" x14ac:dyDescent="0.3">
      <c r="A88" s="138" t="str">
        <f>IF(B88&lt;&gt;"",COUNTA($B$11:B88),"")</f>
        <v/>
      </c>
      <c r="E88" s="321"/>
      <c r="F88" s="321"/>
      <c r="G88" s="321"/>
      <c r="H88" s="322"/>
      <c r="I88" s="323"/>
      <c r="J88" s="162"/>
      <c r="K88" s="324"/>
      <c r="L88" s="162"/>
    </row>
    <row r="89" spans="1:12" ht="14" x14ac:dyDescent="0.3">
      <c r="A89" s="138">
        <f>IF(B89&lt;&gt;"",COUNTA($B$11:B89),"")</f>
        <v>60</v>
      </c>
      <c r="B89" s="130" t="s">
        <v>125</v>
      </c>
      <c r="C89" s="188" t="s">
        <v>543</v>
      </c>
      <c r="E89" s="321">
        <f>+'Bill_South G1'!D22</f>
        <v>400</v>
      </c>
      <c r="F89" s="321">
        <f>+'Bill_South G1'!C22</f>
        <v>2</v>
      </c>
      <c r="G89" s="321"/>
      <c r="H89" s="322">
        <f>+'Bill_South G1'!M22</f>
        <v>6.7000000000000028</v>
      </c>
      <c r="I89" s="323">
        <f>+'Bill_South G1'!N22</f>
        <v>7.6597690636789784E-2</v>
      </c>
      <c r="J89" s="162"/>
      <c r="K89" s="324">
        <f t="shared" ref="K89:K91" si="32">+H89*12</f>
        <v>80.400000000000034</v>
      </c>
      <c r="L89" s="162">
        <f t="shared" ref="L89:L91" si="33">+I89</f>
        <v>7.6597690636789784E-2</v>
      </c>
    </row>
    <row r="90" spans="1:12" ht="14" x14ac:dyDescent="0.3">
      <c r="A90" s="138">
        <f>IF(B90&lt;&gt;"",COUNTA($B$11:B90),"")</f>
        <v>61</v>
      </c>
      <c r="B90" s="130" t="s">
        <v>125</v>
      </c>
      <c r="C90" s="188" t="s">
        <v>543</v>
      </c>
      <c r="E90" s="321">
        <f>+'Bill_South G1'!D31</f>
        <v>5700</v>
      </c>
      <c r="F90" s="321">
        <f>+'Bill_South G1'!C31</f>
        <v>19</v>
      </c>
      <c r="G90" s="321"/>
      <c r="H90" s="322">
        <f>+'Bill_South G1'!M31</f>
        <v>93.340000000000146</v>
      </c>
      <c r="I90" s="323">
        <f>+'Bill_South G1'!N31</f>
        <v>8.4099939632569717E-2</v>
      </c>
      <c r="J90" s="162"/>
      <c r="K90" s="324">
        <f t="shared" si="32"/>
        <v>1120.0800000000017</v>
      </c>
      <c r="L90" s="162">
        <f t="shared" si="33"/>
        <v>8.4099939632569717E-2</v>
      </c>
    </row>
    <row r="91" spans="1:12" ht="14" x14ac:dyDescent="0.3">
      <c r="A91" s="138">
        <f>IF(B91&lt;&gt;"",COUNTA($B$11:B91),"")</f>
        <v>62</v>
      </c>
      <c r="B91" s="130" t="s">
        <v>125</v>
      </c>
      <c r="C91" s="188" t="s">
        <v>543</v>
      </c>
      <c r="E91" s="321">
        <f>+'Bill_South G1'!D40</f>
        <v>10800</v>
      </c>
      <c r="F91" s="321">
        <f>+'Bill_South G1'!C40</f>
        <v>27</v>
      </c>
      <c r="G91" s="321"/>
      <c r="H91" s="322">
        <f>+'Bill_South G1'!M40</f>
        <v>174.59000000000015</v>
      </c>
      <c r="I91" s="323">
        <f>+'Bill_South G1'!N40</f>
        <v>8.5740103227960995E-2</v>
      </c>
      <c r="J91" s="162"/>
      <c r="K91" s="324">
        <f t="shared" si="32"/>
        <v>2095.0800000000017</v>
      </c>
      <c r="L91" s="162">
        <f t="shared" si="33"/>
        <v>8.5740103227960995E-2</v>
      </c>
    </row>
    <row r="92" spans="1:12" ht="14" x14ac:dyDescent="0.3">
      <c r="A92" s="138" t="str">
        <f>IF(B92&lt;&gt;"",COUNTA($B$11:B92),"")</f>
        <v/>
      </c>
      <c r="E92" s="321"/>
      <c r="F92" s="321"/>
      <c r="G92" s="321"/>
      <c r="H92" s="322"/>
      <c r="I92" s="323"/>
      <c r="J92" s="162"/>
      <c r="K92" s="324"/>
      <c r="L92" s="162"/>
    </row>
    <row r="93" spans="1:12" ht="14" x14ac:dyDescent="0.3">
      <c r="A93" s="138">
        <f>IF(B93&lt;&gt;"",COUNTA($B$11:B93),"")</f>
        <v>63</v>
      </c>
      <c r="B93" s="130" t="s">
        <v>125</v>
      </c>
      <c r="C93" s="188" t="s">
        <v>544</v>
      </c>
      <c r="E93" s="321">
        <f>+'Bill_South G1S'!D20</f>
        <v>450</v>
      </c>
      <c r="F93" s="321">
        <f>+'Bill_South G1S'!C20</f>
        <v>9</v>
      </c>
      <c r="G93" s="321"/>
      <c r="H93" s="322">
        <f>+'Bill_South G1S'!M20</f>
        <v>8.1599999999999966</v>
      </c>
      <c r="I93" s="323">
        <f>+'Bill_South G1S'!N20</f>
        <v>7.2129408644921747E-2</v>
      </c>
      <c r="J93" s="162"/>
      <c r="K93" s="324">
        <f t="shared" ref="K93:K95" si="34">+H93*12</f>
        <v>97.919999999999959</v>
      </c>
      <c r="L93" s="162">
        <f t="shared" ref="L93:L95" si="35">+I93</f>
        <v>7.2129408644921747E-2</v>
      </c>
    </row>
    <row r="94" spans="1:12" ht="14" x14ac:dyDescent="0.3">
      <c r="A94" s="138">
        <f>IF(B94&lt;&gt;"",COUNTA($B$11:B94),"")</f>
        <v>64</v>
      </c>
      <c r="B94" s="130" t="s">
        <v>125</v>
      </c>
      <c r="C94" s="188" t="s">
        <v>544</v>
      </c>
      <c r="E94" s="321">
        <f>+'Bill_South G1S'!D27</f>
        <v>1200</v>
      </c>
      <c r="F94" s="321">
        <f>+'Bill_South G1S'!C27</f>
        <v>8</v>
      </c>
      <c r="G94" s="321"/>
      <c r="H94" s="322">
        <f>+'Bill_South G1S'!M27</f>
        <v>21.739999999999952</v>
      </c>
      <c r="I94" s="323">
        <f>+'Bill_South G1S'!N27</f>
        <v>7.452862529996554E-2</v>
      </c>
      <c r="J94" s="162"/>
      <c r="K94" s="324">
        <f t="shared" si="34"/>
        <v>260.87999999999943</v>
      </c>
      <c r="L94" s="162">
        <f t="shared" si="35"/>
        <v>7.452862529996554E-2</v>
      </c>
    </row>
    <row r="95" spans="1:12" ht="14" x14ac:dyDescent="0.3">
      <c r="A95" s="138">
        <f>IF(B95&lt;&gt;"",COUNTA($B$11:B95),"")</f>
        <v>65</v>
      </c>
      <c r="B95" s="130" t="s">
        <v>125</v>
      </c>
      <c r="C95" s="188" t="s">
        <v>544</v>
      </c>
      <c r="E95" s="321">
        <f>+'Bill_South G1S'!D34</f>
        <v>2700</v>
      </c>
      <c r="F95" s="321">
        <f>+'Bill_South G1S'!C34</f>
        <v>9</v>
      </c>
      <c r="G95" s="321"/>
      <c r="H95" s="322">
        <f>+'Bill_South G1S'!M34</f>
        <v>47.159999999999968</v>
      </c>
      <c r="I95" s="323">
        <f>+'Bill_South G1S'!N34</f>
        <v>7.8243989846199735E-2</v>
      </c>
      <c r="J95" s="162"/>
      <c r="K95" s="324">
        <f t="shared" si="34"/>
        <v>565.91999999999962</v>
      </c>
      <c r="L95" s="162">
        <f t="shared" si="35"/>
        <v>7.8243989846199735E-2</v>
      </c>
    </row>
    <row r="96" spans="1:12" ht="14" x14ac:dyDescent="0.3">
      <c r="A96" s="138" t="str">
        <f>IF(B96&lt;&gt;"",COUNTA($B$11:B96),"")</f>
        <v/>
      </c>
      <c r="E96" s="321"/>
      <c r="F96" s="321"/>
      <c r="G96" s="321"/>
      <c r="H96" s="322"/>
      <c r="I96" s="323"/>
      <c r="J96" s="162"/>
      <c r="K96" s="324"/>
      <c r="L96" s="162"/>
    </row>
    <row r="97" spans="1:12" ht="14" x14ac:dyDescent="0.3">
      <c r="A97" s="138">
        <f>IF(B97&lt;&gt;"",COUNTA($B$11:B97),"")</f>
        <v>66</v>
      </c>
      <c r="B97" s="130" t="s">
        <v>125</v>
      </c>
      <c r="C97" s="188" t="s">
        <v>121</v>
      </c>
      <c r="E97" s="321">
        <f>+'Bill_South G2'!D21</f>
        <v>61500</v>
      </c>
      <c r="F97" s="321">
        <f>+'Bill_South G2'!C21</f>
        <v>205</v>
      </c>
      <c r="G97" s="321"/>
      <c r="H97" s="322">
        <f>+'Bill_South G2'!M21</f>
        <v>2129.5800000000017</v>
      </c>
      <c r="I97" s="323">
        <f>+'Bill_South G2'!N21</f>
        <v>0.17688805014311668</v>
      </c>
      <c r="J97" s="162"/>
      <c r="K97" s="324">
        <f t="shared" ref="K97:K99" si="36">+H97*12</f>
        <v>25554.960000000021</v>
      </c>
      <c r="L97" s="162">
        <f t="shared" ref="L97:L99" si="37">+I97</f>
        <v>0.17688805014311668</v>
      </c>
    </row>
    <row r="98" spans="1:12" ht="14" x14ac:dyDescent="0.3">
      <c r="A98" s="138">
        <f>IF(B98&lt;&gt;"",COUNTA($B$11:B98),"")</f>
        <v>67</v>
      </c>
      <c r="B98" s="130" t="s">
        <v>125</v>
      </c>
      <c r="C98" s="188" t="s">
        <v>121</v>
      </c>
      <c r="E98" s="321">
        <f>+'Bill_South G2'!D29</f>
        <v>85600</v>
      </c>
      <c r="F98" s="321">
        <f>+'Bill_South G2'!C29</f>
        <v>214</v>
      </c>
      <c r="G98" s="321"/>
      <c r="H98" s="322">
        <f>+'Bill_South G2'!M29</f>
        <v>3066.8199999999997</v>
      </c>
      <c r="I98" s="323">
        <f>+'Bill_South G2'!N29</f>
        <v>0.19261367668772955</v>
      </c>
      <c r="J98" s="162"/>
      <c r="K98" s="324">
        <f t="shared" si="36"/>
        <v>36801.839999999997</v>
      </c>
      <c r="L98" s="162">
        <f t="shared" si="37"/>
        <v>0.19261367668772955</v>
      </c>
    </row>
    <row r="99" spans="1:12" ht="14" x14ac:dyDescent="0.3">
      <c r="A99" s="138">
        <f>IF(B99&lt;&gt;"",COUNTA($B$11:B99),"")</f>
        <v>68</v>
      </c>
      <c r="B99" s="130" t="s">
        <v>125</v>
      </c>
      <c r="C99" s="188" t="s">
        <v>121</v>
      </c>
      <c r="E99" s="321">
        <f>+'Bill_South G2'!D37</f>
        <v>126500</v>
      </c>
      <c r="F99" s="321">
        <f>+'Bill_South G2'!C37</f>
        <v>253</v>
      </c>
      <c r="G99" s="321"/>
      <c r="H99" s="322">
        <f>+'Bill_South G2'!M37</f>
        <v>4623.25</v>
      </c>
      <c r="I99" s="323">
        <f>+'Bill_South G2'!N37</f>
        <v>0.20329698839471341</v>
      </c>
      <c r="J99" s="162"/>
      <c r="K99" s="324">
        <f t="shared" si="36"/>
        <v>55479</v>
      </c>
      <c r="L99" s="162">
        <f t="shared" si="37"/>
        <v>0.20329698839471341</v>
      </c>
    </row>
    <row r="100" spans="1:12" ht="14" x14ac:dyDescent="0.3">
      <c r="A100" s="138" t="str">
        <f>IF(B100&lt;&gt;"",COUNTA($B$11:B100),"")</f>
        <v/>
      </c>
      <c r="E100" s="321"/>
      <c r="F100" s="321"/>
      <c r="G100" s="321"/>
      <c r="H100" s="322"/>
      <c r="I100" s="323"/>
      <c r="J100" s="162"/>
      <c r="K100" s="324"/>
      <c r="L100" s="162"/>
    </row>
    <row r="101" spans="1:12" ht="14" x14ac:dyDescent="0.3">
      <c r="A101" s="138">
        <f>IF(B101&lt;&gt;"",COUNTA($B$11:B101),"")</f>
        <v>69</v>
      </c>
      <c r="B101" s="130" t="s">
        <v>125</v>
      </c>
      <c r="C101" s="188" t="s">
        <v>127</v>
      </c>
      <c r="E101" s="321">
        <f>+'Bill_South G3'!D21</f>
        <v>373100</v>
      </c>
      <c r="F101" s="321">
        <f>+'Bill_South G3'!C21</f>
        <v>1066</v>
      </c>
      <c r="G101" s="321"/>
      <c r="H101" s="322">
        <f>+'Bill_South G3'!M21</f>
        <v>13677.990000000005</v>
      </c>
      <c r="I101" s="323">
        <f>+'Bill_South G3'!N21</f>
        <v>0.20587712025893765</v>
      </c>
      <c r="J101" s="162"/>
      <c r="K101" s="324">
        <f t="shared" ref="K101:K103" si="38">+H101*12</f>
        <v>164135.88000000006</v>
      </c>
      <c r="L101" s="162">
        <f t="shared" ref="L101:L103" si="39">+I101</f>
        <v>0.20587712025893765</v>
      </c>
    </row>
    <row r="102" spans="1:12" ht="14" x14ac:dyDescent="0.3">
      <c r="A102" s="138">
        <f>IF(B102&lt;&gt;"",COUNTA($B$11:B102),"")</f>
        <v>70</v>
      </c>
      <c r="B102" s="130" t="s">
        <v>125</v>
      </c>
      <c r="C102" s="188" t="s">
        <v>127</v>
      </c>
      <c r="E102" s="321">
        <f>+'Bill_South G3'!D29</f>
        <v>354600</v>
      </c>
      <c r="F102" s="321">
        <f>+'Bill_South G3'!C29</f>
        <v>788</v>
      </c>
      <c r="G102" s="321"/>
      <c r="H102" s="322">
        <f>+'Bill_South G3'!M29</f>
        <v>13227.160000000003</v>
      </c>
      <c r="I102" s="323">
        <f>+'Bill_South G3'!N29</f>
        <v>0.21633179829622173</v>
      </c>
      <c r="J102" s="162"/>
      <c r="K102" s="324">
        <f t="shared" si="38"/>
        <v>158725.92000000004</v>
      </c>
      <c r="L102" s="162">
        <f t="shared" si="39"/>
        <v>0.21633179829622173</v>
      </c>
    </row>
    <row r="103" spans="1:12" ht="14" x14ac:dyDescent="0.3">
      <c r="A103" s="138">
        <f>IF(B103&lt;&gt;"",COUNTA($B$11:B103),"")</f>
        <v>71</v>
      </c>
      <c r="B103" s="130" t="s">
        <v>125</v>
      </c>
      <c r="C103" s="188" t="s">
        <v>127</v>
      </c>
      <c r="E103" s="321">
        <f>+'Bill_South G3'!D37</f>
        <v>614900</v>
      </c>
      <c r="F103" s="321">
        <f>+'Bill_South G3'!C37</f>
        <v>1118</v>
      </c>
      <c r="G103" s="321"/>
      <c r="H103" s="322">
        <f>+'Bill_South G3'!M37</f>
        <v>23187.72</v>
      </c>
      <c r="I103" s="323">
        <f>+'Bill_South G3'!N37</f>
        <v>0.2249381941187284</v>
      </c>
      <c r="J103" s="162"/>
      <c r="K103" s="324">
        <f t="shared" si="38"/>
        <v>278252.64</v>
      </c>
      <c r="L103" s="162">
        <f t="shared" si="39"/>
        <v>0.2249381941187284</v>
      </c>
    </row>
    <row r="104" spans="1:12" ht="14" x14ac:dyDescent="0.3">
      <c r="A104" s="138" t="str">
        <f>IF(B104&lt;&gt;"",COUNTA($B$11:B104),"")</f>
        <v/>
      </c>
      <c r="E104" s="321"/>
      <c r="F104" s="321"/>
      <c r="G104" s="321"/>
      <c r="H104" s="322"/>
      <c r="I104" s="323"/>
      <c r="J104" s="162"/>
      <c r="K104" s="324"/>
      <c r="L104" s="162"/>
    </row>
    <row r="105" spans="1:12" ht="14" x14ac:dyDescent="0.3">
      <c r="A105" s="138">
        <f>IF(B105&lt;&gt;"",COUNTA($B$11:B105),"")</f>
        <v>72</v>
      </c>
      <c r="B105" s="130" t="s">
        <v>125</v>
      </c>
      <c r="C105" s="188" t="s">
        <v>123</v>
      </c>
      <c r="E105" s="321">
        <f>+'Bill_South G4'!D21</f>
        <v>7800</v>
      </c>
      <c r="F105" s="321">
        <f>+'Bill_South G4'!C21</f>
        <v>52</v>
      </c>
      <c r="G105" s="321"/>
      <c r="H105" s="322">
        <f>+'Bill_South G4'!M21</f>
        <v>148.88000000000011</v>
      </c>
      <c r="I105" s="323">
        <f>+'Bill_South G4'!N21</f>
        <v>0.10095749586350945</v>
      </c>
      <c r="K105" s="324">
        <f t="shared" ref="K105:K107" si="40">+H105*12</f>
        <v>1786.5600000000013</v>
      </c>
      <c r="L105" s="162">
        <f t="shared" ref="L105:L107" si="41">+I105</f>
        <v>0.10095749586350945</v>
      </c>
    </row>
    <row r="106" spans="1:12" ht="14" x14ac:dyDescent="0.3">
      <c r="A106" s="138">
        <f>IF(B106&lt;&gt;"",COUNTA($B$11:B106),"")</f>
        <v>73</v>
      </c>
      <c r="B106" s="130" t="s">
        <v>125</v>
      </c>
      <c r="C106" s="188" t="s">
        <v>123</v>
      </c>
      <c r="E106" s="321">
        <f>+'Bill_South G4'!D29</f>
        <v>6750</v>
      </c>
      <c r="F106" s="321">
        <f>+'Bill_South G4'!C29</f>
        <v>27</v>
      </c>
      <c r="G106" s="321"/>
      <c r="H106" s="322">
        <f>+'Bill_South G4'!M29</f>
        <v>131.89999999999986</v>
      </c>
      <c r="I106" s="323">
        <f>+'Bill_South G4'!N29</f>
        <v>0.11017005779960565</v>
      </c>
      <c r="K106" s="324">
        <f t="shared" si="40"/>
        <v>1582.7999999999984</v>
      </c>
      <c r="L106" s="162">
        <f t="shared" si="41"/>
        <v>0.11017005779960565</v>
      </c>
    </row>
    <row r="107" spans="1:12" ht="14" x14ac:dyDescent="0.3">
      <c r="A107" s="138">
        <f>IF(B107&lt;&gt;"",COUNTA($B$11:B107),"")</f>
        <v>74</v>
      </c>
      <c r="B107" s="130" t="s">
        <v>125</v>
      </c>
      <c r="C107" s="188" t="s">
        <v>123</v>
      </c>
      <c r="E107" s="321">
        <f>+'Bill_South G4'!D37</f>
        <v>9450</v>
      </c>
      <c r="F107" s="321">
        <f>+'Bill_South G4'!C37</f>
        <v>27</v>
      </c>
      <c r="G107" s="321"/>
      <c r="H107" s="322">
        <f>+'Bill_South G4'!M37</f>
        <v>186.49000000000024</v>
      </c>
      <c r="I107" s="323">
        <f>+'Bill_South G4'!N37</f>
        <v>0.11470025647491543</v>
      </c>
      <c r="K107" s="324">
        <f t="shared" si="40"/>
        <v>2237.8800000000028</v>
      </c>
      <c r="L107" s="162">
        <f t="shared" si="41"/>
        <v>0.11470025647491543</v>
      </c>
    </row>
    <row r="108" spans="1:12" ht="14" x14ac:dyDescent="0.3">
      <c r="A108" s="138" t="str">
        <f>IF(B108&lt;&gt;"",COUNTA($B$11:B108),"")</f>
        <v/>
      </c>
      <c r="E108" s="321"/>
      <c r="F108" s="321"/>
      <c r="G108" s="321"/>
      <c r="H108" s="322"/>
      <c r="I108" s="323"/>
    </row>
    <row r="109" spans="1:12" ht="14" x14ac:dyDescent="0.3">
      <c r="A109" s="138">
        <f>IF(B109&lt;&gt;"",COUNTA($B$11:B109),"")</f>
        <v>75</v>
      </c>
      <c r="B109" s="130" t="s">
        <v>125</v>
      </c>
      <c r="C109" s="188" t="s">
        <v>124</v>
      </c>
      <c r="E109" s="321">
        <f>+'Bill_South G5'!C23</f>
        <v>1472</v>
      </c>
      <c r="F109" s="321"/>
      <c r="G109" s="321"/>
      <c r="H109" s="322">
        <f>+'Bill_South G5'!L23</f>
        <v>21.940000000000055</v>
      </c>
      <c r="I109" s="323">
        <f>+'Bill_South G5'!M23</f>
        <v>7.1109094444804746E-2</v>
      </c>
      <c r="K109" s="324">
        <f t="shared" ref="K109" si="42">+H109*12</f>
        <v>263.28000000000065</v>
      </c>
      <c r="L109" s="162">
        <f t="shared" ref="L109" si="43">+I109</f>
        <v>7.1109094444804746E-2</v>
      </c>
    </row>
    <row r="110" spans="1:12" ht="14" x14ac:dyDescent="0.3">
      <c r="A110" s="138" t="str">
        <f>IF(B110&lt;&gt;"",COUNTA($B$11:B110),"")</f>
        <v/>
      </c>
      <c r="E110" s="321"/>
      <c r="F110" s="321"/>
      <c r="G110" s="321"/>
      <c r="H110" s="322"/>
      <c r="I110" s="323"/>
    </row>
    <row r="111" spans="1:12" ht="14" x14ac:dyDescent="0.3">
      <c r="A111" s="138">
        <f>IF(B111&lt;&gt;"",COUNTA($B$11:B111),"")</f>
        <v>76</v>
      </c>
      <c r="B111" s="130" t="s">
        <v>125</v>
      </c>
      <c r="C111" s="188" t="s">
        <v>128</v>
      </c>
      <c r="E111" s="321">
        <f>+'Bill_South G6'!C19</f>
        <v>60748</v>
      </c>
      <c r="F111" s="321"/>
      <c r="G111" s="321"/>
      <c r="H111" s="322">
        <f>+'Bill_South G6'!L19</f>
        <v>1079.4899999999998</v>
      </c>
      <c r="I111" s="323">
        <f>+'Bill_South G6'!M19</f>
        <v>0.10133201914953532</v>
      </c>
      <c r="K111" s="324">
        <f t="shared" ref="K111" si="44">+H111*12</f>
        <v>12953.879999999997</v>
      </c>
      <c r="L111" s="162">
        <f t="shared" ref="L111" si="45">+I111</f>
        <v>0.10133201914953532</v>
      </c>
    </row>
    <row r="112" spans="1:12" ht="14" x14ac:dyDescent="0.3">
      <c r="A112" s="138" t="str">
        <f>IF(B112&lt;&gt;"",COUNTA($B$11:B112),"")</f>
        <v/>
      </c>
      <c r="E112" s="321"/>
      <c r="F112" s="321"/>
      <c r="G112" s="321"/>
      <c r="H112" s="322"/>
      <c r="I112" s="323"/>
    </row>
    <row r="113" spans="1:12" ht="14" x14ac:dyDescent="0.3">
      <c r="A113" s="138">
        <f>IF(B113&lt;&gt;"",COUNTA($B$11:B113),"")</f>
        <v>77</v>
      </c>
      <c r="B113" s="130" t="s">
        <v>125</v>
      </c>
      <c r="C113" s="188" t="s">
        <v>545</v>
      </c>
      <c r="E113" s="321">
        <f>+'Bill_South G7'!D21</f>
        <v>7000</v>
      </c>
      <c r="F113" s="321">
        <f>+'Bill_South G7'!C21</f>
        <v>20</v>
      </c>
      <c r="G113" s="321"/>
      <c r="H113" s="322">
        <f>+'Bill_South G7'!M21</f>
        <v>67.630000000000109</v>
      </c>
      <c r="I113" s="323">
        <f>+'Bill_South G7'!N21</f>
        <v>4.9378659774244035E-2</v>
      </c>
      <c r="K113" s="324">
        <f t="shared" ref="K113:K115" si="46">+H113*12</f>
        <v>811.56000000000131</v>
      </c>
      <c r="L113" s="162">
        <f t="shared" ref="L113:L115" si="47">+I113</f>
        <v>4.9378659774244035E-2</v>
      </c>
    </row>
    <row r="114" spans="1:12" ht="14" x14ac:dyDescent="0.3">
      <c r="A114" s="138">
        <f>IF(B114&lt;&gt;"",COUNTA($B$11:B114),"")</f>
        <v>78</v>
      </c>
      <c r="B114" s="130" t="s">
        <v>125</v>
      </c>
      <c r="C114" s="188" t="s">
        <v>545</v>
      </c>
      <c r="E114" s="321">
        <f>+'Bill_South G7'!D29</f>
        <v>15500</v>
      </c>
      <c r="F114" s="321">
        <f>+'Bill_South G7'!C29</f>
        <v>31</v>
      </c>
      <c r="G114" s="321"/>
      <c r="H114" s="322">
        <f>+'Bill_South G7'!M29</f>
        <v>194.92000000000007</v>
      </c>
      <c r="I114" s="323">
        <f>+'Bill_South G7'!N29</f>
        <v>6.8751697453026867E-2</v>
      </c>
      <c r="K114" s="324">
        <f t="shared" si="46"/>
        <v>2339.0400000000009</v>
      </c>
      <c r="L114" s="162">
        <f t="shared" si="47"/>
        <v>6.8751697453026867E-2</v>
      </c>
    </row>
    <row r="115" spans="1:12" ht="14" x14ac:dyDescent="0.3">
      <c r="A115" s="138">
        <f>IF(B115&lt;&gt;"",COUNTA($B$11:B115),"")</f>
        <v>79</v>
      </c>
      <c r="B115" s="130" t="s">
        <v>125</v>
      </c>
      <c r="C115" s="188" t="s">
        <v>545</v>
      </c>
      <c r="E115" s="321">
        <f>+'Bill_South G7'!D37</f>
        <v>11700</v>
      </c>
      <c r="F115" s="321">
        <f>+'Bill_South G7'!C37</f>
        <v>18</v>
      </c>
      <c r="G115" s="321"/>
      <c r="H115" s="322">
        <f>+'Bill_South G7'!M37</f>
        <v>165.5</v>
      </c>
      <c r="I115" s="323">
        <f>+'Bill_South G7'!N37</f>
        <v>8.0062695621465507E-2</v>
      </c>
      <c r="K115" s="324">
        <f t="shared" si="46"/>
        <v>1986</v>
      </c>
      <c r="L115" s="162">
        <f t="shared" si="47"/>
        <v>8.0062695621465507E-2</v>
      </c>
    </row>
    <row r="116" spans="1:12" ht="14" x14ac:dyDescent="0.3">
      <c r="A116" s="138" t="str">
        <f>IF(B116&lt;&gt;"",COUNTA($B$11:B116),"")</f>
        <v/>
      </c>
      <c r="E116" s="321"/>
      <c r="F116" s="321"/>
      <c r="G116" s="321"/>
      <c r="H116" s="322"/>
      <c r="I116" s="323"/>
    </row>
    <row r="117" spans="1:12" ht="14" x14ac:dyDescent="0.3">
      <c r="A117" s="138">
        <f>IF(B117&lt;&gt;"",COUNTA($B$11:B117),"")</f>
        <v>80</v>
      </c>
      <c r="B117" s="130" t="s">
        <v>125</v>
      </c>
      <c r="C117" s="188" t="s">
        <v>546</v>
      </c>
      <c r="E117" s="321">
        <f>+'Bill_South G7S'!D21</f>
        <v>450</v>
      </c>
      <c r="F117" s="321">
        <f>+'Bill_South G7S'!C21</f>
        <v>9</v>
      </c>
      <c r="G117" s="321"/>
      <c r="H117" s="322">
        <f>+'Bill_South G7S'!M21</f>
        <v>-7.5800000000000125</v>
      </c>
      <c r="I117" s="323">
        <f>+'Bill_South G7S'!N21</f>
        <v>-4.6230787997072531E-2</v>
      </c>
      <c r="K117" s="324">
        <f t="shared" ref="K117:K119" si="48">+H117*12</f>
        <v>-90.96000000000015</v>
      </c>
      <c r="L117" s="162">
        <f t="shared" ref="L117:L119" si="49">+I117</f>
        <v>-4.6230787997072531E-2</v>
      </c>
    </row>
    <row r="118" spans="1:12" ht="14" x14ac:dyDescent="0.3">
      <c r="A118" s="138">
        <f>IF(B118&lt;&gt;"",COUNTA($B$11:B118),"")</f>
        <v>81</v>
      </c>
      <c r="B118" s="130" t="s">
        <v>125</v>
      </c>
      <c r="C118" s="188" t="s">
        <v>546</v>
      </c>
      <c r="E118" s="321">
        <f>+'Bill_South G7S'!D29</f>
        <v>1500</v>
      </c>
      <c r="F118" s="321">
        <f>+'Bill_South G7S'!C29</f>
        <v>10</v>
      </c>
      <c r="G118" s="321"/>
      <c r="H118" s="322">
        <f>+'Bill_South G7S'!M29</f>
        <v>11.740000000000009</v>
      </c>
      <c r="I118" s="323">
        <f>+'Bill_South G7S'!N29</f>
        <v>3.2902665284044758E-2</v>
      </c>
      <c r="K118" s="324">
        <f t="shared" si="48"/>
        <v>140.88000000000011</v>
      </c>
      <c r="L118" s="162">
        <f t="shared" si="49"/>
        <v>3.2902665284044758E-2</v>
      </c>
    </row>
    <row r="119" spans="1:12" ht="14" x14ac:dyDescent="0.3">
      <c r="A119" s="138">
        <f>IF(B119&lt;&gt;"",COUNTA($B$11:B119),"")</f>
        <v>82</v>
      </c>
      <c r="B119" s="130" t="s">
        <v>125</v>
      </c>
      <c r="C119" s="188" t="s">
        <v>546</v>
      </c>
      <c r="E119" s="321">
        <f>+'Bill_South G7S'!D37</f>
        <v>3900</v>
      </c>
      <c r="F119" s="321">
        <f>+'Bill_South G7S'!C37</f>
        <v>13</v>
      </c>
      <c r="G119" s="321"/>
      <c r="H119" s="322">
        <f>+'Bill_South G7S'!M37</f>
        <v>54.57000000000005</v>
      </c>
      <c r="I119" s="323">
        <f>+'Bill_South G7S'!N37</f>
        <v>6.791198944669842E-2</v>
      </c>
      <c r="K119" s="324">
        <f t="shared" si="48"/>
        <v>654.8400000000006</v>
      </c>
      <c r="L119" s="162">
        <f t="shared" si="49"/>
        <v>6.791198944669842E-2</v>
      </c>
    </row>
    <row r="120" spans="1:12" ht="14" x14ac:dyDescent="0.3">
      <c r="H120" s="325"/>
      <c r="I120" s="323"/>
    </row>
    <row r="121" spans="1:12" ht="14" x14ac:dyDescent="0.3">
      <c r="H121" s="325"/>
      <c r="I121" s="323"/>
    </row>
    <row r="122" spans="1:12" ht="14" x14ac:dyDescent="0.3">
      <c r="I122" s="323"/>
    </row>
    <row r="123" spans="1:12" ht="14" x14ac:dyDescent="0.3">
      <c r="I123" s="323"/>
    </row>
    <row r="124" spans="1:12" ht="14" x14ac:dyDescent="0.3">
      <c r="I124" s="323"/>
    </row>
    <row r="125" spans="1:12" ht="14" x14ac:dyDescent="0.3">
      <c r="I125" s="323"/>
    </row>
    <row r="126" spans="1:12" ht="14" x14ac:dyDescent="0.3">
      <c r="I126" s="323"/>
    </row>
    <row r="127" spans="1:12" ht="14" x14ac:dyDescent="0.3">
      <c r="I127" s="323"/>
    </row>
    <row r="128" spans="1:12" ht="14" x14ac:dyDescent="0.3">
      <c r="I128" s="323"/>
    </row>
    <row r="129" spans="9:9" ht="14" x14ac:dyDescent="0.3">
      <c r="I129" s="323"/>
    </row>
    <row r="130" spans="9:9" ht="14" x14ac:dyDescent="0.3">
      <c r="I130" s="323"/>
    </row>
    <row r="131" spans="9:9" ht="14" x14ac:dyDescent="0.3">
      <c r="I131" s="323"/>
    </row>
    <row r="132" spans="9:9" ht="14" x14ac:dyDescent="0.3">
      <c r="I132" s="323"/>
    </row>
    <row r="133" spans="9:9" ht="14" x14ac:dyDescent="0.3">
      <c r="I133" s="323"/>
    </row>
    <row r="134" spans="9:9" ht="14" x14ac:dyDescent="0.3">
      <c r="I134" s="323"/>
    </row>
    <row r="135" spans="9:9" ht="14" x14ac:dyDescent="0.3">
      <c r="I135" s="323"/>
    </row>
    <row r="136" spans="9:9" ht="14" x14ac:dyDescent="0.3">
      <c r="I136" s="323"/>
    </row>
    <row r="137" spans="9:9" ht="14" x14ac:dyDescent="0.3">
      <c r="I137" s="323"/>
    </row>
    <row r="138" spans="9:9" ht="14" x14ac:dyDescent="0.3">
      <c r="I138" s="323"/>
    </row>
    <row r="139" spans="9:9" ht="14" x14ac:dyDescent="0.3">
      <c r="I139" s="323"/>
    </row>
    <row r="140" spans="9:9" ht="14" x14ac:dyDescent="0.3">
      <c r="I140" s="323"/>
    </row>
  </sheetData>
  <mergeCells count="6">
    <mergeCell ref="A4:L4"/>
    <mergeCell ref="A5:L5"/>
    <mergeCell ref="A6:L6"/>
    <mergeCell ref="E9:F9"/>
    <mergeCell ref="H9:I9"/>
    <mergeCell ref="K9:L9"/>
  </mergeCells>
  <pageMargins left="0.7" right="0.7" top="0.75" bottom="0.75" header="0.3" footer="0.3"/>
  <pageSetup scale="71" fitToHeight="2" orientation="portrait" r:id="rId1"/>
  <headerFooter>
    <oddHeader>&amp;RNSTAR Electric Company
d/b/a Eversource Energy
D.P.U. 18-120 (Dec. 26, 2018)
Exhibit ES-MQ-10 (Revised)
Page &amp;P of &amp;N</oddHeader>
  </headerFooter>
  <rowBreaks count="1" manualBreakCount="1">
    <brk id="6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E0B3C-A538-463B-B7FB-A4E9B50A21E1}">
  <sheetPr>
    <tabColor theme="9" tint="0.59999389629810485"/>
    <pageSetUpPr fitToPage="1"/>
  </sheetPr>
  <dimension ref="A3:AX111"/>
  <sheetViews>
    <sheetView zoomScaleNormal="100" workbookViewId="0">
      <pane xSplit="5" ySplit="10" topLeftCell="F11" activePane="bottomRight" state="frozen"/>
      <selection activeCell="J15" sqref="J15"/>
      <selection pane="topRight" activeCell="J15" sqref="J15"/>
      <selection pane="bottomLeft" activeCell="J15" sqref="J15"/>
      <selection pane="bottomRight"/>
    </sheetView>
  </sheetViews>
  <sheetFormatPr defaultRowHeight="12.5" x14ac:dyDescent="0.25"/>
  <cols>
    <col min="1" max="1" width="4.81640625" bestFit="1" customWidth="1"/>
    <col min="2" max="2" width="11.7265625" bestFit="1" customWidth="1"/>
    <col min="3" max="3" width="10.26953125" customWidth="1"/>
    <col min="4" max="4" width="16.54296875" customWidth="1"/>
    <col min="5" max="5" width="17.26953125" bestFit="1" customWidth="1"/>
    <col min="6" max="6" width="12.81640625" customWidth="1"/>
    <col min="8" max="8" width="1.7265625" customWidth="1"/>
    <col min="9" max="9" width="13.26953125" bestFit="1" customWidth="1"/>
    <col min="10" max="10" width="7" bestFit="1" customWidth="1"/>
    <col min="11" max="11" width="1.7265625" customWidth="1"/>
    <col min="12" max="12" width="12.81640625" customWidth="1"/>
    <col min="13" max="13" width="7" bestFit="1" customWidth="1"/>
    <col min="14" max="14" width="1.7265625" customWidth="1"/>
    <col min="15" max="15" width="14.81640625" customWidth="1"/>
    <col min="16" max="16" width="7" bestFit="1" customWidth="1"/>
    <col min="17" max="17" width="1.7265625" customWidth="1"/>
    <col min="18" max="18" width="13.26953125" bestFit="1" customWidth="1"/>
    <col min="19" max="19" width="7" bestFit="1" customWidth="1"/>
    <col min="20" max="20" width="1.7265625" customWidth="1"/>
    <col min="21" max="21" width="10.26953125" bestFit="1" customWidth="1"/>
    <col min="22" max="22" width="7" bestFit="1" customWidth="1"/>
    <col min="23" max="23" width="1.7265625" customWidth="1"/>
    <col min="24" max="24" width="13.26953125" bestFit="1" customWidth="1"/>
    <col min="25" max="25" width="7" bestFit="1" customWidth="1"/>
    <col min="26" max="26" width="1.7265625" customWidth="1"/>
    <col min="27" max="27" width="10.7265625" customWidth="1"/>
    <col min="28" max="28" width="9.7265625" customWidth="1"/>
    <col min="29" max="29" width="1.7265625" customWidth="1"/>
    <col min="30" max="30" width="12.453125" customWidth="1"/>
    <col min="31" max="31" width="7" bestFit="1" customWidth="1"/>
    <col min="32" max="32" width="1.7265625" customWidth="1"/>
    <col min="33" max="33" width="11" bestFit="1" customWidth="1"/>
    <col min="34" max="34" width="7" bestFit="1" customWidth="1"/>
    <col min="35" max="35" width="1.7265625" customWidth="1"/>
    <col min="36" max="36" width="12.81640625" customWidth="1"/>
    <col min="37" max="37" width="12.54296875" customWidth="1"/>
    <col min="38" max="38" width="1.7265625" customWidth="1"/>
    <col min="39" max="39" width="13.26953125" bestFit="1" customWidth="1"/>
    <col min="40" max="40" width="12.453125" customWidth="1"/>
    <col min="41" max="41" width="1.7265625" customWidth="1"/>
    <col min="42" max="42" width="13.26953125" bestFit="1" customWidth="1"/>
    <col min="43" max="43" width="9.7265625" customWidth="1"/>
    <col min="44" max="44" width="1.7265625" customWidth="1"/>
    <col min="45" max="45" width="13.26953125" bestFit="1" customWidth="1"/>
    <col min="46" max="46" width="9.7265625" customWidth="1"/>
    <col min="47" max="47" width="1.7265625" customWidth="1"/>
    <col min="48" max="48" width="14.453125" bestFit="1" customWidth="1"/>
    <col min="49" max="49" width="9.54296875" customWidth="1"/>
    <col min="50" max="50" width="1.7265625" customWidth="1"/>
  </cols>
  <sheetData>
    <row r="3" spans="1:50" ht="14" x14ac:dyDescent="0.3">
      <c r="A3" s="126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</row>
    <row r="4" spans="1:50" ht="14" x14ac:dyDescent="0.3">
      <c r="A4" s="744" t="s">
        <v>229</v>
      </c>
      <c r="B4" s="744"/>
      <c r="C4" s="744"/>
      <c r="D4" s="744"/>
      <c r="E4" s="744"/>
      <c r="F4" s="744"/>
      <c r="G4" s="744"/>
      <c r="H4" s="744"/>
      <c r="I4" s="744"/>
      <c r="J4" s="744"/>
      <c r="K4" s="744"/>
      <c r="L4" s="744"/>
      <c r="M4" s="744"/>
      <c r="N4" s="744"/>
      <c r="O4" s="744"/>
      <c r="P4" s="744"/>
      <c r="Q4" s="744"/>
      <c r="R4" s="744"/>
      <c r="S4" s="744"/>
      <c r="T4" s="744"/>
      <c r="U4" s="744"/>
      <c r="V4" s="744"/>
      <c r="W4" s="744"/>
      <c r="X4" s="744"/>
      <c r="Y4" s="744"/>
      <c r="Z4" s="744"/>
      <c r="AA4" s="744"/>
      <c r="AB4" s="744"/>
      <c r="AC4" s="744"/>
      <c r="AD4" s="744"/>
      <c r="AE4" s="744"/>
      <c r="AF4" s="744"/>
      <c r="AG4" s="744"/>
      <c r="AH4" s="744"/>
      <c r="AI4" s="744"/>
      <c r="AJ4" s="744"/>
      <c r="AK4" s="744"/>
      <c r="AL4" s="744"/>
      <c r="AM4" s="744"/>
      <c r="AN4" s="744"/>
      <c r="AO4" s="744"/>
      <c r="AP4" s="744"/>
      <c r="AQ4" s="744"/>
      <c r="AR4" s="744"/>
      <c r="AS4" s="744"/>
      <c r="AT4" s="744"/>
      <c r="AU4" s="744"/>
      <c r="AV4" s="744"/>
      <c r="AW4" s="744"/>
      <c r="AX4" s="126"/>
    </row>
    <row r="5" spans="1:50" ht="14" x14ac:dyDescent="0.3">
      <c r="A5" s="744" t="s">
        <v>276</v>
      </c>
      <c r="B5" s="744"/>
      <c r="C5" s="744"/>
      <c r="D5" s="744"/>
      <c r="E5" s="744"/>
      <c r="F5" s="744"/>
      <c r="G5" s="744"/>
      <c r="H5" s="744"/>
      <c r="I5" s="744"/>
      <c r="J5" s="744"/>
      <c r="K5" s="744"/>
      <c r="L5" s="744"/>
      <c r="M5" s="744"/>
      <c r="N5" s="744"/>
      <c r="O5" s="744"/>
      <c r="P5" s="744"/>
      <c r="Q5" s="744"/>
      <c r="R5" s="744"/>
      <c r="S5" s="744"/>
      <c r="T5" s="744"/>
      <c r="U5" s="744"/>
      <c r="V5" s="744"/>
      <c r="W5" s="744"/>
      <c r="X5" s="744"/>
      <c r="Y5" s="744"/>
      <c r="Z5" s="744"/>
      <c r="AA5" s="744"/>
      <c r="AB5" s="744"/>
      <c r="AC5" s="744"/>
      <c r="AD5" s="744"/>
      <c r="AE5" s="744"/>
      <c r="AF5" s="744"/>
      <c r="AG5" s="744"/>
      <c r="AH5" s="744"/>
      <c r="AI5" s="744"/>
      <c r="AJ5" s="744"/>
      <c r="AK5" s="744"/>
      <c r="AL5" s="744"/>
      <c r="AM5" s="744"/>
      <c r="AN5" s="744"/>
      <c r="AO5" s="744"/>
      <c r="AP5" s="744"/>
      <c r="AQ5" s="744"/>
      <c r="AR5" s="744"/>
      <c r="AS5" s="744"/>
      <c r="AT5" s="744"/>
      <c r="AU5" s="744"/>
      <c r="AV5" s="744"/>
      <c r="AW5" s="744"/>
      <c r="AX5" s="126"/>
    </row>
    <row r="6" spans="1:50" ht="14" x14ac:dyDescent="0.3">
      <c r="C6" s="189"/>
      <c r="D6" s="190"/>
      <c r="E6" s="190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  <c r="AV6" s="191"/>
      <c r="AW6" s="192"/>
    </row>
    <row r="7" spans="1:50" ht="14.5" thickBot="1" x14ac:dyDescent="0.35">
      <c r="C7" s="193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</row>
    <row r="8" spans="1:50" ht="14.5" thickBot="1" x14ac:dyDescent="0.35">
      <c r="A8" s="138" t="s">
        <v>44</v>
      </c>
      <c r="B8" s="130" t="s">
        <v>231</v>
      </c>
      <c r="C8" s="129"/>
      <c r="D8" s="139" t="s">
        <v>144</v>
      </c>
      <c r="E8" s="140" t="s">
        <v>63</v>
      </c>
      <c r="F8" s="745" t="s">
        <v>277</v>
      </c>
      <c r="G8" s="745"/>
      <c r="H8" s="195"/>
      <c r="I8" s="745" t="s">
        <v>149</v>
      </c>
      <c r="J8" s="745"/>
      <c r="K8" s="196"/>
      <c r="L8" s="745" t="s">
        <v>278</v>
      </c>
      <c r="M8" s="745"/>
      <c r="N8" s="196"/>
      <c r="O8" s="745" t="s">
        <v>32</v>
      </c>
      <c r="P8" s="745"/>
      <c r="Q8" s="197"/>
      <c r="R8" s="745" t="s">
        <v>279</v>
      </c>
      <c r="S8" s="745"/>
      <c r="T8" s="197"/>
      <c r="U8" s="745" t="s">
        <v>152</v>
      </c>
      <c r="V8" s="745"/>
      <c r="W8" s="142"/>
      <c r="X8" s="745" t="s">
        <v>280</v>
      </c>
      <c r="Y8" s="745"/>
      <c r="Z8" s="141"/>
      <c r="AA8" s="746" t="s">
        <v>281</v>
      </c>
      <c r="AB8" s="746"/>
      <c r="AC8" s="141"/>
      <c r="AD8" s="746" t="s">
        <v>282</v>
      </c>
      <c r="AE8" s="746"/>
      <c r="AG8" s="745" t="s">
        <v>40</v>
      </c>
      <c r="AH8" s="745"/>
      <c r="AI8" s="198"/>
      <c r="AJ8" s="745" t="s">
        <v>283</v>
      </c>
      <c r="AK8" s="745"/>
      <c r="AL8" s="198"/>
      <c r="AM8" s="746" t="s">
        <v>284</v>
      </c>
      <c r="AN8" s="746"/>
      <c r="AO8" s="142"/>
      <c r="AP8" s="745" t="s">
        <v>285</v>
      </c>
      <c r="AQ8" s="745"/>
      <c r="AR8" s="142"/>
      <c r="AS8" s="745" t="s">
        <v>286</v>
      </c>
      <c r="AT8" s="745"/>
      <c r="AU8" s="199"/>
      <c r="AV8" s="745" t="s">
        <v>287</v>
      </c>
      <c r="AW8" s="745"/>
    </row>
    <row r="9" spans="1:50" ht="14" x14ac:dyDescent="0.3">
      <c r="A9" s="143" t="s">
        <v>60</v>
      </c>
      <c r="B9" s="144" t="s">
        <v>238</v>
      </c>
      <c r="C9" s="144" t="s">
        <v>239</v>
      </c>
      <c r="D9" s="145" t="s">
        <v>288</v>
      </c>
      <c r="E9" s="146" t="s">
        <v>289</v>
      </c>
      <c r="F9" s="148" t="s">
        <v>148</v>
      </c>
      <c r="G9" s="143" t="s">
        <v>243</v>
      </c>
      <c r="H9" s="143"/>
      <c r="I9" s="148" t="s">
        <v>148</v>
      </c>
      <c r="J9" s="143" t="s">
        <v>243</v>
      </c>
      <c r="K9" s="147"/>
      <c r="L9" s="148" t="s">
        <v>148</v>
      </c>
      <c r="M9" s="143" t="s">
        <v>243</v>
      </c>
      <c r="N9" s="147"/>
      <c r="O9" s="148" t="s">
        <v>148</v>
      </c>
      <c r="P9" s="143" t="s">
        <v>243</v>
      </c>
      <c r="Q9" s="143"/>
      <c r="R9" s="146" t="s">
        <v>148</v>
      </c>
      <c r="S9" s="143" t="s">
        <v>243</v>
      </c>
      <c r="T9" s="143"/>
      <c r="U9" s="146" t="s">
        <v>148</v>
      </c>
      <c r="V9" s="143" t="s">
        <v>243</v>
      </c>
      <c r="W9" s="143"/>
      <c r="X9" s="146" t="s">
        <v>148</v>
      </c>
      <c r="Y9" s="143" t="s">
        <v>243</v>
      </c>
      <c r="Z9" s="143"/>
      <c r="AA9" s="146" t="s">
        <v>148</v>
      </c>
      <c r="AB9" s="143" t="s">
        <v>243</v>
      </c>
      <c r="AC9" s="143"/>
      <c r="AD9" s="146" t="s">
        <v>148</v>
      </c>
      <c r="AE9" s="143" t="s">
        <v>243</v>
      </c>
      <c r="AF9" s="143"/>
      <c r="AG9" s="146" t="s">
        <v>148</v>
      </c>
      <c r="AH9" s="143" t="s">
        <v>243</v>
      </c>
      <c r="AI9" s="143"/>
      <c r="AJ9" s="146" t="s">
        <v>148</v>
      </c>
      <c r="AK9" s="143" t="s">
        <v>243</v>
      </c>
      <c r="AL9" s="143"/>
      <c r="AM9" s="146" t="s">
        <v>148</v>
      </c>
      <c r="AN9" s="143" t="s">
        <v>243</v>
      </c>
      <c r="AO9" s="143"/>
      <c r="AP9" s="146" t="s">
        <v>148</v>
      </c>
      <c r="AQ9" s="143" t="s">
        <v>243</v>
      </c>
      <c r="AR9" s="143"/>
      <c r="AS9" s="146" t="s">
        <v>148</v>
      </c>
      <c r="AT9" s="143" t="s">
        <v>243</v>
      </c>
      <c r="AU9" s="143"/>
      <c r="AV9" s="148" t="s">
        <v>148</v>
      </c>
      <c r="AW9" s="143" t="s">
        <v>243</v>
      </c>
    </row>
    <row r="10" spans="1:50" ht="14" x14ac:dyDescent="0.3">
      <c r="B10" s="129"/>
      <c r="C10" s="144"/>
      <c r="D10" s="139" t="s">
        <v>66</v>
      </c>
      <c r="E10" s="139" t="s">
        <v>67</v>
      </c>
      <c r="F10" s="139" t="s">
        <v>68</v>
      </c>
      <c r="G10" s="138" t="s">
        <v>69</v>
      </c>
      <c r="H10" s="138"/>
      <c r="I10" s="138" t="s">
        <v>70</v>
      </c>
      <c r="J10" s="138" t="s">
        <v>71</v>
      </c>
      <c r="K10" s="138"/>
      <c r="L10" s="140" t="s">
        <v>72</v>
      </c>
      <c r="M10" s="138" t="s">
        <v>73</v>
      </c>
      <c r="N10" s="138"/>
      <c r="O10" s="140" t="s">
        <v>74</v>
      </c>
      <c r="P10" s="138" t="s">
        <v>75</v>
      </c>
      <c r="Q10" s="138"/>
      <c r="R10" s="149" t="s">
        <v>76</v>
      </c>
      <c r="S10" s="138" t="s">
        <v>77</v>
      </c>
      <c r="T10" s="138"/>
      <c r="U10" s="140" t="s">
        <v>78</v>
      </c>
      <c r="V10" s="138" t="s">
        <v>79</v>
      </c>
      <c r="W10" s="138"/>
      <c r="X10" s="149" t="s">
        <v>80</v>
      </c>
      <c r="Y10" s="138" t="s">
        <v>81</v>
      </c>
      <c r="Z10" s="138"/>
      <c r="AA10" s="149" t="s">
        <v>84</v>
      </c>
      <c r="AB10" s="138" t="s">
        <v>85</v>
      </c>
      <c r="AC10" s="138"/>
      <c r="AD10" s="140" t="s">
        <v>82</v>
      </c>
      <c r="AE10" s="138" t="s">
        <v>83</v>
      </c>
      <c r="AF10" s="138"/>
      <c r="AG10" s="149" t="s">
        <v>86</v>
      </c>
      <c r="AH10" s="138" t="s">
        <v>87</v>
      </c>
      <c r="AI10" s="143"/>
      <c r="AJ10" s="149" t="s">
        <v>88</v>
      </c>
      <c r="AK10" s="138" t="s">
        <v>89</v>
      </c>
      <c r="AL10" s="143"/>
      <c r="AM10" s="149" t="s">
        <v>90</v>
      </c>
      <c r="AN10" s="138" t="s">
        <v>91</v>
      </c>
      <c r="AO10" s="138"/>
      <c r="AP10" s="138" t="s">
        <v>92</v>
      </c>
      <c r="AQ10" s="138" t="s">
        <v>93</v>
      </c>
      <c r="AR10" s="138"/>
      <c r="AS10" s="138" t="s">
        <v>94</v>
      </c>
      <c r="AT10" s="138" t="s">
        <v>95</v>
      </c>
      <c r="AU10" s="138"/>
      <c r="AV10" s="149" t="s">
        <v>96</v>
      </c>
      <c r="AW10" s="138" t="s">
        <v>97</v>
      </c>
    </row>
    <row r="11" spans="1:50" ht="14" x14ac:dyDescent="0.3">
      <c r="A11" s="151">
        <f>IF(C11&lt;&gt;"",COUNTA($C$11:C11),"")</f>
        <v>1</v>
      </c>
      <c r="B11" s="152" t="s">
        <v>163</v>
      </c>
      <c r="C11" s="130" t="s">
        <v>244</v>
      </c>
      <c r="D11" s="153">
        <f>'Exh 9_Proposed Rev p1'!D11</f>
        <v>6103737992.3741732</v>
      </c>
      <c r="E11" s="154">
        <v>116501537.32667077</v>
      </c>
      <c r="F11" s="158">
        <f>VLOOKUP("RDAF",'R1 EMA'!$C$45:$I$65,7,FALSE)+VLOOKUP("RDAF",'R1 WMA'!$C$45:$I$65,7,FALSE)</f>
        <v>-3483825.0196796292</v>
      </c>
      <c r="G11" s="157">
        <f>+F11/($D11)*100</f>
        <v>-5.7076909658183482E-2</v>
      </c>
      <c r="H11" s="157"/>
      <c r="I11" s="158">
        <f>VLOOKUP("RAAF",'R1 EMA'!$C$45:$I$65,7,FALSE)+VLOOKUP("RAAF",'R1 WMA'!$C$45:$I$65,7,FALSE)</f>
        <v>29432290.717025083</v>
      </c>
      <c r="J11" s="157">
        <f>+I11/($D11)*100</f>
        <v>0.48220108323451794</v>
      </c>
      <c r="K11" s="157"/>
      <c r="L11" s="155">
        <f>VLOOKUP("PAF",'R1 EMA'!$C$45:$I$65,7,FALSE)+VLOOKUP("PAF",'R1 WMA'!$C$45:$I$65,7,FALSE)</f>
        <v>5679840.4153256258</v>
      </c>
      <c r="M11" s="156">
        <f>+L11/($D11)*100</f>
        <v>9.3055115118339748E-2</v>
      </c>
      <c r="N11" s="157"/>
      <c r="O11" s="158">
        <f>VLOOKUP("NMRS",'R1 EMA'!$C$45:$I$65,7,FALSE)+VLOOKUP("NMRS",'R1 WMA'!$C$45:$I$65,7,FALSE)</f>
        <v>38377346.215712614</v>
      </c>
      <c r="P11" s="157">
        <f>+O11/($D11)*100</f>
        <v>0.62875153330074318</v>
      </c>
      <c r="Q11" s="157"/>
      <c r="R11" s="158">
        <f>VLOOKUP("LTRCA",'R1 EMA'!$C$45:$I$65,7,FALSE)+VLOOKUP("LTRCA",'R1 WMA'!$C$45:$I$65,7,FALSE)</f>
        <v>10594336.638561845</v>
      </c>
      <c r="S11" s="157">
        <f>+R11/($D11)*100</f>
        <v>0.17357128782064518</v>
      </c>
      <c r="T11" s="157"/>
      <c r="U11" s="158">
        <f>VLOOKUP("AGCE",'R1 EMA'!$C$45:$I$65,7,FALSE)+VLOOKUP("AGCE",'R1 WMA'!$C$45:$I$65,7,FALSE)</f>
        <v>61796.831338781732</v>
      </c>
      <c r="V11" s="157">
        <f>+U11/($D11)*100</f>
        <v>1.0124423986742031E-3</v>
      </c>
      <c r="W11" s="157"/>
      <c r="X11" s="158">
        <f>VLOOKUP("SCRA",'R1 EMA'!$C$45:$I$65,7,FALSE)+VLOOKUP("SCRA",'R1 WMA'!$C$45:$I$65,7,FALSE)</f>
        <v>22271857.128813252</v>
      </c>
      <c r="Y11" s="157">
        <f>+X11/($D11)*100</f>
        <v>0.36488881332454048</v>
      </c>
      <c r="Z11" s="157"/>
      <c r="AA11" s="158">
        <f>VLOOKUP("SRA",'R1 EMA'!$C$45:$I$65,7,FALSE)+VLOOKUP("SRA",'R1 WMA'!$C$45:$I$65,7,FALSE)</f>
        <v>0</v>
      </c>
      <c r="AB11" s="157">
        <f>+AA11/($D11)*100</f>
        <v>0</v>
      </c>
      <c r="AC11" s="157"/>
      <c r="AD11" s="158">
        <f>VLOOKUP("BSTF",'R1 EMA'!$C$45:$I$65,7,FALSE)+VLOOKUP("BSTF",'R1 WMA'!$C$45:$I$65,7,FALSE)</f>
        <v>-1460502.3879118608</v>
      </c>
      <c r="AE11" s="157">
        <f>+AD11/($D11)*100</f>
        <v>-2.3927999362629401E-2</v>
      </c>
      <c r="AF11" s="157"/>
      <c r="AG11" s="155">
        <f>VLOOKUP("Spca",'R1 EMA'!$C$45:$I$65,7,FALSE)+VLOOKUP("Spca",'R1 WMA'!$C$45:$I$65,7,FALSE)</f>
        <v>259917.60293973237</v>
      </c>
      <c r="AH11" s="156">
        <f>+AG11/($D11)*100</f>
        <v>4.2583348640532342E-3</v>
      </c>
      <c r="AI11" s="157"/>
      <c r="AJ11" s="158">
        <f>VLOOKUP("Secrf",'R1 EMA'!$C$45:$I$65,7,FALSE)+VLOOKUP("Secrf",'R1 WMA'!$C$45:$I$65,7,FALSE)</f>
        <v>4584351.8956283173</v>
      </c>
      <c r="AK11" s="157">
        <f>+AJ11/($D11)*100</f>
        <v>7.5107285098997847E-2</v>
      </c>
      <c r="AL11" s="157"/>
      <c r="AM11" s="158">
        <f>VLOOKUP("rtwf",'R1 EMA'!$C$45:$I$65,7,FALSE)+VLOOKUP("rtwf",'R1 WMA'!$C$45:$I$65,7,FALSE)</f>
        <v>10168834.039970407</v>
      </c>
      <c r="AN11" s="157">
        <f>+AM11/($D11)*100</f>
        <v>0.1666001072240493</v>
      </c>
      <c r="AO11" s="157"/>
      <c r="AP11" s="158">
        <f>VLOOKUP("smart",'R1 EMA'!$C$45:$I$65,7,FALSE)+VLOOKUP("smart",'R1 WMA'!$C$45:$I$65,7,FALSE)</f>
        <v>5371211.5607795538</v>
      </c>
      <c r="AQ11" s="157">
        <f>+AP11/($D11)*100</f>
        <v>8.7998724183282181E-2</v>
      </c>
      <c r="AR11" s="157"/>
      <c r="AS11" s="155">
        <f>VLOOKUP("tacf",'R1 EMA'!$C$45:$I$65,7,FALSE)+VLOOKUP("tacf",'R1 WMA'!$C$45:$I$65,7,FALSE)</f>
        <v>-8131116.9974981891</v>
      </c>
      <c r="AT11" s="156">
        <f>+AS11/($D11)*100</f>
        <v>-0.13321536749540958</v>
      </c>
      <c r="AU11" s="156"/>
      <c r="AV11" s="155">
        <f>L11+I11+O11+U11+AG11+R11+X11+AD11+F11+AJ11+AM11+AA11+AP11+AS11</f>
        <v>113726338.64100555</v>
      </c>
      <c r="AW11" s="156">
        <f>+AV11/($D11)*100</f>
        <v>1.8632244500516211</v>
      </c>
    </row>
    <row r="12" spans="1:50" ht="14" x14ac:dyDescent="0.3">
      <c r="A12" s="151" t="str">
        <f>IF(C12&lt;&gt;"",COUNTA($C$11:C12),"")</f>
        <v/>
      </c>
      <c r="B12" s="152"/>
      <c r="C12" s="129"/>
      <c r="D12" s="153"/>
      <c r="E12" s="154"/>
      <c r="F12" s="161"/>
      <c r="G12" s="157"/>
      <c r="H12" s="157"/>
      <c r="I12" s="161"/>
      <c r="J12" s="157"/>
      <c r="K12" s="157"/>
      <c r="L12" s="155"/>
      <c r="M12" s="156"/>
      <c r="N12" s="157"/>
      <c r="O12" s="161"/>
      <c r="P12" s="157"/>
      <c r="Q12" s="157"/>
      <c r="R12" s="161"/>
      <c r="S12" s="157"/>
      <c r="T12" s="157"/>
      <c r="U12" s="161"/>
      <c r="V12" s="157"/>
      <c r="W12" s="157"/>
      <c r="X12" s="161"/>
      <c r="Y12" s="157"/>
      <c r="Z12" s="157"/>
      <c r="AA12" s="161"/>
      <c r="AB12" s="157"/>
      <c r="AC12" s="157"/>
      <c r="AD12" s="161"/>
      <c r="AE12" s="157"/>
      <c r="AF12" s="157"/>
      <c r="AG12" s="155"/>
      <c r="AH12" s="156"/>
      <c r="AI12" s="157"/>
      <c r="AJ12" s="161"/>
      <c r="AK12" s="157"/>
      <c r="AL12" s="157"/>
      <c r="AM12" s="161"/>
      <c r="AN12" s="157"/>
      <c r="AO12" s="157"/>
      <c r="AP12" s="161"/>
      <c r="AQ12" s="157"/>
      <c r="AR12" s="157"/>
      <c r="AS12" s="155"/>
      <c r="AT12" s="156"/>
      <c r="AU12" s="156"/>
      <c r="AV12" s="155"/>
      <c r="AW12" s="156"/>
    </row>
    <row r="13" spans="1:50" ht="14" x14ac:dyDescent="0.3">
      <c r="A13" s="151">
        <f>IF(C13&lt;&gt;"",COUNTA($C$11:C13),"")</f>
        <v>2</v>
      </c>
      <c r="B13" s="152" t="s">
        <v>163</v>
      </c>
      <c r="C13" s="130" t="s">
        <v>246</v>
      </c>
      <c r="D13" s="153">
        <f>'Exh 9_Proposed Rev p1'!D13</f>
        <v>668510182.94304335</v>
      </c>
      <c r="E13" s="154">
        <v>13900073.024272775</v>
      </c>
      <c r="F13" s="158">
        <f>VLOOKUP("RDAF",'R2 EMA'!$C$47:$I$67,7,FALSE)+VLOOKUP("RDAF",'R2 WMA'!$C$47:$I$67,7,FALSE)</f>
        <v>-381564.95317415794</v>
      </c>
      <c r="G13" s="157">
        <f>+F13/($D13)*100</f>
        <v>-5.7076909658183482E-2</v>
      </c>
      <c r="H13" s="157"/>
      <c r="I13" s="158">
        <f>VLOOKUP("RAAF",'R2 EMA'!$C$47:$I$67,7,FALSE)+VLOOKUP("RAAF",'R2 WMA'!$C$47:$I$67,7,FALSE)</f>
        <v>3223563.3436844125</v>
      </c>
      <c r="J13" s="157">
        <f>+I13/($D13)*100</f>
        <v>0.48220108323451794</v>
      </c>
      <c r="K13" s="157"/>
      <c r="L13" s="155">
        <f>VLOOKUP("PAF",'R2 EMA'!$C$47:$I$67,7,FALSE)+VLOOKUP("PAF",'R2 WMA'!$C$47:$I$67,7,FALSE)</f>
        <v>622082.92031547253</v>
      </c>
      <c r="M13" s="156">
        <f>+L13/($D13)*100</f>
        <v>9.3055115118339735E-2</v>
      </c>
      <c r="N13" s="157"/>
      <c r="O13" s="158">
        <f>VLOOKUP("NMRS",'R2 EMA'!$C$47:$I$67,7,FALSE)+VLOOKUP("NMRS",'R2 WMA'!$C$47:$I$67,7,FALSE)</f>
        <v>4203268.025525989</v>
      </c>
      <c r="P13" s="157">
        <f>+O13/($D13)*100</f>
        <v>0.62875153330074329</v>
      </c>
      <c r="Q13" s="157"/>
      <c r="R13" s="158">
        <f>VLOOKUP("LTRCA",'R2 EMA'!$C$47:$I$67,7,FALSE)+VLOOKUP("LTRCA",'R2 WMA'!$C$47:$I$67,7,FALSE)</f>
        <v>1160341.7337463913</v>
      </c>
      <c r="S13" s="157">
        <f>+R13/($D13)*100</f>
        <v>0.17357128782064515</v>
      </c>
      <c r="T13" s="157"/>
      <c r="U13" s="158">
        <f>VLOOKUP("AGCE",'R2 EMA'!$C$47:$I$67,7,FALSE)+VLOOKUP("AGCE",'R2 WMA'!$C$47:$I$67,7,FALSE)</f>
        <v>6768.2805315698515</v>
      </c>
      <c r="V13" s="157">
        <f>+U13/($D13)*100</f>
        <v>1.0124423986742031E-3</v>
      </c>
      <c r="W13" s="157"/>
      <c r="X13" s="158">
        <f>VLOOKUP("SCRA",'R2 EMA'!$C$47:$I$67,7,FALSE)+VLOOKUP("SCRA",'R2 WMA'!$C$47:$I$67,7,FALSE)</f>
        <v>2442249.4645815534</v>
      </c>
      <c r="Y13" s="157">
        <f>+X13/($D13)*100</f>
        <v>0.36532718975645451</v>
      </c>
      <c r="Z13" s="157"/>
      <c r="AA13" s="158">
        <f>VLOOKUP("SRA",'R2 EMA'!$C$47:$I$67,7,FALSE)+VLOOKUP("SRA",'R2 WMA'!$C$47:$I$67,7,FALSE)</f>
        <v>0</v>
      </c>
      <c r="AB13" s="157">
        <f>+AA13/($D13)*100</f>
        <v>0</v>
      </c>
      <c r="AC13" s="157"/>
      <c r="AD13" s="158">
        <f>VLOOKUP("BSTF",'R2 EMA'!$C$47:$I$67,7,FALSE)+VLOOKUP("BSTF",'R2 WMA'!$C$47:$I$67,7,FALSE)</f>
        <v>-159961.11231372406</v>
      </c>
      <c r="AE13" s="157">
        <f>+AD13/($D13)*100</f>
        <v>-2.3927999362629401E-2</v>
      </c>
      <c r="AF13" s="157"/>
      <c r="AG13" s="155">
        <f>VLOOKUP("Spca",'R2 EMA'!$C$47:$I$67,7,FALSE)+VLOOKUP("Spca",'R2 WMA'!$C$47:$I$67,7,FALSE)</f>
        <v>28467.402190009678</v>
      </c>
      <c r="AH13" s="156">
        <f>+AG13/($D13)*100</f>
        <v>4.2583348640532351E-3</v>
      </c>
      <c r="AI13" s="157"/>
      <c r="AJ13" s="158">
        <f>VLOOKUP("Secrf",'R2 EMA'!$C$47:$I$67,7,FALSE)+VLOOKUP("Secrf",'R2 WMA'!$C$47:$I$67,7,FALSE)</f>
        <v>502099.84901886364</v>
      </c>
      <c r="AK13" s="157">
        <f>+AJ13/($D13)*100</f>
        <v>7.5107285098997847E-2</v>
      </c>
      <c r="AL13" s="157"/>
      <c r="AM13" s="158">
        <f>VLOOKUP("rtwf",'R2 EMA'!$C$47:$I$67,7,FALSE)+VLOOKUP("rtwf",'R2 WMA'!$C$47:$I$67,7,FALSE)</f>
        <v>1113738.6815867985</v>
      </c>
      <c r="AN13" s="157">
        <f>+AM13/($D13)*100</f>
        <v>0.1666001072240493</v>
      </c>
      <c r="AO13" s="157"/>
      <c r="AP13" s="158">
        <f>VLOOKUP("smart",'R2 EMA'!$C$47:$I$67,7,FALSE)+VLOOKUP("smart",'R2 WMA'!$C$47:$I$67,7,FALSE)</f>
        <v>588280.43202520383</v>
      </c>
      <c r="AQ13" s="157">
        <f>+AP13/($D13)*100</f>
        <v>8.7998724183282181E-2</v>
      </c>
      <c r="AR13" s="157"/>
      <c r="AS13" s="155">
        <f>VLOOKUP("tacf",'R2 EMA'!$C$47:$I$67,7,FALSE)+VLOOKUP("tacf",'R2 WMA'!$C$47:$I$67,7,FALSE)</f>
        <v>-890558.29695181013</v>
      </c>
      <c r="AT13" s="156">
        <f>+AS13/($D13)*100</f>
        <v>-0.13321536749540958</v>
      </c>
      <c r="AU13" s="156"/>
      <c r="AV13" s="155">
        <f>L13+I13+O13+U13+AG13+R13+X13+AD13+F13+AJ13+AM13+AA13+AP13+AS13</f>
        <v>12458775.770766575</v>
      </c>
      <c r="AW13" s="156">
        <f>+AV13/($D13)*100</f>
        <v>1.8636628264835353</v>
      </c>
    </row>
    <row r="14" spans="1:50" ht="14" x14ac:dyDescent="0.3">
      <c r="A14" s="151" t="str">
        <f>IF(C14&lt;&gt;"",COUNTA($C$11:C14),"")</f>
        <v/>
      </c>
      <c r="B14" s="152"/>
      <c r="C14" s="129"/>
      <c r="D14" s="153"/>
      <c r="E14" s="154"/>
      <c r="F14" s="161"/>
      <c r="G14" s="157"/>
      <c r="H14" s="157"/>
      <c r="I14" s="161"/>
      <c r="J14" s="157"/>
      <c r="K14" s="157"/>
      <c r="L14" s="155"/>
      <c r="M14" s="156"/>
      <c r="N14" s="157"/>
      <c r="O14" s="161"/>
      <c r="P14" s="157"/>
      <c r="Q14" s="157"/>
      <c r="R14" s="161"/>
      <c r="S14" s="157"/>
      <c r="T14" s="157"/>
      <c r="U14" s="161"/>
      <c r="V14" s="157"/>
      <c r="W14" s="157"/>
      <c r="X14" s="161"/>
      <c r="Y14" s="157"/>
      <c r="Z14" s="157"/>
      <c r="AA14" s="161"/>
      <c r="AB14" s="157"/>
      <c r="AC14" s="157"/>
      <c r="AD14" s="161"/>
      <c r="AE14" s="157"/>
      <c r="AF14" s="157"/>
      <c r="AG14" s="155"/>
      <c r="AH14" s="156"/>
      <c r="AI14" s="157"/>
      <c r="AJ14" s="161"/>
      <c r="AK14" s="157"/>
      <c r="AL14" s="157"/>
      <c r="AM14" s="161"/>
      <c r="AN14" s="157"/>
      <c r="AO14" s="157"/>
      <c r="AP14" s="161"/>
      <c r="AQ14" s="157"/>
      <c r="AR14" s="157"/>
      <c r="AS14" s="155"/>
      <c r="AT14" s="156"/>
      <c r="AU14" s="156"/>
      <c r="AV14" s="155"/>
      <c r="AW14" s="156"/>
    </row>
    <row r="15" spans="1:50" ht="14" x14ac:dyDescent="0.3">
      <c r="A15" s="151">
        <f>IF(C15&lt;&gt;"",COUNTA($C$11:C15),"")</f>
        <v>3</v>
      </c>
      <c r="B15" s="152" t="s">
        <v>163</v>
      </c>
      <c r="C15" s="130" t="s">
        <v>247</v>
      </c>
      <c r="D15" s="153">
        <f>'Exh 9_Proposed Rev p1'!D15</f>
        <v>805283813.93916249</v>
      </c>
      <c r="E15" s="154">
        <v>13187335.922098383</v>
      </c>
      <c r="F15" s="158">
        <f>VLOOKUP("RDAF",'R3 EMA'!$C$45:$I$65,7,FALSE)+VLOOKUP("RDAF",'R3 WMA'!$C$45:$I$65,7,FALSE)</f>
        <v>-373367.46905381879</v>
      </c>
      <c r="G15" s="157">
        <f>+F15/($D15)*100</f>
        <v>-4.6364705534988677E-2</v>
      </c>
      <c r="H15" s="157"/>
      <c r="I15" s="158">
        <f>VLOOKUP("RAAF",'R3 EMA'!$C$45:$I$65,7,FALSE)+VLOOKUP("RAAF",'R3 WMA'!$C$45:$I$65,7,FALSE)</f>
        <v>3154308.7931788289</v>
      </c>
      <c r="J15" s="157">
        <f>+I15/($D15)*100</f>
        <v>0.39170150182816543</v>
      </c>
      <c r="K15" s="157"/>
      <c r="L15" s="155">
        <f>VLOOKUP("PAF",'R3 EMA'!$C$45:$I$65,7,FALSE)+VLOOKUP("PAF",'R3 WMA'!$C$45:$I$65,7,FALSE)</f>
        <v>739311.39753362874</v>
      </c>
      <c r="M15" s="156">
        <f>+L15/($D15)*100</f>
        <v>9.1807557129104572E-2</v>
      </c>
      <c r="N15" s="157"/>
      <c r="O15" s="158">
        <f>VLOOKUP("NMRS",'R3 EMA'!$C$45:$I$65,7,FALSE)+VLOOKUP("NMRS",'R3 WMA'!$C$45:$I$65,7,FALSE)</f>
        <v>4112965.6468453873</v>
      </c>
      <c r="P15" s="157">
        <f>+O15/($D15)*100</f>
        <v>0.51074733847265841</v>
      </c>
      <c r="Q15" s="157"/>
      <c r="R15" s="158">
        <f>VLOOKUP("LTRCA",'R3 EMA'!$C$45:$I$65,7,FALSE)+VLOOKUP("LTRCA",'R3 WMA'!$C$45:$I$65,7,FALSE)</f>
        <v>1397741.4864654124</v>
      </c>
      <c r="S15" s="157">
        <f>+R15/($D15)*100</f>
        <v>0.17357128782064518</v>
      </c>
      <c r="T15" s="157"/>
      <c r="U15" s="158">
        <f>VLOOKUP("AGCE",'R3 EMA'!$C$45:$I$65,7,FALSE)+VLOOKUP("AGCE",'R3 WMA'!$C$45:$I$65,7,FALSE)</f>
        <v>6622.8718096261964</v>
      </c>
      <c r="V15" s="157">
        <f>+U15/($D15)*100</f>
        <v>8.2242703690137012E-4</v>
      </c>
      <c r="W15" s="157"/>
      <c r="X15" s="158">
        <f>VLOOKUP("SCRA",'R3 EMA'!$C$45:$I$65,7,FALSE)+VLOOKUP("SCRA",'R3 WMA'!$C$45:$I$65,7,FALSE)</f>
        <v>2385559.2270290749</v>
      </c>
      <c r="Y15" s="157">
        <f>+X15/($D15)*100</f>
        <v>0.29623831818495971</v>
      </c>
      <c r="Z15" s="157"/>
      <c r="AA15" s="158">
        <f>VLOOKUP("SRA",'R3 EMA'!$C$45:$I$65,7,FALSE)+VLOOKUP("SRA",'R3 WMA'!$C$45:$I$65,7,FALSE)</f>
        <v>0</v>
      </c>
      <c r="AB15" s="157">
        <f>+AA15/($D15)*100</f>
        <v>0</v>
      </c>
      <c r="AC15" s="157"/>
      <c r="AD15" s="158">
        <f>VLOOKUP("BSTF",'R3 EMA'!$C$45:$I$65,7,FALSE)+VLOOKUP("BSTF",'R3 WMA'!$C$45:$I$65,7,FALSE)</f>
        <v>-156524.53181240888</v>
      </c>
      <c r="AE15" s="157">
        <f>+AD15/($D15)*100</f>
        <v>-1.9437188368004871E-2</v>
      </c>
      <c r="AF15" s="157"/>
      <c r="AG15" s="155">
        <f>VLOOKUP("Spca",'R3 EMA'!$C$45:$I$65,7,FALSE)+VLOOKUP("Spca",'R3 WMA'!$C$45:$I$65,7,FALSE)</f>
        <v>27855.812798849322</v>
      </c>
      <c r="AH15" s="156">
        <f>+AG15/($D15)*100</f>
        <v>3.4591298516964569E-3</v>
      </c>
      <c r="AI15" s="157"/>
      <c r="AJ15" s="158">
        <f>VLOOKUP("Secrf",'R3 EMA'!$C$45:$I$65,7,FALSE)+VLOOKUP("Secrf",'R3 WMA'!$C$45:$I$65,7,FALSE)</f>
        <v>491312.81130767683</v>
      </c>
      <c r="AK15" s="157">
        <f>+AJ15/($D15)*100</f>
        <v>6.1011137043019532E-2</v>
      </c>
      <c r="AL15" s="157"/>
      <c r="AM15" s="158">
        <f>VLOOKUP("rtwf",'R3 EMA'!$C$45:$I$65,7,FALSE)+VLOOKUP("rtwf",'R3 WMA'!$C$45:$I$65,7,FALSE)</f>
        <v>1323617.2771849004</v>
      </c>
      <c r="AN15" s="157">
        <f>+AM15/($D15)*100</f>
        <v>0.16436655676838138</v>
      </c>
      <c r="AO15" s="157"/>
      <c r="AP15" s="158">
        <f>VLOOKUP("smart",'R3 EMA'!$C$45:$I$65,7,FALSE)+VLOOKUP("smart",'R3 WMA'!$C$45:$I$65,7,FALSE)</f>
        <v>575641.90361813665</v>
      </c>
      <c r="AQ15" s="157">
        <f>+AP15/($D15)*100</f>
        <v>7.1483108644926172E-2</v>
      </c>
      <c r="AR15" s="157"/>
      <c r="AS15" s="155">
        <f>VLOOKUP("tacf",'R3 EMA'!$C$45:$I$65,7,FALSE)+VLOOKUP("tacf",'R3 WMA'!$C$45:$I$65,7,FALSE)</f>
        <v>-871425.6763146976</v>
      </c>
      <c r="AT15" s="156">
        <f>+AS15/($D15)*100</f>
        <v>-0.10821348464114691</v>
      </c>
      <c r="AU15" s="156"/>
      <c r="AV15" s="155">
        <f>L15+I15+O15+U15+AG15+R15+X15+AD15+F15+AJ15+AM15+AA15+AP15+AS15</f>
        <v>12813619.550590593</v>
      </c>
      <c r="AW15" s="156">
        <f>+AV15/($D15)*100</f>
        <v>1.5911929842363175</v>
      </c>
    </row>
    <row r="16" spans="1:50" ht="14" x14ac:dyDescent="0.3">
      <c r="A16" s="151" t="str">
        <f>IF(C16&lt;&gt;"",COUNTA($C$11:C16),"")</f>
        <v/>
      </c>
      <c r="B16" s="152"/>
      <c r="C16" s="129"/>
      <c r="D16" s="153"/>
      <c r="E16" s="154"/>
      <c r="F16" s="161"/>
      <c r="G16" s="157"/>
      <c r="H16" s="157"/>
      <c r="I16" s="161"/>
      <c r="J16" s="157"/>
      <c r="K16" s="157"/>
      <c r="L16" s="155"/>
      <c r="M16" s="156"/>
      <c r="N16" s="157"/>
      <c r="O16" s="161"/>
      <c r="P16" s="157"/>
      <c r="Q16" s="157"/>
      <c r="R16" s="161"/>
      <c r="S16" s="157"/>
      <c r="T16" s="157"/>
      <c r="U16" s="161"/>
      <c r="V16" s="157"/>
      <c r="W16" s="157"/>
      <c r="X16" s="161"/>
      <c r="Y16" s="157"/>
      <c r="Z16" s="157"/>
      <c r="AA16" s="161"/>
      <c r="AB16" s="157"/>
      <c r="AC16" s="157"/>
      <c r="AD16" s="161"/>
      <c r="AE16" s="157"/>
      <c r="AF16" s="157"/>
      <c r="AG16" s="155"/>
      <c r="AH16" s="156"/>
      <c r="AI16" s="157"/>
      <c r="AJ16" s="161"/>
      <c r="AK16" s="157"/>
      <c r="AL16" s="157"/>
      <c r="AM16" s="161"/>
      <c r="AN16" s="157"/>
      <c r="AO16" s="157"/>
      <c r="AP16" s="161"/>
      <c r="AQ16" s="157"/>
      <c r="AR16" s="157"/>
      <c r="AS16" s="155"/>
      <c r="AT16" s="156"/>
      <c r="AU16" s="156"/>
      <c r="AV16" s="155"/>
      <c r="AW16" s="156"/>
    </row>
    <row r="17" spans="1:49" ht="14" x14ac:dyDescent="0.3">
      <c r="A17" s="151">
        <f>IF(C17&lt;&gt;"",COUNTA($C$11:C17),"")</f>
        <v>4</v>
      </c>
      <c r="B17" s="152" t="s">
        <v>163</v>
      </c>
      <c r="C17" s="130" t="s">
        <v>248</v>
      </c>
      <c r="D17" s="153">
        <f>'Exh 9_Proposed Rev p1'!D17</f>
        <v>121716415.3544133</v>
      </c>
      <c r="E17" s="154">
        <v>2191580.5394849726</v>
      </c>
      <c r="F17" s="158">
        <f>VLOOKUP("RDAF",'R4 EMA'!$C$47:$I$67,7,FALSE)+VLOOKUP("RDAF",'R4 WMA'!$C$47:$I$67,7,FALSE)</f>
        <v>-56433.457566817466</v>
      </c>
      <c r="G17" s="157">
        <f>+F17/($D17)*100</f>
        <v>-4.6364705534988671E-2</v>
      </c>
      <c r="H17" s="157"/>
      <c r="I17" s="158">
        <f>VLOOKUP("RAAF",'R4 EMA'!$C$47:$I$67,7,FALSE)+VLOOKUP("RAAF",'R4 WMA'!$C$47:$I$67,7,FALSE)</f>
        <v>476765.02691464464</v>
      </c>
      <c r="J17" s="157">
        <f>+I17/($D17)*100</f>
        <v>0.39170150182816543</v>
      </c>
      <c r="K17" s="157"/>
      <c r="L17" s="155">
        <f>VLOOKUP("PAF",'R4 EMA'!$C$47:$I$67,7,FALSE)+VLOOKUP("PAF",'R4 WMA'!$C$47:$I$67,7,FALSE)</f>
        <v>111744.86756200118</v>
      </c>
      <c r="M17" s="156">
        <f>+L17/($D17)*100</f>
        <v>9.1807557129104558E-2</v>
      </c>
      <c r="N17" s="157"/>
      <c r="O17" s="158">
        <f>VLOOKUP("NMRS",'R4 EMA'!$C$47:$I$67,7,FALSE)+VLOOKUP("NMRS",'R4 WMA'!$C$47:$I$67,7,FALSE)</f>
        <v>621663.35190699203</v>
      </c>
      <c r="P17" s="157">
        <f>+O17/($D17)*100</f>
        <v>0.5107473384726583</v>
      </c>
      <c r="Q17" s="157"/>
      <c r="R17" s="158">
        <f>VLOOKUP("LTRCA",'R4 EMA'!$C$47:$I$67,7,FALSE)+VLOOKUP("LTRCA",'R4 WMA'!$C$47:$I$67,7,FALSE)</f>
        <v>211264.74961978066</v>
      </c>
      <c r="S17" s="157">
        <f>+R17/($D17)*100</f>
        <v>0.17357128782064518</v>
      </c>
      <c r="T17" s="157"/>
      <c r="U17" s="158">
        <f>VLOOKUP("AGCE",'R4 EMA'!$C$47:$I$67,7,FALSE)+VLOOKUP("AGCE",'R4 WMA'!$C$47:$I$67,7,FALSE)</f>
        <v>1001.0287082218656</v>
      </c>
      <c r="V17" s="157">
        <f>+U17/($D17)*100</f>
        <v>8.2242703690137012E-4</v>
      </c>
      <c r="W17" s="157"/>
      <c r="X17" s="158">
        <f>VLOOKUP("SCRA",'R4 EMA'!$C$47:$I$67,7,FALSE)+VLOOKUP("SCRA",'R4 WMA'!$C$47:$I$67,7,FALSE)</f>
        <v>360550.41377799027</v>
      </c>
      <c r="Y17" s="157">
        <f>+X17/($D17)*100</f>
        <v>0.29622168277642846</v>
      </c>
      <c r="Z17" s="157"/>
      <c r="AA17" s="158">
        <f>VLOOKUP("SRA",'R4 EMA'!$C$47:$I$67,7,FALSE)+VLOOKUP("SRA",'R4 WMA'!$C$47:$I$67,7,FALSE)</f>
        <v>0</v>
      </c>
      <c r="AB17" s="157">
        <f>+AA17/($D17)*100</f>
        <v>0</v>
      </c>
      <c r="AC17" s="157"/>
      <c r="AD17" s="158">
        <f>VLOOKUP("BSTF",'R4 EMA'!$C$47:$I$67,7,FALSE)+VLOOKUP("BSTF",'R4 WMA'!$C$47:$I$67,7,FALSE)</f>
        <v>-23658.248927220513</v>
      </c>
      <c r="AE17" s="157">
        <f>+AD17/($D17)*100</f>
        <v>-1.9437188368004871E-2</v>
      </c>
      <c r="AF17" s="157"/>
      <c r="AG17" s="155">
        <f>VLOOKUP("Spca",'R4 EMA'!$C$47:$I$67,7,FALSE)+VLOOKUP("Spca",'R4 WMA'!$C$47:$I$67,7,FALSE)</f>
        <v>4210.3288579393602</v>
      </c>
      <c r="AH17" s="156">
        <f>+AG17/($D17)*100</f>
        <v>3.4591298516964569E-3</v>
      </c>
      <c r="AI17" s="157"/>
      <c r="AJ17" s="158">
        <f>VLOOKUP("Secrf",'R4 EMA'!$C$47:$I$67,7,FALSE)+VLOOKUP("Secrf",'R4 WMA'!$C$47:$I$67,7,FALSE)</f>
        <v>74260.568975731963</v>
      </c>
      <c r="AK17" s="157">
        <f>+AJ17/($D17)*100</f>
        <v>6.1011137043019532E-2</v>
      </c>
      <c r="AL17" s="157"/>
      <c r="AM17" s="158">
        <f>VLOOKUP("rtwf",'R4 EMA'!$C$47:$I$67,7,FALSE)+VLOOKUP("rtwf",'R4 WMA'!$C$47:$I$67,7,FALSE)</f>
        <v>200061.08093995063</v>
      </c>
      <c r="AN17" s="157">
        <f>+AM17/($D17)*100</f>
        <v>0.16436655676838138</v>
      </c>
      <c r="AO17" s="157"/>
      <c r="AP17" s="158">
        <f>VLOOKUP("smart",'R4 EMA'!$C$47:$I$67,7,FALSE)+VLOOKUP("smart",'R4 WMA'!$C$47:$I$67,7,FALSE)</f>
        <v>87006.677426504859</v>
      </c>
      <c r="AQ17" s="157">
        <f>+AP17/($D17)*100</f>
        <v>7.1483108644926172E-2</v>
      </c>
      <c r="AR17" s="157"/>
      <c r="AS17" s="155">
        <f>VLOOKUP("tacf",'R4 EMA'!$C$47:$I$67,7,FALSE)+VLOOKUP("tacf",'R4 WMA'!$C$47:$I$67,7,FALSE)</f>
        <v>-131713.57443530258</v>
      </c>
      <c r="AT17" s="156">
        <f>+AS17/($D17)*100</f>
        <v>-0.10821348464114687</v>
      </c>
      <c r="AU17" s="156"/>
      <c r="AV17" s="155">
        <f>L17+I17+O17+U17+AG17+R17+X17+AD17+F17+AJ17+AM17+AA17+AP17+AS17</f>
        <v>1936722.813760417</v>
      </c>
      <c r="AW17" s="156">
        <f>+AV17/($D17)*100</f>
        <v>1.5911763488277866</v>
      </c>
    </row>
    <row r="18" spans="1:49" ht="14" x14ac:dyDescent="0.3">
      <c r="A18" s="151"/>
      <c r="B18" s="152"/>
      <c r="C18" s="129"/>
      <c r="D18" s="153"/>
      <c r="E18" s="154"/>
      <c r="F18" s="161"/>
      <c r="G18" s="157"/>
      <c r="H18" s="157"/>
      <c r="I18" s="161"/>
      <c r="J18" s="157"/>
      <c r="K18" s="157"/>
      <c r="L18" s="155"/>
      <c r="M18" s="156"/>
      <c r="N18" s="157"/>
      <c r="O18" s="161"/>
      <c r="P18" s="157"/>
      <c r="Q18" s="157"/>
      <c r="R18" s="161"/>
      <c r="S18" s="157"/>
      <c r="T18" s="157"/>
      <c r="U18" s="161"/>
      <c r="V18" s="157"/>
      <c r="W18" s="157"/>
      <c r="X18" s="161"/>
      <c r="Y18" s="157"/>
      <c r="Z18" s="157"/>
      <c r="AA18" s="161"/>
      <c r="AB18" s="157"/>
      <c r="AC18" s="157"/>
      <c r="AD18" s="161"/>
      <c r="AE18" s="157"/>
      <c r="AF18" s="157"/>
      <c r="AG18" s="155"/>
      <c r="AH18" s="156"/>
      <c r="AI18" s="157"/>
      <c r="AJ18" s="161"/>
      <c r="AK18" s="157"/>
      <c r="AL18" s="157"/>
      <c r="AM18" s="161"/>
      <c r="AN18" s="157"/>
      <c r="AO18" s="157"/>
      <c r="AP18" s="161"/>
      <c r="AQ18" s="157"/>
      <c r="AR18" s="157"/>
      <c r="AS18" s="155"/>
      <c r="AT18" s="156"/>
      <c r="AU18" s="156"/>
      <c r="AV18" s="155"/>
      <c r="AW18" s="156"/>
    </row>
    <row r="19" spans="1:49" ht="14" x14ac:dyDescent="0.3">
      <c r="A19" s="151">
        <f>IF(C19&lt;&gt;"",COUNTA($C$11:C19),"")</f>
        <v>5</v>
      </c>
      <c r="B19" s="152" t="s">
        <v>249</v>
      </c>
      <c r="C19" s="130" t="s">
        <v>250</v>
      </c>
      <c r="D19" s="153">
        <f>'Exh 9_Proposed Rev p1'!D19</f>
        <v>311135538.56988484</v>
      </c>
      <c r="E19" s="154">
        <v>5933354.7205277048</v>
      </c>
      <c r="F19" s="158">
        <f>VLOOKUP("RDAF",'G1NDMD BOST'!$C$48:$I$68,7,FALSE)</f>
        <v>-204646.25496066891</v>
      </c>
      <c r="G19" s="157">
        <f>+F19/($D19)*100</f>
        <v>-6.5773989014984491E-2</v>
      </c>
      <c r="H19" s="157"/>
      <c r="I19" s="158">
        <f>VLOOKUP("RAAF",'G1NDMD BOST'!$C$48:$I$68,7,FALSE)</f>
        <v>1728906.6001101097</v>
      </c>
      <c r="J19" s="157">
        <f>+I19/($D19)*100</f>
        <v>0.55567634866043314</v>
      </c>
      <c r="K19" s="157"/>
      <c r="L19" s="155">
        <f>VLOOKUP("PAF",'G1NDMD BOST'!$C$48:$I$68,7,FALSE)</f>
        <v>300904.07573622896</v>
      </c>
      <c r="M19" s="156">
        <f>+L19/($D19)*100</f>
        <v>9.6711573714566915E-2</v>
      </c>
      <c r="N19" s="157"/>
      <c r="O19" s="158">
        <f>VLOOKUP("NMRS",'G1NDMD BOST'!$C$48:$I$68,7,FALSE)</f>
        <v>2254355.5241752109</v>
      </c>
      <c r="P19" s="157">
        <f>+O19/($D19)*100</f>
        <v>0.72455738567738548</v>
      </c>
      <c r="Q19" s="157"/>
      <c r="R19" s="158">
        <f>VLOOKUP("LTRCA",'G1NDMD BOST'!$C$48:$I$68,7,FALSE)</f>
        <v>540041.96116344933</v>
      </c>
      <c r="S19" s="157">
        <f>+R19/($D19)*100</f>
        <v>0.17357128782064518</v>
      </c>
      <c r="T19" s="157"/>
      <c r="U19" s="158">
        <f>VLOOKUP("AGCE",'G1NDMD BOST'!$C$48:$I$68,7,FALSE)</f>
        <v>3630.058923878084</v>
      </c>
      <c r="V19" s="157">
        <f>+U19/($D19)*100</f>
        <v>1.1667130474915929E-3</v>
      </c>
      <c r="W19" s="157"/>
      <c r="X19" s="158">
        <f>VLOOKUP("SCRA",'G1NDMD BOST'!$C$48:$I$68,7,FALSE)</f>
        <v>1310436.448362879</v>
      </c>
      <c r="Y19" s="157">
        <f>+X19/($D19)*100</f>
        <v>0.42117864593232224</v>
      </c>
      <c r="Z19" s="157"/>
      <c r="AA19" s="158">
        <f>VLOOKUP("SRA",'G1NDMD BOST'!$C$48:$I$68,7,FALSE)</f>
        <v>0</v>
      </c>
      <c r="AB19" s="157">
        <f>+AA19/($D19)*100</f>
        <v>0</v>
      </c>
      <c r="AC19" s="157"/>
      <c r="AD19" s="158">
        <f>VLOOKUP("BSTF",'G1NDMD BOST'!$C$48:$I$68,7,FALSE)</f>
        <v>-85792.58210699739</v>
      </c>
      <c r="AE19" s="157">
        <f>+AD19/($D19)*100</f>
        <v>-2.7574022080967563E-2</v>
      </c>
      <c r="AF19" s="157"/>
      <c r="AG19" s="155">
        <f>VLOOKUP("SPCA",'G1NDMD BOST'!$C$48:$I$68,7,FALSE)</f>
        <v>15268.035489584323</v>
      </c>
      <c r="AH19" s="156">
        <f>+AG19/($D19)*100</f>
        <v>4.9071975383342256E-3</v>
      </c>
      <c r="AI19" s="157"/>
      <c r="AJ19" s="158">
        <f>VLOOKUP("SECRF",'G1NDMD BOST'!$C$48:$I$68,7,FALSE)</f>
        <v>269293.21695624426</v>
      </c>
      <c r="AK19" s="157">
        <f>+AJ19/($D19)*100</f>
        <v>8.6551738253377863E-2</v>
      </c>
      <c r="AL19" s="157"/>
      <c r="AM19" s="158">
        <f>VLOOKUP("RTWF",'G1NDMD BOST'!$C$48:$I$68,7,FALSE)</f>
        <v>538719.99640274723</v>
      </c>
      <c r="AN19" s="157">
        <f>+AM19/($D19)*100</f>
        <v>0.17314640393667025</v>
      </c>
      <c r="AO19" s="157"/>
      <c r="AP19" s="158">
        <f>VLOOKUP("SMART",'G1NDMD BOST'!$C$48:$I$68,7,FALSE)</f>
        <v>315514.79316721443</v>
      </c>
      <c r="AQ19" s="157">
        <f>+AP19/($D19)*100</f>
        <v>0.10140750703614848</v>
      </c>
      <c r="AR19" s="157"/>
      <c r="AS19" s="155">
        <f>VLOOKUP("tacf",'G1NDMD BOST'!$C$48:$I$68,7,FALSE)</f>
        <v>-477636.6874872676</v>
      </c>
      <c r="AT19" s="156">
        <f>+AS19/($D19)*100</f>
        <v>-0.15351402468605643</v>
      </c>
      <c r="AU19" s="156"/>
      <c r="AV19" s="155">
        <f>L19+I19+O19+U19+AG19+R19+X19+AD19+F19+AJ19+AM19+AA19+AP19+AS19</f>
        <v>6508995.185932612</v>
      </c>
      <c r="AW19" s="156">
        <f>+AV19/($D19)*100</f>
        <v>2.0920127658353667</v>
      </c>
    </row>
    <row r="20" spans="1:49" ht="14" x14ac:dyDescent="0.3">
      <c r="A20" s="151"/>
      <c r="B20" s="152"/>
      <c r="C20" s="129"/>
      <c r="D20" s="153"/>
      <c r="E20" s="154"/>
      <c r="F20" s="158"/>
      <c r="G20" s="157"/>
      <c r="H20" s="157"/>
      <c r="I20" s="158"/>
      <c r="J20" s="157"/>
      <c r="K20" s="157"/>
      <c r="L20" s="155"/>
      <c r="M20" s="156"/>
      <c r="N20" s="157"/>
      <c r="O20" s="158"/>
      <c r="P20" s="157"/>
      <c r="Q20" s="157"/>
      <c r="R20" s="158"/>
      <c r="S20" s="157"/>
      <c r="T20" s="157"/>
      <c r="U20" s="158"/>
      <c r="V20" s="157"/>
      <c r="W20" s="157"/>
      <c r="X20" s="158"/>
      <c r="Y20" s="157"/>
      <c r="Z20" s="157"/>
      <c r="AA20" s="158"/>
      <c r="AB20" s="157"/>
      <c r="AC20" s="157"/>
      <c r="AD20" s="158"/>
      <c r="AE20" s="157"/>
      <c r="AF20" s="157"/>
      <c r="AG20" s="155"/>
      <c r="AH20" s="156"/>
      <c r="AI20" s="157"/>
      <c r="AJ20" s="158"/>
      <c r="AK20" s="157"/>
      <c r="AL20" s="157"/>
      <c r="AM20" s="158"/>
      <c r="AN20" s="157"/>
      <c r="AO20" s="157"/>
      <c r="AP20" s="158"/>
      <c r="AQ20" s="157"/>
      <c r="AR20" s="157"/>
      <c r="AS20" s="155"/>
      <c r="AT20" s="156"/>
      <c r="AU20" s="156"/>
      <c r="AV20" s="155"/>
      <c r="AW20" s="156"/>
    </row>
    <row r="21" spans="1:49" ht="14" x14ac:dyDescent="0.3">
      <c r="A21" s="151">
        <f>IF(C21&lt;&gt;"",COUNTA($C$11:C21),"")</f>
        <v>6</v>
      </c>
      <c r="B21" s="152" t="s">
        <v>249</v>
      </c>
      <c r="C21" s="130" t="s">
        <v>251</v>
      </c>
      <c r="D21" s="153">
        <f>'Exh 9_Proposed Rev p1'!D21</f>
        <v>180797799.9774242</v>
      </c>
      <c r="E21" s="154">
        <v>3447814.0455694795</v>
      </c>
      <c r="F21" s="158">
        <f>VLOOKUP("RDAF",'G1DMD BOST'!$C$64:$I$84,7,FALSE)</f>
        <v>-118917.92509648464</v>
      </c>
      <c r="G21" s="157">
        <f>+F21/($D21)*100</f>
        <v>-6.5773989014984491E-2</v>
      </c>
      <c r="H21" s="157"/>
      <c r="I21" s="158">
        <f>VLOOKUP("RAAF",'G1DMD BOST'!$C$64:$I$84,7,FALSE)</f>
        <v>1004650.6133729443</v>
      </c>
      <c r="J21" s="157">
        <f>+I21/($D21)*100</f>
        <v>0.55567634866043314</v>
      </c>
      <c r="K21" s="157"/>
      <c r="L21" s="155">
        <f>VLOOKUP("PAF",'G1DMD BOST'!$C$64:$I$84,7,FALSE)</f>
        <v>174852.39759948186</v>
      </c>
      <c r="M21" s="156">
        <f>+L21/($D21)*100</f>
        <v>9.6711573714566915E-2</v>
      </c>
      <c r="N21" s="157"/>
      <c r="O21" s="158">
        <f>VLOOKUP("NMRS",'G1DMD BOST'!$C$64:$I$84,7,FALSE)</f>
        <v>1309983.8128786534</v>
      </c>
      <c r="P21" s="157">
        <f>+O21/($D21)*100</f>
        <v>0.72455738567738548</v>
      </c>
      <c r="Q21" s="157"/>
      <c r="R21" s="158">
        <f>VLOOKUP("LTRCA",'G1DMD BOST'!$C$64:$I$84,7,FALSE)</f>
        <v>313813.06977220933</v>
      </c>
      <c r="S21" s="157">
        <f>+R21/($D21)*100</f>
        <v>0.17357128782064518</v>
      </c>
      <c r="T21" s="157"/>
      <c r="U21" s="158">
        <f>VLOOKUP("AGCE",'G1DMD BOST'!$C$64:$I$84,7,FALSE)</f>
        <v>2109.3915219143605</v>
      </c>
      <c r="V21" s="157">
        <f>+U21/($D21)*100</f>
        <v>1.1667130474915929E-3</v>
      </c>
      <c r="W21" s="157"/>
      <c r="X21" s="158">
        <f>VLOOKUP("SCRA",'G1DMD BOST'!$C$64:$I$84,7,FALSE)</f>
        <v>761481.72582034359</v>
      </c>
      <c r="Y21" s="157">
        <f>+X21/($D21)*100</f>
        <v>0.42117864593232224</v>
      </c>
      <c r="Z21" s="157"/>
      <c r="AA21" s="158">
        <f>VLOOKUP("SRA",'G1DMD BOST'!$C$64:$I$84,7,FALSE)</f>
        <v>0</v>
      </c>
      <c r="AB21" s="157">
        <f>+AA21/($D21)*100</f>
        <v>0</v>
      </c>
      <c r="AC21" s="157"/>
      <c r="AD21" s="158">
        <f>VLOOKUP("BSTF",'G1DMD BOST'!$C$64:$I$84,7,FALSE)</f>
        <v>-49853.225287678513</v>
      </c>
      <c r="AE21" s="157">
        <f>+AD21/($D21)*100</f>
        <v>-2.7574022080967563E-2</v>
      </c>
      <c r="AF21" s="157"/>
      <c r="AG21" s="155">
        <f>VLOOKUP("SPCA",'G1DMD BOST'!$C$64:$I$84,7,FALSE)</f>
        <v>8872.1051898545975</v>
      </c>
      <c r="AH21" s="156">
        <f>+AG21/($D21)*100</f>
        <v>4.9071975383342256E-3</v>
      </c>
      <c r="AI21" s="157"/>
      <c r="AJ21" s="158">
        <f>VLOOKUP("SECRF",'G1DMD BOST'!$C$64:$I$84,7,FALSE)</f>
        <v>156483.63860432588</v>
      </c>
      <c r="AK21" s="157">
        <f>+AJ21/($D21)*100</f>
        <v>8.6551738253377877E-2</v>
      </c>
      <c r="AL21" s="157"/>
      <c r="AM21" s="158">
        <f>VLOOKUP("RTWF",'G1DMD BOST'!$C$64:$I$84,7,FALSE)</f>
        <v>313044.88905752398</v>
      </c>
      <c r="AN21" s="157">
        <f>+AM21/($D21)*100</f>
        <v>0.17314640393667022</v>
      </c>
      <c r="AO21" s="157"/>
      <c r="AP21" s="158">
        <f>VLOOKUP("SMART",'G1DMD BOST'!$C$64:$I$84,7,FALSE)</f>
        <v>183342.54173330811</v>
      </c>
      <c r="AQ21" s="157">
        <f>+AP21/($D21)*100</f>
        <v>0.10140750703614848</v>
      </c>
      <c r="AR21" s="157"/>
      <c r="AS21" s="155">
        <f>VLOOKUP("tacf",'G1DMD BOST'!$C$64:$I$84,7,FALSE)</f>
        <v>-277549.97928918991</v>
      </c>
      <c r="AT21" s="156">
        <f>+AS21/($D21)*100</f>
        <v>-0.15351402468605643</v>
      </c>
      <c r="AU21" s="156"/>
      <c r="AV21" s="155">
        <f>L21+I21+O21+U21+AG21+R21+X21+AD21+F21+AJ21+AM21+AA21+AP21+AS21</f>
        <v>3782313.0558772064</v>
      </c>
      <c r="AW21" s="156">
        <f>+AV21/($D21)*100</f>
        <v>2.0920127658353667</v>
      </c>
    </row>
    <row r="22" spans="1:49" ht="14" x14ac:dyDescent="0.3">
      <c r="A22" s="151" t="str">
        <f>IF(C22&lt;&gt;"",COUNTA($C$11:C22),"")</f>
        <v/>
      </c>
      <c r="B22" s="152"/>
      <c r="C22" s="129"/>
      <c r="D22" s="153"/>
      <c r="E22" s="154"/>
      <c r="F22" s="161"/>
      <c r="G22" s="157"/>
      <c r="H22" s="157"/>
      <c r="I22" s="161"/>
      <c r="J22" s="157"/>
      <c r="K22" s="157"/>
      <c r="L22" s="155"/>
      <c r="M22" s="156"/>
      <c r="N22" s="157"/>
      <c r="O22" s="161"/>
      <c r="P22" s="157"/>
      <c r="Q22" s="157"/>
      <c r="R22" s="161"/>
      <c r="S22" s="157"/>
      <c r="T22" s="157"/>
      <c r="U22" s="161"/>
      <c r="V22" s="157"/>
      <c r="W22" s="157"/>
      <c r="X22" s="161"/>
      <c r="Y22" s="157"/>
      <c r="Z22" s="157"/>
      <c r="AA22" s="161"/>
      <c r="AB22" s="157"/>
      <c r="AC22" s="157"/>
      <c r="AD22" s="161"/>
      <c r="AE22" s="157"/>
      <c r="AF22" s="157"/>
      <c r="AG22" s="155"/>
      <c r="AH22" s="156"/>
      <c r="AI22" s="157"/>
      <c r="AJ22" s="161"/>
      <c r="AK22" s="157"/>
      <c r="AL22" s="157"/>
      <c r="AM22" s="161"/>
      <c r="AN22" s="157"/>
      <c r="AO22" s="157"/>
      <c r="AP22" s="161"/>
      <c r="AQ22" s="157"/>
      <c r="AR22" s="157"/>
      <c r="AS22" s="155"/>
      <c r="AT22" s="156"/>
      <c r="AU22" s="156"/>
      <c r="AV22" s="155"/>
      <c r="AW22" s="156"/>
    </row>
    <row r="23" spans="1:49" ht="14" x14ac:dyDescent="0.3">
      <c r="A23" s="151">
        <f>IF(C23&lt;&gt;"",COUNTA($C$11:C23),"")</f>
        <v>7</v>
      </c>
      <c r="B23" s="152" t="s">
        <v>249</v>
      </c>
      <c r="C23" s="130" t="s">
        <v>252</v>
      </c>
      <c r="D23" s="153">
        <f>'Exh 9_Proposed Rev p1'!D23</f>
        <v>2564497548.2849832</v>
      </c>
      <c r="E23" s="154">
        <v>32440893.985805038</v>
      </c>
      <c r="F23" s="161">
        <f>VLOOKUP("RDAF",'G2 BOST'!$C$76:$I$96,7,FALSE)</f>
        <v>-1048911.9159190068</v>
      </c>
      <c r="G23" s="157">
        <f>+F23/($D23)*100</f>
        <v>-4.0901264133415542E-2</v>
      </c>
      <c r="H23" s="157"/>
      <c r="I23" s="161">
        <f>VLOOKUP("RAAF",'G2 BOST'!$C$76:$I$96,7,FALSE)</f>
        <v>8861489.9633274172</v>
      </c>
      <c r="J23" s="157">
        <f>+I23/($D23)*100</f>
        <v>0.34554487951269713</v>
      </c>
      <c r="K23" s="157"/>
      <c r="L23" s="155">
        <f>VLOOKUP("PAF",'G2 BOST'!$C$76:$I$96,7,FALSE)</f>
        <v>1193949.7548011751</v>
      </c>
      <c r="M23" s="156">
        <f>+L23/($D23)*100</f>
        <v>4.655686863883466E-2</v>
      </c>
      <c r="N23" s="157"/>
      <c r="O23" s="161">
        <f>VLOOKUP("NMRS",'G2 BOST'!$C$76:$I$96,7,FALSE)</f>
        <v>11554672.097369557</v>
      </c>
      <c r="P23" s="157">
        <f>+O23/($D23)*100</f>
        <v>0.45056280537670179</v>
      </c>
      <c r="Q23" s="157"/>
      <c r="R23" s="161">
        <f>VLOOKUP("LTRCA",'G2 BOST'!$C$76:$I$96,7,FALSE)</f>
        <v>4451231.4206871167</v>
      </c>
      <c r="S23" s="157">
        <f>+R23/($D23)*100</f>
        <v>0.17357128782064515</v>
      </c>
      <c r="T23" s="157"/>
      <c r="U23" s="161">
        <f>VLOOKUP("AGCE",'G2 BOST'!$C$76:$I$96,7,FALSE)</f>
        <v>18605.823309474374</v>
      </c>
      <c r="V23" s="157">
        <f>+U23/($D23)*100</f>
        <v>7.2551534790575578E-4</v>
      </c>
      <c r="W23" s="157"/>
      <c r="X23" s="161">
        <f>VLOOKUP("SCRA",'G2 BOST'!$C$76:$I$96,7,FALSE)</f>
        <v>6715895.0440406902</v>
      </c>
      <c r="Y23" s="157">
        <f>+X23/($D23)*100</f>
        <v>0.2618795657859751</v>
      </c>
      <c r="Z23" s="157"/>
      <c r="AA23" s="161">
        <f>VLOOKUP("SRA",'G2 BOST'!$C$76:$I$96,7,FALSE)</f>
        <v>0</v>
      </c>
      <c r="AB23" s="157">
        <f>+AA23/($D23)*100</f>
        <v>0</v>
      </c>
      <c r="AC23" s="157"/>
      <c r="AD23" s="161">
        <f>VLOOKUP("BSTF",'G2 BOST'!$C$76:$I$96,7,FALSE)</f>
        <v>-439728.84667146415</v>
      </c>
      <c r="AE23" s="157">
        <f>+AD23/($D23)*100</f>
        <v>-1.7146783663939721E-2</v>
      </c>
      <c r="AF23" s="157"/>
      <c r="AG23" s="155">
        <f>VLOOKUP("SPCA",'G2 BOST'!$C$76:$I$96,7,FALSE)</f>
        <v>78256.132079119576</v>
      </c>
      <c r="AH23" s="156">
        <f>+AG23/($D23)*100</f>
        <v>3.0515190833952498E-3</v>
      </c>
      <c r="AI23" s="157"/>
      <c r="AJ23" s="161">
        <f>VLOOKUP("SECRF",'G2 BOST'!$C$76:$I$96,7,FALSE)</f>
        <v>1380259.1412965467</v>
      </c>
      <c r="AK23" s="157">
        <f>+AJ23/($D23)*100</f>
        <v>5.3821815591892447E-2</v>
      </c>
      <c r="AL23" s="157"/>
      <c r="AM23" s="161">
        <f>VLOOKUP("RTWF",'G2 BOST'!$C$76:$I$96,7,FALSE)</f>
        <v>2137573.597292779</v>
      </c>
      <c r="AN23" s="157">
        <f>+AM23/($D23)*100</f>
        <v>8.3352530351307574E-2</v>
      </c>
      <c r="AO23" s="157"/>
      <c r="AP23" s="161">
        <f>VLOOKUP("SMART",'G2 BOST'!$C$76:$I$96,7,FALSE)</f>
        <v>1617167.273671424</v>
      </c>
      <c r="AQ23" s="157">
        <f>+AP23/($D23)*100</f>
        <v>6.3059809698508398E-2</v>
      </c>
      <c r="AR23" s="157"/>
      <c r="AS23" s="155">
        <f>VLOOKUP("tacf",'G2 BOST'!$C$76:$I$96,7,FALSE)</f>
        <v>-2448121.0911079957</v>
      </c>
      <c r="AT23" s="156">
        <f>+AS23/($D23)*100</f>
        <v>-9.5462017218350834E-2</v>
      </c>
      <c r="AU23" s="156"/>
      <c r="AV23" s="155">
        <f>L23+I23+O23+U23+AG23+R23+X23+AD23+F23+AJ23+AM23+AA23+AP23+AS23</f>
        <v>34072338.394176841</v>
      </c>
      <c r="AW23" s="156">
        <f>+AV23/($D23)*100</f>
        <v>1.3286165321921573</v>
      </c>
    </row>
    <row r="24" spans="1:49" ht="14" x14ac:dyDescent="0.3">
      <c r="A24" s="151" t="str">
        <f>IF(C24&lt;&gt;"",COUNTA($C$11:C24),"")</f>
        <v/>
      </c>
      <c r="B24" s="152"/>
      <c r="C24" s="129"/>
      <c r="D24" s="153"/>
      <c r="E24" s="154"/>
      <c r="F24" s="161"/>
      <c r="G24" s="157"/>
      <c r="H24" s="157"/>
      <c r="I24" s="161"/>
      <c r="J24" s="157"/>
      <c r="K24" s="157"/>
      <c r="L24" s="155"/>
      <c r="M24" s="156"/>
      <c r="N24" s="157"/>
      <c r="O24" s="161"/>
      <c r="P24" s="157"/>
      <c r="Q24" s="157"/>
      <c r="R24" s="161"/>
      <c r="S24" s="157"/>
      <c r="T24" s="157"/>
      <c r="U24" s="161"/>
      <c r="V24" s="157"/>
      <c r="W24" s="157"/>
      <c r="X24" s="161"/>
      <c r="Y24" s="157"/>
      <c r="Z24" s="157"/>
      <c r="AA24" s="161"/>
      <c r="AB24" s="157"/>
      <c r="AC24" s="157"/>
      <c r="AD24" s="161"/>
      <c r="AE24" s="157"/>
      <c r="AF24" s="157"/>
      <c r="AG24" s="155"/>
      <c r="AH24" s="156"/>
      <c r="AI24" s="157"/>
      <c r="AJ24" s="161"/>
      <c r="AK24" s="157"/>
      <c r="AL24" s="157"/>
      <c r="AM24" s="161"/>
      <c r="AN24" s="157"/>
      <c r="AO24" s="157"/>
      <c r="AP24" s="161"/>
      <c r="AQ24" s="157"/>
      <c r="AR24" s="157"/>
      <c r="AS24" s="155"/>
      <c r="AT24" s="156"/>
      <c r="AU24" s="156"/>
      <c r="AV24" s="155"/>
      <c r="AW24" s="156"/>
    </row>
    <row r="25" spans="1:49" ht="14" x14ac:dyDescent="0.3">
      <c r="A25" s="151">
        <f>IF(C25&lt;&gt;"",COUNTA($C$11:C25),"")</f>
        <v>8</v>
      </c>
      <c r="B25" s="152" t="s">
        <v>249</v>
      </c>
      <c r="C25" s="130" t="s">
        <v>253</v>
      </c>
      <c r="D25" s="153">
        <f>'Exh 9_Proposed Rev p1'!D25</f>
        <v>3031837282.793479</v>
      </c>
      <c r="E25" s="154">
        <v>25497751.548293155</v>
      </c>
      <c r="F25" s="161">
        <f>VLOOKUP("RDAF",'G3 BOST'!$C$52:$I$72,7,FALSE)</f>
        <v>-727673.93977382174</v>
      </c>
      <c r="G25" s="157">
        <f>+F25/($D25)*100</f>
        <v>-2.4001088181861672E-2</v>
      </c>
      <c r="H25" s="157"/>
      <c r="I25" s="161">
        <f>VLOOKUP("RAAF",'G3 BOST'!$C$52:$I$72,7,FALSE)</f>
        <v>6147585.1461092131</v>
      </c>
      <c r="J25" s="157">
        <f>+I25/($D25)*100</f>
        <v>0.20276764788791507</v>
      </c>
      <c r="K25" s="157"/>
      <c r="L25" s="155">
        <f>VLOOKUP("PAF",'G3 BOST'!$C$52:$I$72,7,FALSE)</f>
        <v>898647.64046247804</v>
      </c>
      <c r="M25" s="156">
        <f>+L25/($D25)*100</f>
        <v>2.9640365119940761E-2</v>
      </c>
      <c r="N25" s="157"/>
      <c r="O25" s="161">
        <f>VLOOKUP("NMRS",'G3 BOST'!$C$52:$I$72,7,FALSE)</f>
        <v>8015957.908649398</v>
      </c>
      <c r="P25" s="157">
        <f>+O25/($D25)*100</f>
        <v>0.26439274805881541</v>
      </c>
      <c r="Q25" s="157"/>
      <c r="R25" s="161">
        <f>VLOOKUP("LTRCA",'G3 BOST'!$C$52:$I$72,7,FALSE)</f>
        <v>5262399.0163710974</v>
      </c>
      <c r="S25" s="157">
        <f>+R25/($D25)*100</f>
        <v>0.17357128782064518</v>
      </c>
      <c r="T25" s="157"/>
      <c r="U25" s="161">
        <f>VLOOKUP("AGCE",'G3 BOST'!$C$52:$I$72,7,FALSE)</f>
        <v>12907.635564878317</v>
      </c>
      <c r="V25" s="157">
        <f>+U25/($D25)*100</f>
        <v>4.2573642187635678E-4</v>
      </c>
      <c r="W25" s="157"/>
      <c r="X25" s="161">
        <f>VLOOKUP("SCRA",'G3 BOST'!$C$52:$I$72,7,FALSE)</f>
        <v>4659159.5709275268</v>
      </c>
      <c r="Y25" s="157">
        <f>+X25/($D25)*100</f>
        <v>0.15367445995105197</v>
      </c>
      <c r="Z25" s="157"/>
      <c r="AA25" s="161">
        <f>VLOOKUP("SRA",'G3 BOST'!$C$52:$I$72,7,FALSE)</f>
        <v>0</v>
      </c>
      <c r="AB25" s="157">
        <f>+AA25/($D25)*100</f>
        <v>0</v>
      </c>
      <c r="AC25" s="157"/>
      <c r="AD25" s="161">
        <f>VLOOKUP("BSTF",'G3 BOST'!$C$52:$I$72,7,FALSE)</f>
        <v>-305058.23933678219</v>
      </c>
      <c r="AE25" s="157">
        <f>+AD25/($D25)*100</f>
        <v>-1.0061827561395616E-2</v>
      </c>
      <c r="AF25" s="157"/>
      <c r="AG25" s="155">
        <f>VLOOKUP("SPCA",'G3 BOST'!$C$52:$I$72,7,FALSE)</f>
        <v>54289.542407935231</v>
      </c>
      <c r="AH25" s="156">
        <f>+AG25/($D25)*100</f>
        <v>1.7906482882852422E-3</v>
      </c>
      <c r="AI25" s="157"/>
      <c r="AJ25" s="161">
        <f>VLOOKUP("SECRF",'G3 BOST'!$C$52:$I$72,7,FALSE)</f>
        <v>957543.32848445291</v>
      </c>
      <c r="AK25" s="157">
        <f>+AJ25/($D25)*100</f>
        <v>3.1582939292909222E-2</v>
      </c>
      <c r="AL25" s="157"/>
      <c r="AM25" s="161">
        <f>VLOOKUP("RTWF",'G3 BOST'!$C$52:$I$72,7,FALSE)</f>
        <v>1608883.0051662712</v>
      </c>
      <c r="AN25" s="157">
        <f>+AM25/($D25)*100</f>
        <v>5.3066271540927683E-2</v>
      </c>
      <c r="AO25" s="157"/>
      <c r="AP25" s="161">
        <f>VLOOKUP("SMART",'G3 BOST'!$C$52:$I$72,7,FALSE)</f>
        <v>1121896.3799021628</v>
      </c>
      <c r="AQ25" s="157">
        <f>+AP25/($D25)*100</f>
        <v>3.7003845366940936E-2</v>
      </c>
      <c r="AR25" s="157"/>
      <c r="AS25" s="155">
        <f>VLOOKUP("tacf",'G3 BOST'!$C$52:$I$72,7,FALSE)</f>
        <v>-1698363.6970594758</v>
      </c>
      <c r="AT25" s="156">
        <f>+AS25/($D25)*100</f>
        <v>-5.6017640085705221E-2</v>
      </c>
      <c r="AU25" s="156"/>
      <c r="AV25" s="155">
        <f>L25+I25+O25+U25+AG25+R25+X25+AD25+F25+AJ25+AM25+AA25+AP25+AS25</f>
        <v>26008173.297875334</v>
      </c>
      <c r="AW25" s="156">
        <f>+AV25/($D25)*100</f>
        <v>0.85783539392034536</v>
      </c>
    </row>
    <row r="26" spans="1:49" ht="14" x14ac:dyDescent="0.3">
      <c r="A26" s="151" t="str">
        <f>IF(C26&lt;&gt;"",COUNTA($C$11:C26),"")</f>
        <v/>
      </c>
      <c r="B26" s="152"/>
      <c r="C26" s="129"/>
      <c r="D26" s="153"/>
      <c r="E26" s="154"/>
      <c r="F26" s="161"/>
      <c r="G26" s="157"/>
      <c r="H26" s="157"/>
      <c r="I26" s="161"/>
      <c r="J26" s="157"/>
      <c r="K26" s="157"/>
      <c r="L26" s="155"/>
      <c r="M26" s="156"/>
      <c r="N26" s="157"/>
      <c r="O26" s="161"/>
      <c r="P26" s="157"/>
      <c r="Q26" s="157"/>
      <c r="R26" s="161"/>
      <c r="S26" s="157"/>
      <c r="T26" s="157"/>
      <c r="U26" s="161"/>
      <c r="V26" s="157"/>
      <c r="W26" s="157"/>
      <c r="X26" s="161"/>
      <c r="Y26" s="157"/>
      <c r="Z26" s="157"/>
      <c r="AA26" s="161"/>
      <c r="AB26" s="157"/>
      <c r="AC26" s="157"/>
      <c r="AD26" s="161"/>
      <c r="AE26" s="157"/>
      <c r="AF26" s="157"/>
      <c r="AG26" s="155"/>
      <c r="AH26" s="156"/>
      <c r="AI26" s="157"/>
      <c r="AJ26" s="161"/>
      <c r="AK26" s="157"/>
      <c r="AL26" s="157"/>
      <c r="AM26" s="161"/>
      <c r="AN26" s="157"/>
      <c r="AO26" s="157"/>
      <c r="AP26" s="161"/>
      <c r="AQ26" s="157"/>
      <c r="AR26" s="157"/>
      <c r="AS26" s="155"/>
      <c r="AT26" s="156"/>
      <c r="AU26" s="156"/>
      <c r="AV26" s="155"/>
      <c r="AW26" s="156"/>
    </row>
    <row r="27" spans="1:49" ht="14" x14ac:dyDescent="0.3">
      <c r="A27" s="151">
        <f>IF(C27&lt;&gt;"",COUNTA($C$11:C27),"")</f>
        <v>9</v>
      </c>
      <c r="B27" s="152" t="s">
        <v>249</v>
      </c>
      <c r="C27" s="130" t="s">
        <v>254</v>
      </c>
      <c r="D27" s="153">
        <f>'Exh 9_Proposed Rev p1'!D27</f>
        <v>261823.68963648711</v>
      </c>
      <c r="E27" s="154">
        <v>4992.9777613678098</v>
      </c>
      <c r="F27" s="161">
        <f>VLOOKUP("RDAF",'T1 BOST'!$C$56:$I$76,7,FALSE)</f>
        <v>-172.21188486013014</v>
      </c>
      <c r="G27" s="157">
        <f>+F27/($D27)*100</f>
        <v>-6.5773989014984491E-2</v>
      </c>
      <c r="H27" s="157"/>
      <c r="I27" s="161">
        <f>VLOOKUP("RAAF",'T1 BOST'!$C$56:$I$76,7,FALSE)</f>
        <v>1454.8923185000565</v>
      </c>
      <c r="J27" s="157">
        <f>+I27/($D27)*100</f>
        <v>0.55567634866043314</v>
      </c>
      <c r="K27" s="157"/>
      <c r="L27" s="155">
        <f>VLOOKUP("PAF",'T1 BOST'!$C$56:$I$76,7,FALSE)</f>
        <v>253.21381060499013</v>
      </c>
      <c r="M27" s="156">
        <f>+L27/($D27)*100</f>
        <v>9.6711573714566915E-2</v>
      </c>
      <c r="N27" s="157"/>
      <c r="O27" s="161">
        <f>VLOOKUP("NMRS",'T1 BOST'!$C$56:$I$76,7,FALSE)</f>
        <v>1897.0628807142027</v>
      </c>
      <c r="P27" s="157">
        <f>+O27/($D27)*100</f>
        <v>0.72455738567738548</v>
      </c>
      <c r="Q27" s="157"/>
      <c r="R27" s="161">
        <f>VLOOKUP("LTRCA",'T1 BOST'!$C$56:$I$76,7,FALSE)</f>
        <v>454.45074992157976</v>
      </c>
      <c r="S27" s="157">
        <f>+R27/($D27)*100</f>
        <v>0.17357128782064518</v>
      </c>
      <c r="T27" s="157"/>
      <c r="U27" s="161">
        <f>VLOOKUP("AGCE",'T1 BOST'!$C$56:$I$76,7,FALSE)</f>
        <v>3.0547311484127886</v>
      </c>
      <c r="V27" s="157">
        <f>+U27/($D27)*100</f>
        <v>1.1667130474915929E-3</v>
      </c>
      <c r="W27" s="157"/>
      <c r="X27" s="161">
        <f>VLOOKUP("SCRA",'T1 BOST'!$C$56:$I$76,7,FALSE)</f>
        <v>1102.7454707410022</v>
      </c>
      <c r="Y27" s="157">
        <f>+X27/($D27)*100</f>
        <v>0.42117864593232224</v>
      </c>
      <c r="Z27" s="157"/>
      <c r="AA27" s="161">
        <f>VLOOKUP("SRA",'T1 BOST'!$C$56:$I$76,7,FALSE)</f>
        <v>0</v>
      </c>
      <c r="AB27" s="157">
        <f>+AA27/($D27)*100</f>
        <v>0</v>
      </c>
      <c r="AC27" s="157"/>
      <c r="AD27" s="161">
        <f>VLOOKUP("BSTF",'T1 BOST'!$C$56:$I$76,7,FALSE)</f>
        <v>-72.195321993568939</v>
      </c>
      <c r="AE27" s="157">
        <f>+AD27/($D27)*100</f>
        <v>-2.7574022080967563E-2</v>
      </c>
      <c r="AF27" s="157"/>
      <c r="AG27" s="155">
        <f>VLOOKUP("SPCA",'T1 BOST'!$C$56:$I$76,7,FALSE)</f>
        <v>12.848205652617539</v>
      </c>
      <c r="AH27" s="156">
        <f>+AG27/($D27)*100</f>
        <v>4.9071975383342256E-3</v>
      </c>
      <c r="AI27" s="157"/>
      <c r="AJ27" s="161">
        <f>VLOOKUP("SECRF",'T1 BOST'!$C$56:$I$76,7,FALSE)</f>
        <v>226.61295453950876</v>
      </c>
      <c r="AK27" s="157">
        <f>+AJ27/($D27)*100</f>
        <v>8.6551738253377877E-2</v>
      </c>
      <c r="AL27" s="157"/>
      <c r="AM27" s="161">
        <f>VLOOKUP("RTWF",'T1 BOST'!$C$56:$I$76,7,FALSE)</f>
        <v>453.33830325988572</v>
      </c>
      <c r="AN27" s="157">
        <f>+AM27/($D27)*100</f>
        <v>0.17314640393667022</v>
      </c>
      <c r="AO27" s="157"/>
      <c r="AP27" s="161">
        <f>VLOOKUP("SMART",'T1 BOST'!$C$56:$I$76,7,FALSE)</f>
        <v>265.5088764904242</v>
      </c>
      <c r="AQ27" s="157">
        <f>+AP27/($D27)*100</f>
        <v>0.10140750703614848</v>
      </c>
      <c r="AR27" s="157"/>
      <c r="AS27" s="155">
        <f>VLOOKUP("tacf",'T1 BOST'!$C$56:$I$76,7,FALSE)</f>
        <v>-401.93608354250057</v>
      </c>
      <c r="AT27" s="156">
        <f>+AS27/($D27)*100</f>
        <v>-0.15351402468605643</v>
      </c>
      <c r="AU27" s="156"/>
      <c r="AV27" s="155">
        <f>L27+I27+O27+U27+AG27+R27+X27+AD27+F27+AJ27+AM27+AA27+AP27+AS27</f>
        <v>5477.3850111764814</v>
      </c>
      <c r="AW27" s="156">
        <f>+AV27/($D27)*100</f>
        <v>2.0920127658353671</v>
      </c>
    </row>
    <row r="28" spans="1:49" ht="14" x14ac:dyDescent="0.3">
      <c r="A28" s="151" t="str">
        <f>IF(C28&lt;&gt;"",COUNTA($C$11:C28),"")</f>
        <v/>
      </c>
      <c r="B28" s="152"/>
      <c r="C28" s="129"/>
      <c r="D28" s="153"/>
      <c r="E28" s="154"/>
      <c r="F28" s="161"/>
      <c r="G28" s="157"/>
      <c r="H28" s="157"/>
      <c r="I28" s="161"/>
      <c r="J28" s="157"/>
      <c r="K28" s="157"/>
      <c r="L28" s="155"/>
      <c r="M28" s="156"/>
      <c r="N28" s="157"/>
      <c r="O28" s="161"/>
      <c r="P28" s="157"/>
      <c r="Q28" s="157"/>
      <c r="R28" s="161"/>
      <c r="S28" s="157"/>
      <c r="T28" s="157"/>
      <c r="U28" s="161"/>
      <c r="V28" s="157"/>
      <c r="W28" s="157"/>
      <c r="X28" s="161"/>
      <c r="Y28" s="157"/>
      <c r="Z28" s="157"/>
      <c r="AA28" s="161"/>
      <c r="AB28" s="157"/>
      <c r="AC28" s="157"/>
      <c r="AD28" s="161"/>
      <c r="AE28" s="157"/>
      <c r="AF28" s="157"/>
      <c r="AG28" s="155"/>
      <c r="AH28" s="156"/>
      <c r="AI28" s="157"/>
      <c r="AJ28" s="161"/>
      <c r="AK28" s="157"/>
      <c r="AL28" s="157"/>
      <c r="AM28" s="161"/>
      <c r="AN28" s="157"/>
      <c r="AO28" s="157"/>
      <c r="AP28" s="161"/>
      <c r="AQ28" s="157"/>
      <c r="AR28" s="157"/>
      <c r="AS28" s="155"/>
      <c r="AT28" s="156"/>
      <c r="AU28" s="156"/>
      <c r="AV28" s="155"/>
      <c r="AW28" s="156"/>
    </row>
    <row r="29" spans="1:49" ht="14" x14ac:dyDescent="0.3">
      <c r="A29" s="151">
        <f>IF(C29&lt;&gt;"",COUNTA($C$11:C29),"")</f>
        <v>10</v>
      </c>
      <c r="B29" s="152" t="s">
        <v>249</v>
      </c>
      <c r="C29" s="130" t="s">
        <v>255</v>
      </c>
      <c r="D29" s="153">
        <f>'Exh 9_Proposed Rev p1'!D29</f>
        <v>3845423355.5168753</v>
      </c>
      <c r="E29" s="154">
        <v>48644605.447288468</v>
      </c>
      <c r="F29" s="161">
        <f>VLOOKUP("RDAF",'T2 BOST'!$C$56:$I$76,7,FALSE)</f>
        <v>-1572826.7636880081</v>
      </c>
      <c r="G29" s="157">
        <f>+F29/($D29)*100</f>
        <v>-4.0901264133415542E-2</v>
      </c>
      <c r="H29" s="157"/>
      <c r="I29" s="161">
        <f>VLOOKUP("RAAF",'T2 BOST'!$C$56:$I$76,7,FALSE)</f>
        <v>13287663.500573903</v>
      </c>
      <c r="J29" s="157">
        <f>+I29/($D29)*100</f>
        <v>0.34554487951269719</v>
      </c>
      <c r="K29" s="157"/>
      <c r="L29" s="155">
        <f>VLOOKUP("PAF",'T2 BOST'!$C$56:$I$76,7,FALSE)</f>
        <v>1790308.7002350595</v>
      </c>
      <c r="M29" s="156">
        <f>+L29/($D29)*100</f>
        <v>4.655686863883466E-2</v>
      </c>
      <c r="N29" s="157"/>
      <c r="O29" s="161">
        <f>VLOOKUP("NMRS",'T2 BOST'!$C$56:$I$76,7,FALSE)</f>
        <v>17326047.349227734</v>
      </c>
      <c r="P29" s="157">
        <f>+O29/($D29)*100</f>
        <v>0.45056280537670179</v>
      </c>
      <c r="Q29" s="157"/>
      <c r="R29" s="161">
        <f>VLOOKUP("LTRCA",'T2 BOST'!$C$56:$I$76,7,FALSE)</f>
        <v>6674550.8403265066</v>
      </c>
      <c r="S29" s="157">
        <f>+R29/($D29)*100</f>
        <v>0.17357128782064518</v>
      </c>
      <c r="T29" s="157"/>
      <c r="U29" s="161">
        <f>VLOOKUP("AGCE",'T2 BOST'!$C$56:$I$76,7,FALSE)</f>
        <v>27899.136636227449</v>
      </c>
      <c r="V29" s="157">
        <f>+U29/($D29)*100</f>
        <v>7.2551534790575589E-4</v>
      </c>
      <c r="W29" s="157"/>
      <c r="X29" s="161">
        <f>VLOOKUP("SCRA",'T2 BOST'!$C$56:$I$76,7,FALSE)</f>
        <v>10070377.986060066</v>
      </c>
      <c r="Y29" s="157">
        <f>+X29/($D29)*100</f>
        <v>0.2618795657859751</v>
      </c>
      <c r="Z29" s="157"/>
      <c r="AA29" s="161">
        <f>VLOOKUP("SRA",'T2 BOST'!$C$56:$I$76,7,FALSE)</f>
        <v>0</v>
      </c>
      <c r="AB29" s="157">
        <f>+AA29/($D29)*100</f>
        <v>0</v>
      </c>
      <c r="AC29" s="157"/>
      <c r="AD29" s="161">
        <f>VLOOKUP("BSTF",'T2 BOST'!$C$56:$I$76,7,FALSE)</f>
        <v>-659366.42373309028</v>
      </c>
      <c r="AE29" s="157">
        <f>+AD29/($D29)*100</f>
        <v>-1.7146783663939725E-2</v>
      </c>
      <c r="AF29" s="157"/>
      <c r="AG29" s="155">
        <f>VLOOKUP("SPCA",'T2 BOST'!$C$56:$I$76,7,FALSE)</f>
        <v>117343.82753093541</v>
      </c>
      <c r="AH29" s="156">
        <f>+AG29/($D29)*100</f>
        <v>3.0515190833952498E-3</v>
      </c>
      <c r="AI29" s="157"/>
      <c r="AJ29" s="161">
        <f>VLOOKUP("SECRF",'T2 BOST'!$C$56:$I$76,7,FALSE)</f>
        <v>2069676.6671338554</v>
      </c>
      <c r="AK29" s="157">
        <f>+AJ29/($D29)*100</f>
        <v>5.3821815591892447E-2</v>
      </c>
      <c r="AL29" s="157"/>
      <c r="AM29" s="161">
        <f>VLOOKUP("RTWF",'T2 BOST'!$C$56:$I$76,7,FALSE)</f>
        <v>3205257.6695434735</v>
      </c>
      <c r="AN29" s="157">
        <f>+AM29/($D29)*100</f>
        <v>8.3352530351307574E-2</v>
      </c>
      <c r="AO29" s="157"/>
      <c r="AP29" s="161">
        <f>VLOOKUP("SMART",'T2 BOST'!$C$56:$I$76,7,FALSE)</f>
        <v>2424916.650090938</v>
      </c>
      <c r="AQ29" s="157">
        <f>+AP29/($D29)*100</f>
        <v>6.3059809698508398E-2</v>
      </c>
      <c r="AR29" s="157"/>
      <c r="AS29" s="155">
        <f>VLOOKUP("tacf",'T2 BOST'!$C$56:$I$76,7,FALSE)</f>
        <v>-3670918.705762004</v>
      </c>
      <c r="AT29" s="156">
        <f>+AS29/($D29)*100</f>
        <v>-9.5462017218350834E-2</v>
      </c>
      <c r="AU29" s="156"/>
      <c r="AV29" s="155">
        <f>L29+I29+O29+U29+AG29+R29+X29+AD29+F29+AJ29+AM29+AA29+AP29+AS29</f>
        <v>51090930.434175596</v>
      </c>
      <c r="AW29" s="156">
        <f>+AV29/($D29)*100</f>
        <v>1.3286165321921573</v>
      </c>
    </row>
    <row r="30" spans="1:49" ht="14" x14ac:dyDescent="0.3">
      <c r="A30" s="151" t="str">
        <f>IF(C30&lt;&gt;"",COUNTA($C$11:C30),"")</f>
        <v/>
      </c>
      <c r="B30" s="152"/>
      <c r="C30" s="129"/>
      <c r="D30" s="153"/>
      <c r="E30" s="154"/>
      <c r="F30" s="161"/>
      <c r="G30" s="157"/>
      <c r="H30" s="157"/>
      <c r="I30" s="161"/>
      <c r="J30" s="157"/>
      <c r="K30" s="157"/>
      <c r="L30" s="155"/>
      <c r="M30" s="156"/>
      <c r="N30" s="157"/>
      <c r="O30" s="161"/>
      <c r="P30" s="157"/>
      <c r="Q30" s="157"/>
      <c r="R30" s="161"/>
      <c r="S30" s="157"/>
      <c r="T30" s="157"/>
      <c r="U30" s="161"/>
      <c r="V30" s="157"/>
      <c r="W30" s="157"/>
      <c r="X30" s="161"/>
      <c r="Y30" s="157"/>
      <c r="Z30" s="157"/>
      <c r="AA30" s="161"/>
      <c r="AB30" s="157"/>
      <c r="AC30" s="157"/>
      <c r="AD30" s="161"/>
      <c r="AE30" s="157"/>
      <c r="AF30" s="157"/>
      <c r="AG30" s="155"/>
      <c r="AH30" s="156"/>
      <c r="AI30" s="157"/>
      <c r="AJ30" s="161"/>
      <c r="AK30" s="157"/>
      <c r="AL30" s="157"/>
      <c r="AM30" s="161"/>
      <c r="AN30" s="157"/>
      <c r="AO30" s="157"/>
      <c r="AP30" s="161"/>
      <c r="AQ30" s="157"/>
      <c r="AR30" s="157"/>
      <c r="AS30" s="155"/>
      <c r="AT30" s="156"/>
      <c r="AU30" s="156"/>
      <c r="AV30" s="155"/>
      <c r="AW30" s="156"/>
    </row>
    <row r="31" spans="1:49" ht="14" x14ac:dyDescent="0.3">
      <c r="A31" s="151">
        <f>IF(C31&lt;&gt;"",COUNTA($C$11:C31),"")</f>
        <v>11</v>
      </c>
      <c r="B31" s="152" t="s">
        <v>249</v>
      </c>
      <c r="C31" s="130" t="s">
        <v>256</v>
      </c>
      <c r="D31" s="153">
        <f>'Exh 9_Proposed Rev p1'!D31</f>
        <v>98756484.628564417</v>
      </c>
      <c r="E31" s="154">
        <v>830542.03572622675</v>
      </c>
      <c r="F31" s="161">
        <f>VLOOKUP("RDAF",'WR BOST'!$C$50:$I$70,7,FALSE)</f>
        <v>-23702.630961008417</v>
      </c>
      <c r="G31" s="157">
        <f>+F31/($D31)*100</f>
        <v>-2.4001088181861679E-2</v>
      </c>
      <c r="H31" s="157"/>
      <c r="I31" s="161">
        <f>VLOOKUP("RAAF",'WR BOST'!$C$50:$I$70,7,FALSE)</f>
        <v>200246.20101813046</v>
      </c>
      <c r="J31" s="157">
        <f>+I31/($D31)*100</f>
        <v>0.20276764788791507</v>
      </c>
      <c r="K31" s="157"/>
      <c r="L31" s="155">
        <f>VLOOKUP("PAF",'WR BOST'!$C$50:$I$70,7,FALSE)</f>
        <v>29271.782623524665</v>
      </c>
      <c r="M31" s="156">
        <f>+L31/($D31)*100</f>
        <v>2.9640365119940761E-2</v>
      </c>
      <c r="N31" s="157"/>
      <c r="O31" s="161">
        <f>VLOOKUP("NMRS",'WR BOST'!$C$50:$I$70,7,FALSE)</f>
        <v>261104.98359574311</v>
      </c>
      <c r="P31" s="157">
        <f>+O31/($D31)*100</f>
        <v>0.26439274805881541</v>
      </c>
      <c r="Q31" s="157"/>
      <c r="R31" s="161">
        <f>VLOOKUP("LTRCA",'WR BOST'!$C$50:$I$70,7,FALSE)</f>
        <v>171412.90217619675</v>
      </c>
      <c r="S31" s="157">
        <f>+R31/($D31)*100</f>
        <v>0.17357128782064518</v>
      </c>
      <c r="T31" s="157"/>
      <c r="U31" s="161">
        <f>VLOOKUP("AGCE",'WR BOST'!$C$50:$I$70,7,FALSE)</f>
        <v>420.44232402852441</v>
      </c>
      <c r="V31" s="157">
        <f>+U31/($D31)*100</f>
        <v>4.2573642187635678E-4</v>
      </c>
      <c r="W31" s="157"/>
      <c r="X31" s="161">
        <f>VLOOKUP("SCRA",'WR BOST'!$C$50:$I$70,7,FALSE)</f>
        <v>151763.49441959002</v>
      </c>
      <c r="Y31" s="157">
        <f>+X31/($D31)*100</f>
        <v>0.15367445995105197</v>
      </c>
      <c r="Z31" s="157"/>
      <c r="AA31" s="161">
        <f>VLOOKUP("SRA",'WR BOST'!$C$50:$I$70,7,FALSE)</f>
        <v>0</v>
      </c>
      <c r="AB31" s="157">
        <f>+AA31/($D31)*100</f>
        <v>0</v>
      </c>
      <c r="AC31" s="157"/>
      <c r="AD31" s="161">
        <f>VLOOKUP("BSTF",'WR BOST'!$C$50:$I$70,7,FALSE)</f>
        <v>-9936.7071890223197</v>
      </c>
      <c r="AE31" s="157">
        <f>+AD31/($D31)*100</f>
        <v>-1.0061827561395616E-2</v>
      </c>
      <c r="AF31" s="157"/>
      <c r="AG31" s="155">
        <f>VLOOKUP("SPCA",'WR BOST'!$C$50:$I$70,7,FALSE)</f>
        <v>1768.3813015720671</v>
      </c>
      <c r="AH31" s="156">
        <f>+AG31/($D31)*100</f>
        <v>1.7906482882852422E-3</v>
      </c>
      <c r="AI31" s="157"/>
      <c r="AJ31" s="161">
        <f>VLOOKUP("SECRF",'WR BOST'!$C$50:$I$70,7,FALSE)</f>
        <v>31190.200588050724</v>
      </c>
      <c r="AK31" s="157">
        <f>+AJ31/($D31)*100</f>
        <v>3.1582939292909222E-2</v>
      </c>
      <c r="AL31" s="157"/>
      <c r="AM31" s="161">
        <f>VLOOKUP("RTWF",'WR BOST'!$C$50:$I$70,7,FALSE)</f>
        <v>52406.384297268502</v>
      </c>
      <c r="AN31" s="157">
        <f>+AM31/($D31)*100</f>
        <v>5.3066271540927683E-2</v>
      </c>
      <c r="AO31" s="157"/>
      <c r="AP31" s="161">
        <f>VLOOKUP("SMART",'WR BOST'!$C$50:$I$70,7,FALSE)</f>
        <v>36543.696861780772</v>
      </c>
      <c r="AQ31" s="157">
        <f>+AP31/($D31)*100</f>
        <v>3.7003845366940936E-2</v>
      </c>
      <c r="AR31" s="157"/>
      <c r="AS31" s="155">
        <f>VLOOKUP("tacf",'WR BOST'!$C$50:$I$70,7,FALSE)</f>
        <v>-55321.052120524015</v>
      </c>
      <c r="AT31" s="156">
        <f>+AS31/($D31)*100</f>
        <v>-5.6017640085705221E-2</v>
      </c>
      <c r="AU31" s="156"/>
      <c r="AV31" s="155">
        <f>L31+I31+O31+U31+AG31+R31+X31+AD31+F31+AJ31+AM31+AA31+AP31+AS31</f>
        <v>847168.07893533097</v>
      </c>
      <c r="AW31" s="156">
        <f>+AV31/($D31)*100</f>
        <v>0.85783539392034547</v>
      </c>
    </row>
    <row r="32" spans="1:49" ht="14" x14ac:dyDescent="0.3">
      <c r="A32" s="151" t="str">
        <f>IF(C32&lt;&gt;"",COUNTA($C$11:C32),"")</f>
        <v/>
      </c>
      <c r="B32" s="152"/>
      <c r="C32" s="129"/>
      <c r="D32" s="153"/>
      <c r="E32" s="154"/>
      <c r="F32" s="161"/>
      <c r="G32" s="157"/>
      <c r="H32" s="157"/>
      <c r="I32" s="161"/>
      <c r="J32" s="157"/>
      <c r="K32" s="157"/>
      <c r="L32" s="155"/>
      <c r="M32" s="156"/>
      <c r="N32" s="157"/>
      <c r="O32" s="161"/>
      <c r="P32" s="157"/>
      <c r="Q32" s="157"/>
      <c r="R32" s="161"/>
      <c r="S32" s="157"/>
      <c r="T32" s="157"/>
      <c r="U32" s="161"/>
      <c r="V32" s="157"/>
      <c r="W32" s="157"/>
      <c r="X32" s="161"/>
      <c r="Y32" s="157"/>
      <c r="Z32" s="157"/>
      <c r="AA32" s="161"/>
      <c r="AB32" s="157"/>
      <c r="AC32" s="157"/>
      <c r="AD32" s="161"/>
      <c r="AE32" s="157"/>
      <c r="AF32" s="157"/>
      <c r="AG32" s="155"/>
      <c r="AH32" s="156"/>
      <c r="AI32" s="157"/>
      <c r="AJ32" s="161"/>
      <c r="AK32" s="157"/>
      <c r="AL32" s="157"/>
      <c r="AM32" s="161"/>
      <c r="AN32" s="157"/>
      <c r="AO32" s="157"/>
      <c r="AP32" s="161"/>
      <c r="AQ32" s="157"/>
      <c r="AR32" s="157"/>
      <c r="AS32" s="155"/>
      <c r="AT32" s="156"/>
      <c r="AU32" s="156"/>
      <c r="AV32" s="155"/>
      <c r="AW32" s="156"/>
    </row>
    <row r="33" spans="1:49" ht="14" x14ac:dyDescent="0.3">
      <c r="A33" s="151">
        <f>IF(C33&lt;&gt;"",COUNTA($C$11:C33),"")</f>
        <v>12</v>
      </c>
      <c r="B33" s="152" t="s">
        <v>119</v>
      </c>
      <c r="C33" s="130" t="s">
        <v>257</v>
      </c>
      <c r="D33" s="153">
        <f>'Exh 9_Proposed Rev p1'!D33</f>
        <v>38388378.771134883</v>
      </c>
      <c r="E33" s="154">
        <v>419201.09618079296</v>
      </c>
      <c r="F33" s="161">
        <f>VLOOKUP("RDAF",'G0 CAMB'!$C$46:$I$66,7,FALSE)</f>
        <v>-12418.017313173812</v>
      </c>
      <c r="G33" s="157">
        <f>+F33/($D33)*100</f>
        <v>-3.2348376541786156E-2</v>
      </c>
      <c r="H33" s="157"/>
      <c r="I33" s="161">
        <f>VLOOKUP("RAAF",'G0 CAMB'!$C$46:$I$66,7,FALSE)</f>
        <v>104910.75000201723</v>
      </c>
      <c r="J33" s="157">
        <f>+I33/($D33)*100</f>
        <v>0.27328778489833511</v>
      </c>
      <c r="K33" s="157"/>
      <c r="L33" s="155">
        <f>VLOOKUP("PAF",'G0 CAMB'!$C$46:$I$66,7,FALSE)</f>
        <v>20873.420457054588</v>
      </c>
      <c r="M33" s="156">
        <f>+L33/($D33)*100</f>
        <v>5.4374321409868448E-2</v>
      </c>
      <c r="N33" s="157"/>
      <c r="O33" s="161">
        <f>VLOOKUP("NMRS",'G0 CAMB'!$C$46:$I$66,7,FALSE)</f>
        <v>136795.20270056787</v>
      </c>
      <c r="P33" s="157">
        <f>+O33/($D33)*100</f>
        <v>0.35634535002407386</v>
      </c>
      <c r="Q33" s="157"/>
      <c r="R33" s="161">
        <f>VLOOKUP("LTRCA",'G0 CAMB'!$C$46:$I$66,7,FALSE)</f>
        <v>66631.20340652598</v>
      </c>
      <c r="S33" s="157">
        <f>+R33/($D33)*100</f>
        <v>0.17357128782064518</v>
      </c>
      <c r="T33" s="157"/>
      <c r="U33" s="161">
        <f>VLOOKUP("AGCE",'G0 CAMB'!$C$46:$I$66,7,FALSE)</f>
        <v>220.27344000613519</v>
      </c>
      <c r="V33" s="157">
        <f>+U33/($D33)*100</f>
        <v>5.7380240337673218E-4</v>
      </c>
      <c r="W33" s="157"/>
      <c r="X33" s="161">
        <f>VLOOKUP("SCRA",'G0 CAMB'!$C$46:$I$66,7,FALSE)</f>
        <v>79493.385504801336</v>
      </c>
      <c r="Y33" s="157">
        <f>+X33/($D33)*100</f>
        <v>0.20707669364920994</v>
      </c>
      <c r="Z33" s="157"/>
      <c r="AA33" s="161">
        <f>VLOOKUP("SRA",'G0 CAMB'!$C$46:$I$66,7,FALSE)</f>
        <v>0</v>
      </c>
      <c r="AB33" s="157">
        <f>+AA33/($D33)*100</f>
        <v>0</v>
      </c>
      <c r="AC33" s="157"/>
      <c r="AD33" s="161">
        <f>VLOOKUP("BSTF",'G0 CAMB'!$C$46:$I$66,7,FALSE)</f>
        <v>-5205.928494275815</v>
      </c>
      <c r="AE33" s="157">
        <f>+AD33/($D33)*100</f>
        <v>-1.3561209566344785E-2</v>
      </c>
      <c r="AF33" s="157"/>
      <c r="AG33" s="155">
        <f>VLOOKUP("SPCA",'G0 CAMB'!$C$46:$I$66,7,FALSE)</f>
        <v>926.47055321999153</v>
      </c>
      <c r="AH33" s="156">
        <f>+AG33/($D33)*100</f>
        <v>2.4134141187452966E-3</v>
      </c>
      <c r="AI33" s="157"/>
      <c r="AJ33" s="161">
        <f>VLOOKUP("SECRF",'G0 CAMB'!$C$46:$I$66,7,FALSE)</f>
        <v>16340.821048133112</v>
      </c>
      <c r="AK33" s="157">
        <f>+AJ33/($D33)*100</f>
        <v>4.2567103824713105E-2</v>
      </c>
      <c r="AL33" s="157"/>
      <c r="AM33" s="161">
        <f>VLOOKUP("RTWF",'G0 CAMB'!$C$46:$I$66,7,FALSE)</f>
        <v>37370.477505245646</v>
      </c>
      <c r="AN33" s="157">
        <f>+AM33/($D33)*100</f>
        <v>9.7348412987279836E-2</v>
      </c>
      <c r="AO33" s="154"/>
      <c r="AP33" s="161">
        <f>VLOOKUP("SMART",'G0 CAMB'!$C$46:$I$66,7,FALSE)</f>
        <v>19145.564940174154</v>
      </c>
      <c r="AQ33" s="157">
        <f>+AP33/($D33)*100</f>
        <v>4.9873335506864777E-2</v>
      </c>
      <c r="AR33" s="154"/>
      <c r="AS33" s="155">
        <f>VLOOKUP("tacf",'G0 CAMB'!$C$46:$I$66,7,FALSE)</f>
        <v>-28983.186893714814</v>
      </c>
      <c r="AT33" s="156">
        <f>+AS33/($D33)*100</f>
        <v>-7.5499898202286017E-2</v>
      </c>
      <c r="AU33" s="200"/>
      <c r="AV33" s="155">
        <f>L33+I33+O33+U33+AG33+R33+X33+AD33+F33+AJ33+AM33+AA33+AP33+AS33</f>
        <v>436100.4368565816</v>
      </c>
      <c r="AW33" s="156">
        <f>+AV33/($D33)*100</f>
        <v>1.1360220223326953</v>
      </c>
    </row>
    <row r="34" spans="1:49" ht="14" x14ac:dyDescent="0.3">
      <c r="A34" s="151" t="str">
        <f>IF(C34&lt;&gt;"",COUNTA($C$11:C34),"")</f>
        <v/>
      </c>
      <c r="B34" s="152"/>
      <c r="C34" s="129"/>
      <c r="D34" s="153"/>
      <c r="E34" s="154"/>
      <c r="F34" s="161"/>
      <c r="G34" s="157"/>
      <c r="H34" s="157"/>
      <c r="I34" s="161"/>
      <c r="J34" s="157"/>
      <c r="K34" s="157"/>
      <c r="L34" s="155"/>
      <c r="M34" s="156"/>
      <c r="N34" s="157"/>
      <c r="O34" s="161"/>
      <c r="P34" s="157"/>
      <c r="Q34" s="157"/>
      <c r="R34" s="161"/>
      <c r="S34" s="157"/>
      <c r="T34" s="157"/>
      <c r="U34" s="161"/>
      <c r="V34" s="157"/>
      <c r="W34" s="157"/>
      <c r="X34" s="161"/>
      <c r="Y34" s="157"/>
      <c r="Z34" s="157"/>
      <c r="AA34" s="161"/>
      <c r="AB34" s="157"/>
      <c r="AC34" s="157"/>
      <c r="AD34" s="161"/>
      <c r="AE34" s="157"/>
      <c r="AF34" s="157"/>
      <c r="AG34" s="155"/>
      <c r="AH34" s="156"/>
      <c r="AI34" s="157"/>
      <c r="AJ34" s="161"/>
      <c r="AK34" s="157"/>
      <c r="AL34" s="157"/>
      <c r="AM34" s="161"/>
      <c r="AN34" s="157"/>
      <c r="AO34" s="154"/>
      <c r="AP34" s="161"/>
      <c r="AQ34" s="154"/>
      <c r="AR34" s="154"/>
      <c r="AS34" s="155"/>
      <c r="AT34" s="200"/>
      <c r="AU34" s="200"/>
      <c r="AV34" s="155"/>
      <c r="AW34" s="156"/>
    </row>
    <row r="35" spans="1:49" ht="14" x14ac:dyDescent="0.3">
      <c r="A35" s="151">
        <f>IF(C35&lt;&gt;"",COUNTA($C$11:C35),"")</f>
        <v>13</v>
      </c>
      <c r="B35" s="152" t="s">
        <v>119</v>
      </c>
      <c r="C35" s="130" t="s">
        <v>258</v>
      </c>
      <c r="D35" s="153">
        <f>'Exh 9_Proposed Rev p1'!D35</f>
        <v>202368259.97120696</v>
      </c>
      <c r="E35" s="154">
        <v>2209861.3988855798</v>
      </c>
      <c r="F35" s="161">
        <f>VLOOKUP("RDAF",'G1 CAMB'!$C$49:$I$69,7,FALSE)</f>
        <v>-65462.84673654673</v>
      </c>
      <c r="G35" s="157">
        <f>+F35/($D35)*100</f>
        <v>-3.2348376541786156E-2</v>
      </c>
      <c r="H35" s="157"/>
      <c r="I35" s="161">
        <f>VLOOKUP("RAAF",'G1 CAMB'!$C$49:$I$69,7,FALSE)</f>
        <v>553047.73501261568</v>
      </c>
      <c r="J35" s="157">
        <f>+I35/($D35)*100</f>
        <v>0.27328778489833511</v>
      </c>
      <c r="K35" s="157"/>
      <c r="L35" s="155">
        <f>VLOOKUP("PAF",'G1 CAMB'!$C$49:$I$69,7,FALSE)</f>
        <v>110036.36810830222</v>
      </c>
      <c r="M35" s="156">
        <f>+L35/($D35)*100</f>
        <v>5.4374321409868448E-2</v>
      </c>
      <c r="N35" s="157"/>
      <c r="O35" s="161">
        <f>VLOOKUP("NMRS",'G1 CAMB'!$C$49:$I$69,7,FALSE)</f>
        <v>721129.88433202531</v>
      </c>
      <c r="P35" s="157">
        <f>+O35/($D35)*100</f>
        <v>0.35634535002407391</v>
      </c>
      <c r="Q35" s="157"/>
      <c r="R35" s="161">
        <f>VLOOKUP("LTRCA",'G1 CAMB'!$C$49:$I$69,7,FALSE)</f>
        <v>351253.19497225509</v>
      </c>
      <c r="S35" s="157">
        <f>+R35/($D35)*100</f>
        <v>0.17357128782064518</v>
      </c>
      <c r="T35" s="157"/>
      <c r="U35" s="161">
        <f>VLOOKUP("AGCE",'G1 CAMB'!$C$49:$I$69,7,FALSE)</f>
        <v>1161.1939393864589</v>
      </c>
      <c r="V35" s="157">
        <f>+U35/($D35)*100</f>
        <v>5.7380240337673207E-4</v>
      </c>
      <c r="W35" s="157"/>
      <c r="X35" s="161">
        <f>VLOOKUP("SCRA",'G1 CAMB'!$C$49:$I$69,7,FALSE)</f>
        <v>419057.50174381299</v>
      </c>
      <c r="Y35" s="157">
        <f>+X35/($D35)*100</f>
        <v>0.20707669364920994</v>
      </c>
      <c r="Z35" s="157"/>
      <c r="AA35" s="161">
        <f>VLOOKUP("SRA",'G1 CAMB'!$C$49:$I$69,7,FALSE)</f>
        <v>0</v>
      </c>
      <c r="AB35" s="157">
        <f>+AA35/($D35)*100</f>
        <v>0</v>
      </c>
      <c r="AC35" s="157"/>
      <c r="AD35" s="161">
        <f>VLOOKUP("BSTF",'G1 CAMB'!$C$49:$I$69,7,FALSE)</f>
        <v>-27443.583830460804</v>
      </c>
      <c r="AE35" s="157">
        <f>+AD35/($D35)*100</f>
        <v>-1.3561209566344785E-2</v>
      </c>
      <c r="AF35" s="157"/>
      <c r="AG35" s="155">
        <f>VLOOKUP("SPCA",'G1 CAMB'!$C$49:$I$69,7,FALSE)</f>
        <v>4883.9841580042958</v>
      </c>
      <c r="AH35" s="156">
        <f>+AG35/($D35)*100</f>
        <v>2.4134141187452966E-3</v>
      </c>
      <c r="AI35" s="157"/>
      <c r="AJ35" s="161">
        <f>VLOOKUP("SECRF",'G1 CAMB'!$C$49:$I$69,7,FALSE)</f>
        <v>86142.307330209005</v>
      </c>
      <c r="AK35" s="157">
        <f>+AJ35/($D35)*100</f>
        <v>4.2567103824713105E-2</v>
      </c>
      <c r="AL35" s="157"/>
      <c r="AM35" s="161">
        <f>VLOOKUP("RTWF",'G1 CAMB'!$C$49:$I$69,7,FALSE)</f>
        <v>197002.28947194264</v>
      </c>
      <c r="AN35" s="157">
        <f>+AM35/($D35)*100</f>
        <v>9.7348412987279823E-2</v>
      </c>
      <c r="AO35" s="154"/>
      <c r="AP35" s="161">
        <f>VLOOKUP("SMART",'G1 CAMB'!$C$49:$I$69,7,FALSE)</f>
        <v>100927.80125484438</v>
      </c>
      <c r="AQ35" s="157">
        <f>+AP35/($D35)*100</f>
        <v>4.9873335506864777E-2</v>
      </c>
      <c r="AR35" s="154"/>
      <c r="AS35" s="155">
        <f>VLOOKUP("tacf",'G1 CAMB'!$C$49:$I$69,7,FALSE)</f>
        <v>-152787.83027199877</v>
      </c>
      <c r="AT35" s="156">
        <f>+AS35/($D35)*100</f>
        <v>-7.5499898202286017E-2</v>
      </c>
      <c r="AU35" s="200"/>
      <c r="AV35" s="155">
        <f>L35+I35+O35+U35+AG35+R35+X35+AD35+F35+AJ35+AM35+AA35+AP35+AS35</f>
        <v>2298947.9994843914</v>
      </c>
      <c r="AW35" s="156">
        <f>+AV35/($D35)*100</f>
        <v>1.1360220223326951</v>
      </c>
    </row>
    <row r="36" spans="1:49" ht="14" x14ac:dyDescent="0.3">
      <c r="A36" s="151" t="str">
        <f>IF(C36&lt;&gt;"",COUNTA($C$11:C36),"")</f>
        <v/>
      </c>
      <c r="B36" s="152"/>
      <c r="C36" s="129"/>
      <c r="D36" s="153"/>
      <c r="E36" s="154"/>
      <c r="F36" s="161"/>
      <c r="G36" s="157"/>
      <c r="H36" s="157"/>
      <c r="I36" s="161"/>
      <c r="J36" s="157"/>
      <c r="K36" s="157"/>
      <c r="L36" s="155"/>
      <c r="M36" s="156"/>
      <c r="N36" s="157"/>
      <c r="O36" s="161"/>
      <c r="P36" s="157"/>
      <c r="Q36" s="157"/>
      <c r="R36" s="161"/>
      <c r="S36" s="157"/>
      <c r="T36" s="157"/>
      <c r="U36" s="161"/>
      <c r="V36" s="157"/>
      <c r="W36" s="157"/>
      <c r="X36" s="161"/>
      <c r="Y36" s="157"/>
      <c r="Z36" s="157"/>
      <c r="AA36" s="161"/>
      <c r="AB36" s="157"/>
      <c r="AC36" s="157"/>
      <c r="AD36" s="161"/>
      <c r="AE36" s="157"/>
      <c r="AF36" s="157"/>
      <c r="AG36" s="155"/>
      <c r="AH36" s="156"/>
      <c r="AI36" s="157"/>
      <c r="AJ36" s="161"/>
      <c r="AK36" s="157"/>
      <c r="AL36" s="157"/>
      <c r="AM36" s="161"/>
      <c r="AN36" s="157"/>
      <c r="AO36" s="154"/>
      <c r="AP36" s="161"/>
      <c r="AQ36" s="154"/>
      <c r="AR36" s="154"/>
      <c r="AS36" s="155"/>
      <c r="AT36" s="200"/>
      <c r="AU36" s="200"/>
      <c r="AV36" s="155"/>
      <c r="AW36" s="156"/>
    </row>
    <row r="37" spans="1:49" ht="14" x14ac:dyDescent="0.3">
      <c r="A37" s="151">
        <f>IF(C37&lt;&gt;"",COUNTA($C$11:C37),"")</f>
        <v>14</v>
      </c>
      <c r="B37" s="152" t="s">
        <v>119</v>
      </c>
      <c r="C37" s="130" t="s">
        <v>252</v>
      </c>
      <c r="D37" s="153">
        <f>'Exh 9_Proposed Rev p1'!D37</f>
        <v>561519934.63065052</v>
      </c>
      <c r="E37" s="154">
        <v>4716767.4508974645</v>
      </c>
      <c r="F37" s="161">
        <f>VLOOKUP("RDAF",'G2 CAMB'!$C$50:$I$70,7,FALSE)</f>
        <v>-124853.64622487989</v>
      </c>
      <c r="G37" s="157">
        <f>+F37/($D37)*100</f>
        <v>-2.2234944571826207E-2</v>
      </c>
      <c r="H37" s="157"/>
      <c r="I37" s="161">
        <f>VLOOKUP("RAAF",'G2 CAMB'!$C$50:$I$70,7,FALSE)</f>
        <v>1054797.1818369892</v>
      </c>
      <c r="J37" s="157">
        <f>+I37/($D37)*100</f>
        <v>0.18784679167816196</v>
      </c>
      <c r="K37" s="157"/>
      <c r="L37" s="155">
        <f>VLOOKUP("PAF",'G2 CAMB'!$C$50:$I$70,7,FALSE)</f>
        <v>231302.49027900663</v>
      </c>
      <c r="M37" s="156">
        <f>+L37/($D37)*100</f>
        <v>4.1192213493034736E-2</v>
      </c>
      <c r="N37" s="157"/>
      <c r="O37" s="161">
        <f>VLOOKUP("NMRS",'G2 CAMB'!$C$50:$I$70,7,FALSE)</f>
        <v>1375370.91570315</v>
      </c>
      <c r="P37" s="157">
        <f>+O37/($D37)*100</f>
        <v>0.24493714842160039</v>
      </c>
      <c r="Q37" s="157"/>
      <c r="R37" s="161">
        <f>VLOOKUP("LTRCA",'G2 CAMB'!$C$50:$I$70,7,FALSE)</f>
        <v>974637.38190806506</v>
      </c>
      <c r="S37" s="157">
        <f>+R37/($D37)*100</f>
        <v>0.17357128782064518</v>
      </c>
      <c r="T37" s="157"/>
      <c r="U37" s="161">
        <f>VLOOKUP("AGCE",'G2 CAMB'!$C$50:$I$70,7,FALSE)</f>
        <v>2214.6806094470107</v>
      </c>
      <c r="V37" s="157">
        <f>+U37/($D37)*100</f>
        <v>3.9440818978292468E-4</v>
      </c>
      <c r="W37" s="157"/>
      <c r="X37" s="161">
        <f>VLOOKUP("SCRA",'G2 CAMB'!$C$50:$I$70,7,FALSE)</f>
        <v>799178.51331663318</v>
      </c>
      <c r="Y37" s="157">
        <f>+X37/($D37)*100</f>
        <v>0.14232415699405343</v>
      </c>
      <c r="Z37" s="157"/>
      <c r="AA37" s="161">
        <f>VLOOKUP("SRA",'G2 CAMB'!$C$50:$I$70,7,FALSE)</f>
        <v>0</v>
      </c>
      <c r="AB37" s="157">
        <f>+AA37/($D37)*100</f>
        <v>0</v>
      </c>
      <c r="AC37" s="157"/>
      <c r="AD37" s="161">
        <f>VLOOKUP("BSTF",'G2 CAMB'!$C$50:$I$70,7,FALSE)</f>
        <v>-52341.620896823479</v>
      </c>
      <c r="AE37" s="157">
        <f>+AD37/($D37)*100</f>
        <v>-9.3214181133661964E-3</v>
      </c>
      <c r="AF37" s="157"/>
      <c r="AG37" s="155">
        <f>VLOOKUP("SPCA",'G2 CAMB'!$C$50:$I$70,7,FALSE)</f>
        <v>9314.9513140704166</v>
      </c>
      <c r="AH37" s="156">
        <f>+AG37/($D37)*100</f>
        <v>1.6588816780293805E-3</v>
      </c>
      <c r="AI37" s="157"/>
      <c r="AJ37" s="161">
        <f>VLOOKUP("SECRF",'G2 CAMB'!$C$50:$I$70,7,FALSE)</f>
        <v>164294.43112495093</v>
      </c>
      <c r="AK37" s="157">
        <f>+AJ37/($D37)*100</f>
        <v>2.9258877733881066E-2</v>
      </c>
      <c r="AL37" s="157"/>
      <c r="AM37" s="161">
        <f>VLOOKUP("RTWF",'G2 CAMB'!$C$50:$I$70,7,FALSE)</f>
        <v>414109.63419546047</v>
      </c>
      <c r="AN37" s="157">
        <f>+AM37/($D37)*100</f>
        <v>7.3747984471441472E-2</v>
      </c>
      <c r="AO37" s="154"/>
      <c r="AP37" s="161">
        <f>VLOOKUP("SMART",'G2 CAMB'!$C$50:$I$70,7,FALSE)</f>
        <v>192493.98124772205</v>
      </c>
      <c r="AQ37" s="157">
        <f>+AP37/($D37)*100</f>
        <v>3.4280881118555179E-2</v>
      </c>
      <c r="AR37" s="154"/>
      <c r="AS37" s="155">
        <f>VLOOKUP("tacf",'G2 CAMB'!$C$50:$I$70,7,FALSE)</f>
        <v>-291403.72989000002</v>
      </c>
      <c r="AT37" s="156">
        <f>+AS37/($D37)*100</f>
        <v>-5.1895527107452717E-2</v>
      </c>
      <c r="AU37" s="200"/>
      <c r="AV37" s="155">
        <f>L37+I37+O37+U37+AG37+R37+X37+AD37+F37+AJ37+AM37+AA37+AP37+AS37</f>
        <v>4749115.1645237906</v>
      </c>
      <c r="AW37" s="156">
        <f>+AV37/($D37)*100</f>
        <v>0.84576074180654037</v>
      </c>
    </row>
    <row r="38" spans="1:49" ht="14" x14ac:dyDescent="0.3">
      <c r="A38" s="151" t="str">
        <f>IF(C38&lt;&gt;"",COUNTA($C$11:C38),"")</f>
        <v/>
      </c>
      <c r="B38" s="152"/>
      <c r="C38" s="129"/>
      <c r="D38" s="153"/>
      <c r="E38" s="154"/>
      <c r="F38" s="161"/>
      <c r="G38" s="157"/>
      <c r="H38" s="157"/>
      <c r="I38" s="161"/>
      <c r="J38" s="157"/>
      <c r="K38" s="157"/>
      <c r="L38" s="155"/>
      <c r="M38" s="156"/>
      <c r="N38" s="157"/>
      <c r="O38" s="161"/>
      <c r="P38" s="157"/>
      <c r="Q38" s="157"/>
      <c r="R38" s="161"/>
      <c r="S38" s="157"/>
      <c r="T38" s="157"/>
      <c r="U38" s="161"/>
      <c r="V38" s="157"/>
      <c r="W38" s="157"/>
      <c r="X38" s="161"/>
      <c r="Y38" s="157"/>
      <c r="Z38" s="157"/>
      <c r="AA38" s="161"/>
      <c r="AB38" s="157"/>
      <c r="AC38" s="157"/>
      <c r="AD38" s="161"/>
      <c r="AE38" s="157"/>
      <c r="AF38" s="157"/>
      <c r="AG38" s="155"/>
      <c r="AH38" s="156"/>
      <c r="AI38" s="157"/>
      <c r="AJ38" s="161"/>
      <c r="AK38" s="157"/>
      <c r="AL38" s="157"/>
      <c r="AM38" s="161"/>
      <c r="AN38" s="157"/>
      <c r="AO38" s="154"/>
      <c r="AP38" s="161"/>
      <c r="AQ38" s="154"/>
      <c r="AR38" s="154"/>
      <c r="AS38" s="155"/>
      <c r="AT38" s="200"/>
      <c r="AU38" s="200"/>
      <c r="AV38" s="155"/>
      <c r="AW38" s="156"/>
    </row>
    <row r="39" spans="1:49" ht="14" x14ac:dyDescent="0.3">
      <c r="A39" s="151">
        <f>IF(C39&lt;&gt;"",COUNTA($C$11:C39),"")</f>
        <v>15</v>
      </c>
      <c r="B39" s="152" t="s">
        <v>119</v>
      </c>
      <c r="C39" s="130" t="s">
        <v>253</v>
      </c>
      <c r="D39" s="153">
        <f>'Exh 9_Proposed Rev p1'!D39</f>
        <v>533792570.20151818</v>
      </c>
      <c r="E39" s="154">
        <v>2989238.3931285022</v>
      </c>
      <c r="F39" s="161">
        <f>VLOOKUP("RDAF",'G3 CAMB'!$C$50:$I$70,7,FALSE)</f>
        <v>-64397.56013144875</v>
      </c>
      <c r="G39" s="157">
        <f>+F39/($D39)*100</f>
        <v>-1.2064154453692992E-2</v>
      </c>
      <c r="H39" s="157"/>
      <c r="I39" s="161">
        <f>VLOOKUP("RAAF",'G3 CAMB'!$C$50:$I$70,7,FALSE)</f>
        <v>544047.90727124433</v>
      </c>
      <c r="J39" s="157">
        <f>+I39/($D39)*100</f>
        <v>0.10192122139614168</v>
      </c>
      <c r="K39" s="157"/>
      <c r="L39" s="155">
        <f>VLOOKUP("PAF",'G3 CAMB'!$C$50:$I$70,7,FALSE)</f>
        <v>163071.12437787402</v>
      </c>
      <c r="M39" s="156">
        <f>+L39/($D39)*100</f>
        <v>3.054953056321319E-2</v>
      </c>
      <c r="N39" s="157"/>
      <c r="O39" s="161">
        <f>VLOOKUP("NMRS",'G3 CAMB'!$C$50:$I$70,7,FALSE)</f>
        <v>709394.83086870122</v>
      </c>
      <c r="P39" s="157">
        <f>+O39/($D39)*100</f>
        <v>0.13289709720030188</v>
      </c>
      <c r="Q39" s="157"/>
      <c r="R39" s="161">
        <f>VLOOKUP("LTRCA",'G3 CAMB'!$C$50:$I$70,7,FALSE)</f>
        <v>926510.6383896966</v>
      </c>
      <c r="S39" s="157">
        <f>+R39/($D39)*100</f>
        <v>0.17357128782064518</v>
      </c>
      <c r="T39" s="157"/>
      <c r="U39" s="161">
        <f>VLOOKUP("AGCE",'G3 CAMB'!$C$50:$I$70,7,FALSE)</f>
        <v>1142.2976583474197</v>
      </c>
      <c r="V39" s="157">
        <f>+U39/($D39)*100</f>
        <v>2.1399654512167107E-4</v>
      </c>
      <c r="W39" s="157"/>
      <c r="X39" s="161">
        <f>VLOOKUP("SCRA",'G3 CAMB'!$C$50:$I$70,7,FALSE)</f>
        <v>412457.98834784556</v>
      </c>
      <c r="Y39" s="157">
        <f>+X39/($D39)*100</f>
        <v>7.7269338573246499E-2</v>
      </c>
      <c r="Z39" s="157"/>
      <c r="AA39" s="161">
        <f>VLOOKUP("SRA",'G3 CAMB'!$C$50:$I$70,7,FALSE)</f>
        <v>0</v>
      </c>
      <c r="AB39" s="157">
        <f>+AA39/($D39)*100</f>
        <v>0</v>
      </c>
      <c r="AC39" s="157"/>
      <c r="AD39" s="161">
        <f>VLOOKUP("BSTF",'G3 CAMB'!$C$50:$I$70,7,FALSE)</f>
        <v>-26996.990324252161</v>
      </c>
      <c r="AE39" s="157">
        <f>+AD39/($D39)*100</f>
        <v>-5.0575807591439906E-3</v>
      </c>
      <c r="AF39" s="157"/>
      <c r="AG39" s="155">
        <f>VLOOKUP("SPCA",'G3 CAMB'!$C$50:$I$70,7,FALSE)</f>
        <v>4804.5063601020529</v>
      </c>
      <c r="AH39" s="156">
        <f>+AG39/($D39)*100</f>
        <v>9.0006992009803517E-4</v>
      </c>
      <c r="AI39" s="157"/>
      <c r="AJ39" s="161">
        <f>VLOOKUP("SECRF",'G3 CAMB'!$C$50:$I$70,7,FALSE)</f>
        <v>84740.500798629117</v>
      </c>
      <c r="AK39" s="157">
        <f>+AJ39/($D39)*100</f>
        <v>1.5875174277273613E-2</v>
      </c>
      <c r="AL39" s="157"/>
      <c r="AM39" s="161">
        <f>VLOOKUP("RTWF",'G3 CAMB'!$C$50:$I$70,7,FALSE)</f>
        <v>291952.42810618761</v>
      </c>
      <c r="AN39" s="157">
        <f>+AM39/($D39)*100</f>
        <v>5.4693984967975354E-2</v>
      </c>
      <c r="AO39" s="154"/>
      <c r="AP39" s="161">
        <f>VLOOKUP("SMART",'G3 CAMB'!$C$50:$I$70,7,FALSE)</f>
        <v>99285.38818974387</v>
      </c>
      <c r="AQ39" s="157">
        <f>+AP39/($D39)*100</f>
        <v>1.8599994404617039E-2</v>
      </c>
      <c r="AR39" s="154"/>
      <c r="AS39" s="155">
        <f>VLOOKUP("tacf",'G3 CAMB'!$C$50:$I$70,7,FALSE)</f>
        <v>-150301.49127018638</v>
      </c>
      <c r="AT39" s="156">
        <f>+AS39/($D39)*100</f>
        <v>-2.8157284244972599E-2</v>
      </c>
      <c r="AU39" s="200"/>
      <c r="AV39" s="155">
        <f>L39+I39+O39+U39+AG39+R39+X39+AD39+F39+AJ39+AM39+AA39+AP39+AS39</f>
        <v>2995711.5686424845</v>
      </c>
      <c r="AW39" s="156">
        <f>+AV39/($D39)*100</f>
        <v>0.5612126762108246</v>
      </c>
    </row>
    <row r="40" spans="1:49" ht="14" x14ac:dyDescent="0.3">
      <c r="A40" s="151" t="str">
        <f>IF(C40&lt;&gt;"",COUNTA($C$11:C40),"")</f>
        <v/>
      </c>
      <c r="B40" s="152"/>
      <c r="C40" s="129"/>
      <c r="D40" s="153"/>
      <c r="E40" s="154"/>
      <c r="F40" s="161"/>
      <c r="G40" s="157"/>
      <c r="H40" s="157"/>
      <c r="I40" s="161"/>
      <c r="J40" s="157"/>
      <c r="K40" s="157"/>
      <c r="L40" s="155"/>
      <c r="M40" s="156"/>
      <c r="N40" s="157"/>
      <c r="O40" s="161"/>
      <c r="P40" s="157"/>
      <c r="Q40" s="157"/>
      <c r="R40" s="161"/>
      <c r="S40" s="157"/>
      <c r="T40" s="157"/>
      <c r="U40" s="161"/>
      <c r="V40" s="157"/>
      <c r="W40" s="157"/>
      <c r="X40" s="161"/>
      <c r="Y40" s="157"/>
      <c r="Z40" s="157"/>
      <c r="AA40" s="161"/>
      <c r="AB40" s="157"/>
      <c r="AC40" s="157"/>
      <c r="AD40" s="161"/>
      <c r="AE40" s="157"/>
      <c r="AF40" s="157"/>
      <c r="AG40" s="155"/>
      <c r="AH40" s="156"/>
      <c r="AI40" s="157"/>
      <c r="AJ40" s="161"/>
      <c r="AK40" s="157"/>
      <c r="AL40" s="157"/>
      <c r="AM40" s="161"/>
      <c r="AN40" s="157"/>
      <c r="AO40" s="154"/>
      <c r="AP40" s="161"/>
      <c r="AQ40" s="154"/>
      <c r="AR40" s="154"/>
      <c r="AS40" s="155"/>
      <c r="AT40" s="200"/>
      <c r="AU40" s="200"/>
      <c r="AV40" s="155"/>
      <c r="AW40" s="156"/>
    </row>
    <row r="41" spans="1:49" ht="14" x14ac:dyDescent="0.3">
      <c r="A41" s="151">
        <f>IF(C41&lt;&gt;"",COUNTA($C$11:C41),"")</f>
        <v>16</v>
      </c>
      <c r="B41" s="152" t="s">
        <v>119</v>
      </c>
      <c r="C41" s="130" t="s">
        <v>259</v>
      </c>
      <c r="D41" s="153">
        <f>'Exh 9_Proposed Rev p1'!D41</f>
        <v>5468456.2095517535</v>
      </c>
      <c r="E41" s="154">
        <v>42927.381244981269</v>
      </c>
      <c r="F41" s="161">
        <f>VLOOKUP("RDAF",'G4 CAMB'!$C$47:$I$67,7,FALSE)</f>
        <v>-1127.3466927754394</v>
      </c>
      <c r="G41" s="157">
        <f>+F41/($D41)*100</f>
        <v>-2.0615447021525065E-2</v>
      </c>
      <c r="H41" s="157"/>
      <c r="I41" s="161">
        <f>VLOOKUP("RAAF",'G4 CAMB'!$C$47:$I$67,7,FALSE)</f>
        <v>9524.1280527041927</v>
      </c>
      <c r="J41" s="157">
        <f>+I41/($D41)*100</f>
        <v>0.1741648408204933</v>
      </c>
      <c r="K41" s="157"/>
      <c r="L41" s="155">
        <f>VLOOKUP("PAF",'G4 CAMB'!$C$47:$I$67,7,FALSE)</f>
        <v>3992.8913241752066</v>
      </c>
      <c r="M41" s="156">
        <f>+L41/($D41)*100</f>
        <v>7.3016792512680687E-2</v>
      </c>
      <c r="N41" s="157"/>
      <c r="O41" s="161">
        <f>VLOOKUP("NMRS",'G4 CAMB'!$C$47:$I$67,7,FALSE)</f>
        <v>12418.699013120995</v>
      </c>
      <c r="P41" s="157">
        <f>+O41/($D41)*100</f>
        <v>0.22709698198605396</v>
      </c>
      <c r="Q41" s="157"/>
      <c r="R41" s="161">
        <f>VLOOKUP("LTRCA",'G4 CAMB'!$C$47:$I$67,7,FALSE)</f>
        <v>9491.6698668270164</v>
      </c>
      <c r="S41" s="157">
        <f>+R41/($D41)*100</f>
        <v>0.17357128782064515</v>
      </c>
      <c r="T41" s="157"/>
      <c r="U41" s="161">
        <f>VLOOKUP("AGCE",'G4 CAMB'!$C$47:$I$67,7,FALSE)</f>
        <v>19.997116112388362</v>
      </c>
      <c r="V41" s="157">
        <f>+U41/($D41)*100</f>
        <v>3.656811967783411E-4</v>
      </c>
      <c r="W41" s="157"/>
      <c r="X41" s="161">
        <f>VLOOKUP("SCRA",'G4 CAMB'!$C$47:$I$67,7,FALSE)</f>
        <v>7265.2769183766268</v>
      </c>
      <c r="Y41" s="157">
        <f>+X41/($D41)*100</f>
        <v>0.13285791528670132</v>
      </c>
      <c r="Z41" s="157"/>
      <c r="AA41" s="161">
        <f>VLOOKUP("SRA",'G4 CAMB'!$C$47:$I$67,7,FALSE)</f>
        <v>0</v>
      </c>
      <c r="AB41" s="157">
        <f>+AA41/($D41)*100</f>
        <v>0</v>
      </c>
      <c r="AC41" s="157"/>
      <c r="AD41" s="161">
        <f>VLOOKUP("BSTF",'G4 CAMB'!$C$47:$I$67,7,FALSE)</f>
        <v>-472.61057243181483</v>
      </c>
      <c r="AE41" s="157">
        <f>+AD41/($D41)*100</f>
        <v>-8.6424861847902486E-3</v>
      </c>
      <c r="AF41" s="157"/>
      <c r="AG41" s="155">
        <f>VLOOKUP("SPCA",'G4 CAMB'!$C$47:$I$67,7,FALSE)</f>
        <v>84.107912542396534</v>
      </c>
      <c r="AH41" s="156">
        <f>+AG41/($D41)*100</f>
        <v>1.5380558848671995E-3</v>
      </c>
      <c r="AI41" s="157"/>
      <c r="AJ41" s="161">
        <f>VLOOKUP("SECRF",'G4 CAMB'!$C$47:$I$67,7,FALSE)</f>
        <v>1483.4711613991053</v>
      </c>
      <c r="AK41" s="157">
        <f>+AJ41/($D41)*100</f>
        <v>2.7127787158794943E-2</v>
      </c>
      <c r="AL41" s="157"/>
      <c r="AM41" s="161">
        <f>VLOOKUP("RTWF",'G4 CAMB'!$C$47:$I$67,7,FALSE)</f>
        <v>7148.6250046072091</v>
      </c>
      <c r="AN41" s="157">
        <f>+AM41/($D41)*100</f>
        <v>0.13072473712271307</v>
      </c>
      <c r="AO41" s="154"/>
      <c r="AP41" s="161">
        <f>VLOOKUP("SMART",'G4 CAMB'!$C$47:$I$67,7,FALSE)</f>
        <v>1738.0946388056166</v>
      </c>
      <c r="AQ41" s="157">
        <f>+AP41/($D41)*100</f>
        <v>3.1784009457178908E-2</v>
      </c>
      <c r="AR41" s="154"/>
      <c r="AS41" s="155">
        <f>VLOOKUP("tacf",'G4 CAMB'!$C$47:$I$67,7,FALSE)</f>
        <v>-2631.1849200000001</v>
      </c>
      <c r="AT41" s="156">
        <f>+AS41/($D41)*100</f>
        <v>-4.8115680535287253E-2</v>
      </c>
      <c r="AU41" s="200"/>
      <c r="AV41" s="155">
        <f>L41+I41+O41+U41+AG41+R41+X41+AD41+F41+AJ41+AM41+AA41+AP41+AS41</f>
        <v>48935.818823463502</v>
      </c>
      <c r="AW41" s="156">
        <f>+AV41/($D41)*100</f>
        <v>0.89487447550530441</v>
      </c>
    </row>
    <row r="42" spans="1:49" ht="14" x14ac:dyDescent="0.3">
      <c r="A42" s="151" t="str">
        <f>IF(C42&lt;&gt;"",COUNTA($C$11:C42),"")</f>
        <v/>
      </c>
      <c r="B42" s="152"/>
      <c r="C42" s="129"/>
      <c r="D42" s="153"/>
      <c r="E42" s="154"/>
      <c r="F42" s="161"/>
      <c r="G42" s="157"/>
      <c r="H42" s="157"/>
      <c r="I42" s="161"/>
      <c r="J42" s="157"/>
      <c r="K42" s="157"/>
      <c r="L42" s="155"/>
      <c r="M42" s="156"/>
      <c r="N42" s="157"/>
      <c r="O42" s="161"/>
      <c r="P42" s="157"/>
      <c r="Q42" s="157"/>
      <c r="R42" s="161"/>
      <c r="S42" s="157"/>
      <c r="T42" s="157"/>
      <c r="U42" s="161"/>
      <c r="V42" s="157"/>
      <c r="W42" s="157"/>
      <c r="X42" s="161"/>
      <c r="Y42" s="157"/>
      <c r="Z42" s="157"/>
      <c r="AA42" s="161"/>
      <c r="AB42" s="157"/>
      <c r="AC42" s="157"/>
      <c r="AD42" s="161"/>
      <c r="AE42" s="157"/>
      <c r="AF42" s="157"/>
      <c r="AG42" s="155"/>
      <c r="AH42" s="156"/>
      <c r="AI42" s="157"/>
      <c r="AJ42" s="161"/>
      <c r="AK42" s="157"/>
      <c r="AL42" s="157"/>
      <c r="AM42" s="161"/>
      <c r="AN42" s="157"/>
      <c r="AO42" s="154"/>
      <c r="AP42" s="161"/>
      <c r="AQ42" s="154"/>
      <c r="AR42" s="154"/>
      <c r="AS42" s="155"/>
      <c r="AT42" s="200"/>
      <c r="AU42" s="200"/>
      <c r="AV42" s="155"/>
      <c r="AW42" s="156"/>
    </row>
    <row r="43" spans="1:49" ht="14" x14ac:dyDescent="0.3">
      <c r="A43" s="151">
        <f>IF(C43&lt;&gt;"",COUNTA($C$11:C43),"")</f>
        <v>17</v>
      </c>
      <c r="B43" s="152" t="s">
        <v>119</v>
      </c>
      <c r="C43" s="130" t="s">
        <v>260</v>
      </c>
      <c r="D43" s="153">
        <f>'Exh 9_Proposed Rev p1'!D43</f>
        <v>7102901.0792861171</v>
      </c>
      <c r="E43" s="154">
        <v>57604.527753010407</v>
      </c>
      <c r="F43" s="161">
        <f>VLOOKUP("RDAF",'G5 CAMB'!$C$49:$I$69,7,FALSE)</f>
        <v>-1691.020039163159</v>
      </c>
      <c r="G43" s="157">
        <f>+F43/($D43)*100</f>
        <v>-2.3807455859051838E-2</v>
      </c>
      <c r="H43" s="157"/>
      <c r="I43" s="161">
        <f>VLOOKUP("RAAF",'G5 CAMB'!$C$49:$I$69,7,FALSE)</f>
        <v>14286.192079056289</v>
      </c>
      <c r="J43" s="157">
        <f>+I43/($D43)*100</f>
        <v>0.20113178994873646</v>
      </c>
      <c r="K43" s="157"/>
      <c r="L43" s="155">
        <f>VLOOKUP("PAF",'G5 CAMB'!$C$49:$I$69,7,FALSE)</f>
        <v>6274.543509418183</v>
      </c>
      <c r="M43" s="156">
        <f>+L43/($D43)*100</f>
        <v>8.8337757197778852E-2</v>
      </c>
      <c r="N43" s="157"/>
      <c r="O43" s="161">
        <f>VLOOKUP("NMRS",'G5 CAMB'!$C$49:$I$69,7,FALSE)</f>
        <v>18628.048519681492</v>
      </c>
      <c r="P43" s="157">
        <f>+O43/($D43)*100</f>
        <v>0.26225972052469748</v>
      </c>
      <c r="Q43" s="157"/>
      <c r="R43" s="161">
        <f>VLOOKUP("LTRCA",'G5 CAMB'!$C$49:$I$69,7,FALSE)</f>
        <v>12328.596875943418</v>
      </c>
      <c r="S43" s="157">
        <f>+R43/($D43)*100</f>
        <v>0.17357128782064518</v>
      </c>
      <c r="T43" s="157"/>
      <c r="U43" s="161">
        <f>VLOOKUP("AGCE",'G5 CAMB'!$C$49:$I$69,7,FALSE)</f>
        <v>29.995674168582539</v>
      </c>
      <c r="V43" s="157">
        <f>+U43/($D43)*100</f>
        <v>4.2230173043036776E-4</v>
      </c>
      <c r="W43" s="157"/>
      <c r="X43" s="161">
        <f>VLOOKUP("SCRA",'G5 CAMB'!$C$49:$I$69,7,FALSE)</f>
        <v>10567.557474923842</v>
      </c>
      <c r="Y43" s="157">
        <f>+X43/($D43)*100</f>
        <v>0.14877804656102495</v>
      </c>
      <c r="Z43" s="157"/>
      <c r="AA43" s="161">
        <f>VLOOKUP("SRA",'G5 CAMB'!$C$49:$I$69,7,FALSE)</f>
        <v>0</v>
      </c>
      <c r="AB43" s="157">
        <f>+AA43/($D43)*100</f>
        <v>0</v>
      </c>
      <c r="AC43" s="157"/>
      <c r="AD43" s="161">
        <f>VLOOKUP("BSTF",'G5 CAMB'!$C$49:$I$69,7,FALSE)</f>
        <v>-708.91585864772219</v>
      </c>
      <c r="AE43" s="157">
        <f>+AD43/($D43)*100</f>
        <v>-9.9806522818556894E-3</v>
      </c>
      <c r="AF43" s="157"/>
      <c r="AG43" s="155">
        <f>VLOOKUP("SPCA",'G5 CAMB'!$C$49:$I$69,7,FALSE)</f>
        <v>126.16186881359481</v>
      </c>
      <c r="AH43" s="156">
        <f>+AG43/($D43)*100</f>
        <v>1.7762019688196871E-3</v>
      </c>
      <c r="AI43" s="157"/>
      <c r="AJ43" s="161">
        <f>VLOOKUP("SECRF",'G5 CAMB'!$C$49:$I$69,7,FALSE)</f>
        <v>2225.2067420986577</v>
      </c>
      <c r="AK43" s="157">
        <f>+AJ43/($D43)*100</f>
        <v>3.1328139266755831E-2</v>
      </c>
      <c r="AL43" s="157"/>
      <c r="AM43" s="161">
        <f>VLOOKUP("RTWF",'G5 CAMB'!$C$49:$I$69,7,FALSE)</f>
        <v>11233.553578668472</v>
      </c>
      <c r="AN43" s="157">
        <f>+AM43/($D43)*100</f>
        <v>0.15815444215362084</v>
      </c>
      <c r="AO43" s="154"/>
      <c r="AP43" s="161">
        <f>VLOOKUP("SMART",'G5 CAMB'!$C$49:$I$69,7,FALSE)</f>
        <v>2607.1419582084254</v>
      </c>
      <c r="AQ43" s="157">
        <f>+AP43/($D43)*100</f>
        <v>3.6705311380606453E-2</v>
      </c>
      <c r="AR43" s="154"/>
      <c r="AS43" s="155">
        <f>VLOOKUP("tacf",'G5 CAMB'!$C$49:$I$69,7,FALSE)</f>
        <v>-3946.7773800000009</v>
      </c>
      <c r="AT43" s="156">
        <f>+AS43/($D43)*100</f>
        <v>-5.5565709502977831E-2</v>
      </c>
      <c r="AU43" s="200"/>
      <c r="AV43" s="155">
        <f>L43+I43+O43+U43+AG43+R43+X43+AD43+F43+AJ43+AM43+AA43+AP43+AS43</f>
        <v>71960.285003170065</v>
      </c>
      <c r="AW43" s="156">
        <f>+AV43/($D43)*100</f>
        <v>1.0131111809092306</v>
      </c>
    </row>
    <row r="44" spans="1:49" ht="14" x14ac:dyDescent="0.3">
      <c r="A44" s="151" t="str">
        <f>IF(C44&lt;&gt;"",COUNTA($C$11:C44),"")</f>
        <v/>
      </c>
      <c r="B44" s="152"/>
      <c r="C44" s="129"/>
      <c r="D44" s="153"/>
      <c r="E44" s="154"/>
      <c r="F44" s="161"/>
      <c r="G44" s="157"/>
      <c r="H44" s="157"/>
      <c r="I44" s="161"/>
      <c r="J44" s="157"/>
      <c r="K44" s="157"/>
      <c r="L44" s="155"/>
      <c r="M44" s="156"/>
      <c r="N44" s="157"/>
      <c r="O44" s="161"/>
      <c r="P44" s="157"/>
      <c r="Q44" s="157"/>
      <c r="R44" s="161"/>
      <c r="S44" s="157"/>
      <c r="T44" s="157"/>
      <c r="U44" s="161"/>
      <c r="V44" s="157"/>
      <c r="W44" s="157"/>
      <c r="X44" s="161"/>
      <c r="Y44" s="157"/>
      <c r="Z44" s="157"/>
      <c r="AA44" s="161"/>
      <c r="AB44" s="157"/>
      <c r="AC44" s="157"/>
      <c r="AD44" s="161"/>
      <c r="AE44" s="157"/>
      <c r="AF44" s="157"/>
      <c r="AG44" s="155"/>
      <c r="AH44" s="156"/>
      <c r="AI44" s="157"/>
      <c r="AJ44" s="161"/>
      <c r="AK44" s="157"/>
      <c r="AL44" s="157"/>
      <c r="AM44" s="161"/>
      <c r="AN44" s="157"/>
      <c r="AO44" s="154"/>
      <c r="AP44" s="161"/>
      <c r="AQ44" s="154"/>
      <c r="AR44" s="154"/>
      <c r="AS44" s="155"/>
      <c r="AT44" s="200"/>
      <c r="AU44" s="200"/>
      <c r="AV44" s="155"/>
      <c r="AW44" s="156"/>
    </row>
    <row r="45" spans="1:49" ht="14" x14ac:dyDescent="0.3">
      <c r="A45" s="151">
        <f>IF(C45&lt;&gt;"",COUNTA($C$11:C45),"")</f>
        <v>18</v>
      </c>
      <c r="B45" s="152" t="s">
        <v>119</v>
      </c>
      <c r="C45" s="130" t="s">
        <v>261</v>
      </c>
      <c r="D45" s="153">
        <f>'Exh 9_Proposed Rev p1'!D45</f>
        <v>10.230856707354228</v>
      </c>
      <c r="E45" s="154">
        <v>0.11172095524430818</v>
      </c>
      <c r="F45" s="161">
        <f>VLOOKUP("RDAF",'G6 CAMB'!$C$49:$I$69,7,FALSE)</f>
        <v>-3.3095160511455303E-3</v>
      </c>
      <c r="G45" s="157">
        <f>+F45/($D45)*100</f>
        <v>-3.2348376541786156E-2</v>
      </c>
      <c r="H45" s="157"/>
      <c r="I45" s="161">
        <f>VLOOKUP("RAAF",'G6 CAMB'!$C$49:$I$69,7,FALSE)</f>
        <v>2.795968167165111E-2</v>
      </c>
      <c r="J45" s="157">
        <f>+I45/($D45)*100</f>
        <v>0.27328778489833511</v>
      </c>
      <c r="K45" s="157"/>
      <c r="L45" s="155">
        <f>VLOOKUP("PAF",'G6 CAMB'!$C$49:$I$69,7,FALSE)</f>
        <v>5.5629589090398718E-3</v>
      </c>
      <c r="M45" s="156">
        <f>+L45/($D45)*100</f>
        <v>5.4374321409868448E-2</v>
      </c>
      <c r="N45" s="157"/>
      <c r="O45" s="161">
        <f>VLOOKUP("NMRS",'G6 CAMB'!$C$49:$I$69,7,FALSE)</f>
        <v>3.6457182144282861E-2</v>
      </c>
      <c r="P45" s="157">
        <f>+O45/($D45)*100</f>
        <v>0.35634535002407386</v>
      </c>
      <c r="Q45" s="157"/>
      <c r="R45" s="161">
        <f>VLOOKUP("LTRCA",'G6 CAMB'!$C$49:$I$69,7,FALSE)</f>
        <v>1.7757829742039589E-2</v>
      </c>
      <c r="S45" s="157">
        <f>+R45/($D45)*100</f>
        <v>0.17357128782064518</v>
      </c>
      <c r="T45" s="157"/>
      <c r="U45" s="161">
        <f>VLOOKUP("AGCE",'G6 CAMB'!$C$49:$I$69,7,FALSE)</f>
        <v>5.8704901672828164E-5</v>
      </c>
      <c r="V45" s="157">
        <f>+U45/($D45)*100</f>
        <v>5.7380240337673218E-4</v>
      </c>
      <c r="W45" s="157"/>
      <c r="X45" s="161">
        <f>VLOOKUP("SCRA",'G6 CAMB'!$C$49:$I$69,7,FALSE)</f>
        <v>2.1185719801577563E-2</v>
      </c>
      <c r="Y45" s="157">
        <f>+X45/($D45)*100</f>
        <v>0.20707669364920994</v>
      </c>
      <c r="Z45" s="157"/>
      <c r="AA45" s="161">
        <f>VLOOKUP("SRA",'G6 CAMB'!$C$49:$I$69,7,FALSE)</f>
        <v>0</v>
      </c>
      <c r="AB45" s="157">
        <f>+AA45/($D45)*100</f>
        <v>0</v>
      </c>
      <c r="AC45" s="157"/>
      <c r="AD45" s="161">
        <f>VLOOKUP("BSTF",'G6 CAMB'!$C$49:$I$69,7,FALSE)</f>
        <v>-1.3874279185167487E-3</v>
      </c>
      <c r="AE45" s="157">
        <f>+AD45/($D45)*100</f>
        <v>-1.3561209566344785E-2</v>
      </c>
      <c r="AF45" s="157"/>
      <c r="AG45" s="155">
        <f>VLOOKUP("SPCA",'G6 CAMB'!$C$49:$I$69,7,FALSE)</f>
        <v>2.469129402438871E-4</v>
      </c>
      <c r="AH45" s="156">
        <f>+AG45/($D45)*100</f>
        <v>2.4134141187452966E-3</v>
      </c>
      <c r="AI45" s="157"/>
      <c r="AJ45" s="161">
        <f>VLOOKUP("SECRF",'G6 CAMB'!$C$49:$I$69,7,FALSE)</f>
        <v>4.3549793967770992E-3</v>
      </c>
      <c r="AK45" s="157">
        <f>+AJ45/($D45)*100</f>
        <v>4.2567103824713105E-2</v>
      </c>
      <c r="AL45" s="157"/>
      <c r="AM45" s="161">
        <f>VLOOKUP("RTWF",'G6 CAMB'!$C$49:$I$69,7,FALSE)</f>
        <v>9.9595766396120122E-3</v>
      </c>
      <c r="AN45" s="157">
        <f>+AM45/($D45)*100</f>
        <v>9.7348412987279823E-2</v>
      </c>
      <c r="AO45" s="154"/>
      <c r="AP45" s="161">
        <f>VLOOKUP("SMART",'G6 CAMB'!$C$49:$I$69,7,FALSE)</f>
        <v>5.1024694908853524E-3</v>
      </c>
      <c r="AQ45" s="157">
        <f>+AP45/($D45)*100</f>
        <v>4.9873335506864777E-2</v>
      </c>
      <c r="AR45" s="154"/>
      <c r="AS45" s="155">
        <f>VLOOKUP("tacf",'G6 CAMB'!$C$49:$I$69,7,FALSE)</f>
        <v>-7.724286399274193E-3</v>
      </c>
      <c r="AT45" s="156">
        <f>+AS45/($D45)*100</f>
        <v>-7.5499898202286017E-2</v>
      </c>
      <c r="AU45" s="200"/>
      <c r="AV45" s="155">
        <f>L45+I45+O45+U45+AG45+R45+X45+AD45+F45+AJ45+AM45+AA45+AP45+AS45</f>
        <v>0.11622478526884571</v>
      </c>
      <c r="AW45" s="156">
        <f>+AV45/($D45)*100</f>
        <v>1.1360220223326953</v>
      </c>
    </row>
    <row r="46" spans="1:49" ht="14" x14ac:dyDescent="0.3">
      <c r="A46" s="151" t="str">
        <f>IF(C46&lt;&gt;"",COUNTA($C$11:C46),"")</f>
        <v/>
      </c>
      <c r="B46" s="152"/>
      <c r="C46" s="129"/>
      <c r="D46" s="153"/>
      <c r="E46" s="154"/>
      <c r="F46" s="161"/>
      <c r="G46" s="157"/>
      <c r="H46" s="157"/>
      <c r="I46" s="161"/>
      <c r="J46" s="157"/>
      <c r="K46" s="157"/>
      <c r="L46" s="155"/>
      <c r="M46" s="156"/>
      <c r="N46" s="157"/>
      <c r="O46" s="161"/>
      <c r="P46" s="157"/>
      <c r="Q46" s="157"/>
      <c r="R46" s="161"/>
      <c r="S46" s="157"/>
      <c r="T46" s="157"/>
      <c r="U46" s="161"/>
      <c r="V46" s="157"/>
      <c r="W46" s="157"/>
      <c r="X46" s="161"/>
      <c r="Y46" s="157"/>
      <c r="Z46" s="157"/>
      <c r="AA46" s="161"/>
      <c r="AB46" s="157"/>
      <c r="AC46" s="157"/>
      <c r="AD46" s="161"/>
      <c r="AE46" s="157"/>
      <c r="AF46" s="157"/>
      <c r="AG46" s="155"/>
      <c r="AH46" s="156"/>
      <c r="AI46" s="157"/>
      <c r="AJ46" s="161"/>
      <c r="AK46" s="157"/>
      <c r="AL46" s="157"/>
      <c r="AM46" s="161"/>
      <c r="AN46" s="157"/>
      <c r="AO46" s="154"/>
      <c r="AP46" s="161"/>
      <c r="AQ46" s="154"/>
      <c r="AR46" s="154"/>
      <c r="AS46" s="155"/>
      <c r="AT46" s="200"/>
      <c r="AU46" s="200"/>
      <c r="AV46" s="155"/>
      <c r="AW46" s="156"/>
    </row>
    <row r="47" spans="1:49" ht="14" x14ac:dyDescent="0.3">
      <c r="A47" s="151">
        <f>IF(C47&lt;&gt;"",COUNTA($C$11:C47),"")</f>
        <v>19</v>
      </c>
      <c r="B47" s="152" t="s">
        <v>119</v>
      </c>
      <c r="C47" s="130" t="s">
        <v>263</v>
      </c>
      <c r="D47" s="153">
        <f>'Exh 9_Proposed Rev p1'!D47</f>
        <v>131081455.97392654</v>
      </c>
      <c r="E47" s="154">
        <v>734056.15345398884</v>
      </c>
      <c r="F47" s="161">
        <f>VLOOKUP("RDAF",'SB1 CAMB'!$C$59:$I$79,7,FALSE)</f>
        <v>-15813.869308844078</v>
      </c>
      <c r="G47" s="157">
        <f>+F47/($D47)*100</f>
        <v>-1.2064154453692992E-2</v>
      </c>
      <c r="H47" s="157"/>
      <c r="I47" s="161">
        <f>VLOOKUP("RAAF",'SB1 CAMB'!$C$59:$I$79,7,FALSE)</f>
        <v>133599.82095247164</v>
      </c>
      <c r="J47" s="157">
        <f>+I47/($D47)*100</f>
        <v>0.10192122139614165</v>
      </c>
      <c r="K47" s="157"/>
      <c r="L47" s="155">
        <f>VLOOKUP("PAF",'SB1 CAMB'!$C$59:$I$79,7,FALSE)</f>
        <v>40044.769455459529</v>
      </c>
      <c r="M47" s="156">
        <f>+L47/($D47)*100</f>
        <v>3.054953056321319E-2</v>
      </c>
      <c r="N47" s="157"/>
      <c r="O47" s="161">
        <f>VLOOKUP("NMRS",'SB1 CAMB'!$C$59:$I$79,7,FALSE)</f>
        <v>174203.44995724005</v>
      </c>
      <c r="P47" s="157">
        <f>+O47/($D47)*100</f>
        <v>0.13289709720030188</v>
      </c>
      <c r="Q47" s="157"/>
      <c r="R47" s="161">
        <f>VLOOKUP("LTRCA",'SB1 CAMB'!$C$59:$I$79,7,FALSE)</f>
        <v>227519.77122799633</v>
      </c>
      <c r="S47" s="157">
        <f>+R47/($D47)*100</f>
        <v>0.17357128782064518</v>
      </c>
      <c r="T47" s="157"/>
      <c r="U47" s="161">
        <f>VLOOKUP("AGCE",'SB1 CAMB'!$C$59:$I$79,7,FALSE)</f>
        <v>280.50978707938714</v>
      </c>
      <c r="V47" s="157">
        <f>+U47/($D47)*100</f>
        <v>2.1399654512167107E-4</v>
      </c>
      <c r="W47" s="157"/>
      <c r="X47" s="161">
        <f>VLOOKUP("SCRA",'SB1 CAMB'!$C$59:$I$79,7,FALSE)</f>
        <v>101285.77402323435</v>
      </c>
      <c r="Y47" s="157">
        <f>+X47/($D47)*100</f>
        <v>7.7269338573246499E-2</v>
      </c>
      <c r="Z47" s="157"/>
      <c r="AA47" s="161">
        <f>VLOOKUP("SRA",'SB1 CAMB'!$C$59:$I$79,7,FALSE)</f>
        <v>0</v>
      </c>
      <c r="AB47" s="157">
        <f>+AA47/($D47)*100</f>
        <v>0</v>
      </c>
      <c r="AC47" s="157"/>
      <c r="AD47" s="161">
        <f>VLOOKUP("BSTF",'SB1 CAMB'!$C$59:$I$79,7,FALSE)</f>
        <v>-6629.5504961431097</v>
      </c>
      <c r="AE47" s="157">
        <f>+AD47/($D47)*100</f>
        <v>-5.0575807591439906E-3</v>
      </c>
      <c r="AF47" s="157"/>
      <c r="AG47" s="155">
        <f>VLOOKUP("SPCA",'SB1 CAMB'!$C$59:$I$79,7,FALSE)</f>
        <v>1179.8247560478617</v>
      </c>
      <c r="AH47" s="156">
        <f>+AG47/($D47)*100</f>
        <v>9.0006992009803517E-4</v>
      </c>
      <c r="AI47" s="157"/>
      <c r="AJ47" s="161">
        <f>VLOOKUP("SECRF",'SB1 CAMB'!$C$59:$I$79,7,FALSE)</f>
        <v>20809.409581048523</v>
      </c>
      <c r="AK47" s="157">
        <f>+AJ47/($D47)*100</f>
        <v>1.5875174277273613E-2</v>
      </c>
      <c r="AL47" s="157"/>
      <c r="AM47" s="161">
        <f>VLOOKUP("RTWF",'SB1 CAMB'!$C$59:$I$79,7,FALSE)</f>
        <v>71693.671826182617</v>
      </c>
      <c r="AN47" s="157">
        <f>+AM47/($D47)*100</f>
        <v>5.4693984967975354E-2</v>
      </c>
      <c r="AO47" s="154"/>
      <c r="AP47" s="161">
        <f>VLOOKUP("SMART",'SB1 CAMB'!$C$59:$I$79,7,FALSE)</f>
        <v>24381.143476640886</v>
      </c>
      <c r="AQ47" s="157">
        <f>+AP47/($D47)*100</f>
        <v>1.8599994404617039E-2</v>
      </c>
      <c r="AR47" s="154"/>
      <c r="AS47" s="155">
        <f>VLOOKUP("tacf",'SB1 CAMB'!$C$59:$I$79,7,FALSE)</f>
        <v>-36908.978151027113</v>
      </c>
      <c r="AT47" s="156">
        <f>+AS47/($D47)*100</f>
        <v>-2.8157284244972599E-2</v>
      </c>
      <c r="AU47" s="200"/>
      <c r="AV47" s="155">
        <f>L47+I47+O47+U47+AG47+R47+X47+AD47+F47+AJ47+AM47+AA47+AP47+AS47</f>
        <v>735645.74708738702</v>
      </c>
      <c r="AW47" s="156">
        <f>+AV47/($D47)*100</f>
        <v>0.56121267621082471</v>
      </c>
    </row>
    <row r="48" spans="1:49" ht="14" x14ac:dyDescent="0.3">
      <c r="A48" s="151" t="str">
        <f>IF(C48&lt;&gt;"",COUNTA($C$11:C48),"")</f>
        <v/>
      </c>
      <c r="B48" s="152"/>
      <c r="C48" s="129"/>
      <c r="D48" s="153"/>
      <c r="E48" s="154"/>
      <c r="F48" s="161"/>
      <c r="G48" s="157"/>
      <c r="H48" s="157"/>
      <c r="I48" s="161"/>
      <c r="J48" s="157"/>
      <c r="K48" s="157"/>
      <c r="L48" s="155"/>
      <c r="M48" s="156"/>
      <c r="N48" s="157"/>
      <c r="O48" s="161"/>
      <c r="P48" s="157"/>
      <c r="Q48" s="157"/>
      <c r="R48" s="161"/>
      <c r="S48" s="157"/>
      <c r="T48" s="157"/>
      <c r="U48" s="161"/>
      <c r="V48" s="157"/>
      <c r="W48" s="157"/>
      <c r="X48" s="161"/>
      <c r="Y48" s="157"/>
      <c r="Z48" s="157"/>
      <c r="AA48" s="161"/>
      <c r="AB48" s="157"/>
      <c r="AC48" s="157"/>
      <c r="AD48" s="161"/>
      <c r="AE48" s="157"/>
      <c r="AF48" s="157"/>
      <c r="AG48" s="155"/>
      <c r="AH48" s="156"/>
      <c r="AI48" s="157"/>
      <c r="AJ48" s="161"/>
      <c r="AK48" s="157"/>
      <c r="AL48" s="157"/>
      <c r="AM48" s="161"/>
      <c r="AN48" s="157"/>
      <c r="AO48" s="154"/>
      <c r="AP48" s="161"/>
      <c r="AQ48" s="154"/>
      <c r="AR48" s="154"/>
      <c r="AS48" s="155"/>
      <c r="AT48" s="200"/>
      <c r="AU48" s="200"/>
      <c r="AV48" s="155"/>
      <c r="AW48" s="156"/>
    </row>
    <row r="49" spans="1:49" ht="14" x14ac:dyDescent="0.3">
      <c r="A49" s="151">
        <f>IF(C49&lt;&gt;"",COUNTA($C$11:C49),"")</f>
        <v>20</v>
      </c>
      <c r="B49" s="152" t="s">
        <v>119</v>
      </c>
      <c r="C49" s="130" t="s">
        <v>264</v>
      </c>
      <c r="D49" s="153">
        <f>'Exh 9_Proposed Rev p1'!D49</f>
        <v>1707272.3867975136</v>
      </c>
      <c r="E49" s="154">
        <v>9560.7253660660772</v>
      </c>
      <c r="F49" s="161">
        <f>VLOOKUP("RDAF",'CON CAMB'!$C$49:$I$69,7,FALSE)</f>
        <v>-205.96797768850288</v>
      </c>
      <c r="G49" s="157">
        <f>+F49/($D49)*100</f>
        <v>-1.2064154453692992E-2</v>
      </c>
      <c r="H49" s="157"/>
      <c r="I49" s="161">
        <f>VLOOKUP("RAAF",'CON CAMB'!$C$49:$I$69,7,FALSE)</f>
        <v>1740.0728691830861</v>
      </c>
      <c r="J49" s="157">
        <f>+I49/($D49)*100</f>
        <v>0.10192122139614168</v>
      </c>
      <c r="K49" s="157"/>
      <c r="L49" s="155">
        <f>VLOOKUP("PAF",'CON CAMB'!$C$49:$I$69,7,FALSE)</f>
        <v>521.56369960200573</v>
      </c>
      <c r="M49" s="156">
        <f>+L49/($D49)*100</f>
        <v>3.054953056321319E-2</v>
      </c>
      <c r="N49" s="157"/>
      <c r="O49" s="161">
        <f>VLOOKUP("NMRS",'CON CAMB'!$C$49:$I$69,7,FALSE)</f>
        <v>2268.9154433562053</v>
      </c>
      <c r="P49" s="157">
        <f>+O49/($D49)*100</f>
        <v>0.13289709720030188</v>
      </c>
      <c r="Q49" s="157"/>
      <c r="R49" s="161">
        <f>VLOOKUP("LTRCA",'CON CAMB'!$C$49:$I$69,7,FALSE)</f>
        <v>2963.3346683707109</v>
      </c>
      <c r="S49" s="157">
        <f>+R49/($D49)*100</f>
        <v>0.17357128782064518</v>
      </c>
      <c r="T49" s="157"/>
      <c r="U49" s="161">
        <f>VLOOKUP("AGCE",'CON CAMB'!$C$49:$I$69,7,FALSE)</f>
        <v>3.653503923562972</v>
      </c>
      <c r="V49" s="157">
        <f>+U49/($D49)*100</f>
        <v>2.1399654512167107E-4</v>
      </c>
      <c r="W49" s="157"/>
      <c r="X49" s="161">
        <f>VLOOKUP("SCRA",'CON CAMB'!$C$49:$I$69,7,FALSE)</f>
        <v>1319.1980809221172</v>
      </c>
      <c r="Y49" s="157">
        <f>+X49/($D49)*100</f>
        <v>7.7269338573246499E-2</v>
      </c>
      <c r="Z49" s="157"/>
      <c r="AA49" s="161">
        <f>VLOOKUP("SRA",'CON CAMB'!$C$49:$I$69,7,FALSE)</f>
        <v>0</v>
      </c>
      <c r="AB49" s="157">
        <f>+AA49/($D49)*100</f>
        <v>0</v>
      </c>
      <c r="AC49" s="157"/>
      <c r="AD49" s="161">
        <f>VLOOKUP("BSTF",'CON CAMB'!$C$49:$I$69,7,FALSE)</f>
        <v>-86.34667974084941</v>
      </c>
      <c r="AE49" s="157">
        <f>+AD49/($D49)*100</f>
        <v>-5.0575807591439906E-3</v>
      </c>
      <c r="AF49" s="157"/>
      <c r="AG49" s="155">
        <f>VLOOKUP("SPCA",'CON CAMB'!$C$49:$I$69,7,FALSE)</f>
        <v>15.366645207704197</v>
      </c>
      <c r="AH49" s="156">
        <f>+AG49/($D49)*100</f>
        <v>9.0006992009803517E-4</v>
      </c>
      <c r="AI49" s="157"/>
      <c r="AJ49" s="161">
        <f>VLOOKUP("SECRF",'CON CAMB'!$C$49:$I$69,7,FALSE)</f>
        <v>271.03246679187413</v>
      </c>
      <c r="AK49" s="157">
        <f>+AJ49/($D49)*100</f>
        <v>1.5875174277273613E-2</v>
      </c>
      <c r="AL49" s="157"/>
      <c r="AM49" s="161">
        <f>VLOOKUP("RTWF",'CON CAMB'!$C$49:$I$69,7,FALSE)</f>
        <v>933.77530259742605</v>
      </c>
      <c r="AN49" s="157">
        <f>+AM49/($D49)*100</f>
        <v>5.4693984967975354E-2</v>
      </c>
      <c r="AO49" s="154"/>
      <c r="AP49" s="161">
        <f>VLOOKUP("SMART",'CON CAMB'!$C$49:$I$69,7,FALSE)</f>
        <v>317.55256841590932</v>
      </c>
      <c r="AQ49" s="157">
        <f>+AP49/($D49)*100</f>
        <v>1.8599994404617039E-2</v>
      </c>
      <c r="AR49" s="154"/>
      <c r="AS49" s="155">
        <f>VLOOKUP("tacf",'CON CAMB'!$C$49:$I$69,7,FALSE)</f>
        <v>-480.72153878650391</v>
      </c>
      <c r="AT49" s="156">
        <f>+AS49/($D49)*100</f>
        <v>-2.8157284244972599E-2</v>
      </c>
      <c r="AU49" s="200"/>
      <c r="AV49" s="155">
        <f>L49+I49+O49+U49+AG49+R49+X49+AD49+F49+AJ49+AM49+AA49+AP49+AS49</f>
        <v>9581.4290521547464</v>
      </c>
      <c r="AW49" s="156">
        <f>+AV49/($D49)*100</f>
        <v>0.5612126762108246</v>
      </c>
    </row>
    <row r="50" spans="1:49" ht="14" x14ac:dyDescent="0.3">
      <c r="A50" s="151"/>
      <c r="B50" s="152"/>
      <c r="C50" s="129"/>
      <c r="D50" s="153"/>
      <c r="E50" s="154"/>
      <c r="F50" s="161"/>
      <c r="G50" s="157"/>
      <c r="H50" s="157"/>
      <c r="I50" s="161"/>
      <c r="J50" s="157"/>
      <c r="K50" s="157"/>
      <c r="L50" s="155"/>
      <c r="M50" s="156"/>
      <c r="N50" s="157"/>
      <c r="O50" s="161"/>
      <c r="P50" s="157"/>
      <c r="Q50" s="157"/>
      <c r="R50" s="161"/>
      <c r="S50" s="157"/>
      <c r="T50" s="157"/>
      <c r="U50" s="161"/>
      <c r="V50" s="157"/>
      <c r="W50" s="157"/>
      <c r="X50" s="161"/>
      <c r="Y50" s="157"/>
      <c r="Z50" s="157"/>
      <c r="AA50" s="161"/>
      <c r="AB50" s="157"/>
      <c r="AC50" s="157"/>
      <c r="AD50" s="161"/>
      <c r="AE50" s="157"/>
      <c r="AF50" s="157"/>
      <c r="AG50" s="155"/>
      <c r="AH50" s="156"/>
      <c r="AI50" s="157"/>
      <c r="AJ50" s="161"/>
      <c r="AK50" s="157"/>
      <c r="AL50" s="157"/>
      <c r="AM50" s="161"/>
      <c r="AN50" s="157"/>
      <c r="AO50" s="154"/>
      <c r="AP50" s="161"/>
      <c r="AQ50" s="154"/>
      <c r="AR50" s="154"/>
      <c r="AS50" s="155"/>
      <c r="AT50" s="200"/>
      <c r="AU50" s="200"/>
      <c r="AV50" s="155"/>
      <c r="AW50" s="156"/>
    </row>
    <row r="51" spans="1:49" ht="14" x14ac:dyDescent="0.3">
      <c r="A51" s="151">
        <f>IF(C51&lt;&gt;"",COUNTA($C$11:C51),"")</f>
        <v>21</v>
      </c>
      <c r="B51" s="152" t="s">
        <v>125</v>
      </c>
      <c r="C51" s="130" t="s">
        <v>258</v>
      </c>
      <c r="D51" s="153">
        <f>'Exh 9_Proposed Rev p1'!D51</f>
        <v>957223368.41082382</v>
      </c>
      <c r="E51" s="154">
        <v>11276091.279879505</v>
      </c>
      <c r="F51" s="161">
        <f>VLOOKUP("RDAF",'G1 SOUTH'!$C$58:$I$78,7,FALSE)</f>
        <v>-341178.39645581547</v>
      </c>
      <c r="G51" s="157">
        <f>+F51/($D51)*100</f>
        <v>-3.5642505993375158E-2</v>
      </c>
      <c r="H51" s="157"/>
      <c r="I51" s="161">
        <f>VLOOKUP("RAAF",'G1 SOUTH'!$C$58:$I$78,7,FALSE)</f>
        <v>2882366.8508412712</v>
      </c>
      <c r="J51" s="157">
        <f>+I51/($D51)*100</f>
        <v>0.30111747643881265</v>
      </c>
      <c r="K51" s="157"/>
      <c r="L51" s="155">
        <f>VLOOKUP("PAF",'G1 SOUTH'!$C$58:$I$78,7,FALSE)</f>
        <v>670748.89402908704</v>
      </c>
      <c r="M51" s="156">
        <f>+L51/($D51)*100</f>
        <v>7.0072348436568163E-2</v>
      </c>
      <c r="N51" s="157"/>
      <c r="O51" s="161">
        <f>VLOOKUP("NMRS",'G1 SOUTH'!$C$58:$I$78,7,FALSE)</f>
        <v>3758375.1675652647</v>
      </c>
      <c r="P51" s="157">
        <f>+O51/($D51)*100</f>
        <v>0.39263303546432382</v>
      </c>
      <c r="Q51" s="157"/>
      <c r="R51" s="161">
        <f>VLOOKUP("LTRCA",'G1 SOUTH'!$C$58:$I$78,7,FALSE)</f>
        <v>1661464.9278708256</v>
      </c>
      <c r="S51" s="157">
        <f>+R51/($D51)*100</f>
        <v>0.17357128782064518</v>
      </c>
      <c r="T51" s="157"/>
      <c r="U51" s="161">
        <f>VLOOKUP("AGCE",'G1 SOUTH'!$C$58:$I$78,7,FALSE)</f>
        <v>6051.8951735856372</v>
      </c>
      <c r="V51" s="157">
        <f>+U51/($D51)*100</f>
        <v>6.3223437426448916E-4</v>
      </c>
      <c r="W51" s="157"/>
      <c r="X51" s="161">
        <f>VLOOKUP("SCRA",'G1 SOUTH'!$C$58:$I$78,7,FALSE)</f>
        <v>2184708.9135278659</v>
      </c>
      <c r="Y51" s="157">
        <f>+X51/($D51)*100</f>
        <v>0.22823397188421191</v>
      </c>
      <c r="Z51" s="157"/>
      <c r="AA51" s="161">
        <f>VLOOKUP("SRA",'G1 SOUTH'!$C$58:$I$78,7,FALSE)</f>
        <v>0</v>
      </c>
      <c r="AB51" s="157">
        <f>+AA51/($D51)*100</f>
        <v>0</v>
      </c>
      <c r="AC51" s="157"/>
      <c r="AD51" s="161">
        <f>VLOOKUP("BSTF",'G1 SOUTH'!$C$58:$I$78,7,FALSE)</f>
        <v>-143030.10625185783</v>
      </c>
      <c r="AE51" s="157">
        <f>+AD51/($D51)*100</f>
        <v>-1.4942187056017603E-2</v>
      </c>
      <c r="AF51" s="157"/>
      <c r="AG51" s="155">
        <f>VLOOKUP("SPCA",'G1 SOUTH'!$C$58:$I$78,7,FALSE)</f>
        <v>25454.283863479479</v>
      </c>
      <c r="AH51" s="156">
        <f>+AG51/($D51)*100</f>
        <v>2.6591791115315668E-3</v>
      </c>
      <c r="AI51" s="157"/>
      <c r="AJ51" s="161">
        <f>VLOOKUP("SECRF",'G1 SOUTH'!$C$58:$I$78,7,FALSE)</f>
        <v>448955.33492766513</v>
      </c>
      <c r="AK51" s="157">
        <f>+AJ51/($D51)*100</f>
        <v>4.6901836054526948E-2</v>
      </c>
      <c r="AL51" s="157"/>
      <c r="AM51" s="161">
        <f>VLOOKUP("RTWF",'G1 SOUTH'!$C$58:$I$78,7,FALSE)</f>
        <v>1200867.2228662344</v>
      </c>
      <c r="AN51" s="157">
        <f>+AM51/($D51)*100</f>
        <v>0.12545318705078279</v>
      </c>
      <c r="AO51" s="154"/>
      <c r="AP51" s="161">
        <f>VLOOKUP("SMART",'G1 SOUTH'!$C$58:$I$78,7,FALSE)</f>
        <v>526014.17607943632</v>
      </c>
      <c r="AQ51" s="157">
        <f>+AP51/($D51)*100</f>
        <v>5.4952082600398869E-2</v>
      </c>
      <c r="AR51" s="154"/>
      <c r="AS51" s="155">
        <f>VLOOKUP("tacf",'G1 SOUTH'!$C$58:$I$78,7,FALSE)</f>
        <v>-796297.58754536055</v>
      </c>
      <c r="AT51" s="156">
        <f>+AS51/($D51)*100</f>
        <v>-8.3188272854994E-2</v>
      </c>
      <c r="AU51" s="200"/>
      <c r="AV51" s="155">
        <f>L51+I51+O51+U51+AG51+R51+X51+AD51+F51+AJ51+AM51+AA51+AP51+AS51</f>
        <v>12084501.57649168</v>
      </c>
      <c r="AW51" s="156">
        <f>+AV51/($D51)*100</f>
        <v>1.2624536733316796</v>
      </c>
    </row>
    <row r="52" spans="1:49" ht="14" x14ac:dyDescent="0.3">
      <c r="A52" s="151"/>
      <c r="B52" s="152"/>
      <c r="C52" s="129"/>
      <c r="D52" s="153"/>
      <c r="E52" s="154"/>
      <c r="F52" s="161"/>
      <c r="G52" s="157"/>
      <c r="H52" s="157"/>
      <c r="I52" s="161"/>
      <c r="J52" s="157"/>
      <c r="K52" s="157"/>
      <c r="L52" s="155"/>
      <c r="M52" s="156"/>
      <c r="N52" s="157"/>
      <c r="O52" s="161"/>
      <c r="P52" s="157"/>
      <c r="Q52" s="157"/>
      <c r="R52" s="161"/>
      <c r="S52" s="157"/>
      <c r="T52" s="157"/>
      <c r="U52" s="161"/>
      <c r="V52" s="157"/>
      <c r="W52" s="157"/>
      <c r="X52" s="161"/>
      <c r="Y52" s="157"/>
      <c r="Z52" s="157"/>
      <c r="AA52" s="161"/>
      <c r="AB52" s="157"/>
      <c r="AC52" s="157"/>
      <c r="AD52" s="161"/>
      <c r="AE52" s="157"/>
      <c r="AF52" s="157"/>
      <c r="AG52" s="155"/>
      <c r="AH52" s="156"/>
      <c r="AI52" s="157"/>
      <c r="AJ52" s="161"/>
      <c r="AK52" s="157"/>
      <c r="AL52" s="157"/>
      <c r="AM52" s="161"/>
      <c r="AN52" s="157"/>
      <c r="AO52" s="154"/>
      <c r="AP52" s="161"/>
      <c r="AQ52" s="154"/>
      <c r="AR52" s="154"/>
      <c r="AS52" s="155"/>
      <c r="AT52" s="200"/>
      <c r="AU52" s="200"/>
      <c r="AV52" s="155"/>
      <c r="AW52" s="156"/>
    </row>
    <row r="53" spans="1:49" ht="14" x14ac:dyDescent="0.3">
      <c r="A53" s="151">
        <f>IF(C53&lt;&gt;"",COUNTA($C$11:C53),"")</f>
        <v>22</v>
      </c>
      <c r="B53" s="152" t="s">
        <v>125</v>
      </c>
      <c r="C53" s="130" t="s">
        <v>265</v>
      </c>
      <c r="D53" s="153">
        <f>'Exh 9_Proposed Rev p1'!D53</f>
        <v>25640939.874135047</v>
      </c>
      <c r="E53" s="154">
        <v>302050.27171731088</v>
      </c>
      <c r="F53" s="161">
        <f>VLOOKUP("RDAF",'G1S SOUTH'!$C$51:$I$71,7,FALSE)</f>
        <v>-9139.073531396305</v>
      </c>
      <c r="G53" s="157">
        <f>+F53/($D53)*100</f>
        <v>-3.5642505993375158E-2</v>
      </c>
      <c r="H53" s="157"/>
      <c r="I53" s="161">
        <f>VLOOKUP("RAAF",'G1S SOUTH'!$C$51:$I$71,7,FALSE)</f>
        <v>77209.351084188718</v>
      </c>
      <c r="J53" s="157">
        <f>+I53/($D53)*100</f>
        <v>0.30111747643881265</v>
      </c>
      <c r="K53" s="157"/>
      <c r="L53" s="155">
        <f>VLOOKUP("PAF",'G1S SOUTH'!$C$51:$I$71,7,FALSE)</f>
        <v>17967.208731014853</v>
      </c>
      <c r="M53" s="156">
        <f>+L53/($D53)*100</f>
        <v>7.0072348436568163E-2</v>
      </c>
      <c r="N53" s="157"/>
      <c r="O53" s="161">
        <f>VLOOKUP("NMRS",'G1S SOUTH'!$C$51:$I$71,7,FALSE)</f>
        <v>100674.8005493986</v>
      </c>
      <c r="P53" s="157">
        <f>+O53/($D53)*100</f>
        <v>0.39263303546432382</v>
      </c>
      <c r="Q53" s="157"/>
      <c r="R53" s="161">
        <f>VLOOKUP("LTRCA",'G1S SOUTH'!$C$51:$I$71,7,FALSE)</f>
        <v>44505.309548853518</v>
      </c>
      <c r="S53" s="157">
        <f>+R53/($D53)*100</f>
        <v>0.17357128782064518</v>
      </c>
      <c r="T53" s="157"/>
      <c r="U53" s="161">
        <f>VLOOKUP("AGCE",'G1S SOUTH'!$C$51:$I$71,7,FALSE)</f>
        <v>162.11083576877161</v>
      </c>
      <c r="V53" s="157">
        <f>+U53/($D53)*100</f>
        <v>6.3223437426448916E-4</v>
      </c>
      <c r="W53" s="157"/>
      <c r="X53" s="161">
        <f>VLOOKUP("SCRA",'G1S SOUTH'!$C$51:$I$71,7,FALSE)</f>
        <v>58521.335503181064</v>
      </c>
      <c r="Y53" s="157">
        <f>+X53/($D53)*100</f>
        <v>0.22823397188421191</v>
      </c>
      <c r="Z53" s="157"/>
      <c r="AA53" s="161">
        <f>VLOOKUP("SRA",'G1S SOUTH'!$C$51:$I$71,7,FALSE)</f>
        <v>0</v>
      </c>
      <c r="AB53" s="157">
        <f>+AA53/($D53)*100</f>
        <v>0</v>
      </c>
      <c r="AC53" s="157"/>
      <c r="AD53" s="161">
        <f>VLOOKUP("BSTF",'G1S SOUTH'!$C$51:$I$71,7,FALSE)</f>
        <v>-3831.3171989142634</v>
      </c>
      <c r="AE53" s="157">
        <f>+AD53/($D53)*100</f>
        <v>-1.4942187056017603E-2</v>
      </c>
      <c r="AF53" s="157"/>
      <c r="AG53" s="155">
        <f>VLOOKUP("SPCA",'G1S SOUTH'!$C$51:$I$71,7,FALSE)</f>
        <v>681.83851713336753</v>
      </c>
      <c r="AH53" s="156">
        <f>+AG53/($D53)*100</f>
        <v>2.6591791115315668E-3</v>
      </c>
      <c r="AI53" s="157"/>
      <c r="AJ53" s="161">
        <f>VLOOKUP("SECRF",'G1S SOUTH'!$C$51:$I$71,7,FALSE)</f>
        <v>12026.071582606648</v>
      </c>
      <c r="AK53" s="157">
        <f>+AJ53/($D53)*100</f>
        <v>4.6901836054526948E-2</v>
      </c>
      <c r="AL53" s="157"/>
      <c r="AM53" s="161">
        <f>VLOOKUP("RTWF",'G1S SOUTH'!$C$51:$I$71,7,FALSE)</f>
        <v>32167.376261877387</v>
      </c>
      <c r="AN53" s="157">
        <f>+AM53/($D53)*100</f>
        <v>0.12545318705078279</v>
      </c>
      <c r="AO53" s="154"/>
      <c r="AP53" s="161">
        <f>VLOOKUP("SMART",'G1S SOUTH'!$C$51:$I$71,7,FALSE)</f>
        <v>14090.230459153301</v>
      </c>
      <c r="AQ53" s="157">
        <f>+AP53/($D53)*100</f>
        <v>5.4952082600398869E-2</v>
      </c>
      <c r="AR53" s="154"/>
      <c r="AS53" s="155">
        <f>VLOOKUP("tacf",'G1S SOUTH'!$C$51:$I$71,7,FALSE)</f>
        <v>-21330.25502508042</v>
      </c>
      <c r="AT53" s="156">
        <f>+AS53/($D53)*100</f>
        <v>-8.3188272854994E-2</v>
      </c>
      <c r="AU53" s="200"/>
      <c r="AV53" s="155">
        <f>L53+I53+O53+U53+AG53+R53+X53+AD53+F53+AJ53+AM53+AA53+AP53+AS53</f>
        <v>323704.98731778533</v>
      </c>
      <c r="AW53" s="156">
        <f>+AV53/($D53)*100</f>
        <v>1.26245367333168</v>
      </c>
    </row>
    <row r="54" spans="1:49" ht="14" x14ac:dyDescent="0.3">
      <c r="A54" s="151" t="str">
        <f>IF(C54&lt;&gt;"",COUNTA($C$11:C54),"")</f>
        <v/>
      </c>
      <c r="B54" s="152"/>
      <c r="C54" s="129"/>
      <c r="D54" s="153"/>
      <c r="E54" s="154"/>
      <c r="F54" s="161"/>
      <c r="G54" s="157"/>
      <c r="H54" s="157"/>
      <c r="I54" s="161"/>
      <c r="J54" s="157"/>
      <c r="K54" s="157"/>
      <c r="L54" s="155"/>
      <c r="M54" s="156"/>
      <c r="N54" s="157"/>
      <c r="O54" s="161"/>
      <c r="P54" s="157"/>
      <c r="Q54" s="157"/>
      <c r="R54" s="161"/>
      <c r="S54" s="157"/>
      <c r="T54" s="157"/>
      <c r="U54" s="161"/>
      <c r="V54" s="157"/>
      <c r="W54" s="157"/>
      <c r="X54" s="161"/>
      <c r="Y54" s="157"/>
      <c r="Z54" s="157"/>
      <c r="AA54" s="161"/>
      <c r="AB54" s="157"/>
      <c r="AC54" s="157"/>
      <c r="AD54" s="161"/>
      <c r="AE54" s="157"/>
      <c r="AF54" s="157"/>
      <c r="AG54" s="155"/>
      <c r="AH54" s="156"/>
      <c r="AI54" s="157"/>
      <c r="AJ54" s="161"/>
      <c r="AK54" s="157"/>
      <c r="AL54" s="157"/>
      <c r="AM54" s="161"/>
      <c r="AN54" s="157"/>
      <c r="AO54" s="154"/>
      <c r="AP54" s="161"/>
      <c r="AQ54" s="154"/>
      <c r="AR54" s="154"/>
      <c r="AS54" s="155"/>
      <c r="AT54" s="200"/>
      <c r="AU54" s="200"/>
      <c r="AV54" s="155"/>
      <c r="AW54" s="156"/>
    </row>
    <row r="55" spans="1:49" ht="14" x14ac:dyDescent="0.3">
      <c r="A55" s="151">
        <f>IF(C55&lt;&gt;"",COUNTA($C$11:C55),"")</f>
        <v>23</v>
      </c>
      <c r="B55" s="152" t="s">
        <v>125</v>
      </c>
      <c r="C55" s="130" t="s">
        <v>252</v>
      </c>
      <c r="D55" s="153">
        <f>'Exh 9_Proposed Rev p1'!D55</f>
        <v>470638348.86321914</v>
      </c>
      <c r="E55" s="154">
        <v>3774519.5578830177</v>
      </c>
      <c r="F55" s="161">
        <f>VLOOKUP("RDAF",'G2 SOUTH'!$C$51:$I$71,7,FALSE)</f>
        <v>-102212.76681163983</v>
      </c>
      <c r="G55" s="157">
        <f>+F55/($D55)*100</f>
        <v>-2.1717900179304292E-2</v>
      </c>
      <c r="H55" s="157"/>
      <c r="I55" s="161">
        <f>VLOOKUP("RAAF",'G2 SOUTH'!$C$51:$I$71,7,FALSE)</f>
        <v>863520.94344518019</v>
      </c>
      <c r="J55" s="157">
        <f>+I55/($D55)*100</f>
        <v>0.18347866159460455</v>
      </c>
      <c r="K55" s="157"/>
      <c r="L55" s="155">
        <f>VLOOKUP("PAF",'G2 SOUTH'!$C$51:$I$71,7,FALSE)</f>
        <v>206204.31624133393</v>
      </c>
      <c r="M55" s="156">
        <f>+L55/($D55)*100</f>
        <v>4.381375141643265E-2</v>
      </c>
      <c r="N55" s="157"/>
      <c r="O55" s="161">
        <f>VLOOKUP("NMRS",'G2 SOUTH'!$C$51:$I$71,7,FALSE)</f>
        <v>1125962.0438563034</v>
      </c>
      <c r="P55" s="157">
        <f>+O55/($D55)*100</f>
        <v>0.23924145717746007</v>
      </c>
      <c r="Q55" s="157"/>
      <c r="R55" s="161">
        <f>VLOOKUP("LTRCA",'G2 SOUTH'!$C$51:$I$71,7,FALSE)</f>
        <v>816893.04309971025</v>
      </c>
      <c r="S55" s="157">
        <f>+R55/($D55)*100</f>
        <v>0.17357128782064518</v>
      </c>
      <c r="T55" s="157"/>
      <c r="U55" s="161">
        <f>VLOOKUP("AGCE",'G2 SOUTH'!$C$51:$I$71,7,FALSE)</f>
        <v>1813.0718608565448</v>
      </c>
      <c r="V55" s="157">
        <f>+U55/($D55)*100</f>
        <v>3.8523674605689113E-4</v>
      </c>
      <c r="W55" s="157"/>
      <c r="X55" s="161">
        <f>VLOOKUP("SCRA",'G2 SOUTH'!$C$51:$I$71,7,FALSE)</f>
        <v>654644.02646690723</v>
      </c>
      <c r="Y55" s="157">
        <f>+X55/($D55)*100</f>
        <v>0.13909704299450645</v>
      </c>
      <c r="Z55" s="157"/>
      <c r="AA55" s="161">
        <f>VLOOKUP("SRA",'G2 SOUTH'!$C$51:$I$71,7,FALSE)</f>
        <v>0</v>
      </c>
      <c r="AB55" s="157">
        <f>+AA55/($D55)*100</f>
        <v>0</v>
      </c>
      <c r="AC55" s="157"/>
      <c r="AD55" s="161">
        <f>VLOOKUP("BSTF",'G2 SOUTH'!$C$51:$I$71,7,FALSE)</f>
        <v>-42850.025233817876</v>
      </c>
      <c r="AE55" s="157">
        <f>+AD55/($D55)*100</f>
        <v>-9.1046607947095504E-3</v>
      </c>
      <c r="AF55" s="157"/>
      <c r="AG55" s="155">
        <f>VLOOKUP("SPCA",'G2 SOUTH'!$C$51:$I$71,7,FALSE)</f>
        <v>7625.78407051062</v>
      </c>
      <c r="AH55" s="156">
        <f>+AG55/($D55)*100</f>
        <v>1.6203065663752125E-3</v>
      </c>
      <c r="AI55" s="157"/>
      <c r="AJ55" s="161">
        <f>VLOOKUP("SECRF",'G2 SOUTH'!$C$51:$I$71,7,FALSE)</f>
        <v>134501.38530018556</v>
      </c>
      <c r="AK55" s="157">
        <f>+AJ55/($D55)*100</f>
        <v>2.8578501013583037E-2</v>
      </c>
      <c r="AL55" s="157"/>
      <c r="AM55" s="161">
        <f>VLOOKUP("RTWF",'G2 SOUTH'!$C$51:$I$71,7,FALSE)</f>
        <v>369175.41988078662</v>
      </c>
      <c r="AN55" s="157">
        <f>+AM55/($D55)*100</f>
        <v>7.8441423392822479E-2</v>
      </c>
      <c r="AO55" s="154"/>
      <c r="AP55" s="161">
        <f>VLOOKUP("SMART",'G2 SOUTH'!$C$51:$I$71,7,FALSE)</f>
        <v>157587.24725170925</v>
      </c>
      <c r="AQ55" s="157">
        <f>+AP55/($D55)*100</f>
        <v>3.3483724314507267E-2</v>
      </c>
      <c r="AR55" s="154"/>
      <c r="AS55" s="155">
        <f>VLOOKUP("tacf",'G2 SOUTH'!$C$51:$I$71,7,FALSE)</f>
        <v>-238560.76608</v>
      </c>
      <c r="AT55" s="156">
        <f>+AS55/($D55)*100</f>
        <v>-5.0688764877792086E-2</v>
      </c>
      <c r="AU55" s="200"/>
      <c r="AV55" s="155">
        <f>L55+I55+O55+U55+AG55+R55+X55+AD55+F55+AJ55+AM55+AA55+AP55+AS55</f>
        <v>3954303.7233480252</v>
      </c>
      <c r="AW55" s="156">
        <f>+AV55/($D55)*100</f>
        <v>0.8402000671851878</v>
      </c>
    </row>
    <row r="56" spans="1:49" ht="14" x14ac:dyDescent="0.3">
      <c r="A56" s="151" t="str">
        <f>IF(C56&lt;&gt;"",COUNTA($C$11:C56),"")</f>
        <v/>
      </c>
      <c r="B56" s="152"/>
      <c r="C56" s="129"/>
      <c r="D56" s="153"/>
      <c r="E56" s="154"/>
      <c r="F56" s="161"/>
      <c r="G56" s="157"/>
      <c r="H56" s="157"/>
      <c r="I56" s="161"/>
      <c r="J56" s="157"/>
      <c r="K56" s="157"/>
      <c r="L56" s="155"/>
      <c r="M56" s="156"/>
      <c r="N56" s="157"/>
      <c r="O56" s="161"/>
      <c r="P56" s="157"/>
      <c r="Q56" s="157"/>
      <c r="R56" s="161"/>
      <c r="S56" s="157"/>
      <c r="T56" s="157"/>
      <c r="U56" s="161"/>
      <c r="V56" s="157"/>
      <c r="W56" s="157"/>
      <c r="X56" s="161"/>
      <c r="Y56" s="157"/>
      <c r="Z56" s="157"/>
      <c r="AA56" s="161"/>
      <c r="AB56" s="157"/>
      <c r="AC56" s="157"/>
      <c r="AD56" s="161"/>
      <c r="AE56" s="157"/>
      <c r="AF56" s="157"/>
      <c r="AG56" s="155"/>
      <c r="AH56" s="156"/>
      <c r="AI56" s="157"/>
      <c r="AJ56" s="161"/>
      <c r="AK56" s="157"/>
      <c r="AL56" s="157"/>
      <c r="AM56" s="161"/>
      <c r="AN56" s="157"/>
      <c r="AO56" s="154"/>
      <c r="AP56" s="161"/>
      <c r="AQ56" s="154"/>
      <c r="AR56" s="154"/>
      <c r="AS56" s="155"/>
      <c r="AT56" s="200"/>
      <c r="AU56" s="200"/>
      <c r="AV56" s="155"/>
      <c r="AW56" s="156"/>
    </row>
    <row r="57" spans="1:49" ht="14" x14ac:dyDescent="0.3">
      <c r="A57" s="151">
        <f>IF(C57&lt;&gt;"",COUNTA($C$11:C57),"")</f>
        <v>24</v>
      </c>
      <c r="B57" s="152" t="s">
        <v>125</v>
      </c>
      <c r="C57" s="130" t="s">
        <v>253</v>
      </c>
      <c r="D57" s="153">
        <f>'Exh 9_Proposed Rev p1'!D57</f>
        <v>391859635.2980696</v>
      </c>
      <c r="E57" s="154">
        <v>2386425.178965244</v>
      </c>
      <c r="F57" s="161">
        <f>VLOOKUP("RDAF",'G3 SOUTH'!$C$54:$I$74,7,FALSE)</f>
        <v>-57306.790216084832</v>
      </c>
      <c r="G57" s="157">
        <f>+F57/($D57)*100</f>
        <v>-1.4624315712562279E-2</v>
      </c>
      <c r="H57" s="157"/>
      <c r="I57" s="161">
        <f>VLOOKUP("RAAF",'G3 SOUTH'!$C$54:$I$74,7,FALSE)</f>
        <v>484143.17601246317</v>
      </c>
      <c r="J57" s="157">
        <f>+I57/($D57)*100</f>
        <v>0.12355015224882698</v>
      </c>
      <c r="K57" s="157"/>
      <c r="L57" s="155">
        <f>VLOOKUP("PAF",'G3 SOUTH'!$C$54:$I$74,7,FALSE)</f>
        <v>129055.95172780583</v>
      </c>
      <c r="M57" s="156">
        <f>+L57/($D57)*100</f>
        <v>3.293422953084691E-2</v>
      </c>
      <c r="N57" s="157"/>
      <c r="O57" s="161">
        <f>VLOOKUP("NMRS",'G3 SOUTH'!$C$54:$I$74,7,FALSE)</f>
        <v>631283.86650031724</v>
      </c>
      <c r="P57" s="157">
        <f>+O57/($D57)*100</f>
        <v>0.16109948809096619</v>
      </c>
      <c r="Q57" s="157"/>
      <c r="R57" s="161">
        <f>VLOOKUP("LTRCA",'G3 SOUTH'!$C$54:$I$74,7,FALSE)</f>
        <v>680155.81543614285</v>
      </c>
      <c r="S57" s="157">
        <f>+R57/($D57)*100</f>
        <v>0.17357128782064518</v>
      </c>
      <c r="T57" s="157"/>
      <c r="U57" s="161">
        <f>VLOOKUP("AGCE",'G3 SOUTH'!$C$54:$I$74,7,FALSE)</f>
        <v>1016.5200690464084</v>
      </c>
      <c r="V57" s="157">
        <f>+U57/($D57)*100</f>
        <v>2.5940923164315924E-4</v>
      </c>
      <c r="W57" s="157"/>
      <c r="X57" s="161">
        <f>VLOOKUP("SCRA",'G3 SOUTH'!$C$54:$I$74,7,FALSE)</f>
        <v>366785.49943056342</v>
      </c>
      <c r="Y57" s="157">
        <f>+X57/($D57)*100</f>
        <v>9.3601245545887002E-2</v>
      </c>
      <c r="Z57" s="157"/>
      <c r="AA57" s="161">
        <f>VLOOKUP("SRA",'G3 SOUTH'!$C$54:$I$74,7,FALSE)</f>
        <v>0</v>
      </c>
      <c r="AB57" s="157">
        <f>+AA57/($D57)*100</f>
        <v>0</v>
      </c>
      <c r="AC57" s="157"/>
      <c r="AD57" s="161">
        <f>VLOOKUP("BSTF",'G3 SOUTH'!$C$54:$I$74,7,FALSE)</f>
        <v>-24024.370765283915</v>
      </c>
      <c r="AE57" s="157">
        <f>+AD57/($D57)*100</f>
        <v>-6.1308613087973918E-3</v>
      </c>
      <c r="AF57" s="157"/>
      <c r="AG57" s="155">
        <f>VLOOKUP("SPCA",'G3 SOUTH'!$C$54:$I$74,7,FALSE)</f>
        <v>4275.4855542384912</v>
      </c>
      <c r="AH57" s="156">
        <f>+AG57/($D57)*100</f>
        <v>1.0910757753822555E-3</v>
      </c>
      <c r="AI57" s="157"/>
      <c r="AJ57" s="161">
        <f>VLOOKUP("SECRF",'G3 SOUTH'!$C$54:$I$74,7,FALSE)</f>
        <v>75409.784037787846</v>
      </c>
      <c r="AK57" s="157">
        <f>+AJ57/($D57)*100</f>
        <v>1.9244080595447677E-2</v>
      </c>
      <c r="AL57" s="157"/>
      <c r="AM57" s="161">
        <f>VLOOKUP("RTWF",'G3 SOUTH'!$C$54:$I$74,7,FALSE)</f>
        <v>231053.77247034019</v>
      </c>
      <c r="AN57" s="157">
        <f>+AM57/($D57)*100</f>
        <v>5.8963402110704312E-2</v>
      </c>
      <c r="AO57" s="154"/>
      <c r="AP57" s="161">
        <f>VLOOKUP("SMART",'G3 SOUTH'!$C$54:$I$74,7,FALSE)</f>
        <v>88353.144139285519</v>
      </c>
      <c r="AQ57" s="157">
        <f>+AP57/($D57)*100</f>
        <v>2.2547140909800353E-2</v>
      </c>
      <c r="AR57" s="154"/>
      <c r="AS57" s="155">
        <f>VLOOKUP("tacf",'G3 SOUTH'!$C$54:$I$74,7,FALSE)</f>
        <v>-133751.9001</v>
      </c>
      <c r="AT57" s="156">
        <f>+AS57/($D57)*100</f>
        <v>-3.4132604650198559E-2</v>
      </c>
      <c r="AU57" s="200"/>
      <c r="AV57" s="155">
        <f>L57+I57+O57+U57+AG57+R57+X57+AD57+F57+AJ57+AM57+AA57+AP57+AS57</f>
        <v>2476449.954296622</v>
      </c>
      <c r="AW57" s="156">
        <f>+AV57/($D57)*100</f>
        <v>0.63197373018859171</v>
      </c>
    </row>
    <row r="58" spans="1:49" ht="14" x14ac:dyDescent="0.3">
      <c r="A58" s="151" t="str">
        <f>IF(C58&lt;&gt;"",COUNTA($C$11:C58),"")</f>
        <v/>
      </c>
      <c r="B58" s="152"/>
      <c r="C58" s="129"/>
      <c r="D58" s="153"/>
      <c r="E58" s="154"/>
      <c r="F58" s="161"/>
      <c r="G58" s="157"/>
      <c r="H58" s="157"/>
      <c r="I58" s="161"/>
      <c r="J58" s="157"/>
      <c r="K58" s="157"/>
      <c r="L58" s="155"/>
      <c r="M58" s="156"/>
      <c r="N58" s="157"/>
      <c r="O58" s="161"/>
      <c r="P58" s="157"/>
      <c r="Q58" s="157"/>
      <c r="R58" s="161"/>
      <c r="S58" s="157"/>
      <c r="T58" s="157"/>
      <c r="U58" s="161"/>
      <c r="V58" s="157"/>
      <c r="W58" s="157"/>
      <c r="X58" s="161"/>
      <c r="Y58" s="157"/>
      <c r="Z58" s="157"/>
      <c r="AA58" s="161"/>
      <c r="AB58" s="157"/>
      <c r="AC58" s="157"/>
      <c r="AD58" s="161"/>
      <c r="AE58" s="157"/>
      <c r="AF58" s="157"/>
      <c r="AG58" s="155"/>
      <c r="AH58" s="156"/>
      <c r="AI58" s="157"/>
      <c r="AJ58" s="161"/>
      <c r="AK58" s="157"/>
      <c r="AL58" s="157"/>
      <c r="AM58" s="161"/>
      <c r="AN58" s="157"/>
      <c r="AO58" s="154"/>
      <c r="AP58" s="161"/>
      <c r="AQ58" s="154"/>
      <c r="AR58" s="154"/>
      <c r="AS58" s="155"/>
      <c r="AT58" s="200"/>
      <c r="AU58" s="200"/>
      <c r="AV58" s="155"/>
      <c r="AW58" s="156"/>
    </row>
    <row r="59" spans="1:49" ht="14" x14ac:dyDescent="0.3">
      <c r="A59" s="151">
        <f>IF(C59&lt;&gt;"",COUNTA($C$11:C59),"")</f>
        <v>25</v>
      </c>
      <c r="B59" s="152" t="s">
        <v>125</v>
      </c>
      <c r="C59" s="130" t="s">
        <v>259</v>
      </c>
      <c r="D59" s="153">
        <f>'Exh 9_Proposed Rev p1'!D59</f>
        <v>2200252.1870891177</v>
      </c>
      <c r="E59" s="154">
        <v>23410.683270628211</v>
      </c>
      <c r="F59" s="161">
        <f>VLOOKUP("RDAF",'G4 SOUTH'!$C$48:$I$68,7,FALSE)</f>
        <v>-751.5644618502929</v>
      </c>
      <c r="G59" s="157">
        <f>+F59/($D59)*100</f>
        <v>-3.4158105432659298E-2</v>
      </c>
      <c r="H59" s="157"/>
      <c r="I59" s="161">
        <f>VLOOKUP("RAAF",'G4 SOUTH'!$C$48:$I$68,7,FALSE)</f>
        <v>6349.4187018027951</v>
      </c>
      <c r="J59" s="157">
        <f>+I59/($D59)*100</f>
        <v>0.28857686128256632</v>
      </c>
      <c r="K59" s="157"/>
      <c r="L59" s="155">
        <f>VLOOKUP("PAF",'G4 SOUTH'!$C$48:$I$68,7,FALSE)</f>
        <v>1711.2391389322318</v>
      </c>
      <c r="M59" s="156">
        <f>+L59/($D59)*100</f>
        <v>7.7774681873906515E-2</v>
      </c>
      <c r="N59" s="157"/>
      <c r="O59" s="161">
        <f>VLOOKUP("NMRS",'G4 SOUTH'!$C$48:$I$68,7,FALSE)</f>
        <v>8279.1326754139973</v>
      </c>
      <c r="P59" s="157">
        <f>+O59/($D59)*100</f>
        <v>0.37628107923242637</v>
      </c>
      <c r="Q59" s="157"/>
      <c r="R59" s="161">
        <f>VLOOKUP("LTRCA",'G4 SOUTH'!$C$48:$I$68,7,FALSE)</f>
        <v>3819.0060564324926</v>
      </c>
      <c r="S59" s="157">
        <f>+R59/($D59)*100</f>
        <v>0.17357128782064518</v>
      </c>
      <c r="T59" s="157"/>
      <c r="U59" s="161">
        <f>VLOOKUP("AGCE",'G4 SOUTH'!$C$48:$I$68,7,FALSE)</f>
        <v>13.331410741592242</v>
      </c>
      <c r="V59" s="157">
        <f>+U59/($D59)*100</f>
        <v>6.0590376047890161E-4</v>
      </c>
      <c r="W59" s="157"/>
      <c r="X59" s="161">
        <f>VLOOKUP("SCRA",'G4 SOUTH'!$C$48:$I$68,7,FALSE)</f>
        <v>4733.3986447040515</v>
      </c>
      <c r="Y59" s="157">
        <f>+X59/($D59)*100</f>
        <v>0.21512982341202569</v>
      </c>
      <c r="Z59" s="157"/>
      <c r="AA59" s="161">
        <f>VLOOKUP("SRA",'G4 SOUTH'!$C$48:$I$68,7,FALSE)</f>
        <v>0</v>
      </c>
      <c r="AB59" s="157">
        <f>+AA59/($D59)*100</f>
        <v>0</v>
      </c>
      <c r="AC59" s="157"/>
      <c r="AD59" s="161">
        <f>VLOOKUP("BSTF",'G4 SOUTH'!$C$48:$I$68,7,FALSE)</f>
        <v>-315.07371495454322</v>
      </c>
      <c r="AE59" s="157">
        <f>+AD59/($D59)*100</f>
        <v>-1.4319891001739141E-2</v>
      </c>
      <c r="AF59" s="157"/>
      <c r="AG59" s="155">
        <f>VLOOKUP("SPCA",'G4 SOUTH'!$C$48:$I$68,7,FALSE)</f>
        <v>56.071941694931027</v>
      </c>
      <c r="AH59" s="156">
        <f>+AG59/($D59)*100</f>
        <v>2.5484324944184192E-3</v>
      </c>
      <c r="AI59" s="157"/>
      <c r="AJ59" s="161">
        <f>VLOOKUP("SECRF",'G4 SOUTH'!$C$48:$I$68,7,FALSE)</f>
        <v>988.98077426607017</v>
      </c>
      <c r="AK59" s="157">
        <f>+AJ59/($D59)*100</f>
        <v>4.4948519086553826E-2</v>
      </c>
      <c r="AL59" s="157"/>
      <c r="AM59" s="161">
        <f>VLOOKUP("RTWF",'G4 SOUTH'!$C$48:$I$68,7,FALSE)</f>
        <v>3063.6964305459469</v>
      </c>
      <c r="AN59" s="157">
        <f>+AM59/($D59)*100</f>
        <v>0.13924296717091988</v>
      </c>
      <c r="AO59" s="154"/>
      <c r="AP59" s="161">
        <f>VLOOKUP("SMART",'G4 SOUTH'!$C$48:$I$68,7,FALSE)</f>
        <v>1158.7297592037446</v>
      </c>
      <c r="AQ59" s="157">
        <f>+AP59/($D59)*100</f>
        <v>5.2663497666452369E-2</v>
      </c>
      <c r="AR59" s="154"/>
      <c r="AS59" s="155">
        <f>VLOOKUP("tacf",'G4 SOUTH'!$C$48:$I$68,7,FALSE)</f>
        <v>-1754.1232800000002</v>
      </c>
      <c r="AT59" s="156">
        <f>+AS59/($D59)*100</f>
        <v>-7.9723737592128668E-2</v>
      </c>
      <c r="AU59" s="200"/>
      <c r="AV59" s="155">
        <f>L59+I59+O59+U59+AG59+R59+X59+AD59+F59+AJ59+AM59+AA59+AP59+AS59</f>
        <v>27352.244076933017</v>
      </c>
      <c r="AW59" s="156">
        <f>+AV59/($D59)*100</f>
        <v>1.2431413197738663</v>
      </c>
    </row>
    <row r="60" spans="1:49" ht="14" x14ac:dyDescent="0.3">
      <c r="A60" s="151" t="str">
        <f>IF(C60&lt;&gt;"",COUNTA($C$11:C60),"")</f>
        <v/>
      </c>
      <c r="B60" s="152"/>
      <c r="C60" s="129"/>
      <c r="D60" s="153"/>
      <c r="E60" s="154"/>
      <c r="F60" s="161"/>
      <c r="G60" s="157"/>
      <c r="H60" s="157"/>
      <c r="I60" s="161"/>
      <c r="J60" s="157"/>
      <c r="K60" s="157"/>
      <c r="L60" s="155"/>
      <c r="M60" s="156"/>
      <c r="N60" s="157"/>
      <c r="O60" s="161"/>
      <c r="P60" s="157"/>
      <c r="Q60" s="157"/>
      <c r="R60" s="161"/>
      <c r="S60" s="157"/>
      <c r="T60" s="157"/>
      <c r="U60" s="161"/>
      <c r="V60" s="157"/>
      <c r="W60" s="157"/>
      <c r="X60" s="161"/>
      <c r="Y60" s="157"/>
      <c r="Z60" s="157"/>
      <c r="AA60" s="161"/>
      <c r="AB60" s="157"/>
      <c r="AC60" s="157"/>
      <c r="AD60" s="161"/>
      <c r="AE60" s="157"/>
      <c r="AF60" s="157"/>
      <c r="AG60" s="155"/>
      <c r="AH60" s="156"/>
      <c r="AI60" s="157"/>
      <c r="AJ60" s="161"/>
      <c r="AK60" s="157"/>
      <c r="AL60" s="157"/>
      <c r="AM60" s="161"/>
      <c r="AN60" s="157"/>
      <c r="AO60" s="154"/>
      <c r="AP60" s="161"/>
      <c r="AQ60" s="154"/>
      <c r="AR60" s="154"/>
      <c r="AS60" s="155"/>
      <c r="AT60" s="200"/>
      <c r="AU60" s="200"/>
      <c r="AV60" s="155"/>
      <c r="AW60" s="156"/>
    </row>
    <row r="61" spans="1:49" ht="14" x14ac:dyDescent="0.3">
      <c r="A61" s="151">
        <f>IF(C61&lt;&gt;"",COUNTA($C$11:C61),"")</f>
        <v>26</v>
      </c>
      <c r="B61" s="152" t="s">
        <v>125</v>
      </c>
      <c r="C61" s="130" t="s">
        <v>260</v>
      </c>
      <c r="D61" s="153">
        <f>'Exh 9_Proposed Rev p1'!D61</f>
        <v>12489479.78206725</v>
      </c>
      <c r="E61" s="154">
        <v>154245.07530853053</v>
      </c>
      <c r="F61" s="161">
        <f>VLOOKUP("RDAF",'G5 SOUTH'!$C$46:$I$66,7,FALSE)</f>
        <v>-4979.1145597581899</v>
      </c>
      <c r="G61" s="157">
        <f>+F61/($D61)*100</f>
        <v>-3.9866468793258655E-2</v>
      </c>
      <c r="H61" s="157"/>
      <c r="I61" s="161">
        <f>VLOOKUP("RAAF",'G5 SOUTH'!$C$46:$I$66,7,FALSE)</f>
        <v>42064.898899443513</v>
      </c>
      <c r="J61" s="157">
        <f>+I61/($D61)*100</f>
        <v>0.33680265017796407</v>
      </c>
      <c r="K61" s="157"/>
      <c r="L61" s="155">
        <f>VLOOKUP("PAF",'G5 SOUTH'!$C$46:$I$66,7,FALSE)</f>
        <v>16114.168558278512</v>
      </c>
      <c r="M61" s="156">
        <f>+L61/($D61)*100</f>
        <v>0.12902193557665784</v>
      </c>
      <c r="N61" s="157"/>
      <c r="O61" s="161">
        <f>VLOOKUP("NMRS",'G5 SOUTH'!$C$46:$I$66,7,FALSE)</f>
        <v>54849.253974617721</v>
      </c>
      <c r="P61" s="157">
        <f>+O61/($D61)*100</f>
        <v>0.4391636395726573</v>
      </c>
      <c r="Q61" s="157"/>
      <c r="R61" s="161">
        <f>VLOOKUP("LTRCA",'G5 SOUTH'!$C$46:$I$66,7,FALSE)</f>
        <v>21678.150899833236</v>
      </c>
      <c r="S61" s="157">
        <f>+R61/($D61)*100</f>
        <v>0.17357128782064518</v>
      </c>
      <c r="T61" s="157"/>
      <c r="U61" s="161">
        <f>VLOOKUP("AGCE",'G5 SOUTH'!$C$46:$I$66,7,FALSE)</f>
        <v>88.320596163048592</v>
      </c>
      <c r="V61" s="157">
        <f>+U61/($D61)*100</f>
        <v>7.07159927428377E-4</v>
      </c>
      <c r="W61" s="157"/>
      <c r="X61" s="161">
        <f>VLOOKUP("SCRA",'G5 SOUTH'!$C$46:$I$66,7,FALSE)</f>
        <v>31813.008137295852</v>
      </c>
      <c r="Y61" s="157">
        <f>+X61/($D61)*100</f>
        <v>0.25471844057887721</v>
      </c>
      <c r="Z61" s="157"/>
      <c r="AA61" s="161">
        <f>VLOOKUP("SRA",'G5 SOUTH'!$C$46:$I$66,7,FALSE)</f>
        <v>0</v>
      </c>
      <c r="AB61" s="157">
        <f>+AA61/($D61)*100</f>
        <v>0</v>
      </c>
      <c r="AC61" s="157"/>
      <c r="AD61" s="161">
        <f>VLOOKUP("BSTF",'G5 SOUTH'!$C$46:$I$66,7,FALSE)</f>
        <v>-2087.3633615738486</v>
      </c>
      <c r="AE61" s="157">
        <f>+AD61/($D61)*100</f>
        <v>-1.6712972821902032E-2</v>
      </c>
      <c r="AF61" s="157"/>
      <c r="AG61" s="155">
        <f>VLOOKUP("SPCA",'G5 SOUTH'!$C$46:$I$66,7,FALSE)</f>
        <v>371.47661372891804</v>
      </c>
      <c r="AH61" s="156">
        <f>+AG61/($D61)*100</f>
        <v>2.9743161461560212E-3</v>
      </c>
      <c r="AI61" s="157"/>
      <c r="AJ61" s="161">
        <f>VLOOKUP("SECRF",'G5 SOUTH'!$C$46:$I$66,7,FALSE)</f>
        <v>6551.9976295127144</v>
      </c>
      <c r="AK61" s="157">
        <f>+AJ61/($D61)*100</f>
        <v>5.2460132398150471E-2</v>
      </c>
      <c r="AL61" s="157"/>
      <c r="AM61" s="161">
        <f>VLOOKUP("RTWF",'G5 SOUTH'!$C$46:$I$66,7,FALSE)</f>
        <v>28849.808054307665</v>
      </c>
      <c r="AN61" s="157">
        <f>+AM61/($D61)*100</f>
        <v>0.23099287206286237</v>
      </c>
      <c r="AO61" s="154"/>
      <c r="AP61" s="161">
        <f>VLOOKUP("SMART",'G5 SOUTH'!$C$46:$I$66,7,FALSE)</f>
        <v>7676.5846547248066</v>
      </c>
      <c r="AQ61" s="157">
        <f>+AP61/($D61)*100</f>
        <v>6.1464406754131305E-2</v>
      </c>
      <c r="AR61" s="154"/>
      <c r="AS61" s="155">
        <f>VLOOKUP("tacf",'G5 SOUTH'!$C$46:$I$66,7,FALSE)</f>
        <v>-11621.06673</v>
      </c>
      <c r="AT61" s="156">
        <f>+AS61/($D61)*100</f>
        <v>-9.3046843685882397E-2</v>
      </c>
      <c r="AU61" s="200"/>
      <c r="AV61" s="155">
        <f>L61+I61+O61+U61+AG61+R61+X61+AD61+F61+AJ61+AM61+AA61+AP61+AS61</f>
        <v>191370.12336657397</v>
      </c>
      <c r="AW61" s="156">
        <f>+AV61/($D61)*100</f>
        <v>1.5322505557144872</v>
      </c>
    </row>
    <row r="62" spans="1:49" ht="14" x14ac:dyDescent="0.3">
      <c r="A62" s="151" t="str">
        <f>IF(C62&lt;&gt;"",COUNTA($C$11:C62),"")</f>
        <v/>
      </c>
      <c r="B62" s="152"/>
      <c r="C62" s="129"/>
      <c r="D62" s="153"/>
      <c r="E62" s="154"/>
      <c r="F62" s="161"/>
      <c r="G62" s="157"/>
      <c r="H62" s="157"/>
      <c r="I62" s="161"/>
      <c r="J62" s="157"/>
      <c r="K62" s="157"/>
      <c r="L62" s="155"/>
      <c r="M62" s="156"/>
      <c r="N62" s="157"/>
      <c r="O62" s="161"/>
      <c r="P62" s="157"/>
      <c r="Q62" s="157"/>
      <c r="R62" s="161"/>
      <c r="S62" s="157"/>
      <c r="T62" s="157"/>
      <c r="U62" s="161"/>
      <c r="V62" s="157"/>
      <c r="W62" s="157"/>
      <c r="X62" s="161"/>
      <c r="Y62" s="157"/>
      <c r="Z62" s="157"/>
      <c r="AA62" s="161"/>
      <c r="AB62" s="157"/>
      <c r="AC62" s="157"/>
      <c r="AD62" s="161"/>
      <c r="AE62" s="157"/>
      <c r="AF62" s="157"/>
      <c r="AG62" s="155"/>
      <c r="AH62" s="156"/>
      <c r="AI62" s="157"/>
      <c r="AJ62" s="161"/>
      <c r="AK62" s="157"/>
      <c r="AL62" s="157"/>
      <c r="AM62" s="161"/>
      <c r="AN62" s="157"/>
      <c r="AO62" s="154"/>
      <c r="AP62" s="161"/>
      <c r="AQ62" s="154"/>
      <c r="AR62" s="154"/>
      <c r="AS62" s="155"/>
      <c r="AT62" s="200"/>
      <c r="AU62" s="200"/>
      <c r="AV62" s="155"/>
      <c r="AW62" s="156"/>
    </row>
    <row r="63" spans="1:49" ht="14" x14ac:dyDescent="0.3">
      <c r="A63" s="151">
        <f>IF(C63&lt;&gt;"",COUNTA($C$11:C63),"")</f>
        <v>27</v>
      </c>
      <c r="B63" s="152" t="s">
        <v>125</v>
      </c>
      <c r="C63" s="130" t="s">
        <v>261</v>
      </c>
      <c r="D63" s="153">
        <f>'Exh 9_Proposed Rev p1'!D63</f>
        <v>4068827.6287779063</v>
      </c>
      <c r="E63" s="154">
        <v>28481.793401445346</v>
      </c>
      <c r="F63" s="161">
        <f>VLOOKUP("RDAF",'G6 SOUTH'!$C$46:$I$66,7,FALSE)</f>
        <v>-751.5644618502929</v>
      </c>
      <c r="G63" s="157">
        <f>+F63/($D63)*100</f>
        <v>-1.8471277980287144E-2</v>
      </c>
      <c r="H63" s="157"/>
      <c r="I63" s="161">
        <f>VLOOKUP("RAAF",'G6 SOUTH'!$C$46:$I$66,7,FALSE)</f>
        <v>6349.4187018027951</v>
      </c>
      <c r="J63" s="157">
        <f>+I63/($D63)*100</f>
        <v>0.15605032410060279</v>
      </c>
      <c r="K63" s="157"/>
      <c r="L63" s="155">
        <f>VLOOKUP("PAF",'G6 SOUTH'!$C$46:$I$66,7,FALSE)</f>
        <v>2709.4619699760337</v>
      </c>
      <c r="M63" s="156">
        <f>+L63/($D63)*100</f>
        <v>6.6590728759621479E-2</v>
      </c>
      <c r="N63" s="157"/>
      <c r="O63" s="161">
        <f>VLOOKUP("NMRS",'G6 SOUTH'!$C$46:$I$66,7,FALSE)</f>
        <v>8279.1326754139973</v>
      </c>
      <c r="P63" s="157">
        <f>+O63/($D63)*100</f>
        <v>0.20347710521963491</v>
      </c>
      <c r="Q63" s="157"/>
      <c r="R63" s="161">
        <f>VLOOKUP("LTRCA",'G6 SOUTH'!$C$46:$I$66,7,FALSE)</f>
        <v>7062.3165144720315</v>
      </c>
      <c r="S63" s="157">
        <f>+R63/($D63)*100</f>
        <v>0.17357128782064518</v>
      </c>
      <c r="T63" s="157"/>
      <c r="U63" s="161">
        <f>VLOOKUP("AGCE",'G6 SOUTH'!$C$46:$I$66,7,FALSE)</f>
        <v>13.331410741592242</v>
      </c>
      <c r="V63" s="157">
        <f>+U63/($D63)*100</f>
        <v>3.2764746894909383E-4</v>
      </c>
      <c r="W63" s="157"/>
      <c r="X63" s="161">
        <f>VLOOKUP("SCRA",'G6 SOUTH'!$C$46:$I$66,7,FALSE)</f>
        <v>4733.3986447040525</v>
      </c>
      <c r="Y63" s="157">
        <f>+X63/($D63)*100</f>
        <v>0.11633323100801282</v>
      </c>
      <c r="Z63" s="157"/>
      <c r="AA63" s="161">
        <f>VLOOKUP("SRA",'G6 SOUTH'!$C$46:$I$66,7,FALSE)</f>
        <v>0</v>
      </c>
      <c r="AB63" s="157">
        <f>+AA63/($D63)*100</f>
        <v>0</v>
      </c>
      <c r="AC63" s="157"/>
      <c r="AD63" s="161">
        <f>VLOOKUP("BSTF",'G6 SOUTH'!$C$46:$I$66,7,FALSE)</f>
        <v>-315.07371495454322</v>
      </c>
      <c r="AE63" s="157">
        <f>+AD63/($D63)*100</f>
        <v>-7.7435994763232884E-3</v>
      </c>
      <c r="AF63" s="157"/>
      <c r="AG63" s="155">
        <f>VLOOKUP("SPCA",'G6 SOUTH'!$C$46:$I$66,7,FALSE)</f>
        <v>56.071941694931027</v>
      </c>
      <c r="AH63" s="156">
        <f>+AG63/($D63)*100</f>
        <v>1.3780859454046847E-3</v>
      </c>
      <c r="AI63" s="157"/>
      <c r="AJ63" s="161">
        <f>VLOOKUP("SECRF",'G6 SOUTH'!$C$46:$I$66,7,FALSE)</f>
        <v>988.98077426607017</v>
      </c>
      <c r="AK63" s="157">
        <f>+AJ63/($D63)*100</f>
        <v>2.4306283394047726E-2</v>
      </c>
      <c r="AL63" s="157"/>
      <c r="AM63" s="161">
        <f>VLOOKUP("RTWF",'G6 SOUTH'!$C$46:$I$66,7,FALSE)</f>
        <v>4850.8526816977492</v>
      </c>
      <c r="AN63" s="157">
        <f>+AM63/($D63)*100</f>
        <v>0.11921991109647297</v>
      </c>
      <c r="AO63" s="154"/>
      <c r="AP63" s="161">
        <f>VLOOKUP("SMART",'G6 SOUTH'!$C$46:$I$66,7,FALSE)</f>
        <v>1158.7297592037446</v>
      </c>
      <c r="AQ63" s="157">
        <f>+AP63/($D63)*100</f>
        <v>2.8478221859493596E-2</v>
      </c>
      <c r="AR63" s="154"/>
      <c r="AS63" s="155">
        <f>VLOOKUP("tacf",'G6 SOUTH'!$C$46:$I$66,7,FALSE)</f>
        <v>-1754.1232800000002</v>
      </c>
      <c r="AT63" s="156">
        <f>+AS63/($D63)*100</f>
        <v>-4.3111270371678549E-2</v>
      </c>
      <c r="AU63" s="200"/>
      <c r="AV63" s="155">
        <f>L63+I63+O63+U63+AG63+R63+X63+AD63+F63+AJ63+AM63+AA63+AP63+AS63</f>
        <v>33380.933617168164</v>
      </c>
      <c r="AW63" s="156">
        <f>+AV63/($D63)*100</f>
        <v>0.82040667884459639</v>
      </c>
    </row>
    <row r="64" spans="1:49" ht="14" x14ac:dyDescent="0.3">
      <c r="A64" s="151" t="str">
        <f>IF(C64&lt;&gt;"",COUNTA($C$11:C64),"")</f>
        <v/>
      </c>
      <c r="B64" s="152"/>
      <c r="C64" s="129"/>
      <c r="D64" s="153"/>
      <c r="E64" s="154"/>
      <c r="F64" s="161"/>
      <c r="G64" s="157"/>
      <c r="H64" s="157"/>
      <c r="I64" s="161"/>
      <c r="J64" s="157"/>
      <c r="K64" s="157"/>
      <c r="L64" s="155"/>
      <c r="M64" s="156"/>
      <c r="N64" s="157"/>
      <c r="O64" s="161"/>
      <c r="P64" s="157"/>
      <c r="Q64" s="157"/>
      <c r="R64" s="161"/>
      <c r="S64" s="157"/>
      <c r="T64" s="157"/>
      <c r="U64" s="161"/>
      <c r="V64" s="157"/>
      <c r="W64" s="157"/>
      <c r="X64" s="161"/>
      <c r="Y64" s="157"/>
      <c r="Z64" s="157"/>
      <c r="AA64" s="161"/>
      <c r="AB64" s="157"/>
      <c r="AC64" s="157"/>
      <c r="AD64" s="161"/>
      <c r="AE64" s="157"/>
      <c r="AF64" s="157"/>
      <c r="AG64" s="155"/>
      <c r="AH64" s="156"/>
      <c r="AI64" s="157"/>
      <c r="AJ64" s="161"/>
      <c r="AK64" s="157"/>
      <c r="AL64" s="157"/>
      <c r="AM64" s="161"/>
      <c r="AN64" s="157"/>
      <c r="AO64" s="154"/>
      <c r="AP64" s="161"/>
      <c r="AQ64" s="154"/>
      <c r="AR64" s="154"/>
      <c r="AS64" s="155"/>
      <c r="AT64" s="200"/>
      <c r="AU64" s="200"/>
      <c r="AV64" s="155"/>
      <c r="AW64" s="156"/>
    </row>
    <row r="65" spans="1:49" ht="14" x14ac:dyDescent="0.3">
      <c r="A65" s="151">
        <f>IF(C65&lt;&gt;"",COUNTA($C$11:C65),"")</f>
        <v>28</v>
      </c>
      <c r="B65" s="152" t="s">
        <v>125</v>
      </c>
      <c r="C65" s="130" t="s">
        <v>266</v>
      </c>
      <c r="D65" s="153">
        <f>'Exh 9_Proposed Rev p1'!D65</f>
        <v>50373082.610290118</v>
      </c>
      <c r="E65" s="154">
        <v>593394.91314921761</v>
      </c>
      <c r="F65" s="161">
        <f>VLOOKUP("RDAF",'G7 SOUTH'!$C$50:$I$70,7,FALSE)</f>
        <v>-17954.228988420477</v>
      </c>
      <c r="G65" s="157">
        <f>+F65/($D65)*100</f>
        <v>-3.5642505993375158E-2</v>
      </c>
      <c r="H65" s="157"/>
      <c r="I65" s="161">
        <f>VLOOKUP("RAAF",'G7 SOUTH'!$C$50:$I$70,7,FALSE)</f>
        <v>151682.15516054397</v>
      </c>
      <c r="J65" s="157">
        <f>+I65/($D65)*100</f>
        <v>0.30111747643881265</v>
      </c>
      <c r="K65" s="157"/>
      <c r="L65" s="155">
        <f>VLOOKUP("PAF",'G7 SOUTH'!$C$50:$I$70,7,FALSE)</f>
        <v>35297.601964922818</v>
      </c>
      <c r="M65" s="156">
        <f>+L65/($D65)*100</f>
        <v>7.0072348436568163E-2</v>
      </c>
      <c r="N65" s="157"/>
      <c r="O65" s="161">
        <f>VLOOKUP("NMRS",'G7 SOUTH'!$C$50:$I$70,7,FALSE)</f>
        <v>197781.36330973351</v>
      </c>
      <c r="P65" s="157">
        <f>+O65/($D65)*100</f>
        <v>0.39263303546432382</v>
      </c>
      <c r="Q65" s="157"/>
      <c r="R65" s="161">
        <f>VLOOKUP("LTRCA",'G7 SOUTH'!$C$50:$I$70,7,FALSE)</f>
        <v>87433.208201638015</v>
      </c>
      <c r="S65" s="157">
        <f>+R65/($D65)*100</f>
        <v>0.17357128782064515</v>
      </c>
      <c r="T65" s="157"/>
      <c r="U65" s="161">
        <f>VLOOKUP("AGCE",'G7 SOUTH'!$C$50:$I$70,7,FALSE)</f>
        <v>318.47594363890192</v>
      </c>
      <c r="V65" s="157">
        <f>+U65/($D65)*100</f>
        <v>6.3223437426448916E-4</v>
      </c>
      <c r="W65" s="157"/>
      <c r="X65" s="161">
        <f>VLOOKUP("SCRA",'G7 SOUTH'!$C$50:$I$70,7,FALSE)</f>
        <v>114968.48720198039</v>
      </c>
      <c r="Y65" s="157">
        <f>+X65/($D65)*100</f>
        <v>0.22823397188421191</v>
      </c>
      <c r="Z65" s="157"/>
      <c r="AA65" s="161">
        <f>VLOOKUP("SRA",'G7 SOUTH'!$C$50:$I$70,7,FALSE)</f>
        <v>0</v>
      </c>
      <c r="AB65" s="157">
        <f>+AA65/($D65)*100</f>
        <v>0</v>
      </c>
      <c r="AC65" s="157"/>
      <c r="AD65" s="161">
        <f>VLOOKUP("BSTF",'G7 SOUTH'!$C$50:$I$70,7,FALSE)</f>
        <v>-7526.840229511824</v>
      </c>
      <c r="AE65" s="157">
        <f>+AD65/($D65)*100</f>
        <v>-1.4942187056017603E-2</v>
      </c>
      <c r="AF65" s="157"/>
      <c r="AG65" s="155">
        <f>VLOOKUP("SPCA",'G7 SOUTH'!$C$50:$I$70,7,FALSE)</f>
        <v>1339.5104906073748</v>
      </c>
      <c r="AH65" s="156">
        <f>+AG65/($D65)*100</f>
        <v>2.6591791115315668E-3</v>
      </c>
      <c r="AI65" s="157"/>
      <c r="AJ65" s="161">
        <f>VLOOKUP("SECRF",'G7 SOUTH'!$C$50:$I$70,7,FALSE)</f>
        <v>23625.900621489694</v>
      </c>
      <c r="AK65" s="157">
        <f>+AJ65/($D65)*100</f>
        <v>4.6901836054526948E-2</v>
      </c>
      <c r="AL65" s="157"/>
      <c r="AM65" s="161">
        <f>VLOOKUP("RTWF",'G7 SOUTH'!$C$50:$I$70,7,FALSE)</f>
        <v>63194.637550332598</v>
      </c>
      <c r="AN65" s="157">
        <f>+AM65/($D65)*100</f>
        <v>0.12545318705078279</v>
      </c>
      <c r="AO65" s="154"/>
      <c r="AP65" s="161">
        <f>VLOOKUP("SMART",'G7 SOUTH'!$C$50:$I$70,7,FALSE)</f>
        <v>27681.057964373784</v>
      </c>
      <c r="AQ65" s="157">
        <f>+AP65/($D65)*100</f>
        <v>5.4952082600398869E-2</v>
      </c>
      <c r="AR65" s="154"/>
      <c r="AS65" s="155">
        <f>VLOOKUP("tacf",'G7 SOUTH'!$C$50:$I$70,7,FALSE)</f>
        <v>-41904.497407319679</v>
      </c>
      <c r="AT65" s="156">
        <f>+AS65/($D65)*100</f>
        <v>-8.3188272854994E-2</v>
      </c>
      <c r="AU65" s="200"/>
      <c r="AV65" s="155">
        <f>L65+I65+O65+U65+AG65+R65+X65+AD65+F65+AJ65+AM65+AA65+AP65+AS65</f>
        <v>635936.831784009</v>
      </c>
      <c r="AW65" s="156">
        <f>+AV65/($D65)*100</f>
        <v>1.2624536733316793</v>
      </c>
    </row>
    <row r="66" spans="1:49" ht="14" x14ac:dyDescent="0.3">
      <c r="A66" s="151"/>
      <c r="B66" s="152"/>
      <c r="C66" s="129"/>
      <c r="D66" s="153"/>
      <c r="E66" s="154"/>
      <c r="F66" s="161"/>
      <c r="G66" s="157"/>
      <c r="H66" s="157"/>
      <c r="I66" s="161"/>
      <c r="J66" s="157"/>
      <c r="K66" s="157"/>
      <c r="L66" s="155"/>
      <c r="M66" s="156"/>
      <c r="N66" s="157"/>
      <c r="O66" s="161"/>
      <c r="P66" s="157"/>
      <c r="Q66" s="157"/>
      <c r="R66" s="161"/>
      <c r="S66" s="157"/>
      <c r="T66" s="157"/>
      <c r="U66" s="161"/>
      <c r="V66" s="157"/>
      <c r="W66" s="157"/>
      <c r="X66" s="161"/>
      <c r="Y66" s="157"/>
      <c r="Z66" s="157"/>
      <c r="AA66" s="161"/>
      <c r="AB66" s="157"/>
      <c r="AC66" s="157"/>
      <c r="AD66" s="161"/>
      <c r="AE66" s="157"/>
      <c r="AF66" s="157"/>
      <c r="AG66" s="155"/>
      <c r="AH66" s="156"/>
      <c r="AI66" s="157"/>
      <c r="AJ66" s="161"/>
      <c r="AK66" s="157"/>
      <c r="AL66" s="157"/>
      <c r="AM66" s="161"/>
      <c r="AN66" s="157"/>
      <c r="AO66" s="154"/>
      <c r="AP66" s="161"/>
      <c r="AQ66" s="154"/>
      <c r="AR66" s="154"/>
      <c r="AS66" s="155"/>
      <c r="AT66" s="200"/>
      <c r="AU66" s="200"/>
      <c r="AV66" s="155"/>
      <c r="AW66" s="156"/>
    </row>
    <row r="67" spans="1:49" ht="14" x14ac:dyDescent="0.3">
      <c r="A67" s="151">
        <f>IF(C67&lt;&gt;"",COUNTA($C$11:C67),"")</f>
        <v>29</v>
      </c>
      <c r="B67" s="152" t="s">
        <v>125</v>
      </c>
      <c r="C67" s="130" t="s">
        <v>267</v>
      </c>
      <c r="D67" s="153">
        <f>'Exh 9_Proposed Rev p1'!D67</f>
        <v>2621428.7752319435</v>
      </c>
      <c r="E67" s="154">
        <v>30880.430972232298</v>
      </c>
      <c r="F67" s="161">
        <f>VLOOKUP("RDAF",'G7S SOUTH'!$C$50:$I$70,7,FALSE)</f>
        <v>-934.34290832410647</v>
      </c>
      <c r="G67" s="157">
        <f>+F67/($D67)*100</f>
        <v>-3.5642505993375158E-2</v>
      </c>
      <c r="H67" s="157"/>
      <c r="I67" s="161">
        <f>VLOOKUP("RAAF",'G7S SOUTH'!$C$50:$I$70,7,FALSE)</f>
        <v>7893.5801746193019</v>
      </c>
      <c r="J67" s="157">
        <f>+I67/($D67)*100</f>
        <v>0.30111747643881265</v>
      </c>
      <c r="K67" s="157"/>
      <c r="L67" s="155">
        <f>VLOOKUP("PAF",'G7S SOUTH'!$C$50:$I$70,7,FALSE)</f>
        <v>1836.8967053969889</v>
      </c>
      <c r="M67" s="156">
        <f>+L67/($D67)*100</f>
        <v>7.0072348436568163E-2</v>
      </c>
      <c r="N67" s="157"/>
      <c r="O67" s="161">
        <f>VLOOKUP("NMRS",'G7S SOUTH'!$C$50:$I$70,7,FALSE)</f>
        <v>10292.595372728425</v>
      </c>
      <c r="P67" s="157">
        <f>+O67/($D67)*100</f>
        <v>0.39263303546432382</v>
      </c>
      <c r="Q67" s="157"/>
      <c r="R67" s="161">
        <f>VLOOKUP("LTRCA",'G7S SOUTH'!$C$50:$I$70,7,FALSE)</f>
        <v>4550.0476844710502</v>
      </c>
      <c r="S67" s="157">
        <f>+R67/($D67)*100</f>
        <v>0.17357128782064518</v>
      </c>
      <c r="T67" s="157"/>
      <c r="U67" s="161">
        <f>VLOOKUP("AGCE",'G7S SOUTH'!$C$50:$I$70,7,FALSE)</f>
        <v>16.573573813876937</v>
      </c>
      <c r="V67" s="157">
        <f>+U67/($D67)*100</f>
        <v>6.3223437426448905E-4</v>
      </c>
      <c r="W67" s="157"/>
      <c r="X67" s="161">
        <f>VLOOKUP("SCRA",'G7S SOUTH'!$C$50:$I$70,7,FALSE)</f>
        <v>5982.9910138275145</v>
      </c>
      <c r="Y67" s="157">
        <f>+X67/($D67)*100</f>
        <v>0.22823397188421191</v>
      </c>
      <c r="Z67" s="157"/>
      <c r="AA67" s="161">
        <f>VLOOKUP("SRA",'G7S SOUTH'!$C$50:$I$70,7,FALSE)</f>
        <v>0</v>
      </c>
      <c r="AB67" s="157">
        <f>+AA67/($D67)*100</f>
        <v>0</v>
      </c>
      <c r="AC67" s="157"/>
      <c r="AD67" s="161">
        <f>VLOOKUP("BSTF",'G7S SOUTH'!$C$50:$I$70,7,FALSE)</f>
        <v>-391.69879113542828</v>
      </c>
      <c r="AE67" s="157">
        <f>+AD67/($D67)*100</f>
        <v>-1.4942187056017603E-2</v>
      </c>
      <c r="AF67" s="157"/>
      <c r="AG67" s="155">
        <f>VLOOKUP("SPCA",'G7S SOUTH'!$C$50:$I$70,7,FALSE)</f>
        <v>69.70848641464562</v>
      </c>
      <c r="AH67" s="156">
        <f>+AG67/($D67)*100</f>
        <v>2.6591791115315668E-3</v>
      </c>
      <c r="AI67" s="157"/>
      <c r="AJ67" s="161">
        <f>VLOOKUP("SECRF",'G7S SOUTH'!$C$50:$I$70,7,FALSE)</f>
        <v>1229.49822644548</v>
      </c>
      <c r="AK67" s="157">
        <f>+AJ67/($D67)*100</f>
        <v>4.6901836054526955E-2</v>
      </c>
      <c r="AL67" s="157"/>
      <c r="AM67" s="161">
        <f>VLOOKUP("RTWF",'G7S SOUTH'!$C$50:$I$70,7,FALSE)</f>
        <v>3288.6659447947741</v>
      </c>
      <c r="AN67" s="157">
        <f>+AM67/($D67)*100</f>
        <v>0.12545318705078279</v>
      </c>
      <c r="AO67" s="154"/>
      <c r="AP67" s="161">
        <f>VLOOKUP("SMART",'G7S SOUTH'!$C$50:$I$70,7,FALSE)</f>
        <v>1440.5297058760821</v>
      </c>
      <c r="AQ67" s="157">
        <f>+AP67/($D67)*100</f>
        <v>5.4952082600398869E-2</v>
      </c>
      <c r="AR67" s="154"/>
      <c r="AS67" s="155">
        <f>VLOOKUP("tacf",'G7S SOUTH'!$C$50:$I$70,7,FALSE)</f>
        <v>-2180.7213222392766</v>
      </c>
      <c r="AT67" s="156">
        <f>+AS67/($D67)*100</f>
        <v>-8.3188272854994E-2</v>
      </c>
      <c r="AU67" s="200"/>
      <c r="AV67" s="155">
        <f>L67+I67+O67+U67+AG67+R67+X67+AD67+F67+AJ67+AM67+AA67+AP67+AS67</f>
        <v>33094.32386668933</v>
      </c>
      <c r="AW67" s="156">
        <f>+AV67/($D67)*100</f>
        <v>1.2624536733316796</v>
      </c>
    </row>
    <row r="68" spans="1:49" ht="14" x14ac:dyDescent="0.3">
      <c r="A68" s="151" t="str">
        <f>IF(C68&lt;&gt;"",COUNTA($C$11:C68),"")</f>
        <v/>
      </c>
      <c r="B68" s="152"/>
      <c r="C68" s="129"/>
      <c r="D68" s="153"/>
      <c r="E68" s="154"/>
      <c r="F68" s="161"/>
      <c r="G68" s="157"/>
      <c r="H68" s="157"/>
      <c r="I68" s="161"/>
      <c r="J68" s="157"/>
      <c r="K68" s="157"/>
      <c r="L68" s="155"/>
      <c r="M68" s="156"/>
      <c r="N68" s="157"/>
      <c r="O68" s="161"/>
      <c r="P68" s="157"/>
      <c r="Q68" s="157"/>
      <c r="R68" s="161"/>
      <c r="S68" s="157"/>
      <c r="T68" s="157"/>
      <c r="U68" s="161"/>
      <c r="V68" s="157"/>
      <c r="W68" s="157"/>
      <c r="X68" s="161"/>
      <c r="Y68" s="157"/>
      <c r="Z68" s="157"/>
      <c r="AA68" s="161"/>
      <c r="AB68" s="157"/>
      <c r="AC68" s="157"/>
      <c r="AD68" s="161"/>
      <c r="AE68" s="157"/>
      <c r="AF68" s="157"/>
      <c r="AG68" s="155"/>
      <c r="AH68" s="156"/>
      <c r="AI68" s="157"/>
      <c r="AJ68" s="161"/>
      <c r="AK68" s="157"/>
      <c r="AL68" s="157"/>
      <c r="AM68" s="161"/>
      <c r="AN68" s="157"/>
      <c r="AO68" s="157"/>
      <c r="AP68" s="161"/>
      <c r="AQ68" s="157"/>
      <c r="AR68" s="157"/>
      <c r="AS68" s="155"/>
      <c r="AT68" s="156"/>
      <c r="AU68" s="156"/>
      <c r="AV68" s="155"/>
      <c r="AW68" s="156"/>
    </row>
    <row r="69" spans="1:49" ht="14" x14ac:dyDescent="0.3">
      <c r="A69" s="151">
        <f>IF(C69&lt;&gt;"",COUNTA($C$11:C69),"")</f>
        <v>30</v>
      </c>
      <c r="B69" s="152" t="s">
        <v>114</v>
      </c>
      <c r="C69" s="130">
        <v>23</v>
      </c>
      <c r="D69" s="153">
        <f>'Exh 9_Proposed Rev p1'!D69</f>
        <v>158316.06615004761</v>
      </c>
      <c r="E69" s="153">
        <v>3497.2019012545511</v>
      </c>
      <c r="F69" s="161">
        <f>VLOOKUP("RDAF",'23 WMA'!$C$46:$I$66,7,FALSE)</f>
        <v>-68.492175595313441</v>
      </c>
      <c r="G69" s="157">
        <f>+F69/($D69)*100</f>
        <v>-4.3262934243450971E-2</v>
      </c>
      <c r="H69" s="157"/>
      <c r="I69" s="161">
        <f>VLOOKUP("RAAF",'23 WMA'!$C$46:$I$66,7,FALSE)</f>
        <v>578.64031992863272</v>
      </c>
      <c r="J69" s="157">
        <f>+I69/($D69)*100</f>
        <v>0.36549690375720512</v>
      </c>
      <c r="K69" s="157"/>
      <c r="L69" s="155">
        <f>VLOOKUP("PAF",'23 WMA'!$C$46:$I$66,7,FALSE)</f>
        <v>100.60142080085588</v>
      </c>
      <c r="M69" s="156">
        <f>+L69/($D69)*100</f>
        <v>6.3544669373927345E-2</v>
      </c>
      <c r="N69" s="154"/>
      <c r="O69" s="161">
        <f>VLOOKUP("NMRS",'23 WMA'!$C$46:$I$66,7,FALSE)</f>
        <v>754.50056218106113</v>
      </c>
      <c r="P69" s="157">
        <f>+O69/($D69)*100</f>
        <v>0.4765786445615483</v>
      </c>
      <c r="Q69" s="157"/>
      <c r="R69" s="161">
        <f>VLOOKUP("LTRCA",'23 WMA'!$C$46:$I$66,7,FALSE)</f>
        <v>274.79123484362214</v>
      </c>
      <c r="S69" s="157">
        <f>+R69/($D69)*100</f>
        <v>0.17357128782064518</v>
      </c>
      <c r="T69" s="157"/>
      <c r="U69" s="161">
        <f>VLOOKUP("AGCE",'23 WMA'!$C$46:$I$66,7,FALSE)</f>
        <v>1.2149288208737405</v>
      </c>
      <c r="V69" s="157">
        <f>+U69/($D69)*100</f>
        <v>7.6740715608879793E-4</v>
      </c>
      <c r="W69" s="157"/>
      <c r="X69" s="161">
        <f>VLOOKUP("SCRA",'23 WMA'!$C$46:$I$66,7,FALSE)</f>
        <v>434.67171458402311</v>
      </c>
      <c r="Y69" s="157">
        <f>+X69/($D69)*100</f>
        <v>0.27455944627379336</v>
      </c>
      <c r="Z69" s="157"/>
      <c r="AA69" s="161">
        <f>VLOOKUP("SRA",'23 WMA'!$C$46:$I$66,7,FALSE)</f>
        <v>0</v>
      </c>
      <c r="AB69" s="157">
        <f>+AA69/($D69)*100</f>
        <v>0</v>
      </c>
      <c r="AC69" s="157"/>
      <c r="AD69" s="161">
        <f>VLOOKUP("BSTF",'23 WMA'!$C$46:$I$66,7,FALSE)</f>
        <v>-28.713550607496565</v>
      </c>
      <c r="AE69" s="157">
        <f>+AD69/($D69)*100</f>
        <v>-1.8136851998509521E-2</v>
      </c>
      <c r="AF69" s="157"/>
      <c r="AG69" s="155">
        <f>VLOOKUP("SPCA",'23 WMA'!$C$46:$I$66,7,FALSE)</f>
        <v>5.1099931828660567</v>
      </c>
      <c r="AH69" s="156">
        <f>+AG69/($D69)*100</f>
        <v>3.227716116962473E-3</v>
      </c>
      <c r="AI69" s="157"/>
      <c r="AJ69" s="161">
        <f>VLOOKUP("SECRF",'23 WMA'!$C$46:$I$66,7,FALSE)</f>
        <v>90.12858948207375</v>
      </c>
      <c r="AK69" s="157">
        <f>+AJ69/($D69)*100</f>
        <v>5.6929528173503476E-2</v>
      </c>
      <c r="AL69" s="157"/>
      <c r="AM69" s="161">
        <f>VLOOKUP("RTWF",'23 WMA'!$C$46:$I$66,7,FALSE)</f>
        <v>180.11054492813273</v>
      </c>
      <c r="AN69" s="157">
        <f>+AM69/($D69)*100</f>
        <v>0.11376643527601861</v>
      </c>
      <c r="AO69" s="157"/>
      <c r="AP69" s="161">
        <f>VLOOKUP("SMART",'23 WMA'!$C$46:$I$66,7,FALSE)</f>
        <v>105.59829018459756</v>
      </c>
      <c r="AQ69" s="157">
        <f>+AP69/($D69)*100</f>
        <v>6.6700931088392756E-2</v>
      </c>
      <c r="AR69" s="157"/>
      <c r="AS69" s="155">
        <f>VLOOKUP("tacf",'23 WMA'!$C$46:$I$66,7,FALSE)</f>
        <v>-159.85817026766105</v>
      </c>
      <c r="AT69" s="156">
        <f>+AS69/($D69)*100</f>
        <v>-0.10097406672305252</v>
      </c>
      <c r="AU69" s="156"/>
      <c r="AV69" s="155">
        <f>L69+I69+O69+U69+AG69+R69+X69+AD69+F69+AJ69+AM69+AA69+AP69+AS69</f>
        <v>2268.3037024662681</v>
      </c>
      <c r="AW69" s="156">
        <f>+AV69/($D69)*100</f>
        <v>1.4327691166330727</v>
      </c>
    </row>
    <row r="70" spans="1:49" ht="14" x14ac:dyDescent="0.3">
      <c r="A70" s="151" t="str">
        <f>IF(C70&lt;&gt;"",COUNTA($C$11:C70),"")</f>
        <v/>
      </c>
      <c r="B70" s="152"/>
      <c r="C70" s="129"/>
      <c r="D70" s="153"/>
      <c r="E70" s="153"/>
      <c r="F70" s="161"/>
      <c r="G70" s="157"/>
      <c r="H70" s="157"/>
      <c r="I70" s="161"/>
      <c r="J70" s="157"/>
      <c r="K70" s="157"/>
      <c r="L70" s="155"/>
      <c r="M70" s="156"/>
      <c r="N70" s="157"/>
      <c r="O70" s="161"/>
      <c r="P70" s="157"/>
      <c r="Q70" s="157"/>
      <c r="R70" s="161"/>
      <c r="S70" s="157"/>
      <c r="T70" s="157"/>
      <c r="U70" s="161"/>
      <c r="V70" s="157"/>
      <c r="W70" s="157"/>
      <c r="X70" s="161"/>
      <c r="Y70" s="157"/>
      <c r="Z70" s="157"/>
      <c r="AA70" s="161"/>
      <c r="AB70" s="157"/>
      <c r="AC70" s="157"/>
      <c r="AD70" s="161"/>
      <c r="AE70" s="157"/>
      <c r="AF70" s="157"/>
      <c r="AG70" s="155"/>
      <c r="AH70" s="156"/>
      <c r="AI70" s="157"/>
      <c r="AJ70" s="161"/>
      <c r="AK70" s="157"/>
      <c r="AL70" s="157"/>
      <c r="AM70" s="161"/>
      <c r="AN70" s="157"/>
      <c r="AO70" s="157"/>
      <c r="AP70" s="161"/>
      <c r="AQ70" s="157"/>
      <c r="AR70" s="157"/>
      <c r="AS70" s="155"/>
      <c r="AT70" s="156"/>
      <c r="AU70" s="156"/>
      <c r="AV70" s="155"/>
      <c r="AW70" s="156"/>
    </row>
    <row r="71" spans="1:49" ht="14" x14ac:dyDescent="0.3">
      <c r="A71" s="151">
        <f>IF(C71&lt;&gt;"",COUNTA($C$11:C71),"")</f>
        <v>31</v>
      </c>
      <c r="B71" s="152" t="s">
        <v>114</v>
      </c>
      <c r="C71" s="130">
        <v>24</v>
      </c>
      <c r="D71" s="153">
        <f>'Exh 9_Proposed Rev p1'!D71</f>
        <v>5933293.4264163729</v>
      </c>
      <c r="E71" s="153">
        <v>131066.45178953766</v>
      </c>
      <c r="F71" s="161">
        <f>VLOOKUP("RDAF",'24 WMA'!$C$47:$I$67,7,FALSE)</f>
        <v>-2566.9168335415147</v>
      </c>
      <c r="G71" s="157">
        <f>+F71/($D71)*100</f>
        <v>-4.3262934243450978E-2</v>
      </c>
      <c r="H71" s="157"/>
      <c r="I71" s="161">
        <f>VLOOKUP("RAAF",'24 WMA'!$C$47:$I$67,7,FALSE)</f>
        <v>21686.003764381629</v>
      </c>
      <c r="J71" s="157">
        <f>+I71/($D71)*100</f>
        <v>0.36549690375720512</v>
      </c>
      <c r="K71" s="157"/>
      <c r="L71" s="155">
        <f>VLOOKUP("PAF",'24 WMA'!$C$47:$I$67,7,FALSE)</f>
        <v>3770.2916908012498</v>
      </c>
      <c r="M71" s="156">
        <f>+L71/($D71)*100</f>
        <v>6.3544669373927345E-2</v>
      </c>
      <c r="N71" s="154"/>
      <c r="O71" s="161">
        <f>VLOOKUP("NMRS",'24 WMA'!$C$47:$I$67,7,FALSE)</f>
        <v>28276.809389474598</v>
      </c>
      <c r="P71" s="157">
        <f>+O71/($D71)*100</f>
        <v>0.4765786445615483</v>
      </c>
      <c r="Q71" s="157"/>
      <c r="R71" s="161">
        <f>VLOOKUP("LTRCA",'24 WMA'!$C$47:$I$67,7,FALSE)</f>
        <v>10298.493810408583</v>
      </c>
      <c r="S71" s="157">
        <f>+R71/($D71)*100</f>
        <v>0.17357128782064518</v>
      </c>
      <c r="T71" s="157"/>
      <c r="U71" s="161">
        <f>VLOOKUP("AGCE",'24 WMA'!$C$47:$I$67,7,FALSE)</f>
        <v>45.53251834606548</v>
      </c>
      <c r="V71" s="157">
        <f>+U71/($D71)*100</f>
        <v>7.6740715608879793E-4</v>
      </c>
      <c r="W71" s="157"/>
      <c r="X71" s="161">
        <f>VLOOKUP("SCRA",'24 WMA'!$C$47:$I$67,7,FALSE)</f>
        <v>16290.417577368175</v>
      </c>
      <c r="Y71" s="157">
        <f>+X71/($D71)*100</f>
        <v>0.27455944627379336</v>
      </c>
      <c r="Z71" s="157"/>
      <c r="AA71" s="161">
        <f>VLOOKUP("SRA",'24 WMA'!$C$47:$I$67,7,FALSE)</f>
        <v>0</v>
      </c>
      <c r="AB71" s="157">
        <f>+AA71/($D71)*100</f>
        <v>0</v>
      </c>
      <c r="AC71" s="157"/>
      <c r="AD71" s="161">
        <f>VLOOKUP("BSTF",'24 WMA'!$C$47:$I$67,7,FALSE)</f>
        <v>-1076.1126473864319</v>
      </c>
      <c r="AE71" s="157">
        <f>+AD71/($D71)*100</f>
        <v>-1.8136851998509521E-2</v>
      </c>
      <c r="AF71" s="157"/>
      <c r="AG71" s="155">
        <f>VLOOKUP("SPCA",'24 WMA'!$C$47:$I$67,7,FALSE)</f>
        <v>191.5098681911162</v>
      </c>
      <c r="AH71" s="156">
        <f>+AG71/($D71)*100</f>
        <v>3.227716116962473E-3</v>
      </c>
      <c r="AI71" s="157"/>
      <c r="AJ71" s="161">
        <f>VLOOKUP("SECRF",'24 WMA'!$C$47:$I$67,7,FALSE)</f>
        <v>3377.7959528083388</v>
      </c>
      <c r="AK71" s="157">
        <f>+AJ71/($D71)*100</f>
        <v>5.6929528173503476E-2</v>
      </c>
      <c r="AL71" s="157"/>
      <c r="AM71" s="161">
        <f>VLOOKUP("RTWF",'24 WMA'!$C$47:$I$67,7,FALSE)</f>
        <v>6750.0964257002497</v>
      </c>
      <c r="AN71" s="157">
        <f>+AM71/($D71)*100</f>
        <v>0.11376643527601861</v>
      </c>
      <c r="AO71" s="157"/>
      <c r="AP71" s="161">
        <f>VLOOKUP("SMART",'24 WMA'!$C$47:$I$67,7,FALSE)</f>
        <v>3957.5619596261226</v>
      </c>
      <c r="AQ71" s="157">
        <f>+AP71/($D71)*100</f>
        <v>6.6700931088392756E-2</v>
      </c>
      <c r="AR71" s="157"/>
      <c r="AS71" s="155">
        <f>VLOOKUP("tacf",'24 WMA'!$C$47:$I$67,7,FALSE)</f>
        <v>-5991.0876632641575</v>
      </c>
      <c r="AT71" s="156">
        <f>+AS71/($D71)*100</f>
        <v>-0.10097406672305252</v>
      </c>
      <c r="AU71" s="156"/>
      <c r="AV71" s="155">
        <f>L71+I71+O71+U71+AG71+R71+X71+AD71+F71+AJ71+AM71+AA71+AP71+AS71</f>
        <v>85010.395812914023</v>
      </c>
      <c r="AW71" s="156">
        <f>+AV71/($D71)*100</f>
        <v>1.4327691166330725</v>
      </c>
    </row>
    <row r="72" spans="1:49" ht="14" x14ac:dyDescent="0.3">
      <c r="A72" s="151" t="str">
        <f>IF(C72&lt;&gt;"",COUNTA($C$11:C72),"")</f>
        <v/>
      </c>
      <c r="B72" s="152"/>
      <c r="C72" s="129"/>
      <c r="D72" s="153"/>
      <c r="E72" s="153"/>
      <c r="F72" s="161"/>
      <c r="G72" s="157"/>
      <c r="H72" s="157"/>
      <c r="I72" s="161"/>
      <c r="J72" s="157"/>
      <c r="K72" s="157"/>
      <c r="L72" s="155"/>
      <c r="M72" s="156"/>
      <c r="N72" s="157"/>
      <c r="O72" s="161"/>
      <c r="P72" s="157"/>
      <c r="Q72" s="157"/>
      <c r="R72" s="161"/>
      <c r="S72" s="157"/>
      <c r="T72" s="157"/>
      <c r="U72" s="161"/>
      <c r="V72" s="157"/>
      <c r="W72" s="157"/>
      <c r="X72" s="161"/>
      <c r="Y72" s="157"/>
      <c r="Z72" s="157"/>
      <c r="AA72" s="161"/>
      <c r="AB72" s="157"/>
      <c r="AC72" s="157"/>
      <c r="AD72" s="161"/>
      <c r="AE72" s="157"/>
      <c r="AF72" s="157"/>
      <c r="AG72" s="155"/>
      <c r="AH72" s="156"/>
      <c r="AI72" s="157"/>
      <c r="AJ72" s="161"/>
      <c r="AK72" s="157"/>
      <c r="AL72" s="157"/>
      <c r="AM72" s="161"/>
      <c r="AN72" s="157"/>
      <c r="AO72" s="157"/>
      <c r="AP72" s="161"/>
      <c r="AQ72" s="157"/>
      <c r="AR72" s="157"/>
      <c r="AS72" s="155"/>
      <c r="AT72" s="156"/>
      <c r="AU72" s="156"/>
      <c r="AV72" s="155"/>
      <c r="AW72" s="156"/>
    </row>
    <row r="73" spans="1:49" ht="14" x14ac:dyDescent="0.3">
      <c r="A73" s="151">
        <f>IF(C73&lt;&gt;"",COUNTA($C$11:C73),"")</f>
        <v>32</v>
      </c>
      <c r="B73" s="152" t="s">
        <v>114</v>
      </c>
      <c r="C73" s="130" t="s">
        <v>268</v>
      </c>
      <c r="D73" s="153">
        <f>'Exh 9_Proposed Rev p1'!D73</f>
        <v>562542914.19204509</v>
      </c>
      <c r="E73" s="153">
        <v>12426572.974502277</v>
      </c>
      <c r="F73" s="161">
        <f>VLOOKUP("RDAF",'G0 WMA'!$C$52:$I$72,7,FALSE)</f>
        <v>-243372.57105809732</v>
      </c>
      <c r="G73" s="157">
        <f>+F73/($D73)*100</f>
        <v>-4.3262934243450978E-2</v>
      </c>
      <c r="H73" s="157"/>
      <c r="I73" s="161">
        <f>VLOOKUP("RAAF",'G0 WMA'!$C$52:$I$72,7,FALSE)</f>
        <v>2056076.9336774761</v>
      </c>
      <c r="J73" s="157">
        <f>+I73/($D73)*100</f>
        <v>0.36549690375720517</v>
      </c>
      <c r="K73" s="157"/>
      <c r="L73" s="155">
        <f>VLOOKUP("PAF",'G0 WMA'!$C$52:$I$72,7,FALSE)</f>
        <v>357466.03490979091</v>
      </c>
      <c r="M73" s="156">
        <f>+L73/($D73)*100</f>
        <v>6.3544669373927345E-2</v>
      </c>
      <c r="N73" s="154"/>
      <c r="O73" s="161">
        <f>VLOOKUP("NMRS",'G0 WMA'!$C$52:$I$72,7,FALSE)</f>
        <v>2680959.3955334821</v>
      </c>
      <c r="P73" s="157">
        <f>+O73/($D73)*100</f>
        <v>0.4765786445615483</v>
      </c>
      <c r="Q73" s="157"/>
      <c r="R73" s="161">
        <f>VLOOKUP("LTRCA",'G0 WMA'!$C$52:$I$72,7,FALSE)</f>
        <v>976412.98070691957</v>
      </c>
      <c r="S73" s="157">
        <f>+R73/($D73)*100</f>
        <v>0.17357128782064518</v>
      </c>
      <c r="T73" s="157"/>
      <c r="U73" s="161">
        <f>VLOOKUP("AGCE",'G0 WMA'!$C$52:$I$72,7,FALSE)</f>
        <v>4316.9945795802205</v>
      </c>
      <c r="V73" s="157">
        <f>+U73/($D73)*100</f>
        <v>7.6740715608879793E-4</v>
      </c>
      <c r="W73" s="157"/>
      <c r="X73" s="161">
        <f>VLOOKUP("SCRA",'G0 WMA'!$C$52:$I$72,7,FALSE)</f>
        <v>1544514.7102581395</v>
      </c>
      <c r="Y73" s="157">
        <f>+X73/($D73)*100</f>
        <v>0.27455944627379336</v>
      </c>
      <c r="Z73" s="157"/>
      <c r="AA73" s="161">
        <f>VLOOKUP("SRA",'G0 WMA'!$C$52:$I$72,7,FALSE)</f>
        <v>0</v>
      </c>
      <c r="AB73" s="157">
        <f>+AA73/($D73)*100</f>
        <v>0</v>
      </c>
      <c r="AC73" s="157"/>
      <c r="AD73" s="161">
        <f>VLOOKUP("BSTF",'G0 WMA'!$C$52:$I$72,7,FALSE)</f>
        <v>-102027.57577511363</v>
      </c>
      <c r="AE73" s="157">
        <f>+AD73/($D73)*100</f>
        <v>-1.8136851998509521E-2</v>
      </c>
      <c r="AF73" s="157"/>
      <c r="AG73" s="155">
        <f>VLOOKUP("SPCA",'G0 WMA'!$C$52:$I$72,7,FALSE)</f>
        <v>18157.288306207014</v>
      </c>
      <c r="AH73" s="156">
        <f>+AG73/($D73)*100</f>
        <v>3.227716116962473E-3</v>
      </c>
      <c r="AI73" s="157"/>
      <c r="AJ73" s="161">
        <f>VLOOKUP("SECRF",'G0 WMA'!$C$52:$I$72,7,FALSE)</f>
        <v>320253.02682300779</v>
      </c>
      <c r="AK73" s="157">
        <f>+AJ73/($D73)*100</f>
        <v>5.6929528173503476E-2</v>
      </c>
      <c r="AL73" s="157"/>
      <c r="AM73" s="161">
        <f>VLOOKUP("RTWF",'G0 WMA'!$C$52:$I$72,7,FALSE)</f>
        <v>639985.02037412184</v>
      </c>
      <c r="AN73" s="157">
        <f>+AM73/($D73)*100</f>
        <v>0.11376643527601861</v>
      </c>
      <c r="AO73" s="157"/>
      <c r="AP73" s="161">
        <f>VLOOKUP("SMART",'G0 WMA'!$C$52:$I$72,7,FALSE)</f>
        <v>375221.36153787241</v>
      </c>
      <c r="AQ73" s="157">
        <f>+AP73/($D73)*100</f>
        <v>6.6700931088392756E-2</v>
      </c>
      <c r="AR73" s="157"/>
      <c r="AS73" s="155">
        <f>VLOOKUP("tacf",'G0 WMA'!$C$52:$I$72,7,FALSE)</f>
        <v>-568022.4575220797</v>
      </c>
      <c r="AT73" s="156">
        <f>+AS73/($D73)*100</f>
        <v>-0.10097406672305252</v>
      </c>
      <c r="AU73" s="156"/>
      <c r="AV73" s="155">
        <f>L73+I73+O73+U73+AG73+R73+X73+AD73+F73+AJ73+AM73+AA73+AP73+AS73</f>
        <v>8059941.1423513088</v>
      </c>
      <c r="AW73" s="156">
        <f>+AV73/($D73)*100</f>
        <v>1.4327691166330727</v>
      </c>
    </row>
    <row r="74" spans="1:49" ht="14" x14ac:dyDescent="0.3">
      <c r="A74" s="151" t="str">
        <f>IF(C74&lt;&gt;"",COUNTA($C$11:C74),"")</f>
        <v/>
      </c>
      <c r="B74" s="152"/>
      <c r="C74" s="129"/>
      <c r="D74" s="153"/>
      <c r="E74" s="153"/>
      <c r="F74" s="161"/>
      <c r="G74" s="157"/>
      <c r="H74" s="157"/>
      <c r="I74" s="161"/>
      <c r="J74" s="157"/>
      <c r="K74" s="157"/>
      <c r="L74" s="155"/>
      <c r="M74" s="156"/>
      <c r="N74" s="157"/>
      <c r="O74" s="161"/>
      <c r="P74" s="157"/>
      <c r="Q74" s="157"/>
      <c r="R74" s="161"/>
      <c r="S74" s="157"/>
      <c r="T74" s="157"/>
      <c r="U74" s="161"/>
      <c r="V74" s="157"/>
      <c r="W74" s="157"/>
      <c r="X74" s="161"/>
      <c r="Y74" s="157"/>
      <c r="Z74" s="157"/>
      <c r="AA74" s="161"/>
      <c r="AB74" s="157"/>
      <c r="AC74" s="157"/>
      <c r="AD74" s="161"/>
      <c r="AE74" s="157"/>
      <c r="AF74" s="157"/>
      <c r="AG74" s="155"/>
      <c r="AH74" s="156"/>
      <c r="AI74" s="157"/>
      <c r="AJ74" s="161"/>
      <c r="AK74" s="157"/>
      <c r="AL74" s="157"/>
      <c r="AM74" s="161"/>
      <c r="AN74" s="157"/>
      <c r="AO74" s="157"/>
      <c r="AP74" s="161"/>
      <c r="AQ74" s="157"/>
      <c r="AR74" s="157"/>
      <c r="AS74" s="155"/>
      <c r="AT74" s="156"/>
      <c r="AU74" s="156"/>
      <c r="AV74" s="155"/>
      <c r="AW74" s="156"/>
    </row>
    <row r="75" spans="1:49" ht="14" x14ac:dyDescent="0.3">
      <c r="A75" s="151">
        <f>IF(C75&lt;&gt;"",COUNTA($C$11:C75),"")</f>
        <v>33</v>
      </c>
      <c r="B75" s="152" t="s">
        <v>114</v>
      </c>
      <c r="C75" s="130" t="s">
        <v>269</v>
      </c>
      <c r="D75" s="153">
        <f>'Exh 9_Proposed Rev p1'!D75</f>
        <v>1601959.1533586292</v>
      </c>
      <c r="E75" s="153">
        <v>35387.277697692116</v>
      </c>
      <c r="F75" s="161">
        <f>VLOOKUP("RDAF",'T0 WMA'!$C$52:$I$72,7,FALSE)</f>
        <v>-693.05453512448776</v>
      </c>
      <c r="G75" s="157">
        <f>+F75/($D75)*100</f>
        <v>-4.3262934243450978E-2</v>
      </c>
      <c r="H75" s="157"/>
      <c r="I75" s="161">
        <f>VLOOKUP("RAAF",'T0 WMA'!$C$52:$I$72,7,FALSE)</f>
        <v>5855.1111049809278</v>
      </c>
      <c r="J75" s="157">
        <f>+I75/($D75)*100</f>
        <v>0.36549690375720517</v>
      </c>
      <c r="K75" s="157"/>
      <c r="L75" s="155">
        <f>VLOOKUP("PAF",'T0 WMA'!$C$52:$I$72,7,FALSE)</f>
        <v>1017.9596475071068</v>
      </c>
      <c r="M75" s="156">
        <f>+L75/($D75)*100</f>
        <v>6.3544669373927345E-2</v>
      </c>
      <c r="N75" s="154"/>
      <c r="O75" s="161">
        <f>VLOOKUP("NMRS",'T0 WMA'!$C$52:$I$72,7,FALSE)</f>
        <v>7634.59521950621</v>
      </c>
      <c r="P75" s="157">
        <f>+O75/($D75)*100</f>
        <v>0.4765786445615483</v>
      </c>
      <c r="Q75" s="157"/>
      <c r="R75" s="161">
        <f>VLOOKUP("LTRCA",'T0 WMA'!$C$52:$I$72,7,FALSE)</f>
        <v>2780.5411328452769</v>
      </c>
      <c r="S75" s="157">
        <f>+R75/($D75)*100</f>
        <v>0.17357128782064518</v>
      </c>
      <c r="T75" s="157"/>
      <c r="U75" s="161">
        <f>VLOOKUP("AGCE",'T0 WMA'!$C$52:$I$72,7,FALSE)</f>
        <v>12.293549180493642</v>
      </c>
      <c r="V75" s="157">
        <f>+U75/($D75)*100</f>
        <v>7.6740715608879793E-4</v>
      </c>
      <c r="W75" s="157"/>
      <c r="X75" s="161">
        <f>VLOOKUP("SCRA",'T0 WMA'!$C$52:$I$72,7,FALSE)</f>
        <v>4398.3301809938002</v>
      </c>
      <c r="Y75" s="157">
        <f>+X75/($D75)*100</f>
        <v>0.27455944627379336</v>
      </c>
      <c r="Z75" s="157"/>
      <c r="AA75" s="161">
        <f>VLOOKUP("SRA",'T0 WMA'!$C$52:$I$72,7,FALSE)</f>
        <v>0</v>
      </c>
      <c r="AB75" s="157">
        <f>+AA75/($D75)*100</f>
        <v>0</v>
      </c>
      <c r="AC75" s="157"/>
      <c r="AD75" s="161">
        <f>VLOOKUP("BSTF",'T0 WMA'!$C$52:$I$72,7,FALSE)</f>
        <v>-290.54496072123072</v>
      </c>
      <c r="AE75" s="157">
        <f>+AD75/($D75)*100</f>
        <v>-1.8136851998509517E-2</v>
      </c>
      <c r="AF75" s="157"/>
      <c r="AG75" s="155">
        <f>VLOOKUP("SPCA",'T0 WMA'!$C$52:$I$72,7,FALSE)</f>
        <v>51.706693780112047</v>
      </c>
      <c r="AH75" s="156">
        <f>+AG75/($D75)*100</f>
        <v>3.227716116962473E-3</v>
      </c>
      <c r="AI75" s="157"/>
      <c r="AJ75" s="161">
        <f>VLOOKUP("SECRF",'T0 WMA'!$C$52:$I$72,7,FALSE)</f>
        <v>911.98778753931856</v>
      </c>
      <c r="AK75" s="157">
        <f>+AJ75/($D75)*100</f>
        <v>5.6929528173503476E-2</v>
      </c>
      <c r="AL75" s="157"/>
      <c r="AM75" s="161">
        <f>VLOOKUP("RTWF",'T0 WMA'!$C$52:$I$72,7,FALSE)</f>
        <v>1822.4918233540006</v>
      </c>
      <c r="AN75" s="157">
        <f>+AM75/($D75)*100</f>
        <v>0.11376643527601861</v>
      </c>
      <c r="AO75" s="157"/>
      <c r="AP75" s="161">
        <f>VLOOKUP("SMART",'T0 WMA'!$C$52:$I$72,7,FALSE)</f>
        <v>1068.5216709459394</v>
      </c>
      <c r="AQ75" s="157">
        <f>+AP75/($D75)*100</f>
        <v>6.6700931088392756E-2</v>
      </c>
      <c r="AR75" s="157"/>
      <c r="AS75" s="155">
        <f>VLOOKUP("tacf",'T0 WMA'!$C$52:$I$72,7,FALSE)</f>
        <v>-1617.5633043883895</v>
      </c>
      <c r="AT75" s="156">
        <f>+AS75/($D75)*100</f>
        <v>-0.10097406672305252</v>
      </c>
      <c r="AU75" s="156"/>
      <c r="AV75" s="155">
        <f>L75+I75+O75+U75+AG75+R75+X75+AD75+F75+AJ75+AM75+AA75+AP75+AS75</f>
        <v>22952.376010399072</v>
      </c>
      <c r="AW75" s="156">
        <f>+AV75/($D75)*100</f>
        <v>1.432769116633072</v>
      </c>
    </row>
    <row r="76" spans="1:49" ht="14" x14ac:dyDescent="0.3">
      <c r="A76" s="151" t="str">
        <f>IF(C76&lt;&gt;"",COUNTA($C$11:C76),"")</f>
        <v/>
      </c>
      <c r="B76" s="152"/>
      <c r="C76" s="129"/>
      <c r="D76" s="153"/>
      <c r="E76" s="153"/>
      <c r="F76" s="161"/>
      <c r="G76" s="157"/>
      <c r="H76" s="157"/>
      <c r="I76" s="161"/>
      <c r="J76" s="157"/>
      <c r="K76" s="157"/>
      <c r="L76" s="155"/>
      <c r="M76" s="156"/>
      <c r="N76" s="157"/>
      <c r="O76" s="161"/>
      <c r="P76" s="157"/>
      <c r="Q76" s="157"/>
      <c r="R76" s="161"/>
      <c r="S76" s="157"/>
      <c r="T76" s="157"/>
      <c r="U76" s="161"/>
      <c r="V76" s="157"/>
      <c r="W76" s="157"/>
      <c r="X76" s="161"/>
      <c r="Y76" s="157"/>
      <c r="Z76" s="157"/>
      <c r="AA76" s="161"/>
      <c r="AB76" s="157"/>
      <c r="AC76" s="157"/>
      <c r="AD76" s="161"/>
      <c r="AE76" s="157"/>
      <c r="AF76" s="157"/>
      <c r="AG76" s="155"/>
      <c r="AH76" s="156"/>
      <c r="AI76" s="157"/>
      <c r="AJ76" s="161"/>
      <c r="AK76" s="157"/>
      <c r="AL76" s="157"/>
      <c r="AM76" s="161"/>
      <c r="AN76" s="157"/>
      <c r="AO76" s="157"/>
      <c r="AP76" s="161"/>
      <c r="AQ76" s="157"/>
      <c r="AR76" s="157"/>
      <c r="AS76" s="155"/>
      <c r="AT76" s="156"/>
      <c r="AU76" s="156"/>
      <c r="AV76" s="155"/>
      <c r="AW76" s="156"/>
    </row>
    <row r="77" spans="1:49" ht="14" x14ac:dyDescent="0.3">
      <c r="A77" s="151">
        <f>IF(C77&lt;&gt;"",COUNTA($C$11:C77),"")</f>
        <v>34</v>
      </c>
      <c r="B77" s="152" t="s">
        <v>114</v>
      </c>
      <c r="C77" s="130" t="s">
        <v>121</v>
      </c>
      <c r="D77" s="153">
        <f>'Exh 9_Proposed Rev p1'!D77</f>
        <v>385981996.11299169</v>
      </c>
      <c r="E77" s="153">
        <v>5785870.1217337437</v>
      </c>
      <c r="F77" s="161">
        <f>VLOOKUP("RDAF",'G2 WMA'!$C$52:$I$72,7,FALSE)</f>
        <v>-107008.72432771343</v>
      </c>
      <c r="G77" s="157">
        <f>+F77/($D77)*100</f>
        <v>-2.7723760539439223E-2</v>
      </c>
      <c r="H77" s="157"/>
      <c r="I77" s="161">
        <f>VLOOKUP("RAAF",'G2 WMA'!$C$52:$I$72,7,FALSE)</f>
        <v>904038.48238074931</v>
      </c>
      <c r="J77" s="157">
        <f>+I77/($D77)*100</f>
        <v>0.2342177851518501</v>
      </c>
      <c r="K77" s="157"/>
      <c r="L77" s="155">
        <f>VLOOKUP("PAF",'G2 WMA'!$C$52:$I$72,7,FALSE)</f>
        <v>142811.48806632313</v>
      </c>
      <c r="M77" s="156">
        <f>+L77/($D77)*100</f>
        <v>3.6999520574663478E-2</v>
      </c>
      <c r="N77" s="154"/>
      <c r="O77" s="161">
        <f>VLOOKUP("NMRS",'G2 WMA'!$C$52:$I$72,7,FALSE)</f>
        <v>1178793.6645578309</v>
      </c>
      <c r="P77" s="157">
        <f>+O77/($D77)*100</f>
        <v>0.3054012043123257</v>
      </c>
      <c r="Q77" s="157"/>
      <c r="R77" s="161">
        <f>VLOOKUP("LTRCA",'G2 WMA'!$C$52:$I$72,7,FALSE)</f>
        <v>669953.92140915222</v>
      </c>
      <c r="S77" s="157">
        <f>+R77/($D77)*100</f>
        <v>0.17357128782064515</v>
      </c>
      <c r="T77" s="157"/>
      <c r="U77" s="161">
        <f>VLOOKUP("AGCE",'G2 WMA'!$C$52:$I$72,7,FALSE)</f>
        <v>1898.1435783092245</v>
      </c>
      <c r="V77" s="157">
        <f>+U77/($D77)*100</f>
        <v>4.917699782436395E-4</v>
      </c>
      <c r="W77" s="157"/>
      <c r="X77" s="161">
        <f>VLOOKUP("SCRA",'G2 WMA'!$C$52:$I$72,7,FALSE)</f>
        <v>679146.48420381802</v>
      </c>
      <c r="Y77" s="157">
        <f>+X77/($D77)*100</f>
        <v>0.17595289185586932</v>
      </c>
      <c r="Z77" s="157"/>
      <c r="AA77" s="161">
        <f>VLOOKUP("SRA",'G2 WMA'!$C$52:$I$72,7,FALSE)</f>
        <v>0</v>
      </c>
      <c r="AB77" s="157">
        <f>+AA77/($D77)*100</f>
        <v>0</v>
      </c>
      <c r="AC77" s="157"/>
      <c r="AD77" s="161">
        <f>VLOOKUP("BSTF",'G2 WMA'!$C$52:$I$72,7,FALSE)</f>
        <v>-44860.604802246788</v>
      </c>
      <c r="AE77" s="157">
        <f>+AD77/($D77)*100</f>
        <v>-1.1622460439609307E-2</v>
      </c>
      <c r="AF77" s="157"/>
      <c r="AG77" s="155">
        <f>VLOOKUP("SPCA",'G2 WMA'!$C$52:$I$72,7,FALSE)</f>
        <v>7983.5958935318786</v>
      </c>
      <c r="AH77" s="156">
        <f>+AG77/($D77)*100</f>
        <v>2.0683855656300544E-3</v>
      </c>
      <c r="AI77" s="157"/>
      <c r="AJ77" s="161">
        <f>VLOOKUP("SECRF",'G2 WMA'!$C$52:$I$72,7,FALSE)</f>
        <v>140812.36728291059</v>
      </c>
      <c r="AK77" s="157">
        <f>+AJ77/($D77)*100</f>
        <v>3.6481589478512731E-2</v>
      </c>
      <c r="AL77" s="157"/>
      <c r="AM77" s="161">
        <f>VLOOKUP("RTWF",'G2 WMA'!$C$52:$I$72,7,FALSE)</f>
        <v>255680.83167076061</v>
      </c>
      <c r="AN77" s="157">
        <f>+AM77/($D77)*100</f>
        <v>6.6241647083433663E-2</v>
      </c>
      <c r="AO77" s="157"/>
      <c r="AP77" s="161">
        <f>VLOOKUP("SMART",'G2 WMA'!$C$52:$I$72,7,FALSE)</f>
        <v>164981.44825486728</v>
      </c>
      <c r="AQ77" s="157">
        <f>+AP77/($D77)*100</f>
        <v>4.274330147942209E-2</v>
      </c>
      <c r="AR77" s="157"/>
      <c r="AS77" s="155">
        <f>VLOOKUP("tacf",'G2 WMA'!$C$52:$I$72,7,FALSE)</f>
        <v>-249754.35113606323</v>
      </c>
      <c r="AT77" s="156">
        <f>+AS77/($D77)*100</f>
        <v>-6.4706217816167408E-2</v>
      </c>
      <c r="AU77" s="156"/>
      <c r="AV77" s="155">
        <f>L77+I77+O77+U77+AG77+R77+X77+AD77+F77+AJ77+AM77+AA77+AP77+AS77</f>
        <v>3744476.7470322303</v>
      </c>
      <c r="AW77" s="156">
        <f>+AV77/($D77)*100</f>
        <v>0.97011694450538022</v>
      </c>
    </row>
    <row r="78" spans="1:49" ht="14" x14ac:dyDescent="0.3">
      <c r="A78" s="151" t="str">
        <f>IF(C78&lt;&gt;"",COUNTA($C$11:C78),"")</f>
        <v/>
      </c>
      <c r="B78" s="152"/>
      <c r="C78" s="129"/>
      <c r="D78" s="153"/>
      <c r="E78" s="153"/>
      <c r="F78" s="161"/>
      <c r="G78" s="157"/>
      <c r="H78" s="157"/>
      <c r="I78" s="161"/>
      <c r="J78" s="157"/>
      <c r="K78" s="157"/>
      <c r="L78" s="155"/>
      <c r="M78" s="156"/>
      <c r="N78" s="157"/>
      <c r="O78" s="161"/>
      <c r="P78" s="157"/>
      <c r="Q78" s="157"/>
      <c r="R78" s="161"/>
      <c r="S78" s="157"/>
      <c r="T78" s="157"/>
      <c r="U78" s="161"/>
      <c r="V78" s="157"/>
      <c r="W78" s="157"/>
      <c r="X78" s="161"/>
      <c r="Y78" s="157"/>
      <c r="Z78" s="157"/>
      <c r="AA78" s="161"/>
      <c r="AB78" s="157"/>
      <c r="AC78" s="157"/>
      <c r="AD78" s="161"/>
      <c r="AE78" s="157"/>
      <c r="AF78" s="157"/>
      <c r="AG78" s="155"/>
      <c r="AH78" s="156"/>
      <c r="AI78" s="157"/>
      <c r="AJ78" s="161"/>
      <c r="AK78" s="157"/>
      <c r="AL78" s="157"/>
      <c r="AM78" s="161"/>
      <c r="AN78" s="157"/>
      <c r="AO78" s="157"/>
      <c r="AP78" s="161"/>
      <c r="AQ78" s="157"/>
      <c r="AR78" s="157"/>
      <c r="AS78" s="155"/>
      <c r="AT78" s="156"/>
      <c r="AU78" s="156"/>
      <c r="AV78" s="155"/>
      <c r="AW78" s="156"/>
    </row>
    <row r="79" spans="1:49" ht="14" x14ac:dyDescent="0.3">
      <c r="A79" s="151">
        <f>IF(C79&lt;&gt;"",COUNTA($C$11:C79),"")</f>
        <v>35</v>
      </c>
      <c r="B79" s="152" t="s">
        <v>114</v>
      </c>
      <c r="C79" s="130" t="s">
        <v>270</v>
      </c>
      <c r="D79" s="153">
        <f>'Exh 9_Proposed Rev p1'!D79</f>
        <v>6760183.4901927877</v>
      </c>
      <c r="E79" s="153">
        <v>101335.15051798988</v>
      </c>
      <c r="F79" s="161">
        <f>VLOOKUP("RDAF",'T4 WMA'!$C$54:$I$74,7,FALSE)</f>
        <v>-1874.1770828477534</v>
      </c>
      <c r="G79" s="157">
        <f>+F79/($D79)*100</f>
        <v>-2.7723760539439223E-2</v>
      </c>
      <c r="H79" s="157"/>
      <c r="I79" s="161">
        <f>VLOOKUP("RAAF",'T4 WMA'!$C$54:$I$74,7,FALSE)</f>
        <v>15833.552042930585</v>
      </c>
      <c r="J79" s="157">
        <f>+I79/($D79)*100</f>
        <v>0.2342177851518501</v>
      </c>
      <c r="K79" s="157"/>
      <c r="L79" s="155">
        <f>VLOOKUP("PAF",'T4 WMA'!$C$54:$I$74,7,FALSE)</f>
        <v>2501.2354813388838</v>
      </c>
      <c r="M79" s="156">
        <f>+L79/($D79)*100</f>
        <v>3.6999520574663478E-2</v>
      </c>
      <c r="N79" s="154"/>
      <c r="O79" s="161">
        <f>VLOOKUP("NMRS",'T4 WMA'!$C$54:$I$74,7,FALSE)</f>
        <v>20645.681792771786</v>
      </c>
      <c r="P79" s="157">
        <f>+O79/($D79)*100</f>
        <v>0.30540120431232565</v>
      </c>
      <c r="Q79" s="157"/>
      <c r="R79" s="161">
        <f>VLOOKUP("LTRCA",'T4 WMA'!$C$54:$I$74,7,FALSE)</f>
        <v>11733.737542966261</v>
      </c>
      <c r="S79" s="157">
        <f>+R79/($D79)*100</f>
        <v>0.17357128782064518</v>
      </c>
      <c r="T79" s="157"/>
      <c r="U79" s="161">
        <f>VLOOKUP("AGCE",'T4 WMA'!$C$54:$I$74,7,FALSE)</f>
        <v>33.244552878951176</v>
      </c>
      <c r="V79" s="157">
        <f>+U79/($D79)*100</f>
        <v>4.9176997824363939E-4</v>
      </c>
      <c r="W79" s="157"/>
      <c r="X79" s="161">
        <f>VLOOKUP("SCRA",'T4 WMA'!$C$54:$I$74,7,FALSE)</f>
        <v>11894.738345757249</v>
      </c>
      <c r="Y79" s="157">
        <f>+X79/($D79)*100</f>
        <v>0.17595289185586932</v>
      </c>
      <c r="Z79" s="157"/>
      <c r="AA79" s="161">
        <f>VLOOKUP("SRA",'T4 WMA'!$C$54:$I$74,7,FALSE)</f>
        <v>0</v>
      </c>
      <c r="AB79" s="157">
        <f>+AA79/($D79)*100</f>
        <v>0</v>
      </c>
      <c r="AC79" s="157"/>
      <c r="AD79" s="161">
        <f>VLOOKUP("BSTF",'T4 WMA'!$C$54:$I$74,7,FALSE)</f>
        <v>-785.69965179265637</v>
      </c>
      <c r="AE79" s="157">
        <f>+AD79/($D79)*100</f>
        <v>-1.1622460439609307E-2</v>
      </c>
      <c r="AF79" s="157"/>
      <c r="AG79" s="155">
        <f>VLOOKUP("SPCA",'T4 WMA'!$C$54:$I$74,7,FALSE)</f>
        <v>139.82665952125365</v>
      </c>
      <c r="AH79" s="156">
        <f>+AG79/($D79)*100</f>
        <v>2.0683855656300544E-3</v>
      </c>
      <c r="AI79" s="157"/>
      <c r="AJ79" s="161">
        <f>VLOOKUP("SECRF",'T4 WMA'!$C$54:$I$74,7,FALSE)</f>
        <v>2466.2223888863268</v>
      </c>
      <c r="AK79" s="157">
        <f>+AJ79/($D79)*100</f>
        <v>3.6481589478512731E-2</v>
      </c>
      <c r="AL79" s="157"/>
      <c r="AM79" s="161">
        <f>VLOOKUP("RTWF",'T4 WMA'!$C$54:$I$74,7,FALSE)</f>
        <v>4478.0568897660551</v>
      </c>
      <c r="AN79" s="157">
        <f>+AM79/($D79)*100</f>
        <v>6.6241647083433663E-2</v>
      </c>
      <c r="AO79" s="157"/>
      <c r="AP79" s="161">
        <f>VLOOKUP("SMART",'T4 WMA'!$C$54:$I$74,7,FALSE)</f>
        <v>2889.5256097752217</v>
      </c>
      <c r="AQ79" s="157">
        <f>+AP79/($D79)*100</f>
        <v>4.274330147942209E-2</v>
      </c>
      <c r="AR79" s="157"/>
      <c r="AS79" s="155">
        <f>VLOOKUP("tacf",'T4 WMA'!$C$54:$I$74,7,FALSE)</f>
        <v>-4374.2590539367338</v>
      </c>
      <c r="AT79" s="156">
        <f>+AS79/($D79)*100</f>
        <v>-6.4706217816167408E-2</v>
      </c>
      <c r="AU79" s="156"/>
      <c r="AV79" s="155">
        <f>L79+I79+O79+U79+AG79+R79+X79+AD79+F79+AJ79+AM79+AA79+AP79+AS79</f>
        <v>65581.685518015438</v>
      </c>
      <c r="AW79" s="156">
        <f>+AV79/($D79)*100</f>
        <v>0.97011694450538022</v>
      </c>
    </row>
    <row r="80" spans="1:49" ht="14" x14ac:dyDescent="0.3">
      <c r="A80" s="151" t="str">
        <f>IF(C80&lt;&gt;"",COUNTA($C$11:C80),"")</f>
        <v/>
      </c>
      <c r="B80" s="152"/>
      <c r="C80" s="129"/>
      <c r="D80" s="153"/>
      <c r="E80" s="153"/>
      <c r="F80" s="161"/>
      <c r="G80" s="157"/>
      <c r="H80" s="157"/>
      <c r="I80" s="161"/>
      <c r="J80" s="157"/>
      <c r="K80" s="157"/>
      <c r="L80" s="155"/>
      <c r="M80" s="156"/>
      <c r="N80" s="157"/>
      <c r="O80" s="161"/>
      <c r="P80" s="157"/>
      <c r="Q80" s="157"/>
      <c r="R80" s="161"/>
      <c r="S80" s="157"/>
      <c r="T80" s="157"/>
      <c r="U80" s="161"/>
      <c r="V80" s="157"/>
      <c r="W80" s="157"/>
      <c r="X80" s="161"/>
      <c r="Y80" s="157"/>
      <c r="Z80" s="157"/>
      <c r="AA80" s="161"/>
      <c r="AB80" s="157"/>
      <c r="AC80" s="157"/>
      <c r="AD80" s="161"/>
      <c r="AE80" s="157"/>
      <c r="AF80" s="157"/>
      <c r="AG80" s="155"/>
      <c r="AH80" s="156"/>
      <c r="AI80" s="157"/>
      <c r="AJ80" s="161"/>
      <c r="AK80" s="157"/>
      <c r="AL80" s="157"/>
      <c r="AM80" s="161"/>
      <c r="AN80" s="157"/>
      <c r="AO80" s="157"/>
      <c r="AP80" s="161"/>
      <c r="AQ80" s="157"/>
      <c r="AR80" s="157"/>
      <c r="AS80" s="155"/>
      <c r="AT80" s="156"/>
      <c r="AU80" s="156"/>
      <c r="AV80" s="155"/>
      <c r="AW80" s="156"/>
    </row>
    <row r="81" spans="1:50" ht="14" x14ac:dyDescent="0.3">
      <c r="A81" s="151">
        <f>IF(C81&lt;&gt;"",COUNTA($C$11:C81),"")</f>
        <v>36</v>
      </c>
      <c r="B81" s="152" t="s">
        <v>114</v>
      </c>
      <c r="C81" s="130" t="s">
        <v>131</v>
      </c>
      <c r="D81" s="153">
        <f>'Exh 9_Proposed Rev p1'!D81</f>
        <v>686733494.98012543</v>
      </c>
      <c r="E81" s="153">
        <v>8233934.6048117038</v>
      </c>
      <c r="F81" s="161">
        <f>VLOOKUP("RDAF",'T2 WMA'!$C$55:$I$75,7,FALSE)</f>
        <v>-140448.60880827348</v>
      </c>
      <c r="G81" s="157">
        <f>+F81/($D81)*100</f>
        <v>-2.0451690478900868E-2</v>
      </c>
      <c r="H81" s="157"/>
      <c r="I81" s="161">
        <f>VLOOKUP("RAAF",'T2 WMA'!$C$55:$I$75,7,FALSE)</f>
        <v>1186547.6198993973</v>
      </c>
      <c r="J81" s="157">
        <f>+I81/($D81)*100</f>
        <v>0.17278138150720854</v>
      </c>
      <c r="K81" s="157"/>
      <c r="L81" s="155">
        <f>VLOOKUP("PAF",'T2 WMA'!$C$55:$I$75,7,FALSE)</f>
        <v>208343.36516499921</v>
      </c>
      <c r="M81" s="156">
        <f>+L81/($D81)*100</f>
        <v>3.0338314162327094E-2</v>
      </c>
      <c r="N81" s="154"/>
      <c r="O81" s="161">
        <f>VLOOKUP("NMRS",'T2 WMA'!$C$55:$I$75,7,FALSE)</f>
        <v>1547162.9187179904</v>
      </c>
      <c r="P81" s="157">
        <f>+O81/($D81)*100</f>
        <v>0.22529306201421942</v>
      </c>
      <c r="Q81" s="157"/>
      <c r="R81" s="161">
        <f>VLOOKUP("LTRCA",'T2 WMA'!$C$55:$I$75,7,FALSE)</f>
        <v>1191972.1711327294</v>
      </c>
      <c r="S81" s="157">
        <f>+R81/($D81)*100</f>
        <v>0.17357128782064518</v>
      </c>
      <c r="T81" s="157"/>
      <c r="U81" s="161">
        <f>VLOOKUP("AGCE",'T2 WMA'!$C$55:$I$75,7,FALSE)</f>
        <v>2491.3073823350501</v>
      </c>
      <c r="V81" s="157">
        <f>+U81/($D81)*100</f>
        <v>3.6277644829413053E-4</v>
      </c>
      <c r="W81" s="157"/>
      <c r="X81" s="161">
        <f>VLOOKUP("SCRA",'T2 WMA'!$C$55:$I$75,7,FALSE)</f>
        <v>891292.95282601507</v>
      </c>
      <c r="Y81" s="157">
        <f>+X81/($D81)*100</f>
        <v>0.12978731332331617</v>
      </c>
      <c r="Z81" s="157"/>
      <c r="AA81" s="161">
        <f>VLOOKUP("SRA",'T2 WMA'!$C$55:$I$75,7,FALSE)</f>
        <v>0</v>
      </c>
      <c r="AB81" s="157">
        <f>+AA81/($D81)*100</f>
        <v>0</v>
      </c>
      <c r="AC81" s="157"/>
      <c r="AD81" s="161">
        <f>VLOOKUP("BSTF",'T2 WMA'!$C$55:$I$75,7,FALSE)</f>
        <v>-58879.400482130259</v>
      </c>
      <c r="AE81" s="157">
        <f>+AD81/($D81)*100</f>
        <v>-8.5738355435588994E-3</v>
      </c>
      <c r="AF81" s="157"/>
      <c r="AG81" s="155">
        <f>VLOOKUP("SPCA",'T2 WMA'!$C$55:$I$75,7,FALSE)</f>
        <v>10478.444104240236</v>
      </c>
      <c r="AH81" s="156">
        <f>+AG81/($D81)*100</f>
        <v>1.5258385066165281E-3</v>
      </c>
      <c r="AI81" s="157"/>
      <c r="AJ81" s="161">
        <f>VLOOKUP("SECRF",'T2 WMA'!$C$55:$I$75,7,FALSE)</f>
        <v>184815.78219097186</v>
      </c>
      <c r="AK81" s="157">
        <f>+AJ81/($D81)*100</f>
        <v>2.6912300556465586E-2</v>
      </c>
      <c r="AL81" s="157"/>
      <c r="AM81" s="161">
        <f>VLOOKUP("RTWF",'T2 WMA'!$C$55:$I$75,7,FALSE)</f>
        <v>373005.04041896906</v>
      </c>
      <c r="AN81" s="157">
        <f>+AM81/($D81)*100</f>
        <v>5.4315836222574826E-2</v>
      </c>
      <c r="AO81" s="157"/>
      <c r="AP81" s="161">
        <f>VLOOKUP("SMART",'T2 WMA'!$C$55:$I$75,7,FALSE)</f>
        <v>216537.62375119975</v>
      </c>
      <c r="AQ81" s="157">
        <f>+AP81/($D81)*100</f>
        <v>3.1531536663646574E-2</v>
      </c>
      <c r="AR81" s="157"/>
      <c r="AS81" s="155">
        <f>VLOOKUP("tacf",'T2 WMA'!$C$55:$I$75,7,FALSE)</f>
        <v>-327801.78794999997</v>
      </c>
      <c r="AT81" s="156">
        <f>+AS81/($D81)*100</f>
        <v>-4.7733478903557308E-2</v>
      </c>
      <c r="AU81" s="156"/>
      <c r="AV81" s="155">
        <f>L81+I81+O81+U81+AG81+R81+X81+AD81+F81+AJ81+AM81+AA81+AP81+AS81</f>
        <v>5285517.4283484444</v>
      </c>
      <c r="AW81" s="156">
        <f>+AV81/($D81)*100</f>
        <v>0.76966064229929709</v>
      </c>
    </row>
    <row r="82" spans="1:50" ht="14" x14ac:dyDescent="0.3">
      <c r="A82" s="151" t="str">
        <f>IF(C82&lt;&gt;"",COUNTA($C$11:C82),"")</f>
        <v/>
      </c>
      <c r="B82" s="152"/>
      <c r="C82" s="129"/>
      <c r="D82" s="153"/>
      <c r="E82" s="153"/>
      <c r="F82" s="161"/>
      <c r="G82" s="157"/>
      <c r="H82" s="157"/>
      <c r="I82" s="161"/>
      <c r="J82" s="157"/>
      <c r="K82" s="157"/>
      <c r="L82" s="155"/>
      <c r="M82" s="156"/>
      <c r="N82" s="157"/>
      <c r="O82" s="161"/>
      <c r="P82" s="157"/>
      <c r="Q82" s="157"/>
      <c r="R82" s="161"/>
      <c r="S82" s="157"/>
      <c r="T82" s="157"/>
      <c r="U82" s="161"/>
      <c r="V82" s="157"/>
      <c r="W82" s="157"/>
      <c r="X82" s="161"/>
      <c r="Y82" s="157"/>
      <c r="Z82" s="157"/>
      <c r="AA82" s="161"/>
      <c r="AB82" s="157"/>
      <c r="AC82" s="157"/>
      <c r="AD82" s="161"/>
      <c r="AE82" s="157"/>
      <c r="AF82" s="157"/>
      <c r="AG82" s="155"/>
      <c r="AH82" s="156"/>
      <c r="AI82" s="157"/>
      <c r="AJ82" s="161"/>
      <c r="AK82" s="157"/>
      <c r="AL82" s="157"/>
      <c r="AM82" s="161"/>
      <c r="AN82" s="157"/>
      <c r="AO82" s="157"/>
      <c r="AP82" s="161"/>
      <c r="AQ82" s="157"/>
      <c r="AR82" s="157"/>
      <c r="AS82" s="155"/>
      <c r="AT82" s="156"/>
      <c r="AU82" s="156"/>
      <c r="AV82" s="155"/>
      <c r="AW82" s="156"/>
    </row>
    <row r="83" spans="1:50" ht="14" x14ac:dyDescent="0.3">
      <c r="A83" s="151">
        <f>IF(C83&lt;&gt;"",COUNTA($C$11:C83),"")</f>
        <v>37</v>
      </c>
      <c r="B83" s="152" t="s">
        <v>114</v>
      </c>
      <c r="C83" s="130" t="s">
        <v>132</v>
      </c>
      <c r="D83" s="153">
        <f>'Exh 9_Proposed Rev p1'!D83</f>
        <v>413636239.33642119</v>
      </c>
      <c r="E83" s="153">
        <v>3317362.6332936995</v>
      </c>
      <c r="F83" s="161">
        <f>VLOOKUP("RDAF",'T5 WMA'!$C$52:$I$72,7,FALSE)</f>
        <v>-46784.887662961926</v>
      </c>
      <c r="G83" s="157">
        <f>+F83/($D83)*100</f>
        <v>-1.1310635581161096E-2</v>
      </c>
      <c r="H83" s="157"/>
      <c r="I83" s="161">
        <f>VLOOKUP("RAAF",'T5 WMA'!$C$52:$I$72,7,FALSE)</f>
        <v>395251.31345037604</v>
      </c>
      <c r="J83" s="157">
        <f>+I83/($D83)*100</f>
        <v>9.5555291307275372E-2</v>
      </c>
      <c r="K83" s="157"/>
      <c r="L83" s="155">
        <f>VLOOKUP("PAF",'T5 WMA'!$C$52:$I$72,7,FALSE)</f>
        <v>78859.603505446212</v>
      </c>
      <c r="M83" s="156">
        <f>+L83/($D83)*100</f>
        <v>1.9064964818352782E-2</v>
      </c>
      <c r="N83" s="154"/>
      <c r="O83" s="161">
        <f>VLOOKUP("NMRS",'T5 WMA'!$C$52:$I$72,7,FALSE)</f>
        <v>515376.00808373065</v>
      </c>
      <c r="P83" s="157">
        <f>+O83/($D83)*100</f>
        <v>0.12459643500060009</v>
      </c>
      <c r="Q83" s="157"/>
      <c r="R83" s="161">
        <f>VLOOKUP("LTRCA",'T5 WMA'!$C$52:$I$72,7,FALSE)</f>
        <v>717953.74617066595</v>
      </c>
      <c r="S83" s="157">
        <f>+R83/($D83)*100</f>
        <v>0.17357128749706463</v>
      </c>
      <c r="T83" s="157"/>
      <c r="U83" s="161">
        <f>VLOOKUP("AGCE",'T5 WMA'!$C$52:$I$72,7,FALSE)</f>
        <v>829.88031711701126</v>
      </c>
      <c r="V83" s="157">
        <f>+U83/($D83)*100</f>
        <v>2.0063046662651044E-4</v>
      </c>
      <c r="W83" s="157"/>
      <c r="X83" s="161">
        <f>VLOOKUP("SCRA",'T5 WMA'!$C$52:$I$72,7,FALSE)</f>
        <v>297041.11256780993</v>
      </c>
      <c r="Y83" s="157">
        <f>+X83/($D83)*100</f>
        <v>7.1812158684243954E-2</v>
      </c>
      <c r="Z83" s="157"/>
      <c r="AA83" s="161">
        <f>VLOOKUP("SRA",'T5 WMA'!$C$52:$I$72,7,FALSE)</f>
        <v>0</v>
      </c>
      <c r="AB83" s="157">
        <f>+AA83/($D83)*100</f>
        <v>0</v>
      </c>
      <c r="AC83" s="157"/>
      <c r="AD83" s="161">
        <f>VLOOKUP("BSTF",'T5 WMA'!$C$52:$I$72,7,FALSE)</f>
        <v>-19613.338719356114</v>
      </c>
      <c r="AE83" s="157">
        <f>+AD83/($D83)*100</f>
        <v>-4.7416877087029284E-3</v>
      </c>
      <c r="AF83" s="157"/>
      <c r="AG83" s="155">
        <f>VLOOKUP("SPCA",'T5 WMA'!$C$52:$I$72,7,FALSE)</f>
        <v>3490.4783640023265</v>
      </c>
      <c r="AH83" s="156">
        <f>+AG83/($D83)*100</f>
        <v>8.4385216575848156E-4</v>
      </c>
      <c r="AI83" s="157"/>
      <c r="AJ83" s="161">
        <f>VLOOKUP("SECRF",'T5 WMA'!$C$52:$I$72,7,FALSE)</f>
        <v>61564.053083291976</v>
      </c>
      <c r="AK83" s="157">
        <f>+AJ83/($D83)*100</f>
        <v>1.488362170153576E-2</v>
      </c>
      <c r="AL83" s="157"/>
      <c r="AM83" s="161">
        <f>VLOOKUP("RTWF",'T5 WMA'!$C$52:$I$72,7,FALSE)</f>
        <v>141185.3435777874</v>
      </c>
      <c r="AN83" s="157">
        <f>+AM83/($D83)*100</f>
        <v>3.4132730682467513E-2</v>
      </c>
      <c r="AO83" s="157"/>
      <c r="AP83" s="161">
        <f>VLOOKUP("SMART",'T5 WMA'!$C$52:$I$72,7,FALSE)</f>
        <v>72130.9273759629</v>
      </c>
      <c r="AQ83" s="157">
        <f>+AP83/($D83)*100</f>
        <v>1.7438251419092159E-2</v>
      </c>
      <c r="AR83" s="157"/>
      <c r="AS83" s="155">
        <f>VLOOKUP("tacf",'T5 WMA'!$C$52:$I$72,7,FALSE)</f>
        <v>-109194.17397643458</v>
      </c>
      <c r="AT83" s="156">
        <f>+AS83/($D83)*100</f>
        <v>-2.6398599443706889E-2</v>
      </c>
      <c r="AU83" s="156"/>
      <c r="AV83" s="155">
        <f>L83+I83+O83+U83+AG83+R83+X83+AD83+F83+AJ83+AM83+AA83+AP83+AS83</f>
        <v>2108090.0661374382</v>
      </c>
      <c r="AW83" s="156">
        <f>+AV83/($D83)*100</f>
        <v>0.50964830100944636</v>
      </c>
    </row>
    <row r="84" spans="1:50" ht="14" x14ac:dyDescent="0.3">
      <c r="A84" s="151" t="str">
        <f>IF(C84&lt;&gt;"",COUNTA($C$11:C84),"")</f>
        <v/>
      </c>
      <c r="B84" s="152"/>
      <c r="C84" s="129"/>
      <c r="D84" s="153"/>
      <c r="E84" s="154"/>
      <c r="F84" s="161"/>
      <c r="G84" s="157"/>
      <c r="H84" s="157"/>
      <c r="I84" s="161"/>
      <c r="J84" s="157"/>
      <c r="K84" s="157"/>
      <c r="L84" s="155"/>
      <c r="M84" s="156"/>
      <c r="N84" s="157"/>
      <c r="O84" s="161"/>
      <c r="P84" s="157"/>
      <c r="Q84" s="157"/>
      <c r="R84" s="161"/>
      <c r="S84" s="157"/>
      <c r="T84" s="157"/>
      <c r="U84" s="161"/>
      <c r="V84" s="157"/>
      <c r="W84" s="157"/>
      <c r="X84" s="161"/>
      <c r="Y84" s="157"/>
      <c r="Z84" s="157"/>
      <c r="AA84" s="161"/>
      <c r="AB84" s="157"/>
      <c r="AC84" s="157"/>
      <c r="AD84" s="161"/>
      <c r="AE84" s="157"/>
      <c r="AF84" s="157"/>
      <c r="AG84" s="155"/>
      <c r="AH84" s="156"/>
      <c r="AI84" s="157"/>
      <c r="AJ84" s="161"/>
      <c r="AK84" s="157"/>
      <c r="AL84" s="157"/>
      <c r="AM84" s="161"/>
      <c r="AN84" s="157"/>
      <c r="AO84" s="157"/>
      <c r="AP84" s="161"/>
      <c r="AQ84" s="157"/>
      <c r="AR84" s="157"/>
      <c r="AS84" s="155"/>
      <c r="AT84" s="156"/>
      <c r="AU84" s="156"/>
      <c r="AV84" s="155"/>
      <c r="AW84" s="156"/>
    </row>
    <row r="85" spans="1:50" ht="14" x14ac:dyDescent="0.3">
      <c r="A85" s="151">
        <f>IF(C85&lt;&gt;"",COUNTA($C$11:C85),"")</f>
        <v>38</v>
      </c>
      <c r="B85" s="152" t="s">
        <v>111</v>
      </c>
      <c r="C85" s="130" t="s">
        <v>133</v>
      </c>
      <c r="D85" s="177">
        <f>'Exh 9_Proposed Rev p1'!D85</f>
        <v>92440677.869065344</v>
      </c>
      <c r="E85" s="154">
        <v>975249.15151863941</v>
      </c>
      <c r="F85" s="161">
        <f>VLOOKUP("RDAF",'S1_S2 EMA'!$C$45:$I$65,7,FALSE)</f>
        <v>-29592.850685355275</v>
      </c>
      <c r="G85" s="157">
        <f>+F85/($D85)*100</f>
        <v>-3.2012801471740751E-2</v>
      </c>
      <c r="H85" s="157"/>
      <c r="I85" s="161">
        <f>VLOOKUP("RAAF",'S1_S2 EMA'!$C$45:$I$65,7,FALSE)</f>
        <v>250008.36138348505</v>
      </c>
      <c r="J85" s="157">
        <f>+I85/($D85)*100</f>
        <v>0.27045275645598515</v>
      </c>
      <c r="K85" s="166"/>
      <c r="L85" s="155">
        <f>VLOOKUP("PAF",'S1_S2 EMA'!$C$45:$I$65,7,FALSE)</f>
        <v>195651.6748845852</v>
      </c>
      <c r="M85" s="156">
        <f>+L85/($D85)*100</f>
        <v>0.21165106032834352</v>
      </c>
      <c r="N85" s="166"/>
      <c r="O85" s="161">
        <f>VLOOKUP("NMRS",'S1_S2 EMA'!$C$45:$I$65,7,FALSE)</f>
        <v>325990.84909442608</v>
      </c>
      <c r="P85" s="157">
        <f>+O85/($D85)*100</f>
        <v>0.35264870034398216</v>
      </c>
      <c r="Q85" s="166"/>
      <c r="R85" s="161">
        <f>VLOOKUP("LTRCA",'S1_S2 EMA'!$C$45:$I$65,7,FALSE)</f>
        <v>160450.47504747086</v>
      </c>
      <c r="S85" s="157">
        <f>+R85/($D85)*100</f>
        <v>0.17357128782064518</v>
      </c>
      <c r="T85" s="166"/>
      <c r="U85" s="161">
        <f>VLOOKUP("AGCE",'S1_S2 EMA'!$C$45:$I$65,7,FALSE)</f>
        <v>524.9242979501945</v>
      </c>
      <c r="V85" s="157">
        <f>+U85/($D85)*100</f>
        <v>5.6784990120226813E-4</v>
      </c>
      <c r="W85" s="166"/>
      <c r="X85" s="161">
        <f>VLOOKUP("SCRA",'S1_S2 EMA'!$C$45:$I$65,7,FALSE)</f>
        <v>189226.90854550147</v>
      </c>
      <c r="Y85" s="157">
        <f>+X85/($D85)*100</f>
        <v>0.20470090971587843</v>
      </c>
      <c r="Z85" s="166"/>
      <c r="AA85" s="161">
        <f>VLOOKUP("SRA",'S1_S2 EMA'!$C$45:$I$65,7,FALSE)</f>
        <v>0</v>
      </c>
      <c r="AB85" s="157">
        <f>+AA85/($D85)*100</f>
        <v>0</v>
      </c>
      <c r="AC85" s="166"/>
      <c r="AD85" s="161">
        <f>VLOOKUP("BSTF",'S1_S2 EMA'!$C$45:$I$65,7,FALSE)</f>
        <v>-12406.027526335138</v>
      </c>
      <c r="AE85" s="157">
        <f>+AD85/($D85)*100</f>
        <v>-1.3420528507922951E-2</v>
      </c>
      <c r="AF85" s="157"/>
      <c r="AG85" s="155">
        <f>VLOOKUP("SPCA",'S1_S2 EMA'!$C$45:$I$65,7,FALSE)</f>
        <v>2207.8327042379092</v>
      </c>
      <c r="AH85" s="156">
        <f>+AG85/($D85)*100</f>
        <v>2.3883778820457413E-3</v>
      </c>
      <c r="AI85" s="166"/>
      <c r="AJ85" s="161">
        <f>VLOOKUP("SECRF",'S1_S2 EMA'!$C$45:$I$65,7,FALSE)</f>
        <v>38941.117986726509</v>
      </c>
      <c r="AK85" s="157">
        <f>+AJ85/($D85)*100</f>
        <v>4.2125521885379741E-2</v>
      </c>
      <c r="AL85" s="166"/>
      <c r="AM85" s="161">
        <f>VLOOKUP("RTWF",'S1_S2 EMA'!$C$45:$I$65,7,FALSE)</f>
        <v>350282.62522575323</v>
      </c>
      <c r="AN85" s="157">
        <f>+AM85/($D85)*100</f>
        <v>0.37892693271018624</v>
      </c>
      <c r="AO85" s="166"/>
      <c r="AP85" s="161">
        <f>VLOOKUP("SMART",'S1_S2 EMA'!$C$45:$I$65,7,FALSE)</f>
        <v>45624.984268647444</v>
      </c>
      <c r="AQ85" s="157">
        <f>+AP85/($D85)*100</f>
        <v>4.9355960298421334E-2</v>
      </c>
      <c r="AR85" s="166"/>
      <c r="AS85" s="155">
        <f>VLOOKUP("tacf",'S1_S2 EMA'!$C$45:$I$65,7,FALSE)</f>
        <v>-69068.604149999999</v>
      </c>
      <c r="AT85" s="156">
        <f>+AS85/($D85)*100</f>
        <v>-7.4716678568530218E-2</v>
      </c>
      <c r="AU85" s="156"/>
      <c r="AV85" s="155">
        <f>L85+I85+O85+U85+AG85+R85+X85+AD85+F85+AJ85+AM85+AA85+AP85+AS85</f>
        <v>1447842.2710770937</v>
      </c>
      <c r="AW85" s="156">
        <f>+AV85/($D85)*100</f>
        <v>1.5662393487938759</v>
      </c>
    </row>
    <row r="86" spans="1:50" ht="14" x14ac:dyDescent="0.3">
      <c r="A86" s="151" t="str">
        <f>IF(C86&lt;&gt;"",COUNTA($C$11:C86),"")</f>
        <v/>
      </c>
      <c r="B86" s="152"/>
      <c r="C86" s="130"/>
      <c r="D86" s="177"/>
      <c r="E86" s="154"/>
      <c r="F86" s="161"/>
      <c r="G86" s="157"/>
      <c r="H86" s="157"/>
      <c r="I86" s="161"/>
      <c r="J86" s="157"/>
      <c r="K86" s="166"/>
      <c r="L86" s="155"/>
      <c r="M86" s="156"/>
      <c r="N86" s="166"/>
      <c r="O86" s="161"/>
      <c r="P86" s="157"/>
      <c r="Q86" s="166"/>
      <c r="R86" s="161"/>
      <c r="S86" s="157"/>
      <c r="T86" s="166"/>
      <c r="U86" s="161"/>
      <c r="V86" s="157"/>
      <c r="W86" s="166"/>
      <c r="X86" s="161"/>
      <c r="Y86" s="157"/>
      <c r="Z86" s="166"/>
      <c r="AA86" s="161"/>
      <c r="AB86" s="157"/>
      <c r="AC86" s="166"/>
      <c r="AD86" s="161"/>
      <c r="AE86" s="157"/>
      <c r="AF86" s="157"/>
      <c r="AG86" s="155"/>
      <c r="AH86" s="156"/>
      <c r="AI86" s="166"/>
      <c r="AJ86" s="161"/>
      <c r="AK86" s="157"/>
      <c r="AL86" s="166"/>
      <c r="AM86" s="161"/>
      <c r="AN86" s="157"/>
      <c r="AO86" s="166"/>
      <c r="AP86" s="161"/>
      <c r="AQ86" s="157"/>
      <c r="AR86" s="166"/>
      <c r="AS86" s="155"/>
      <c r="AT86" s="156"/>
      <c r="AU86" s="156"/>
      <c r="AV86" s="155"/>
      <c r="AW86" s="156"/>
    </row>
    <row r="87" spans="1:50" ht="14" x14ac:dyDescent="0.3">
      <c r="A87" s="151">
        <f>IF(C87&lt;&gt;"",COUNTA($C$11:C87),"")</f>
        <v>39</v>
      </c>
      <c r="B87" s="152" t="s">
        <v>114</v>
      </c>
      <c r="C87" s="138" t="s">
        <v>133</v>
      </c>
      <c r="D87" s="153">
        <f>'Exh 9_Proposed Rev p1'!D87</f>
        <v>31271839.367078818</v>
      </c>
      <c r="E87" s="153">
        <v>581656.21222766605</v>
      </c>
      <c r="F87" s="161">
        <f>VLOOKUP("RDAF",'S1_S2 WMA'!$C$45:$I$65,7,FALSE)</f>
        <v>-8924.8279844722274</v>
      </c>
      <c r="G87" s="157">
        <f>+F87/($D87)*100</f>
        <v>-2.8539504439472691E-2</v>
      </c>
      <c r="H87" s="157"/>
      <c r="I87" s="161">
        <f>VLOOKUP("RAAF",'S1_S2 WMA'!$C$45:$I$65,7,FALSE)</f>
        <v>75399.347083908186</v>
      </c>
      <c r="J87" s="157">
        <f>+I87/($D87)*100</f>
        <v>0.2411094090080427</v>
      </c>
      <c r="K87" s="157"/>
      <c r="L87" s="155">
        <f>VLOOKUP("PAF",'S1_S2 WMA'!$C$45:$I$65,7,FALSE)</f>
        <v>70873.821004109923</v>
      </c>
      <c r="M87" s="156">
        <f>+L87/($D87)*100</f>
        <v>0.22663783915033078</v>
      </c>
      <c r="N87" s="154"/>
      <c r="O87" s="161">
        <f>VLOOKUP("NMRS",'S1_S2 WMA'!$C$45:$I$65,7,FALSE)</f>
        <v>98314.700520541199</v>
      </c>
      <c r="P87" s="157">
        <f>+O87/($D87)*100</f>
        <v>0.3143873290166655</v>
      </c>
      <c r="Q87" s="157"/>
      <c r="R87" s="161">
        <f>VLOOKUP("LTRCA",'S1_S2 WMA'!$C$45:$I$65,7,FALSE)</f>
        <v>54278.934314642196</v>
      </c>
      <c r="S87" s="157">
        <f>+R87/($D87)*100</f>
        <v>0.17357128782064518</v>
      </c>
      <c r="T87" s="157"/>
      <c r="U87" s="161">
        <f>VLOOKUP("AGCE",'S1_S2 WMA'!$C$45:$I$65,7,FALSE)</f>
        <v>158.31050255640787</v>
      </c>
      <c r="V87" s="157">
        <f>+U87/($D87)*100</f>
        <v>5.0623981754993282E-4</v>
      </c>
      <c r="W87" s="157"/>
      <c r="X87" s="161">
        <f>VLOOKUP("SCRA",'S1_S2 WMA'!$C$45:$I$65,7,FALSE)</f>
        <v>56692.305516007567</v>
      </c>
      <c r="Y87" s="157">
        <f>+X87/($D87)*100</f>
        <v>0.18128868228867262</v>
      </c>
      <c r="Z87" s="157"/>
      <c r="AA87" s="161">
        <f>VLOOKUP("SRA",'S1_S2 WMA'!$C$45:$I$65,7,FALSE)</f>
        <v>0</v>
      </c>
      <c r="AB87" s="157">
        <f>+AA87/($D87)*100</f>
        <v>0</v>
      </c>
      <c r="AC87" s="157"/>
      <c r="AD87" s="161">
        <f>VLOOKUP("BSTF",'S1_S2 WMA'!$C$45:$I$65,7,FALSE)</f>
        <v>-3741.5003650852004</v>
      </c>
      <c r="AE87" s="157">
        <f>+AD87/($D87)*100</f>
        <v>-1.196443970297454E-2</v>
      </c>
      <c r="AF87" s="157"/>
      <c r="AG87" s="155">
        <f>VLOOKUP("SPCA",'S1_S2 WMA'!$C$45:$I$65,7,FALSE)</f>
        <v>665.85430762730596</v>
      </c>
      <c r="AH87" s="156">
        <f>+AG87/($D87)*100</f>
        <v>2.129245740269051E-3</v>
      </c>
      <c r="AI87" s="157"/>
      <c r="AJ87" s="161">
        <f>VLOOKUP("SECRF",'S1_S2 WMA'!$C$45:$I$65,7,FALSE)</f>
        <v>11744.146694409583</v>
      </c>
      <c r="AK87" s="157">
        <f>+AJ87/($D87)*100</f>
        <v>3.7555023727747661E-2</v>
      </c>
      <c r="AL87" s="157"/>
      <c r="AM87" s="161">
        <f>VLOOKUP("RTWF",'S1_S2 WMA'!$C$45:$I$65,7,FALSE)</f>
        <v>126888.09383177797</v>
      </c>
      <c r="AN87" s="157">
        <f>+AM87/($D87)*100</f>
        <v>0.40575833209657125</v>
      </c>
      <c r="AO87" s="157"/>
      <c r="AP87" s="161">
        <f>VLOOKUP("SMART",'S1_S2 WMA'!$C$45:$I$65,7,FALSE)</f>
        <v>13759.915890544466</v>
      </c>
      <c r="AQ87" s="157">
        <f>+AP87/($D87)*100</f>
        <v>4.4000980335778102E-2</v>
      </c>
      <c r="AR87" s="157"/>
      <c r="AS87" s="155">
        <f>VLOOKUP("tacf",'S1_S2 WMA'!$C$45:$I$65,7,FALSE)</f>
        <v>-20830.213950000001</v>
      </c>
      <c r="AT87" s="156">
        <f>+AS87/($D87)*100</f>
        <v>-6.661013349898709E-2</v>
      </c>
      <c r="AU87" s="156"/>
      <c r="AV87" s="155">
        <f>L87+I87+O87+U87+AG87+R87+X87+AD87+F87+AJ87+AM87+AA87+AP87+AS87</f>
        <v>475278.88736656745</v>
      </c>
      <c r="AW87" s="156">
        <f>+AV87/($D87)*100</f>
        <v>1.5198302913608388</v>
      </c>
    </row>
    <row r="88" spans="1:50" ht="6.75" customHeight="1" thickBot="1" x14ac:dyDescent="0.35">
      <c r="A88" s="151" t="str">
        <f>IF(C88&lt;&gt;"",COUNTA($C$11:C88),"")</f>
        <v/>
      </c>
      <c r="B88" s="151"/>
      <c r="D88" s="169"/>
      <c r="E88" s="201"/>
      <c r="F88" s="176"/>
      <c r="G88" s="175"/>
      <c r="H88" s="175"/>
      <c r="I88" s="176"/>
      <c r="J88" s="175"/>
      <c r="K88" s="175"/>
      <c r="L88" s="173"/>
      <c r="M88" s="174"/>
      <c r="N88" s="175"/>
      <c r="O88" s="176"/>
      <c r="P88" s="175"/>
      <c r="Q88" s="175"/>
      <c r="R88" s="176"/>
      <c r="S88" s="175"/>
      <c r="T88" s="175"/>
      <c r="U88" s="176"/>
      <c r="V88" s="175"/>
      <c r="W88" s="175"/>
      <c r="X88" s="176"/>
      <c r="Y88" s="175"/>
      <c r="Z88" s="175"/>
      <c r="AA88" s="176"/>
      <c r="AB88" s="175"/>
      <c r="AC88" s="175"/>
      <c r="AD88" s="176"/>
      <c r="AE88" s="175"/>
      <c r="AF88" s="175"/>
      <c r="AG88" s="173"/>
      <c r="AH88" s="174"/>
      <c r="AI88" s="175"/>
      <c r="AJ88" s="176"/>
      <c r="AK88" s="175"/>
      <c r="AL88" s="159"/>
      <c r="AM88" s="176"/>
      <c r="AN88" s="175"/>
      <c r="AO88" s="175"/>
      <c r="AP88" s="176"/>
      <c r="AQ88" s="175"/>
      <c r="AR88" s="175"/>
      <c r="AS88" s="173"/>
      <c r="AT88" s="174"/>
      <c r="AU88" s="174"/>
      <c r="AV88" s="173" t="s">
        <v>46</v>
      </c>
      <c r="AW88" s="174"/>
      <c r="AX88" s="175"/>
    </row>
    <row r="89" spans="1:50" ht="6.75" customHeight="1" x14ac:dyDescent="0.3">
      <c r="A89" s="151" t="str">
        <f>IF(C89&lt;&gt;"",COUNTA($C$11:C89),"")</f>
        <v/>
      </c>
      <c r="B89" s="151"/>
      <c r="D89" s="177"/>
      <c r="E89" s="202"/>
      <c r="F89" s="161"/>
      <c r="G89" s="157"/>
      <c r="H89" s="157"/>
      <c r="I89" s="161"/>
      <c r="J89" s="157"/>
      <c r="K89" s="157"/>
      <c r="L89" s="155"/>
      <c r="M89" s="156"/>
      <c r="N89" s="157"/>
      <c r="O89" s="161"/>
      <c r="P89" s="157"/>
      <c r="Q89" s="157"/>
      <c r="R89" s="161"/>
      <c r="S89" s="157"/>
      <c r="T89" s="157"/>
      <c r="U89" s="161"/>
      <c r="V89" s="157"/>
      <c r="W89" s="157"/>
      <c r="X89" s="161"/>
      <c r="Y89" s="157"/>
      <c r="Z89" s="157"/>
      <c r="AA89" s="161"/>
      <c r="AB89" s="157"/>
      <c r="AC89" s="157"/>
      <c r="AD89" s="161"/>
      <c r="AE89" s="157"/>
      <c r="AF89" s="157"/>
      <c r="AG89" s="155"/>
      <c r="AH89" s="156"/>
      <c r="AI89" s="157"/>
      <c r="AJ89" s="161"/>
      <c r="AK89" s="157"/>
      <c r="AL89" s="157"/>
      <c r="AM89" s="161"/>
      <c r="AN89" s="157"/>
      <c r="AO89" s="157"/>
      <c r="AP89" s="161"/>
      <c r="AQ89" s="157"/>
      <c r="AR89" s="157"/>
      <c r="AS89" s="155"/>
      <c r="AT89" s="156"/>
      <c r="AU89" s="156"/>
      <c r="AV89" s="155" t="s">
        <v>46</v>
      </c>
      <c r="AW89" s="156"/>
    </row>
    <row r="90" spans="1:50" ht="14" x14ac:dyDescent="0.3">
      <c r="A90" s="151">
        <f>IF(C90&lt;&gt;"",COUNTA($C$11:C90),"")</f>
        <v>40</v>
      </c>
      <c r="B90" s="151"/>
      <c r="C90" s="138" t="s">
        <v>47</v>
      </c>
      <c r="D90" s="177">
        <f>SUM(D11:D88)</f>
        <v>23317563754.950111</v>
      </c>
      <c r="E90" s="154">
        <f t="shared" ref="E90:F90" si="0">SUM(E11:E88)</f>
        <v>323921129.77667093</v>
      </c>
      <c r="F90" s="161">
        <f t="shared" si="0"/>
        <v>-9394555.7730414439</v>
      </c>
      <c r="G90" s="157">
        <f>+F90/($D90)*100</f>
        <v>-4.0289611177956201E-2</v>
      </c>
      <c r="H90" s="157"/>
      <c r="I90" s="161">
        <f>SUM(I11:I88)</f>
        <v>79367733.771798059</v>
      </c>
      <c r="J90" s="157">
        <f>+I90/($D90)*100</f>
        <v>0.34037747084512204</v>
      </c>
      <c r="K90" s="180"/>
      <c r="L90" s="155">
        <f>SUM(L11:L88)</f>
        <v>14260326.157621577</v>
      </c>
      <c r="M90" s="156">
        <f>+L90/($D90)*100</f>
        <v>6.1157015833586979E-2</v>
      </c>
      <c r="N90" s="180"/>
      <c r="O90" s="161">
        <f>SUM(O11:O88)</f>
        <v>103489158.44171412</v>
      </c>
      <c r="P90" s="157">
        <f>+O90/($D90)*100</f>
        <v>0.44382491897226745</v>
      </c>
      <c r="Q90" s="180"/>
      <c r="R90" s="161">
        <f>SUM(R11:R88)</f>
        <v>40472595.696528465</v>
      </c>
      <c r="S90" s="157">
        <f>+R90/($D90)*100</f>
        <v>0.17357128781490516</v>
      </c>
      <c r="T90" s="180"/>
      <c r="U90" s="161">
        <f>SUM(U11:U88)</f>
        <v>166642.63426835588</v>
      </c>
      <c r="V90" s="157">
        <f>+U90/($D90)*100</f>
        <v>7.1466571730924983E-4</v>
      </c>
      <c r="W90" s="180"/>
      <c r="X90" s="161">
        <f>SUM(X11:X88)</f>
        <v>60078882.156206995</v>
      </c>
      <c r="Y90" s="157">
        <f>+X90/($D90)*100</f>
        <v>0.257655056881544</v>
      </c>
      <c r="Z90" s="157"/>
      <c r="AA90" s="161">
        <f>SUM(AA11:AA88)</f>
        <v>0</v>
      </c>
      <c r="AB90" s="157">
        <f>+AA90/($D90)*100</f>
        <v>0</v>
      </c>
      <c r="AC90" s="157"/>
      <c r="AD90" s="161">
        <f>SUM(AD11:AD88)</f>
        <v>-3938421.4368952257</v>
      </c>
      <c r="AE90" s="157">
        <f>+AD90/($D90)*100</f>
        <v>-1.6890364183347131E-2</v>
      </c>
      <c r="AF90" s="157"/>
      <c r="AG90" s="155">
        <f>SUM(AG11:AG88)</f>
        <v>700899.27118013054</v>
      </c>
      <c r="AH90" s="156">
        <f>+AG90/($D90)*100</f>
        <v>3.0058855142245976E-3</v>
      </c>
      <c r="AI90" s="157"/>
      <c r="AJ90" s="161">
        <f>SUM(AJ11:AJ88)</f>
        <v>12362259.678211104</v>
      </c>
      <c r="AK90" s="157">
        <f>+AJ90/($D90)*100</f>
        <v>5.3016943828819628E-2</v>
      </c>
      <c r="AL90" s="157"/>
      <c r="AM90" s="158">
        <f>SUM(AM11:AM88)</f>
        <v>25530803.587619685</v>
      </c>
      <c r="AN90" s="166">
        <f>+AM90/($D90)*100</f>
        <v>0.10949172844954577</v>
      </c>
      <c r="AO90" s="180"/>
      <c r="AP90" s="161">
        <f>SUM(AP11:AP88)</f>
        <v>14484121.989912335</v>
      </c>
      <c r="AQ90" s="157">
        <f>+AP90/($D90)*100</f>
        <v>6.2116789481651932E-2</v>
      </c>
      <c r="AR90" s="180"/>
      <c r="AS90" s="155">
        <f>SUM(AS11:AS88)</f>
        <v>-21926540.999796446</v>
      </c>
      <c r="AT90" s="156">
        <f>+AS90/($D90)*100</f>
        <v>-9.403444214939323E-2</v>
      </c>
      <c r="AU90" s="203"/>
      <c r="AV90" s="155">
        <f>SUM(AV11:AV88)</f>
        <v>315653905.17532784</v>
      </c>
      <c r="AW90" s="156">
        <f>+AV90/($D90)*100</f>
        <v>1.3537173458282807</v>
      </c>
    </row>
    <row r="91" spans="1:50" ht="14" x14ac:dyDescent="0.3">
      <c r="L91" s="115"/>
      <c r="O91" s="157"/>
      <c r="P91" s="157"/>
      <c r="Q91" s="157"/>
      <c r="R91" s="157"/>
      <c r="S91" s="157"/>
      <c r="T91" s="157"/>
      <c r="U91" s="179"/>
      <c r="V91" s="157"/>
      <c r="W91" s="157"/>
      <c r="X91" s="157"/>
      <c r="Y91" s="157"/>
      <c r="Z91" s="157"/>
      <c r="AA91" s="157"/>
      <c r="AB91" s="157"/>
      <c r="AC91" s="157"/>
      <c r="AD91" s="161"/>
      <c r="AE91" s="157"/>
      <c r="AF91" s="157"/>
      <c r="AG91" s="161"/>
      <c r="AH91" s="157"/>
      <c r="AI91" s="157"/>
      <c r="AJ91" s="157"/>
      <c r="AK91" s="157"/>
      <c r="AL91" s="157"/>
      <c r="AM91" s="157"/>
      <c r="AN91" s="157"/>
      <c r="AO91" s="157"/>
      <c r="AP91" s="157"/>
      <c r="AQ91" s="157"/>
      <c r="AR91" s="157"/>
      <c r="AS91" s="157"/>
      <c r="AT91" s="157"/>
      <c r="AU91" s="157"/>
      <c r="AW91" s="157"/>
    </row>
    <row r="92" spans="1:50" ht="14" x14ac:dyDescent="0.3">
      <c r="B92" s="32"/>
      <c r="L92" s="115"/>
      <c r="O92" s="157"/>
      <c r="P92" s="157"/>
      <c r="Q92" s="157"/>
      <c r="R92" s="157"/>
      <c r="S92" s="157"/>
      <c r="T92" s="157"/>
      <c r="U92" s="179"/>
      <c r="V92" s="157"/>
      <c r="W92" s="157"/>
      <c r="X92" s="157"/>
      <c r="Y92" s="157"/>
      <c r="Z92" s="157"/>
      <c r="AA92" s="157"/>
      <c r="AB92" s="157"/>
      <c r="AC92" s="157"/>
      <c r="AD92" s="161"/>
      <c r="AE92" s="157"/>
      <c r="AF92" s="157"/>
      <c r="AG92" s="161"/>
      <c r="AH92" s="157"/>
      <c r="AI92" s="157"/>
      <c r="AJ92" s="157"/>
      <c r="AK92" s="157"/>
      <c r="AL92" s="157"/>
      <c r="AM92" s="157"/>
      <c r="AN92" s="157"/>
      <c r="AO92" s="157"/>
      <c r="AP92" s="157"/>
      <c r="AQ92" s="157"/>
      <c r="AR92" s="157"/>
      <c r="AS92" s="157"/>
      <c r="AT92" s="157"/>
      <c r="AU92" s="157"/>
      <c r="AW92" s="157"/>
    </row>
    <row r="93" spans="1:50" ht="14" x14ac:dyDescent="0.3">
      <c r="B93" s="32"/>
      <c r="L93" s="115"/>
      <c r="O93" s="157"/>
      <c r="P93" s="157"/>
      <c r="Q93" s="157"/>
      <c r="R93" s="157"/>
      <c r="S93" s="157"/>
      <c r="T93" s="157"/>
      <c r="U93" s="179"/>
      <c r="V93" s="157"/>
      <c r="W93" s="157"/>
      <c r="X93" s="157"/>
      <c r="Y93" s="157"/>
      <c r="Z93" s="157"/>
      <c r="AA93" s="157"/>
      <c r="AB93" s="157"/>
      <c r="AC93" s="157"/>
      <c r="AD93" s="161"/>
      <c r="AE93" s="157"/>
      <c r="AF93" s="157"/>
      <c r="AG93" s="161"/>
      <c r="AH93" s="157"/>
      <c r="AI93" s="157"/>
      <c r="AJ93" s="157"/>
      <c r="AK93" s="157"/>
      <c r="AL93" s="157"/>
      <c r="AM93" s="157"/>
      <c r="AN93" s="157"/>
      <c r="AO93" s="157"/>
      <c r="AP93" s="157"/>
      <c r="AQ93" s="157"/>
      <c r="AR93" s="157"/>
      <c r="AS93" s="157"/>
      <c r="AT93" s="157"/>
      <c r="AU93" s="157"/>
      <c r="AW93" s="157"/>
    </row>
    <row r="94" spans="1:50" ht="14" x14ac:dyDescent="0.3">
      <c r="C94" s="130"/>
      <c r="L94" s="115"/>
      <c r="O94" s="157"/>
      <c r="P94" s="157"/>
      <c r="Q94" s="157"/>
      <c r="R94" s="157"/>
      <c r="S94" s="157"/>
      <c r="T94" s="157"/>
      <c r="U94" s="179"/>
      <c r="V94" s="157"/>
      <c r="W94" s="157"/>
      <c r="X94" s="157"/>
      <c r="Y94" s="157"/>
      <c r="Z94" s="157"/>
      <c r="AA94" s="157"/>
      <c r="AB94" s="157"/>
      <c r="AC94" s="157"/>
      <c r="AD94" s="161"/>
      <c r="AE94" s="157"/>
      <c r="AF94" s="157"/>
      <c r="AG94" s="161"/>
      <c r="AH94" s="157"/>
      <c r="AI94" s="157"/>
      <c r="AJ94" s="157"/>
      <c r="AK94" s="157"/>
      <c r="AL94" s="157"/>
      <c r="AM94" s="157"/>
      <c r="AN94" s="157"/>
      <c r="AO94" s="157"/>
      <c r="AP94" s="157"/>
      <c r="AQ94" s="157"/>
      <c r="AR94" s="157"/>
      <c r="AS94" s="157"/>
      <c r="AT94" s="157"/>
      <c r="AU94" s="157"/>
      <c r="AW94" s="157"/>
    </row>
    <row r="95" spans="1:50" ht="14" x14ac:dyDescent="0.3">
      <c r="C95" s="130"/>
      <c r="O95" s="157"/>
      <c r="P95" s="157"/>
      <c r="Q95" s="157"/>
      <c r="R95" s="157"/>
      <c r="S95" s="157"/>
      <c r="T95" s="157"/>
      <c r="U95" s="179"/>
      <c r="V95" s="157"/>
      <c r="W95" s="157"/>
      <c r="X95" s="157"/>
      <c r="Y95" s="157"/>
      <c r="Z95" s="157"/>
      <c r="AA95" s="157"/>
      <c r="AB95" s="157"/>
      <c r="AC95" s="157"/>
      <c r="AD95" s="161"/>
      <c r="AE95" s="157"/>
      <c r="AF95" s="157"/>
      <c r="AG95" s="161"/>
      <c r="AH95" s="157"/>
      <c r="AI95" s="157"/>
      <c r="AJ95" s="157"/>
      <c r="AK95" s="157"/>
      <c r="AL95" s="157"/>
      <c r="AM95" s="157"/>
      <c r="AN95" s="157"/>
      <c r="AO95" s="157"/>
      <c r="AP95" s="157"/>
      <c r="AQ95" s="157"/>
      <c r="AR95" s="157"/>
      <c r="AS95" s="157"/>
      <c r="AT95" s="157"/>
      <c r="AU95" s="157"/>
      <c r="AW95" s="157"/>
    </row>
    <row r="96" spans="1:50" ht="14" x14ac:dyDescent="0.3">
      <c r="F96" s="204"/>
      <c r="G96" s="204"/>
      <c r="H96" s="204"/>
      <c r="I96" s="154"/>
      <c r="J96" s="204"/>
      <c r="K96" s="204"/>
      <c r="L96" s="154"/>
      <c r="M96" s="204"/>
      <c r="N96" s="204"/>
      <c r="O96" s="154"/>
      <c r="P96" s="204"/>
      <c r="Q96" s="204"/>
      <c r="R96" s="154"/>
      <c r="S96" s="204"/>
      <c r="T96" s="204"/>
      <c r="U96" s="204"/>
      <c r="V96" s="204"/>
      <c r="W96" s="204"/>
      <c r="X96" s="15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</row>
    <row r="97" spans="3:48" ht="14" x14ac:dyDescent="0.3">
      <c r="R97" s="154"/>
    </row>
    <row r="98" spans="3:48" ht="14" x14ac:dyDescent="0.3">
      <c r="R98" s="154"/>
    </row>
    <row r="99" spans="3:48" ht="14" x14ac:dyDescent="0.3">
      <c r="R99" s="154"/>
    </row>
    <row r="100" spans="3:48" ht="14" x14ac:dyDescent="0.3">
      <c r="R100" s="154"/>
    </row>
    <row r="101" spans="3:48" ht="14" x14ac:dyDescent="0.3">
      <c r="R101" s="154"/>
    </row>
    <row r="102" spans="3:48" ht="14" x14ac:dyDescent="0.3">
      <c r="R102" s="154"/>
    </row>
    <row r="103" spans="3:48" ht="14" x14ac:dyDescent="0.3">
      <c r="C103" s="130"/>
      <c r="F103" s="204"/>
      <c r="I103" s="204"/>
      <c r="L103" s="204"/>
      <c r="O103" s="204"/>
      <c r="R103" s="204"/>
      <c r="U103" s="204"/>
      <c r="X103" s="204"/>
      <c r="AG103" s="204"/>
      <c r="AM103" s="204"/>
      <c r="AV103" s="204"/>
    </row>
    <row r="104" spans="3:48" ht="14" x14ac:dyDescent="0.3">
      <c r="R104" s="154"/>
    </row>
    <row r="105" spans="3:48" ht="14" x14ac:dyDescent="0.3">
      <c r="R105" s="154"/>
    </row>
    <row r="106" spans="3:48" ht="14" x14ac:dyDescent="0.3">
      <c r="R106" s="154"/>
    </row>
    <row r="107" spans="3:48" ht="14" x14ac:dyDescent="0.3">
      <c r="R107" s="154"/>
    </row>
    <row r="108" spans="3:48" ht="14" x14ac:dyDescent="0.3">
      <c r="R108" s="154"/>
    </row>
    <row r="109" spans="3:48" ht="14" x14ac:dyDescent="0.3">
      <c r="R109" s="154"/>
    </row>
    <row r="110" spans="3:48" ht="14" x14ac:dyDescent="0.3">
      <c r="R110" s="154"/>
    </row>
    <row r="111" spans="3:48" ht="14" x14ac:dyDescent="0.3">
      <c r="R111" s="154"/>
    </row>
  </sheetData>
  <mergeCells count="17">
    <mergeCell ref="AM8:AN8"/>
    <mergeCell ref="AP8:AQ8"/>
    <mergeCell ref="AS8:AT8"/>
    <mergeCell ref="A4:AW4"/>
    <mergeCell ref="A5:AW5"/>
    <mergeCell ref="F8:G8"/>
    <mergeCell ref="I8:J8"/>
    <mergeCell ref="L8:M8"/>
    <mergeCell ref="O8:P8"/>
    <mergeCell ref="R8:S8"/>
    <mergeCell ref="U8:V8"/>
    <mergeCell ref="X8:Y8"/>
    <mergeCell ref="AA8:AB8"/>
    <mergeCell ref="AV8:AW8"/>
    <mergeCell ref="AD8:AE8"/>
    <mergeCell ref="AG8:AH8"/>
    <mergeCell ref="AJ8:AK8"/>
  </mergeCells>
  <pageMargins left="0.5" right="0.5" top="0.75" bottom="0.75" header="0.3" footer="0.3"/>
  <pageSetup scale="32" orientation="landscape" r:id="rId1"/>
  <headerFooter>
    <oddHeader>&amp;RNSTAR Electric Company
d/b/a Eversource Energy
D.P.U. 18-120 (Nov. 30, 2018)
Exhibit ES-MQ-9
Page &amp;P of &amp;N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376AA-FCE5-4AA7-A1B6-5EDD5AC9D00F}">
  <sheetPr>
    <tabColor theme="3" tint="0.59999389629810485"/>
  </sheetPr>
  <dimension ref="A4:K48"/>
  <sheetViews>
    <sheetView workbookViewId="0"/>
  </sheetViews>
  <sheetFormatPr defaultRowHeight="12.5" x14ac:dyDescent="0.25"/>
  <cols>
    <col min="1" max="1" width="3.26953125" bestFit="1" customWidth="1"/>
    <col min="4" max="4" width="11.54296875" bestFit="1" customWidth="1"/>
    <col min="5" max="5" width="7.54296875" bestFit="1" customWidth="1"/>
    <col min="6" max="6" width="1.7265625" customWidth="1"/>
    <col min="7" max="7" width="13.54296875" bestFit="1" customWidth="1"/>
    <col min="8" max="8" width="10.7265625" bestFit="1" customWidth="1"/>
    <col min="9" max="9" width="1.7265625" customWidth="1"/>
    <col min="10" max="10" width="16.453125" customWidth="1"/>
    <col min="11" max="11" width="10.7265625" bestFit="1" customWidth="1"/>
  </cols>
  <sheetData>
    <row r="4" spans="1:11" ht="14" x14ac:dyDescent="0.3">
      <c r="A4" s="744" t="s">
        <v>344</v>
      </c>
      <c r="B4" s="744"/>
      <c r="C4" s="744"/>
      <c r="D4" s="744"/>
      <c r="E4" s="744"/>
      <c r="F4" s="744"/>
      <c r="G4" s="744"/>
      <c r="H4" s="744"/>
      <c r="I4" s="744"/>
      <c r="J4" s="744"/>
      <c r="K4" s="744"/>
    </row>
    <row r="5" spans="1:11" ht="14" x14ac:dyDescent="0.3">
      <c r="A5" s="744" t="s">
        <v>527</v>
      </c>
      <c r="B5" s="744"/>
      <c r="C5" s="744"/>
      <c r="D5" s="744"/>
      <c r="E5" s="744"/>
      <c r="F5" s="744"/>
      <c r="G5" s="744"/>
      <c r="H5" s="744"/>
      <c r="I5" s="744"/>
      <c r="J5" s="744"/>
      <c r="K5" s="744"/>
    </row>
    <row r="6" spans="1:11" ht="14" x14ac:dyDescent="0.3">
      <c r="A6" s="744" t="str">
        <f>+'Exh 10_Bill_summary EMA'!A6:L6</f>
        <v>Proposed January 1, 2019</v>
      </c>
      <c r="B6" s="744"/>
      <c r="C6" s="744"/>
      <c r="D6" s="744"/>
      <c r="E6" s="744"/>
      <c r="F6" s="744"/>
      <c r="G6" s="744"/>
      <c r="H6" s="744"/>
      <c r="I6" s="744"/>
      <c r="J6" s="744"/>
      <c r="K6" s="744"/>
    </row>
    <row r="8" spans="1:11" ht="14" x14ac:dyDescent="0.3">
      <c r="D8" s="755" t="s">
        <v>528</v>
      </c>
      <c r="E8" s="755"/>
      <c r="F8" s="316"/>
      <c r="G8" s="755" t="s">
        <v>529</v>
      </c>
      <c r="H8" s="755"/>
      <c r="I8" s="317"/>
      <c r="J8" s="756" t="s">
        <v>530</v>
      </c>
      <c r="K8" s="756"/>
    </row>
    <row r="9" spans="1:11" ht="14" x14ac:dyDescent="0.3">
      <c r="B9" s="144" t="s">
        <v>531</v>
      </c>
      <c r="C9" s="256" t="s">
        <v>211</v>
      </c>
      <c r="D9" s="318" t="s">
        <v>533</v>
      </c>
      <c r="E9" s="250" t="s">
        <v>534</v>
      </c>
      <c r="F9" s="319"/>
      <c r="G9" s="320" t="s">
        <v>535</v>
      </c>
      <c r="H9" s="320" t="s">
        <v>325</v>
      </c>
      <c r="I9" s="320"/>
      <c r="J9" s="320" t="s">
        <v>535</v>
      </c>
      <c r="K9" s="320" t="s">
        <v>325</v>
      </c>
    </row>
    <row r="10" spans="1:11" ht="14" x14ac:dyDescent="0.3">
      <c r="A10" s="138">
        <f>IF(B10&lt;&gt;"",COUNTA($B10:B$10),"")</f>
        <v>1</v>
      </c>
      <c r="B10" s="130" t="s">
        <v>275</v>
      </c>
      <c r="C10" s="188" t="s">
        <v>244</v>
      </c>
      <c r="D10" s="321">
        <f>+'Bill_WMA R1'!$C$26</f>
        <v>516</v>
      </c>
      <c r="E10" s="321"/>
      <c r="F10" s="204"/>
      <c r="G10" s="322">
        <f>+'Bill_WMA R1'!$L$26</f>
        <v>4.4899999999999807</v>
      </c>
      <c r="H10" s="323">
        <f>+'Bill_WMA R1'!$M$26</f>
        <v>3.8115449915110192E-2</v>
      </c>
      <c r="I10" s="162"/>
      <c r="J10" s="324">
        <f>+G10*12</f>
        <v>53.879999999999768</v>
      </c>
      <c r="K10" s="162">
        <f>+H10</f>
        <v>3.8115449915110192E-2</v>
      </c>
    </row>
    <row r="11" spans="1:11" ht="14" x14ac:dyDescent="0.3">
      <c r="D11" s="321"/>
      <c r="E11" s="321"/>
      <c r="F11" s="204"/>
      <c r="G11" s="322"/>
      <c r="H11" s="323"/>
      <c r="I11" s="162"/>
      <c r="J11" s="324"/>
      <c r="K11" s="162"/>
    </row>
    <row r="12" spans="1:11" ht="14" x14ac:dyDescent="0.3">
      <c r="A12" s="138">
        <f>IF(B12&lt;&gt;"",COUNTA($B$10:B12),"")</f>
        <v>2</v>
      </c>
      <c r="B12" s="130" t="s">
        <v>275</v>
      </c>
      <c r="C12" s="188" t="s">
        <v>246</v>
      </c>
      <c r="D12" s="321">
        <f>+'Bill_WMA R2'!$C$26</f>
        <v>488</v>
      </c>
      <c r="E12" s="321"/>
      <c r="F12" s="204"/>
      <c r="G12" s="322">
        <f>+'Bill_WMA R2'!$L$26</f>
        <v>2.7199999999999989</v>
      </c>
      <c r="H12" s="323">
        <f>+'Bill_WMA R2'!$M$26</f>
        <v>4.0380047505938224E-2</v>
      </c>
      <c r="I12" s="162"/>
      <c r="J12" s="324">
        <f t="shared" ref="J12:J16" si="0">+G12*12</f>
        <v>32.639999999999986</v>
      </c>
      <c r="K12" s="162">
        <f t="shared" ref="K12:K16" si="1">+H12</f>
        <v>4.0380047505938224E-2</v>
      </c>
    </row>
    <row r="13" spans="1:11" ht="14" x14ac:dyDescent="0.3">
      <c r="D13" s="321"/>
      <c r="E13" s="321"/>
      <c r="F13" s="204"/>
      <c r="G13" s="322"/>
      <c r="H13" s="323"/>
      <c r="I13" s="162"/>
      <c r="J13" s="324"/>
      <c r="K13" s="162"/>
    </row>
    <row r="14" spans="1:11" ht="14" x14ac:dyDescent="0.3">
      <c r="A14" s="138">
        <f>IF(B14&lt;&gt;"",COUNTA($B$10:B14),"")</f>
        <v>3</v>
      </c>
      <c r="B14" s="130" t="s">
        <v>275</v>
      </c>
      <c r="C14" s="188" t="s">
        <v>247</v>
      </c>
      <c r="D14" s="321">
        <f>+'Bill_WMA R3'!$C$26</f>
        <v>740</v>
      </c>
      <c r="E14" s="321"/>
      <c r="F14" s="204"/>
      <c r="G14" s="322">
        <f>+'Bill_WMA R3'!$L$26</f>
        <v>6.4499999999999886</v>
      </c>
      <c r="H14" s="323">
        <f>+'Bill_WMA R3'!$M$26</f>
        <v>4.0553285130462045E-2</v>
      </c>
      <c r="I14" s="162"/>
      <c r="J14" s="324">
        <f t="shared" si="0"/>
        <v>77.399999999999864</v>
      </c>
      <c r="K14" s="162">
        <f t="shared" si="1"/>
        <v>4.0553285130462045E-2</v>
      </c>
    </row>
    <row r="15" spans="1:11" ht="14" x14ac:dyDescent="0.3">
      <c r="D15" s="321"/>
      <c r="E15" s="321"/>
      <c r="F15" s="204"/>
      <c r="G15" s="322"/>
      <c r="H15" s="323"/>
      <c r="I15" s="162"/>
      <c r="J15" s="324"/>
      <c r="K15" s="162"/>
    </row>
    <row r="16" spans="1:11" ht="14" x14ac:dyDescent="0.3">
      <c r="A16" s="138">
        <f>IF(B16&lt;&gt;"",COUNTA($B$10:B16),"")</f>
        <v>4</v>
      </c>
      <c r="B16" s="130" t="s">
        <v>275</v>
      </c>
      <c r="C16" s="188" t="s">
        <v>248</v>
      </c>
      <c r="D16" s="321">
        <f>+'Bill_WMA R4'!$C$26</f>
        <v>874</v>
      </c>
      <c r="E16" s="321"/>
      <c r="F16" s="204"/>
      <c r="G16" s="322">
        <f>+'Bill_WMA R4'!$L$26</f>
        <v>4.8699999999999761</v>
      </c>
      <c r="H16" s="323">
        <f>+'Bill_WMA R4'!$M$26</f>
        <v>4.3509336192262806E-2</v>
      </c>
      <c r="I16" s="162"/>
      <c r="J16" s="324">
        <f t="shared" si="0"/>
        <v>58.439999999999714</v>
      </c>
      <c r="K16" s="162">
        <f t="shared" si="1"/>
        <v>4.3509336192262806E-2</v>
      </c>
    </row>
    <row r="17" spans="1:11" ht="14" x14ac:dyDescent="0.3">
      <c r="D17" s="321"/>
      <c r="E17" s="321"/>
      <c r="F17" s="204"/>
      <c r="G17" s="322"/>
      <c r="H17" s="323"/>
      <c r="I17" s="162"/>
      <c r="J17" s="324"/>
      <c r="K17" s="162"/>
    </row>
    <row r="18" spans="1:11" ht="14" x14ac:dyDescent="0.3">
      <c r="A18" s="138">
        <f>IF(B18&lt;&gt;"",COUNTA($B$10:B18),"")</f>
        <v>5</v>
      </c>
      <c r="B18" s="130" t="s">
        <v>275</v>
      </c>
      <c r="C18" s="130">
        <v>23</v>
      </c>
      <c r="D18" s="321">
        <f>+'Bill_WMA 23'!C20</f>
        <v>644</v>
      </c>
      <c r="E18" s="321"/>
      <c r="F18" s="204"/>
      <c r="G18" s="326">
        <f>+'Bill_WMA 23'!L20</f>
        <v>5.3516399999999749</v>
      </c>
      <c r="H18" s="323">
        <f>+'Bill_WMA 23'!M20</f>
        <v>3.89614927973174E-2</v>
      </c>
      <c r="I18" s="162"/>
      <c r="J18" s="324">
        <f t="shared" ref="J18" si="2">+G18*12</f>
        <v>64.219679999999698</v>
      </c>
      <c r="K18" s="162">
        <f t="shared" ref="K18" si="3">+H18</f>
        <v>3.89614927973174E-2</v>
      </c>
    </row>
    <row r="19" spans="1:11" ht="14" x14ac:dyDescent="0.3">
      <c r="D19" s="321"/>
      <c r="E19" s="321"/>
      <c r="F19" s="204"/>
      <c r="G19" s="322"/>
      <c r="H19" s="323"/>
      <c r="I19" s="162"/>
      <c r="J19" s="324"/>
      <c r="K19" s="162"/>
    </row>
    <row r="20" spans="1:11" ht="14" x14ac:dyDescent="0.3">
      <c r="A20" s="138">
        <f>IF(B20&lt;&gt;"",COUNTA($B$10:B20),"")</f>
        <v>6</v>
      </c>
      <c r="B20" s="130" t="s">
        <v>275</v>
      </c>
      <c r="C20" s="130">
        <v>24</v>
      </c>
      <c r="D20" s="321">
        <f>+'Bill_WMA 24'!D21</f>
        <v>1300</v>
      </c>
      <c r="E20" s="321">
        <f>+'Bill_WMA 24'!C21</f>
        <v>13</v>
      </c>
      <c r="F20" s="321"/>
      <c r="G20" s="326">
        <f>+'Bill_WMA 24'!M21</f>
        <v>13.09599999999989</v>
      </c>
      <c r="H20" s="323">
        <f>+'Bill_WMA 24'!N21</f>
        <v>3.8915153910384276E-2</v>
      </c>
      <c r="I20" s="162"/>
      <c r="J20" s="324">
        <f t="shared" ref="J20:J22" si="4">+G20*12</f>
        <v>157.15199999999868</v>
      </c>
      <c r="K20" s="162">
        <f t="shared" ref="K20:K22" si="5">+H20</f>
        <v>3.8915153910384276E-2</v>
      </c>
    </row>
    <row r="21" spans="1:11" ht="14" x14ac:dyDescent="0.3">
      <c r="A21" s="138">
        <f>IF(B21&lt;&gt;"",COUNTA($B$10:B21),"")</f>
        <v>7</v>
      </c>
      <c r="B21" s="130" t="s">
        <v>275</v>
      </c>
      <c r="C21" s="130">
        <v>24</v>
      </c>
      <c r="D21" s="321">
        <f>+'Bill_WMA 24'!D30</f>
        <v>4200</v>
      </c>
      <c r="E21" s="321">
        <f>+'Bill_WMA 24'!C30</f>
        <v>21</v>
      </c>
      <c r="F21" s="321"/>
      <c r="G21" s="326">
        <f>+'Bill_WMA 24'!M30</f>
        <v>39.663999999999987</v>
      </c>
      <c r="H21" s="323">
        <f>+'Bill_WMA 24'!N30</f>
        <v>4.8340194852519974E-2</v>
      </c>
      <c r="I21" s="162"/>
      <c r="J21" s="324">
        <f t="shared" si="4"/>
        <v>475.96799999999985</v>
      </c>
      <c r="K21" s="162">
        <f t="shared" si="5"/>
        <v>4.8340194852519974E-2</v>
      </c>
    </row>
    <row r="22" spans="1:11" ht="14" x14ac:dyDescent="0.3">
      <c r="A22" s="138">
        <f>IF(B22&lt;&gt;"",COUNTA($B$10:B22),"")</f>
        <v>8</v>
      </c>
      <c r="B22" s="130" t="s">
        <v>275</v>
      </c>
      <c r="C22" s="130">
        <v>24</v>
      </c>
      <c r="D22" s="321">
        <f>+'Bill_WMA 24'!D39</f>
        <v>7200</v>
      </c>
      <c r="E22" s="321">
        <f>+'Bill_WMA 24'!C39</f>
        <v>24</v>
      </c>
      <c r="F22" s="321"/>
      <c r="G22" s="326">
        <f>+'Bill_WMA 24'!M39</f>
        <v>66.304000000000087</v>
      </c>
      <c r="H22" s="323">
        <f>+'Bill_WMA 24'!N39</f>
        <v>5.1704346958127534E-2</v>
      </c>
      <c r="I22" s="162"/>
      <c r="J22" s="324">
        <f t="shared" si="4"/>
        <v>795.64800000000105</v>
      </c>
      <c r="K22" s="162">
        <f t="shared" si="5"/>
        <v>5.1704346958127534E-2</v>
      </c>
    </row>
    <row r="23" spans="1:11" ht="14" x14ac:dyDescent="0.3">
      <c r="A23" s="138" t="str">
        <f>IF(B23&lt;&gt;"",COUNTA($B$10:B23),"")</f>
        <v/>
      </c>
      <c r="D23" s="321"/>
      <c r="E23" s="321"/>
      <c r="F23" s="204"/>
      <c r="G23" s="322"/>
      <c r="H23" s="323"/>
      <c r="I23" s="162"/>
      <c r="J23" s="324"/>
      <c r="K23" s="162"/>
    </row>
    <row r="24" spans="1:11" ht="14" x14ac:dyDescent="0.3">
      <c r="A24" s="138">
        <f>IF(B24&lt;&gt;"",COUNTA($B$10:B24),"")</f>
        <v>9</v>
      </c>
      <c r="B24" s="130" t="s">
        <v>275</v>
      </c>
      <c r="C24" s="188" t="s">
        <v>268</v>
      </c>
      <c r="D24" s="321">
        <f>+'Bill_WMA G0'!D20</f>
        <v>900</v>
      </c>
      <c r="E24" s="321">
        <f>+'Bill_WMA G0'!C20</f>
        <v>6</v>
      </c>
      <c r="F24" s="321"/>
      <c r="G24" s="326">
        <f>+'Bill_WMA G0'!M20</f>
        <v>7.6900000000000261</v>
      </c>
      <c r="H24" s="323">
        <f>+'Bill_WMA G0'!N20</f>
        <v>3.6564375172361455E-2</v>
      </c>
      <c r="I24" s="162"/>
      <c r="J24" s="324">
        <f t="shared" ref="J24:J26" si="6">+G24*12</f>
        <v>92.280000000000314</v>
      </c>
      <c r="K24" s="162">
        <f t="shared" ref="K24:K26" si="7">+H24</f>
        <v>3.6564375172361455E-2</v>
      </c>
    </row>
    <row r="25" spans="1:11" ht="14" x14ac:dyDescent="0.3">
      <c r="A25" s="138">
        <f>IF(B25&lt;&gt;"",COUNTA($B$10:B25),"")</f>
        <v>10</v>
      </c>
      <c r="B25" s="130" t="s">
        <v>275</v>
      </c>
      <c r="C25" s="188" t="s">
        <v>268</v>
      </c>
      <c r="D25" s="321">
        <f>+'Bill_WMA G0'!D28</f>
        <v>3300</v>
      </c>
      <c r="E25" s="321">
        <f>+'Bill_WMA G0'!C28</f>
        <v>11</v>
      </c>
      <c r="F25" s="321"/>
      <c r="G25" s="326">
        <f>+'Bill_WMA G0'!M28</f>
        <v>28.1400000000001</v>
      </c>
      <c r="H25" s="323">
        <f>+'Bill_WMA G0'!N28</f>
        <v>4.4150318183529928E-2</v>
      </c>
      <c r="I25" s="162"/>
      <c r="J25" s="324">
        <f t="shared" si="6"/>
        <v>337.6800000000012</v>
      </c>
      <c r="K25" s="162">
        <f t="shared" si="7"/>
        <v>4.4150318183529928E-2</v>
      </c>
    </row>
    <row r="26" spans="1:11" ht="14" x14ac:dyDescent="0.3">
      <c r="A26" s="138">
        <f>IF(B26&lt;&gt;"",COUNTA($B$10:B26),"")</f>
        <v>11</v>
      </c>
      <c r="B26" s="130" t="s">
        <v>275</v>
      </c>
      <c r="C26" s="188" t="s">
        <v>268</v>
      </c>
      <c r="D26" s="321">
        <f>+'Bill_WMA G0'!D36</f>
        <v>7650</v>
      </c>
      <c r="E26" s="321">
        <f>+'Bill_WMA G0'!C36</f>
        <v>17</v>
      </c>
      <c r="F26" s="321"/>
      <c r="G26" s="326">
        <f>+'Bill_WMA G0'!M36</f>
        <v>65.174999999999727</v>
      </c>
      <c r="H26" s="323">
        <f>+'Bill_WMA G0'!N36</f>
        <v>4.789747185127842E-2</v>
      </c>
      <c r="I26" s="162"/>
      <c r="J26" s="324">
        <f t="shared" si="6"/>
        <v>782.09999999999673</v>
      </c>
      <c r="K26" s="162">
        <f t="shared" si="7"/>
        <v>4.789747185127842E-2</v>
      </c>
    </row>
    <row r="27" spans="1:11" ht="14" x14ac:dyDescent="0.3">
      <c r="D27" s="321"/>
      <c r="E27" s="321"/>
      <c r="G27" s="322"/>
      <c r="H27" s="323"/>
      <c r="I27" s="162"/>
      <c r="J27" s="324"/>
      <c r="K27" s="162"/>
    </row>
    <row r="28" spans="1:11" ht="14" x14ac:dyDescent="0.3">
      <c r="A28" s="138">
        <f>IF(B28&lt;&gt;"",COUNTA($B$10:B28),"")</f>
        <v>12</v>
      </c>
      <c r="B28" s="130" t="s">
        <v>275</v>
      </c>
      <c r="C28" s="188" t="s">
        <v>269</v>
      </c>
      <c r="D28" s="321">
        <f>+'Bill_WMA T0'!D20</f>
        <v>150</v>
      </c>
      <c r="E28" s="321">
        <f>+'Bill_WMA T0'!C20</f>
        <v>1</v>
      </c>
      <c r="F28" s="321"/>
      <c r="G28" s="326">
        <f>+'Bill_WMA T0'!M20</f>
        <v>1.2688800000000029</v>
      </c>
      <c r="H28" s="323">
        <f>+'Bill_WMA T0'!N20</f>
        <v>2.466587121914585E-2</v>
      </c>
      <c r="I28" s="162"/>
      <c r="J28" s="324">
        <f t="shared" ref="J28:J30" si="8">+G28*12</f>
        <v>15.226560000000035</v>
      </c>
      <c r="K28" s="162">
        <f t="shared" ref="K28:K30" si="9">+H28</f>
        <v>2.466587121914585E-2</v>
      </c>
    </row>
    <row r="29" spans="1:11" ht="14" x14ac:dyDescent="0.3">
      <c r="A29" s="138">
        <f>IF(B29&lt;&gt;"",COUNTA($B$10:B29),"")</f>
        <v>13</v>
      </c>
      <c r="B29" s="130" t="s">
        <v>275</v>
      </c>
      <c r="C29" s="188" t="s">
        <v>269</v>
      </c>
      <c r="D29" s="321">
        <f>+'Bill_WMA T0'!D28</f>
        <v>1200</v>
      </c>
      <c r="E29" s="321">
        <f>+'Bill_WMA T0'!C28</f>
        <v>4</v>
      </c>
      <c r="F29" s="321"/>
      <c r="G29" s="326">
        <f>+'Bill_WMA T0'!M28</f>
        <v>4.7510399999999322</v>
      </c>
      <c r="H29" s="323">
        <f>+'Bill_WMA T0'!N28</f>
        <v>1.9795841633266649E-2</v>
      </c>
      <c r="I29" s="162"/>
      <c r="J29" s="324">
        <f t="shared" si="8"/>
        <v>57.012479999999186</v>
      </c>
      <c r="K29" s="162">
        <f t="shared" si="9"/>
        <v>1.9795841633266649E-2</v>
      </c>
    </row>
    <row r="30" spans="1:11" ht="14" x14ac:dyDescent="0.3">
      <c r="A30" s="138">
        <f>IF(B30&lt;&gt;"",COUNTA($B$10:B30),"")</f>
        <v>14</v>
      </c>
      <c r="B30" s="130" t="s">
        <v>275</v>
      </c>
      <c r="C30" s="188" t="s">
        <v>269</v>
      </c>
      <c r="D30" s="321">
        <f>+'Bill_WMA T0'!D36</f>
        <v>4500</v>
      </c>
      <c r="E30" s="321">
        <f>+'Bill_WMA T0'!C36</f>
        <v>10</v>
      </c>
      <c r="F30" s="321"/>
      <c r="G30" s="326">
        <f>+'Bill_WMA T0'!M36</f>
        <v>16.466400000000021</v>
      </c>
      <c r="H30" s="323">
        <f>+'Bill_WMA T0'!N36</f>
        <v>1.9908061952635319E-2</v>
      </c>
      <c r="I30" s="162"/>
      <c r="J30" s="324">
        <f t="shared" si="8"/>
        <v>197.59680000000026</v>
      </c>
      <c r="K30" s="162">
        <f t="shared" si="9"/>
        <v>1.9908061952635319E-2</v>
      </c>
    </row>
    <row r="31" spans="1:11" ht="14" x14ac:dyDescent="0.3">
      <c r="A31" s="138" t="str">
        <f>IF(B31&lt;&gt;"",COUNTA($B$10:B31),"")</f>
        <v/>
      </c>
      <c r="D31" s="321"/>
      <c r="E31" s="321"/>
      <c r="G31" s="322"/>
      <c r="H31" s="323"/>
      <c r="I31" s="162"/>
      <c r="J31" s="324"/>
      <c r="K31" s="162"/>
    </row>
    <row r="32" spans="1:11" ht="14" x14ac:dyDescent="0.3">
      <c r="A32" s="138">
        <f>IF(B32&lt;&gt;"",COUNTA($B$10:B32),"")</f>
        <v>15</v>
      </c>
      <c r="B32" s="130" t="s">
        <v>275</v>
      </c>
      <c r="C32" s="188" t="s">
        <v>121</v>
      </c>
      <c r="D32" s="321">
        <f>+'Bill_WMA G2'!D21</f>
        <v>23750</v>
      </c>
      <c r="E32" s="321">
        <f>+'Bill_WMA G2'!C21</f>
        <v>95</v>
      </c>
      <c r="F32" s="321"/>
      <c r="G32" s="326">
        <f>+'Bill_WMA G2'!M21</f>
        <v>740.62500000000091</v>
      </c>
      <c r="H32" s="323">
        <f>+'Bill_WMA G2'!N21</f>
        <v>0.1542583104223946</v>
      </c>
      <c r="I32" s="162"/>
      <c r="J32" s="324">
        <f t="shared" ref="J32:J34" si="10">+G32*12</f>
        <v>8887.5000000000109</v>
      </c>
      <c r="K32" s="162">
        <f t="shared" ref="K32:K34" si="11">+H32</f>
        <v>0.1542583104223946</v>
      </c>
    </row>
    <row r="33" spans="1:11" ht="14" x14ac:dyDescent="0.3">
      <c r="A33" s="138">
        <f>IF(B33&lt;&gt;"",COUNTA($B$10:B33),"")</f>
        <v>16</v>
      </c>
      <c r="B33" s="130" t="s">
        <v>275</v>
      </c>
      <c r="C33" s="188" t="s">
        <v>121</v>
      </c>
      <c r="D33" s="321">
        <f>+'Bill_WMA G2'!D30</f>
        <v>42000</v>
      </c>
      <c r="E33" s="321">
        <f>+'Bill_WMA G2'!C30</f>
        <v>84</v>
      </c>
      <c r="F33" s="321"/>
      <c r="G33" s="326">
        <f>+'Bill_WMA G2'!M30</f>
        <v>1293.4000000000015</v>
      </c>
      <c r="H33" s="323">
        <f>+'Bill_WMA G2'!N30</f>
        <v>0.17903216876141984</v>
      </c>
      <c r="I33" s="162"/>
      <c r="J33" s="324">
        <f t="shared" si="10"/>
        <v>15520.800000000017</v>
      </c>
      <c r="K33" s="162">
        <f t="shared" si="11"/>
        <v>0.17903216876141984</v>
      </c>
    </row>
    <row r="34" spans="1:11" ht="14" x14ac:dyDescent="0.3">
      <c r="A34" s="138">
        <f>IF(B34&lt;&gt;"",COUNTA($B$10:B34),"")</f>
        <v>17</v>
      </c>
      <c r="B34" s="130" t="s">
        <v>275</v>
      </c>
      <c r="C34" s="188" t="s">
        <v>121</v>
      </c>
      <c r="D34" s="321">
        <f>+'Bill_WMA G2'!D39</f>
        <v>42300</v>
      </c>
      <c r="E34" s="321">
        <f>+'Bill_WMA G2'!C39</f>
        <v>94</v>
      </c>
      <c r="F34" s="321"/>
      <c r="G34" s="326">
        <f>+'Bill_WMA G2'!M39</f>
        <v>1306.0500000000002</v>
      </c>
      <c r="H34" s="323">
        <f>+'Bill_WMA G2'!N39</f>
        <v>0.176193999164662</v>
      </c>
      <c r="I34" s="162"/>
      <c r="J34" s="324">
        <f t="shared" si="10"/>
        <v>15672.600000000002</v>
      </c>
      <c r="K34" s="162">
        <f t="shared" si="11"/>
        <v>0.176193999164662</v>
      </c>
    </row>
    <row r="35" spans="1:11" ht="14" x14ac:dyDescent="0.3">
      <c r="D35" s="321"/>
      <c r="E35" s="321"/>
      <c r="G35" s="322"/>
      <c r="H35" s="323"/>
      <c r="I35" s="162"/>
      <c r="J35" s="324"/>
      <c r="K35" s="162"/>
    </row>
    <row r="36" spans="1:11" ht="14" x14ac:dyDescent="0.3">
      <c r="A36" s="138">
        <f>IF(B36&lt;&gt;"",COUNTA($B$10:B36),"")</f>
        <v>18</v>
      </c>
      <c r="B36" s="130" t="s">
        <v>275</v>
      </c>
      <c r="C36" s="188" t="s">
        <v>270</v>
      </c>
      <c r="D36" s="321">
        <f>+'Bill_WMA T4'!D21</f>
        <v>17500</v>
      </c>
      <c r="E36" s="321">
        <f>+'Bill_WMA T4'!C21</f>
        <v>70</v>
      </c>
      <c r="F36" s="321"/>
      <c r="G36" s="326">
        <f>+'Bill_WMA T4'!M21</f>
        <v>481.15500000000065</v>
      </c>
      <c r="H36" s="323">
        <f>+'Bill_WMA T4'!N21</f>
        <v>0.13353355989722079</v>
      </c>
      <c r="I36" s="162"/>
      <c r="J36" s="324">
        <f t="shared" ref="J36:J38" si="12">+G36*12</f>
        <v>5773.8600000000079</v>
      </c>
      <c r="K36" s="162">
        <f t="shared" ref="K36:K38" si="13">+H36</f>
        <v>0.13353355989722079</v>
      </c>
    </row>
    <row r="37" spans="1:11" ht="14" x14ac:dyDescent="0.3">
      <c r="A37" s="138">
        <f>IF(B37&lt;&gt;"",COUNTA($B$10:B37),"")</f>
        <v>19</v>
      </c>
      <c r="B37" s="130" t="s">
        <v>275</v>
      </c>
      <c r="C37" s="188" t="s">
        <v>270</v>
      </c>
      <c r="D37" s="321">
        <f>+'Bill_WMA T4'!D30</f>
        <v>37100</v>
      </c>
      <c r="E37" s="321">
        <f>+'Bill_WMA T4'!C30</f>
        <v>106</v>
      </c>
      <c r="F37" s="321"/>
      <c r="G37" s="326">
        <f>+'Bill_WMA T4'!M30</f>
        <v>1060.2886000000008</v>
      </c>
      <c r="H37" s="323">
        <f>+'Bill_WMA T4'!N30</f>
        <v>0.15314075863405352</v>
      </c>
      <c r="I37" s="162"/>
      <c r="J37" s="324">
        <f t="shared" si="12"/>
        <v>12723.463200000009</v>
      </c>
      <c r="K37" s="162">
        <f t="shared" si="13"/>
        <v>0.15314075863405352</v>
      </c>
    </row>
    <row r="38" spans="1:11" ht="14" x14ac:dyDescent="0.3">
      <c r="A38" s="138">
        <f>IF(B38&lt;&gt;"",COUNTA($B$10:B38),"")</f>
        <v>20</v>
      </c>
      <c r="B38" s="130" t="s">
        <v>275</v>
      </c>
      <c r="C38" s="188" t="s">
        <v>270</v>
      </c>
      <c r="D38" s="321">
        <f>+'Bill_WMA T4'!D39</f>
        <v>53550</v>
      </c>
      <c r="E38" s="321">
        <f>+'Bill_WMA T4'!C39</f>
        <v>119</v>
      </c>
      <c r="F38" s="321"/>
      <c r="G38" s="326">
        <f>+'Bill_WMA T4'!M39</f>
        <v>1554.9543000000012</v>
      </c>
      <c r="H38" s="323">
        <f>+'Bill_WMA T4'!N39</f>
        <v>0.16463700524875777</v>
      </c>
      <c r="I38" s="162"/>
      <c r="J38" s="324">
        <f t="shared" si="12"/>
        <v>18659.451600000015</v>
      </c>
      <c r="K38" s="162">
        <f t="shared" si="13"/>
        <v>0.16463700524875777</v>
      </c>
    </row>
    <row r="39" spans="1:11" ht="14" x14ac:dyDescent="0.3">
      <c r="D39" s="321"/>
      <c r="E39" s="321"/>
      <c r="F39" s="321"/>
      <c r="G39" s="326"/>
      <c r="H39" s="323"/>
      <c r="I39" s="162"/>
      <c r="J39" s="324"/>
      <c r="K39" s="162"/>
    </row>
    <row r="40" spans="1:11" ht="14" x14ac:dyDescent="0.3">
      <c r="A40" s="138">
        <f>IF(B40&lt;&gt;"",COUNTA($B$10:B40),"")</f>
        <v>21</v>
      </c>
      <c r="B40" s="130" t="s">
        <v>275</v>
      </c>
      <c r="C40" s="188" t="s">
        <v>131</v>
      </c>
      <c r="D40" s="321">
        <f>+'Bill_WMA T2'!D22</f>
        <v>143500</v>
      </c>
      <c r="E40" s="321">
        <f>+'Bill_WMA T2'!C22</f>
        <v>410</v>
      </c>
      <c r="F40" s="321"/>
      <c r="G40" s="326">
        <f>+'Bill_WMA T2'!M22</f>
        <v>4381.6208000000042</v>
      </c>
      <c r="H40" s="323">
        <f>+'Bill_WMA T2'!N22</f>
        <v>0.1633265911112558</v>
      </c>
      <c r="I40" s="162"/>
      <c r="J40" s="324">
        <f t="shared" ref="J40:J42" si="14">+G40*12</f>
        <v>52579.449600000051</v>
      </c>
      <c r="K40" s="162">
        <f t="shared" ref="K40:K42" si="15">+H40</f>
        <v>0.1633265911112558</v>
      </c>
    </row>
    <row r="41" spans="1:11" ht="14" x14ac:dyDescent="0.3">
      <c r="A41" s="138">
        <f>IF(B41&lt;&gt;"",COUNTA($B$10:B41),"")</f>
        <v>22</v>
      </c>
      <c r="B41" s="130" t="s">
        <v>275</v>
      </c>
      <c r="C41" s="188" t="s">
        <v>131</v>
      </c>
      <c r="D41" s="321">
        <f>+'Bill_WMA T2'!D32</f>
        <v>256950</v>
      </c>
      <c r="E41" s="321">
        <f>+'Bill_WMA T2'!C32</f>
        <v>571</v>
      </c>
      <c r="F41" s="321"/>
      <c r="G41" s="326">
        <f>+'Bill_WMA T2'!M32</f>
        <v>7899.5337600000057</v>
      </c>
      <c r="H41" s="323">
        <f>+'Bill_WMA T2'!N32</f>
        <v>0.17574158455958683</v>
      </c>
      <c r="I41" s="162"/>
      <c r="J41" s="324">
        <f t="shared" si="14"/>
        <v>94794.405120000069</v>
      </c>
      <c r="K41" s="162">
        <f t="shared" si="15"/>
        <v>0.17574158455958683</v>
      </c>
    </row>
    <row r="42" spans="1:11" ht="14" x14ac:dyDescent="0.3">
      <c r="A42" s="138">
        <f>IF(B42&lt;&gt;"",COUNTA($B$10:B42),"")</f>
        <v>23</v>
      </c>
      <c r="B42" s="130" t="s">
        <v>275</v>
      </c>
      <c r="C42" s="188" t="s">
        <v>131</v>
      </c>
      <c r="D42" s="321">
        <f>+'Bill_WMA T2'!D42</f>
        <v>319000</v>
      </c>
      <c r="E42" s="321">
        <f>+'Bill_WMA T2'!C42</f>
        <v>580</v>
      </c>
      <c r="F42" s="321"/>
      <c r="G42" s="326">
        <f>+'Bill_WMA T2'!M42</f>
        <v>9849.6992000000027</v>
      </c>
      <c r="H42" s="323">
        <f>+'Bill_WMA T2'!N42</f>
        <v>0.18356895211735907</v>
      </c>
      <c r="I42" s="162"/>
      <c r="J42" s="324">
        <f t="shared" si="14"/>
        <v>118196.39040000003</v>
      </c>
      <c r="K42" s="162">
        <f t="shared" si="15"/>
        <v>0.18356895211735907</v>
      </c>
    </row>
    <row r="43" spans="1:11" ht="14" x14ac:dyDescent="0.3">
      <c r="A43" s="138" t="str">
        <f>IF(B43&lt;&gt;"",COUNTA($B$10:B43),"")</f>
        <v/>
      </c>
      <c r="D43" s="321"/>
      <c r="E43" s="321"/>
      <c r="F43" s="321"/>
      <c r="G43" s="326"/>
      <c r="H43" s="323"/>
      <c r="I43" s="162"/>
      <c r="J43" s="324"/>
      <c r="K43" s="162"/>
    </row>
    <row r="44" spans="1:11" ht="14" x14ac:dyDescent="0.3">
      <c r="A44" s="138">
        <f>IF(B44&lt;&gt;"",COUNTA($B$10:B44),"")</f>
        <v>24</v>
      </c>
      <c r="B44" s="130" t="s">
        <v>275</v>
      </c>
      <c r="C44" s="188" t="s">
        <v>132</v>
      </c>
      <c r="D44" s="321">
        <f>+'Bill_WMA T5'!D19</f>
        <v>1394050</v>
      </c>
      <c r="E44" s="321">
        <f>+'Bill_WMA T5'!C19</f>
        <v>3983</v>
      </c>
      <c r="F44" s="321"/>
      <c r="G44" s="326">
        <f>+'Bill_WMA T5'!M19</f>
        <v>57542.85904499999</v>
      </c>
      <c r="H44" s="323">
        <f>+'Bill_WMA T5'!N19</f>
        <v>0.24122464175996886</v>
      </c>
      <c r="I44" s="162"/>
      <c r="J44" s="324">
        <f t="shared" ref="J44:J46" si="16">+G44*12</f>
        <v>690514.30853999988</v>
      </c>
      <c r="K44" s="162">
        <f t="shared" ref="K44:K46" si="17">+H44</f>
        <v>0.24122464175996886</v>
      </c>
    </row>
    <row r="45" spans="1:11" ht="14" x14ac:dyDescent="0.3">
      <c r="A45" s="138">
        <f>IF(B45&lt;&gt;"",COUNTA($B$10:B45),"")</f>
        <v>25</v>
      </c>
      <c r="B45" s="130" t="s">
        <v>275</v>
      </c>
      <c r="C45" s="188" t="s">
        <v>132</v>
      </c>
      <c r="D45" s="321">
        <f>+'Bill_WMA T5'!D26</f>
        <v>3084750</v>
      </c>
      <c r="E45" s="321">
        <f>+'Bill_WMA T5'!C26</f>
        <v>6855</v>
      </c>
      <c r="F45" s="321"/>
      <c r="G45" s="326">
        <f>+'Bill_WMA T5'!M26</f>
        <v>121552.89427500014</v>
      </c>
      <c r="H45" s="323">
        <f>+'Bill_WMA T5'!N26</f>
        <v>0.24322295041942701</v>
      </c>
      <c r="I45" s="162"/>
      <c r="J45" s="324">
        <f t="shared" si="16"/>
        <v>1458634.7313000017</v>
      </c>
      <c r="K45" s="162">
        <f t="shared" si="17"/>
        <v>0.24322295041942701</v>
      </c>
    </row>
    <row r="46" spans="1:11" ht="14" x14ac:dyDescent="0.3">
      <c r="A46" s="138">
        <f>IF(B46&lt;&gt;"",COUNTA($B$10:B46),"")</f>
        <v>26</v>
      </c>
      <c r="B46" s="130" t="s">
        <v>275</v>
      </c>
      <c r="C46" s="188" t="s">
        <v>132</v>
      </c>
      <c r="D46" s="321">
        <f>+'Bill_WMA T5'!D33</f>
        <v>2485450</v>
      </c>
      <c r="E46" s="321">
        <f>+'Bill_WMA T5'!C33</f>
        <v>4519</v>
      </c>
      <c r="F46" s="321"/>
      <c r="G46" s="326">
        <f>+'Bill_WMA T5'!M33</f>
        <v>94975.34850500006</v>
      </c>
      <c r="H46" s="323">
        <f>+'Bill_WMA T5'!N33</f>
        <v>0.24267752389780722</v>
      </c>
      <c r="I46" s="162"/>
      <c r="J46" s="324">
        <f t="shared" si="16"/>
        <v>1139704.1820600007</v>
      </c>
      <c r="K46" s="162">
        <f t="shared" si="17"/>
        <v>0.24267752389780722</v>
      </c>
    </row>
    <row r="47" spans="1:11" ht="14" x14ac:dyDescent="0.3">
      <c r="G47" s="327"/>
      <c r="H47" s="323"/>
    </row>
    <row r="48" spans="1:11" ht="14" x14ac:dyDescent="0.3">
      <c r="H48" s="323"/>
    </row>
  </sheetData>
  <mergeCells count="6">
    <mergeCell ref="A4:K4"/>
    <mergeCell ref="A5:K5"/>
    <mergeCell ref="A6:K6"/>
    <mergeCell ref="D8:E8"/>
    <mergeCell ref="G8:H8"/>
    <mergeCell ref="J8:K8"/>
  </mergeCells>
  <pageMargins left="0.7" right="0.7" top="0.75" bottom="0.75" header="0.3" footer="0.3"/>
  <pageSetup scale="71" fitToHeight="2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944EE-0C29-474E-A022-99994140B7B0}">
  <sheetPr>
    <tabColor theme="3" tint="0.59999389629810485"/>
    <pageSetUpPr fitToPage="1"/>
  </sheetPr>
  <dimension ref="A4:X56"/>
  <sheetViews>
    <sheetView zoomScaleNormal="100" workbookViewId="0"/>
  </sheetViews>
  <sheetFormatPr defaultRowHeight="12.5" x14ac:dyDescent="0.25"/>
  <cols>
    <col min="1" max="1" width="4" bestFit="1" customWidth="1"/>
    <col min="2" max="2" width="5.54296875" bestFit="1" customWidth="1"/>
    <col min="3" max="3" width="12" customWidth="1"/>
    <col min="4" max="6" width="14.7265625" customWidth="1"/>
    <col min="7" max="7" width="2" customWidth="1"/>
    <col min="8" max="10" width="14.7265625" customWidth="1"/>
    <col min="11" max="11" width="2" customWidth="1"/>
    <col min="12" max="13" width="12" customWidth="1"/>
    <col min="15" max="15" width="3.453125" style="59" customWidth="1"/>
    <col min="16" max="16" width="10.453125" customWidth="1"/>
    <col min="17" max="18" width="10.1796875" bestFit="1" customWidth="1"/>
    <col min="19" max="19" width="8.453125" bestFit="1" customWidth="1"/>
    <col min="20" max="20" width="10.81640625" bestFit="1" customWidth="1"/>
    <col min="22" max="23" width="10.1796875" bestFit="1" customWidth="1"/>
    <col min="24" max="24" width="8.453125" bestFit="1" customWidth="1"/>
  </cols>
  <sheetData>
    <row r="4" spans="1:24" ht="14" x14ac:dyDescent="0.3">
      <c r="A4" s="757" t="s">
        <v>290</v>
      </c>
      <c r="B4" s="757"/>
      <c r="C4" s="757"/>
      <c r="D4" s="757"/>
      <c r="E4" s="757"/>
      <c r="F4" s="757"/>
      <c r="G4" s="757"/>
      <c r="H4" s="757"/>
      <c r="I4" s="757"/>
      <c r="J4" s="757"/>
      <c r="K4" s="757"/>
      <c r="L4" s="757"/>
      <c r="M4" s="757"/>
    </row>
    <row r="5" spans="1:24" ht="14" x14ac:dyDescent="0.3">
      <c r="A5" s="757" t="s">
        <v>547</v>
      </c>
      <c r="B5" s="757"/>
      <c r="C5" s="757"/>
      <c r="D5" s="757"/>
      <c r="E5" s="757"/>
      <c r="F5" s="757"/>
      <c r="G5" s="757"/>
      <c r="H5" s="757"/>
      <c r="I5" s="757"/>
      <c r="J5" s="757"/>
      <c r="K5" s="757"/>
      <c r="L5" s="757"/>
      <c r="M5" s="757"/>
      <c r="N5" s="328"/>
    </row>
    <row r="6" spans="1:24" ht="14" x14ac:dyDescent="0.3">
      <c r="A6" s="757" t="s">
        <v>621</v>
      </c>
      <c r="B6" s="757"/>
      <c r="C6" s="757"/>
      <c r="D6" s="757"/>
      <c r="E6" s="757"/>
      <c r="F6" s="757"/>
      <c r="G6" s="757"/>
      <c r="H6" s="757"/>
      <c r="I6" s="757"/>
      <c r="J6" s="757"/>
      <c r="K6" s="757"/>
      <c r="L6" s="757"/>
      <c r="M6" s="757"/>
      <c r="N6" s="328"/>
    </row>
    <row r="7" spans="1:24" ht="14" x14ac:dyDescent="0.3">
      <c r="A7" s="328"/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</row>
    <row r="8" spans="1:24" ht="14" x14ac:dyDescent="0.3">
      <c r="A8" s="757" t="s">
        <v>292</v>
      </c>
      <c r="B8" s="757"/>
      <c r="C8" s="757"/>
      <c r="D8" s="757"/>
      <c r="E8" s="757"/>
      <c r="F8" s="757"/>
      <c r="G8" s="757"/>
      <c r="H8" s="757"/>
      <c r="I8" s="757"/>
      <c r="J8" s="757"/>
      <c r="K8" s="757"/>
      <c r="L8" s="757"/>
      <c r="M8" s="757"/>
    </row>
    <row r="9" spans="1:24" ht="14" x14ac:dyDescent="0.3">
      <c r="A9" s="329"/>
      <c r="B9" s="329"/>
      <c r="C9" s="330"/>
      <c r="D9" s="330"/>
      <c r="E9" s="330"/>
      <c r="F9" s="331"/>
      <c r="G9" s="331"/>
    </row>
    <row r="10" spans="1:24" ht="14" x14ac:dyDescent="0.3">
      <c r="A10" s="329"/>
      <c r="B10" s="329"/>
      <c r="C10" s="330"/>
      <c r="D10" s="330"/>
      <c r="E10" s="330"/>
      <c r="F10" s="332"/>
      <c r="G10" s="332"/>
    </row>
    <row r="11" spans="1:24" ht="14" x14ac:dyDescent="0.3">
      <c r="A11" s="151">
        <f>IF(C11&lt;&gt;"",COUNTA($C$11:C11),"")</f>
        <v>1</v>
      </c>
      <c r="B11" s="151"/>
      <c r="C11" s="329" t="s">
        <v>528</v>
      </c>
      <c r="D11" s="758" t="s">
        <v>548</v>
      </c>
      <c r="E11" s="758"/>
      <c r="F11" s="758"/>
      <c r="G11" s="333"/>
      <c r="H11" s="758" t="s">
        <v>549</v>
      </c>
      <c r="I11" s="758"/>
      <c r="J11" s="758"/>
      <c r="L11" s="758" t="s">
        <v>550</v>
      </c>
      <c r="M11" s="758"/>
      <c r="O11" s="334"/>
      <c r="P11" s="335"/>
      <c r="Q11" s="335"/>
      <c r="R11" s="335"/>
      <c r="T11" s="335"/>
      <c r="U11" s="335"/>
      <c r="V11" s="335"/>
      <c r="W11" s="335"/>
    </row>
    <row r="12" spans="1:24" ht="14" x14ac:dyDescent="0.3">
      <c r="A12" s="151">
        <f>IF(C12&lt;&gt;"",COUNTA($C$11:C12),"")</f>
        <v>2</v>
      </c>
      <c r="B12" s="151"/>
      <c r="C12" s="336" t="s">
        <v>551</v>
      </c>
      <c r="D12" s="336" t="s">
        <v>552</v>
      </c>
      <c r="E12" s="336" t="s">
        <v>553</v>
      </c>
      <c r="F12" s="336" t="s">
        <v>47</v>
      </c>
      <c r="G12" s="336"/>
      <c r="H12" s="336" t="s">
        <v>552</v>
      </c>
      <c r="I12" s="336" t="s">
        <v>553</v>
      </c>
      <c r="J12" s="336" t="s">
        <v>47</v>
      </c>
      <c r="L12" s="336" t="s">
        <v>65</v>
      </c>
      <c r="M12" s="336" t="s">
        <v>325</v>
      </c>
    </row>
    <row r="13" spans="1:24" ht="14" x14ac:dyDescent="0.3">
      <c r="A13" s="151">
        <f>IF(C13&lt;&gt;"",COUNTA($C$11:C13),"")</f>
        <v>3</v>
      </c>
      <c r="B13" s="151"/>
      <c r="C13" s="337">
        <v>100</v>
      </c>
      <c r="D13" s="338">
        <f t="shared" ref="D13:D26" si="0">ROUND(SUM($F$32:$F$51)*C13,2)+F$31</f>
        <v>17.920000000000002</v>
      </c>
      <c r="E13" s="338">
        <f t="shared" ref="E13:E26" si="1">ROUND($F$52*C13,2)</f>
        <v>11.4</v>
      </c>
      <c r="F13" s="338">
        <f>SUM(D13:E13)</f>
        <v>29.32</v>
      </c>
      <c r="G13" s="338"/>
      <c r="H13" s="338">
        <f>ROUND(SUM($H$32:$H$51)*C13,2)+H$31</f>
        <v>17.740000000000002</v>
      </c>
      <c r="I13" s="338">
        <f t="shared" ref="I13:I26" si="2">ROUND($H$52*C13,2)</f>
        <v>13.59</v>
      </c>
      <c r="J13" s="338">
        <f>SUM(H13:I13)</f>
        <v>31.330000000000002</v>
      </c>
      <c r="K13" s="339"/>
      <c r="L13" s="340">
        <f t="shared" ref="L13:L26" si="3">+J13-F13</f>
        <v>2.0100000000000016</v>
      </c>
      <c r="M13" s="341">
        <f t="shared" ref="M13:M26" si="4">+L13/F13</f>
        <v>6.8553888130968674E-2</v>
      </c>
      <c r="O13" s="342"/>
      <c r="P13" s="339"/>
      <c r="Q13" s="339"/>
      <c r="R13" s="339"/>
      <c r="S13" s="339"/>
      <c r="T13" s="339"/>
      <c r="U13" s="339"/>
      <c r="V13" s="339"/>
      <c r="W13" s="339"/>
      <c r="X13" s="339"/>
    </row>
    <row r="14" spans="1:24" ht="14" x14ac:dyDescent="0.3">
      <c r="A14" s="151">
        <f>IF(C14&lt;&gt;"",COUNTA($C$11:C14),"")</f>
        <v>4</v>
      </c>
      <c r="B14" s="151"/>
      <c r="C14" s="337">
        <v>200</v>
      </c>
      <c r="D14" s="338">
        <f t="shared" si="0"/>
        <v>28.83</v>
      </c>
      <c r="E14" s="338">
        <f t="shared" si="1"/>
        <v>22.79</v>
      </c>
      <c r="F14" s="338">
        <f t="shared" ref="F14:F26" si="5">SUM(D14:E14)</f>
        <v>51.62</v>
      </c>
      <c r="G14" s="338"/>
      <c r="H14" s="338">
        <f t="shared" ref="H14:H26" si="6">ROUND(SUM($H$32:$H$51)*C14,2)+H$31</f>
        <v>28.47</v>
      </c>
      <c r="I14" s="338">
        <f t="shared" si="2"/>
        <v>27.18</v>
      </c>
      <c r="J14" s="338">
        <f t="shared" ref="J14:J26" si="7">SUM(H14:I14)</f>
        <v>55.65</v>
      </c>
      <c r="K14" s="339"/>
      <c r="L14" s="340">
        <f t="shared" si="3"/>
        <v>4.0300000000000011</v>
      </c>
      <c r="M14" s="341">
        <f t="shared" si="4"/>
        <v>7.8070515304145702E-2</v>
      </c>
      <c r="O14" s="342"/>
      <c r="P14" s="339"/>
      <c r="Q14" s="339"/>
      <c r="R14" s="339"/>
      <c r="S14" s="339"/>
      <c r="T14" s="339"/>
      <c r="U14" s="339"/>
      <c r="V14" s="339"/>
      <c r="W14" s="339"/>
      <c r="X14" s="339"/>
    </row>
    <row r="15" spans="1:24" ht="14" x14ac:dyDescent="0.3">
      <c r="A15" s="151">
        <f>IF(C15&lt;&gt;"",COUNTA($C$11:C15),"")</f>
        <v>5</v>
      </c>
      <c r="B15" s="151"/>
      <c r="C15" s="337">
        <v>300</v>
      </c>
      <c r="D15" s="338">
        <f t="shared" si="0"/>
        <v>39.75</v>
      </c>
      <c r="E15" s="338">
        <f t="shared" si="1"/>
        <v>34.19</v>
      </c>
      <c r="F15" s="338">
        <f t="shared" si="5"/>
        <v>73.94</v>
      </c>
      <c r="G15" s="338"/>
      <c r="H15" s="338">
        <f t="shared" si="6"/>
        <v>39.21</v>
      </c>
      <c r="I15" s="338">
        <f t="shared" si="2"/>
        <v>40.76</v>
      </c>
      <c r="J15" s="338">
        <f t="shared" si="7"/>
        <v>79.97</v>
      </c>
      <c r="K15" s="339"/>
      <c r="L15" s="340">
        <f t="shared" si="3"/>
        <v>6.0300000000000011</v>
      </c>
      <c r="M15" s="341">
        <f t="shared" si="4"/>
        <v>8.1552610224506369E-2</v>
      </c>
      <c r="O15" s="342"/>
      <c r="P15" s="339"/>
      <c r="Q15" s="339"/>
      <c r="R15" s="339"/>
      <c r="S15" s="339"/>
      <c r="T15" s="339"/>
      <c r="U15" s="339"/>
      <c r="V15" s="339"/>
      <c r="W15" s="339"/>
      <c r="X15" s="339"/>
    </row>
    <row r="16" spans="1:24" ht="14" x14ac:dyDescent="0.3">
      <c r="A16" s="151">
        <f>IF(C16&lt;&gt;"",COUNTA($C$11:C16),"")</f>
        <v>6</v>
      </c>
      <c r="B16" s="151"/>
      <c r="C16" s="337">
        <v>400</v>
      </c>
      <c r="D16" s="338">
        <f t="shared" si="0"/>
        <v>50.67</v>
      </c>
      <c r="E16" s="338">
        <f t="shared" si="1"/>
        <v>45.59</v>
      </c>
      <c r="F16" s="338">
        <f t="shared" si="5"/>
        <v>96.26</v>
      </c>
      <c r="G16" s="338"/>
      <c r="H16" s="338">
        <f t="shared" si="6"/>
        <v>49.94</v>
      </c>
      <c r="I16" s="338">
        <f t="shared" si="2"/>
        <v>54.35</v>
      </c>
      <c r="J16" s="338">
        <f t="shared" si="7"/>
        <v>104.28999999999999</v>
      </c>
      <c r="K16" s="339"/>
      <c r="L16" s="340">
        <f t="shared" si="3"/>
        <v>8.0299999999999869</v>
      </c>
      <c r="M16" s="341">
        <f t="shared" si="4"/>
        <v>8.3419904425514085E-2</v>
      </c>
      <c r="O16" s="342"/>
      <c r="P16" s="339"/>
      <c r="Q16" s="339"/>
      <c r="R16" s="339"/>
      <c r="S16" s="339"/>
      <c r="T16" s="339"/>
      <c r="U16" s="339"/>
      <c r="V16" s="339"/>
      <c r="W16" s="339"/>
      <c r="X16" s="339"/>
    </row>
    <row r="17" spans="1:24" ht="14" x14ac:dyDescent="0.3">
      <c r="A17" s="151">
        <f>IF(C17&lt;&gt;"",COUNTA($C$11:C17),"")</f>
        <v>7</v>
      </c>
      <c r="B17" s="151"/>
      <c r="C17" s="337">
        <v>500</v>
      </c>
      <c r="D17" s="338">
        <f t="shared" si="0"/>
        <v>61.59</v>
      </c>
      <c r="E17" s="338">
        <f t="shared" si="1"/>
        <v>56.99</v>
      </c>
      <c r="F17" s="338">
        <f t="shared" si="5"/>
        <v>118.58000000000001</v>
      </c>
      <c r="G17" s="338"/>
      <c r="H17" s="338">
        <f t="shared" si="6"/>
        <v>60.68</v>
      </c>
      <c r="I17" s="338">
        <f t="shared" si="2"/>
        <v>67.94</v>
      </c>
      <c r="J17" s="338">
        <f t="shared" si="7"/>
        <v>128.62</v>
      </c>
      <c r="K17" s="339"/>
      <c r="L17" s="340">
        <f t="shared" si="3"/>
        <v>10.039999999999992</v>
      </c>
      <c r="M17" s="341">
        <f t="shared" si="4"/>
        <v>8.4668578175071604E-2</v>
      </c>
      <c r="O17" s="342"/>
      <c r="P17" s="339"/>
      <c r="Q17" s="339"/>
      <c r="R17" s="339"/>
      <c r="S17" s="339"/>
      <c r="T17" s="339"/>
      <c r="U17" s="339"/>
      <c r="V17" s="339"/>
      <c r="W17" s="339"/>
      <c r="X17" s="339"/>
    </row>
    <row r="18" spans="1:24" ht="14" x14ac:dyDescent="0.3">
      <c r="A18" s="151">
        <f>IF(C18&lt;&gt;"",COUNTA($C$11:C18),"")</f>
        <v>8</v>
      </c>
      <c r="B18" s="151"/>
      <c r="C18" s="337">
        <v>600</v>
      </c>
      <c r="D18" s="338">
        <f t="shared" si="0"/>
        <v>72.5</v>
      </c>
      <c r="E18" s="338">
        <f t="shared" si="1"/>
        <v>68.38</v>
      </c>
      <c r="F18" s="338">
        <f t="shared" si="5"/>
        <v>140.88</v>
      </c>
      <c r="G18" s="338"/>
      <c r="H18" s="338">
        <f t="shared" si="6"/>
        <v>71.41</v>
      </c>
      <c r="I18" s="338">
        <f t="shared" si="2"/>
        <v>81.53</v>
      </c>
      <c r="J18" s="338">
        <f t="shared" si="7"/>
        <v>152.94</v>
      </c>
      <c r="K18" s="339"/>
      <c r="L18" s="340">
        <f t="shared" si="3"/>
        <v>12.060000000000002</v>
      </c>
      <c r="M18" s="341">
        <f t="shared" si="4"/>
        <v>8.56047700170358E-2</v>
      </c>
      <c r="O18" s="342"/>
      <c r="P18" s="339"/>
      <c r="Q18" s="339"/>
      <c r="R18" s="339"/>
      <c r="S18" s="339"/>
      <c r="T18" s="339"/>
      <c r="U18" s="339"/>
      <c r="V18" s="339"/>
      <c r="W18" s="339"/>
      <c r="X18" s="339"/>
    </row>
    <row r="19" spans="1:24" ht="14" x14ac:dyDescent="0.3">
      <c r="A19" s="151">
        <f>IF(C19&lt;&gt;"",COUNTA($C$11:C19),"")</f>
        <v>9</v>
      </c>
      <c r="B19" s="151"/>
      <c r="C19" s="337">
        <v>700</v>
      </c>
      <c r="D19" s="338">
        <f t="shared" si="0"/>
        <v>83.42</v>
      </c>
      <c r="E19" s="338">
        <f t="shared" si="1"/>
        <v>79.78</v>
      </c>
      <c r="F19" s="338">
        <f t="shared" si="5"/>
        <v>163.19999999999999</v>
      </c>
      <c r="G19" s="338"/>
      <c r="H19" s="338">
        <f t="shared" si="6"/>
        <v>82.15</v>
      </c>
      <c r="I19" s="338">
        <f t="shared" si="2"/>
        <v>95.12</v>
      </c>
      <c r="J19" s="338">
        <f t="shared" si="7"/>
        <v>177.27</v>
      </c>
      <c r="K19" s="339"/>
      <c r="L19" s="340">
        <f t="shared" si="3"/>
        <v>14.070000000000022</v>
      </c>
      <c r="M19" s="341">
        <f t="shared" si="4"/>
        <v>8.6213235294117785E-2</v>
      </c>
      <c r="O19" s="342"/>
      <c r="P19" s="339"/>
      <c r="Q19" s="339"/>
      <c r="R19" s="339"/>
      <c r="S19" s="339"/>
      <c r="T19" s="339"/>
      <c r="U19" s="339"/>
      <c r="V19" s="339"/>
      <c r="W19" s="339"/>
      <c r="X19" s="339"/>
    </row>
    <row r="20" spans="1:24" ht="14" x14ac:dyDescent="0.3">
      <c r="A20" s="151">
        <f>IF(C20&lt;&gt;"",COUNTA($C$11:C20),"")</f>
        <v>10</v>
      </c>
      <c r="B20" s="151"/>
      <c r="C20" s="337">
        <v>800</v>
      </c>
      <c r="D20" s="338">
        <f t="shared" si="0"/>
        <v>94.34</v>
      </c>
      <c r="E20" s="338">
        <f t="shared" si="1"/>
        <v>91.18</v>
      </c>
      <c r="F20" s="338">
        <f t="shared" si="5"/>
        <v>185.52</v>
      </c>
      <c r="G20" s="338"/>
      <c r="H20" s="338">
        <f t="shared" si="6"/>
        <v>92.88</v>
      </c>
      <c r="I20" s="338">
        <f t="shared" si="2"/>
        <v>108.7</v>
      </c>
      <c r="J20" s="338">
        <f t="shared" si="7"/>
        <v>201.57999999999998</v>
      </c>
      <c r="K20" s="339"/>
      <c r="L20" s="340">
        <f t="shared" si="3"/>
        <v>16.059999999999974</v>
      </c>
      <c r="M20" s="341">
        <f t="shared" si="4"/>
        <v>8.6567485985338366E-2</v>
      </c>
      <c r="O20" s="342"/>
      <c r="P20" s="339"/>
      <c r="Q20" s="339"/>
      <c r="R20" s="339"/>
      <c r="S20" s="339"/>
      <c r="T20" s="339"/>
      <c r="U20" s="339"/>
      <c r="V20" s="339"/>
      <c r="W20" s="339"/>
      <c r="X20" s="339"/>
    </row>
    <row r="21" spans="1:24" ht="14" x14ac:dyDescent="0.3">
      <c r="A21" s="151">
        <f>IF(C21&lt;&gt;"",COUNTA($C$11:C21),"")</f>
        <v>11</v>
      </c>
      <c r="B21" s="151"/>
      <c r="C21" s="337">
        <v>900</v>
      </c>
      <c r="D21" s="338">
        <f t="shared" si="0"/>
        <v>105.25</v>
      </c>
      <c r="E21" s="338">
        <f t="shared" si="1"/>
        <v>102.57</v>
      </c>
      <c r="F21" s="338">
        <f t="shared" si="5"/>
        <v>207.82</v>
      </c>
      <c r="G21" s="338"/>
      <c r="H21" s="338">
        <f t="shared" si="6"/>
        <v>103.62</v>
      </c>
      <c r="I21" s="338">
        <f t="shared" si="2"/>
        <v>122.29</v>
      </c>
      <c r="J21" s="338">
        <f t="shared" si="7"/>
        <v>225.91000000000003</v>
      </c>
      <c r="K21" s="339"/>
      <c r="L21" s="340">
        <f t="shared" si="3"/>
        <v>18.090000000000032</v>
      </c>
      <c r="M21" s="341">
        <f t="shared" si="4"/>
        <v>8.7046482532961378E-2</v>
      </c>
      <c r="O21" s="342"/>
      <c r="P21" s="339"/>
      <c r="Q21" s="339"/>
      <c r="R21" s="339"/>
      <c r="S21" s="339"/>
      <c r="T21" s="339"/>
      <c r="U21" s="339"/>
      <c r="V21" s="339"/>
      <c r="W21" s="339"/>
      <c r="X21" s="339"/>
    </row>
    <row r="22" spans="1:24" ht="14" x14ac:dyDescent="0.3">
      <c r="A22" s="151">
        <f>IF(C22&lt;&gt;"",COUNTA($C$11:C22),"")</f>
        <v>12</v>
      </c>
      <c r="B22" s="151"/>
      <c r="C22" s="337">
        <v>1000</v>
      </c>
      <c r="D22" s="338">
        <f t="shared" si="0"/>
        <v>116.17</v>
      </c>
      <c r="E22" s="338">
        <f t="shared" si="1"/>
        <v>113.97</v>
      </c>
      <c r="F22" s="338">
        <f t="shared" si="5"/>
        <v>230.14</v>
      </c>
      <c r="G22" s="338"/>
      <c r="H22" s="338">
        <f t="shared" si="6"/>
        <v>114.35</v>
      </c>
      <c r="I22" s="338">
        <f t="shared" si="2"/>
        <v>135.88</v>
      </c>
      <c r="J22" s="338">
        <f t="shared" si="7"/>
        <v>250.23</v>
      </c>
      <c r="K22" s="339"/>
      <c r="L22" s="340">
        <f t="shared" si="3"/>
        <v>20.090000000000003</v>
      </c>
      <c r="M22" s="341">
        <f t="shared" si="4"/>
        <v>8.7294690188580881E-2</v>
      </c>
      <c r="O22" s="342"/>
      <c r="P22" s="339"/>
      <c r="Q22" s="339"/>
      <c r="R22" s="339"/>
      <c r="S22" s="339"/>
      <c r="T22" s="339"/>
      <c r="U22" s="339"/>
      <c r="V22" s="339"/>
      <c r="W22" s="339"/>
      <c r="X22" s="339"/>
    </row>
    <row r="23" spans="1:24" ht="14" x14ac:dyDescent="0.3">
      <c r="A23" s="151">
        <f>IF(C23&lt;&gt;"",COUNTA($C$11:C23),"")</f>
        <v>13</v>
      </c>
      <c r="B23" s="151"/>
      <c r="C23" s="337">
        <v>1250</v>
      </c>
      <c r="D23" s="338">
        <f t="shared" si="0"/>
        <v>143.46</v>
      </c>
      <c r="E23" s="338">
        <f t="shared" si="1"/>
        <v>142.46</v>
      </c>
      <c r="F23" s="338">
        <f t="shared" si="5"/>
        <v>285.92</v>
      </c>
      <c r="G23" s="338"/>
      <c r="H23" s="338">
        <f t="shared" si="6"/>
        <v>141.19</v>
      </c>
      <c r="I23" s="338">
        <f t="shared" si="2"/>
        <v>169.85</v>
      </c>
      <c r="J23" s="338">
        <f t="shared" si="7"/>
        <v>311.03999999999996</v>
      </c>
      <c r="K23" s="339"/>
      <c r="L23" s="340">
        <f t="shared" si="3"/>
        <v>25.119999999999948</v>
      </c>
      <c r="M23" s="341">
        <f t="shared" si="4"/>
        <v>8.7856743144935454E-2</v>
      </c>
      <c r="O23" s="342"/>
      <c r="P23" s="339"/>
      <c r="Q23" s="339"/>
      <c r="R23" s="339"/>
      <c r="S23" s="339"/>
      <c r="T23" s="339"/>
      <c r="U23" s="339"/>
      <c r="V23" s="339"/>
      <c r="W23" s="339"/>
      <c r="X23" s="339"/>
    </row>
    <row r="24" spans="1:24" ht="14" x14ac:dyDescent="0.3">
      <c r="A24" s="151">
        <f>IF(C24&lt;&gt;"",COUNTA($C$11:C24),"")</f>
        <v>14</v>
      </c>
      <c r="B24" s="151"/>
      <c r="C24" s="337">
        <v>1500</v>
      </c>
      <c r="D24" s="338">
        <f t="shared" si="0"/>
        <v>170.76</v>
      </c>
      <c r="E24" s="338">
        <f t="shared" si="1"/>
        <v>170.96</v>
      </c>
      <c r="F24" s="338">
        <f t="shared" si="5"/>
        <v>341.72</v>
      </c>
      <c r="G24" s="338"/>
      <c r="H24" s="338">
        <f t="shared" si="6"/>
        <v>168.03</v>
      </c>
      <c r="I24" s="338">
        <f t="shared" si="2"/>
        <v>203.82</v>
      </c>
      <c r="J24" s="338">
        <f t="shared" si="7"/>
        <v>371.85</v>
      </c>
      <c r="K24" s="339"/>
      <c r="L24" s="340">
        <f t="shared" si="3"/>
        <v>30.129999999999995</v>
      </c>
      <c r="M24" s="341">
        <f t="shared" si="4"/>
        <v>8.8171602481563832E-2</v>
      </c>
      <c r="O24" s="342"/>
      <c r="P24" s="339"/>
      <c r="Q24" s="339"/>
      <c r="R24" s="339"/>
      <c r="S24" s="339"/>
      <c r="T24" s="339"/>
      <c r="U24" s="339"/>
      <c r="V24" s="339"/>
      <c r="W24" s="339"/>
      <c r="X24" s="339"/>
    </row>
    <row r="25" spans="1:24" ht="14" x14ac:dyDescent="0.3">
      <c r="A25" s="151">
        <f>IF(C25&lt;&gt;"",COUNTA($C$11:C25),"")</f>
        <v>15</v>
      </c>
      <c r="B25" s="151"/>
      <c r="C25" s="337">
        <v>2000</v>
      </c>
      <c r="D25" s="338">
        <f t="shared" si="0"/>
        <v>225.34</v>
      </c>
      <c r="E25" s="338">
        <f t="shared" si="1"/>
        <v>227.94</v>
      </c>
      <c r="F25" s="338">
        <f t="shared" si="5"/>
        <v>453.28</v>
      </c>
      <c r="G25" s="338"/>
      <c r="H25" s="338">
        <f t="shared" si="6"/>
        <v>221.7</v>
      </c>
      <c r="I25" s="338">
        <f t="shared" si="2"/>
        <v>271.76</v>
      </c>
      <c r="J25" s="338">
        <f t="shared" si="7"/>
        <v>493.46</v>
      </c>
      <c r="K25" s="339"/>
      <c r="L25" s="340">
        <f t="shared" si="3"/>
        <v>40.180000000000007</v>
      </c>
      <c r="M25" s="341">
        <f t="shared" si="4"/>
        <v>8.8642781503706344E-2</v>
      </c>
      <c r="O25" s="342"/>
      <c r="P25" s="339"/>
      <c r="Q25" s="339"/>
      <c r="R25" s="339"/>
      <c r="S25" s="339"/>
      <c r="T25" s="339"/>
      <c r="U25" s="339"/>
      <c r="V25" s="339"/>
      <c r="W25" s="339"/>
      <c r="X25" s="339"/>
    </row>
    <row r="26" spans="1:24" ht="14" x14ac:dyDescent="0.3">
      <c r="A26" s="151">
        <f>IF(C26&lt;&gt;"",COUNTA($C$11:C26),"")</f>
        <v>16</v>
      </c>
      <c r="B26" s="151" t="s">
        <v>554</v>
      </c>
      <c r="C26" s="337">
        <v>516</v>
      </c>
      <c r="D26" s="338">
        <f t="shared" si="0"/>
        <v>63.33</v>
      </c>
      <c r="E26" s="338">
        <f t="shared" si="1"/>
        <v>58.81</v>
      </c>
      <c r="F26" s="338">
        <f t="shared" si="5"/>
        <v>122.14</v>
      </c>
      <c r="G26" s="338"/>
      <c r="H26" s="338">
        <f t="shared" si="6"/>
        <v>62.39</v>
      </c>
      <c r="I26" s="338">
        <f t="shared" si="2"/>
        <v>70.11</v>
      </c>
      <c r="J26" s="338">
        <f t="shared" si="7"/>
        <v>132.5</v>
      </c>
      <c r="K26" s="339"/>
      <c r="L26" s="340">
        <f t="shared" si="3"/>
        <v>10.36</v>
      </c>
      <c r="M26" s="341">
        <f t="shared" si="4"/>
        <v>8.4820697560176836E-2</v>
      </c>
      <c r="O26" s="342"/>
      <c r="P26" s="339"/>
      <c r="Q26" s="339"/>
      <c r="R26" s="339"/>
      <c r="S26" s="339"/>
      <c r="T26" s="339"/>
      <c r="U26" s="339"/>
      <c r="V26" s="339"/>
      <c r="W26" s="339"/>
      <c r="X26" s="339"/>
    </row>
    <row r="27" spans="1:24" ht="14" x14ac:dyDescent="0.3">
      <c r="A27" s="151" t="str">
        <f>IF(C27&lt;&gt;"",COUNTA($C$11:C27),"")</f>
        <v/>
      </c>
      <c r="B27" s="151"/>
      <c r="C27" s="337"/>
      <c r="D27" s="338"/>
      <c r="E27" s="338"/>
      <c r="F27" s="338"/>
      <c r="G27" s="338"/>
      <c r="H27" s="338"/>
      <c r="I27" s="338"/>
      <c r="J27" s="338"/>
      <c r="K27" s="339"/>
      <c r="L27" s="340"/>
      <c r="M27" s="341"/>
    </row>
    <row r="28" spans="1:24" ht="14" x14ac:dyDescent="0.3">
      <c r="A28" s="151" t="str">
        <f>IF(C28&lt;&gt;"",COUNTA($C$11:C28),"")</f>
        <v/>
      </c>
      <c r="B28" s="151"/>
      <c r="C28" s="343"/>
      <c r="D28" s="344"/>
      <c r="E28" s="344"/>
      <c r="F28" s="344"/>
      <c r="G28" s="344"/>
      <c r="H28" s="344"/>
      <c r="I28" s="344"/>
      <c r="J28" s="344"/>
      <c r="K28" s="345"/>
      <c r="L28" s="345"/>
    </row>
    <row r="29" spans="1:24" ht="14" x14ac:dyDescent="0.3">
      <c r="A29" s="151">
        <f>IF(C29&lt;&gt;"",COUNTA($C$11:C29),"")</f>
        <v>17</v>
      </c>
      <c r="B29" s="151"/>
      <c r="C29" s="293" t="s">
        <v>46</v>
      </c>
      <c r="D29" s="339"/>
      <c r="E29" s="339"/>
      <c r="F29" s="346" t="s">
        <v>63</v>
      </c>
      <c r="G29" s="346"/>
      <c r="H29" s="347" t="s">
        <v>64</v>
      </c>
      <c r="I29" s="348"/>
      <c r="J29" s="339"/>
      <c r="K29" s="339"/>
      <c r="L29" s="339"/>
    </row>
    <row r="30" spans="1:24" ht="14" x14ac:dyDescent="0.3">
      <c r="A30" s="151">
        <f>IF(C30&lt;&gt;"",COUNTA($C$11:C30),"")</f>
        <v>18</v>
      </c>
      <c r="B30" s="151"/>
      <c r="C30" s="293" t="s">
        <v>46</v>
      </c>
      <c r="D30" s="339"/>
      <c r="E30" s="339"/>
      <c r="F30" s="349" t="s">
        <v>239</v>
      </c>
      <c r="G30" s="349"/>
      <c r="H30" s="349" t="s">
        <v>239</v>
      </c>
      <c r="I30" s="349" t="s">
        <v>65</v>
      </c>
      <c r="J30" s="339"/>
      <c r="K30" s="339"/>
      <c r="L30" s="339"/>
    </row>
    <row r="31" spans="1:24" ht="14" x14ac:dyDescent="0.3">
      <c r="A31" s="151">
        <f>IF(C31&lt;&gt;"",COUNTA($C$11:C31),"")</f>
        <v>19</v>
      </c>
      <c r="B31" s="151"/>
      <c r="C31" s="330" t="s">
        <v>296</v>
      </c>
      <c r="D31" s="339"/>
      <c r="E31" s="339"/>
      <c r="F31" s="350">
        <v>7</v>
      </c>
      <c r="G31" s="350"/>
      <c r="H31" s="350">
        <f>+F31</f>
        <v>7</v>
      </c>
      <c r="I31" s="351">
        <f t="shared" ref="I31:I52" si="8">+H31-F31</f>
        <v>0</v>
      </c>
      <c r="J31" s="339"/>
      <c r="K31" s="339"/>
      <c r="P31" s="352"/>
    </row>
    <row r="32" spans="1:24" ht="14" x14ac:dyDescent="0.3">
      <c r="A32" s="151">
        <f>IF(C32&lt;&gt;"",COUNTA($C$11:C32),"")</f>
        <v>20</v>
      </c>
      <c r="B32" s="151"/>
      <c r="C32" s="353" t="s">
        <v>298</v>
      </c>
      <c r="D32" s="339"/>
      <c r="E32" s="339"/>
      <c r="F32" s="277">
        <v>4.3720000000000002E-2</v>
      </c>
      <c r="G32" s="277"/>
      <c r="H32" s="277">
        <v>4.5629999999999997E-2</v>
      </c>
      <c r="I32" s="354">
        <f t="shared" si="8"/>
        <v>1.909999999999995E-3</v>
      </c>
      <c r="J32" s="339"/>
      <c r="K32" s="339"/>
      <c r="P32" s="352"/>
    </row>
    <row r="33" spans="1:16" ht="14" x14ac:dyDescent="0.3">
      <c r="A33" s="151">
        <f>IF(C33&lt;&gt;"",COUNTA($C$11:C33),"")</f>
        <v>21</v>
      </c>
      <c r="B33" s="151"/>
      <c r="C33" s="353" t="s">
        <v>36</v>
      </c>
      <c r="D33" s="339"/>
      <c r="E33" s="339"/>
      <c r="F33" s="277">
        <v>0</v>
      </c>
      <c r="G33" s="277"/>
      <c r="H33" s="277">
        <v>-5.6999999999999998E-4</v>
      </c>
      <c r="I33" s="354">
        <f t="shared" si="8"/>
        <v>-5.6999999999999998E-4</v>
      </c>
      <c r="J33" s="339"/>
      <c r="K33" s="339"/>
      <c r="P33" s="352"/>
    </row>
    <row r="34" spans="1:16" ht="14" x14ac:dyDescent="0.3">
      <c r="A34" s="151">
        <f>IF(C34&lt;&gt;"",COUNTA($C$11:C34),"")</f>
        <v>22</v>
      </c>
      <c r="B34" s="151"/>
      <c r="C34" s="353" t="s">
        <v>303</v>
      </c>
      <c r="D34" s="339"/>
      <c r="E34" s="339"/>
      <c r="F34" s="277">
        <v>3.7499999999999999E-3</v>
      </c>
      <c r="G34" s="277"/>
      <c r="H34" s="277">
        <v>4.8199999999999996E-3</v>
      </c>
      <c r="I34" s="354">
        <f t="shared" si="8"/>
        <v>1.0699999999999998E-3</v>
      </c>
      <c r="J34" s="339"/>
      <c r="K34" s="339"/>
      <c r="P34" s="352"/>
    </row>
    <row r="35" spans="1:16" ht="14" x14ac:dyDescent="0.3">
      <c r="A35" s="151">
        <f>IF(C35&lt;&gt;"",COUNTA($C$11:C35),"")</f>
        <v>23</v>
      </c>
      <c r="B35" s="151"/>
      <c r="C35" s="353" t="s">
        <v>304</v>
      </c>
      <c r="D35" s="339"/>
      <c r="E35" s="339"/>
      <c r="F35" s="277">
        <v>-1.1E-4</v>
      </c>
      <c r="G35" s="277"/>
      <c r="H35" s="277">
        <v>9.3000000000000005E-4</v>
      </c>
      <c r="I35" s="354">
        <f t="shared" si="8"/>
        <v>1.0400000000000001E-3</v>
      </c>
      <c r="J35" s="339"/>
      <c r="K35" s="339"/>
      <c r="P35" s="352"/>
    </row>
    <row r="36" spans="1:16" ht="14" x14ac:dyDescent="0.3">
      <c r="A36" s="151">
        <f>IF(C36&lt;&gt;"",COUNTA($C$11:C36),"")</f>
        <v>24</v>
      </c>
      <c r="B36" s="151"/>
      <c r="C36" s="353" t="s">
        <v>305</v>
      </c>
      <c r="D36" s="339"/>
      <c r="E36" s="339"/>
      <c r="F36" s="277">
        <v>7.3800000000000003E-3</v>
      </c>
      <c r="G36" s="277"/>
      <c r="H36" s="277">
        <v>6.2899999999999996E-3</v>
      </c>
      <c r="I36" s="354">
        <f t="shared" si="8"/>
        <v>-1.0900000000000007E-3</v>
      </c>
      <c r="J36" s="339"/>
      <c r="K36" s="339"/>
      <c r="P36" s="352"/>
    </row>
    <row r="37" spans="1:16" ht="14" x14ac:dyDescent="0.3">
      <c r="A37" s="151">
        <f>IF(C37&lt;&gt;"",COUNTA($C$11:C37),"")</f>
        <v>25</v>
      </c>
      <c r="B37" s="151"/>
      <c r="C37" s="353" t="s">
        <v>306</v>
      </c>
      <c r="D37" s="339"/>
      <c r="E37" s="339"/>
      <c r="F37" s="277">
        <v>2.3600000000000001E-3</v>
      </c>
      <c r="G37" s="277"/>
      <c r="H37" s="277">
        <v>1.74E-3</v>
      </c>
      <c r="I37" s="354">
        <f t="shared" si="8"/>
        <v>-6.2000000000000011E-4</v>
      </c>
      <c r="J37" s="339"/>
      <c r="K37" s="339"/>
      <c r="P37" s="352"/>
    </row>
    <row r="38" spans="1:16" ht="14" x14ac:dyDescent="0.3">
      <c r="A38" s="151">
        <f>IF(C38&lt;&gt;"",COUNTA($C$11:C38),"")</f>
        <v>26</v>
      </c>
      <c r="B38" s="151"/>
      <c r="C38" s="353" t="s">
        <v>307</v>
      </c>
      <c r="D38" s="339"/>
      <c r="E38" s="339"/>
      <c r="F38" s="277">
        <v>4.0000000000000003E-5</v>
      </c>
      <c r="G38" s="277"/>
      <c r="H38" s="277">
        <v>1.0000000000000001E-5</v>
      </c>
      <c r="I38" s="354">
        <f t="shared" si="8"/>
        <v>-3.0000000000000004E-5</v>
      </c>
      <c r="J38" s="339"/>
      <c r="K38" s="339"/>
      <c r="P38" s="352"/>
    </row>
    <row r="39" spans="1:16" ht="14" x14ac:dyDescent="0.3">
      <c r="A39" s="151">
        <f>IF(C39&lt;&gt;"",COUNTA($C$11:C39),"")</f>
        <v>27</v>
      </c>
      <c r="B39" s="151"/>
      <c r="C39" s="353" t="s">
        <v>308</v>
      </c>
      <c r="D39" s="339"/>
      <c r="E39" s="339"/>
      <c r="F39" s="277">
        <v>2.31E-3</v>
      </c>
      <c r="G39" s="277"/>
      <c r="H39" s="277">
        <v>3.65E-3</v>
      </c>
      <c r="I39" s="354">
        <f t="shared" si="8"/>
        <v>1.34E-3</v>
      </c>
      <c r="J39" s="339"/>
      <c r="K39" s="339"/>
      <c r="P39" s="352"/>
    </row>
    <row r="40" spans="1:16" ht="14" x14ac:dyDescent="0.3">
      <c r="A40" s="151">
        <f>IF(C40&lt;&gt;"",COUNTA($C$11:C40),"")</f>
        <v>28</v>
      </c>
      <c r="B40" s="151"/>
      <c r="C40" s="353" t="s">
        <v>309</v>
      </c>
      <c r="D40" s="339"/>
      <c r="E40" s="339"/>
      <c r="F40" s="277">
        <v>0</v>
      </c>
      <c r="G40" s="277"/>
      <c r="H40" s="277">
        <v>0</v>
      </c>
      <c r="I40" s="354">
        <f t="shared" si="8"/>
        <v>0</v>
      </c>
      <c r="J40" s="339"/>
      <c r="K40" s="339"/>
      <c r="P40" s="352"/>
    </row>
    <row r="41" spans="1:16" ht="14" x14ac:dyDescent="0.3">
      <c r="A41" s="151">
        <f>IF(C41&lt;&gt;"",COUNTA($C$11:C41),"")</f>
        <v>29</v>
      </c>
      <c r="B41" s="151"/>
      <c r="C41" s="353" t="s">
        <v>310</v>
      </c>
      <c r="D41" s="339"/>
      <c r="E41" s="339"/>
      <c r="F41" s="277">
        <v>2E-3</v>
      </c>
      <c r="G41" s="277"/>
      <c r="H41" s="277">
        <v>-2.4000000000000001E-4</v>
      </c>
      <c r="I41" s="354">
        <f t="shared" si="8"/>
        <v>-2.2400000000000002E-3</v>
      </c>
      <c r="J41" s="339"/>
      <c r="K41" s="339"/>
      <c r="P41" s="352"/>
    </row>
    <row r="42" spans="1:16" ht="14" x14ac:dyDescent="0.3">
      <c r="A42" s="151">
        <f>IF(C42&lt;&gt;"",COUNTA($C$11:C42),"")</f>
        <v>30</v>
      </c>
      <c r="B42" s="151"/>
      <c r="C42" s="353" t="s">
        <v>311</v>
      </c>
      <c r="D42" s="339"/>
      <c r="E42" s="339"/>
      <c r="F42" s="277">
        <v>0</v>
      </c>
      <c r="G42" s="277"/>
      <c r="H42" s="277">
        <v>4.0000000000000003E-5</v>
      </c>
      <c r="I42" s="354">
        <f t="shared" si="8"/>
        <v>4.0000000000000003E-5</v>
      </c>
      <c r="J42" s="339"/>
      <c r="K42" s="339"/>
      <c r="P42" s="352"/>
    </row>
    <row r="43" spans="1:16" ht="14" x14ac:dyDescent="0.3">
      <c r="A43" s="151">
        <f>IF(C43&lt;&gt;"",COUNTA($C$11:C43),"")</f>
        <v>31</v>
      </c>
      <c r="B43" s="151"/>
      <c r="C43" s="353" t="s">
        <v>312</v>
      </c>
      <c r="D43" s="339"/>
      <c r="E43" s="339"/>
      <c r="F43" s="277">
        <v>0</v>
      </c>
      <c r="G43" s="277"/>
      <c r="H43" s="277">
        <v>7.5000000000000002E-4</v>
      </c>
      <c r="I43" s="354">
        <f t="shared" si="8"/>
        <v>7.5000000000000002E-4</v>
      </c>
      <c r="J43" s="339"/>
      <c r="K43" s="339"/>
      <c r="P43" s="352"/>
    </row>
    <row r="44" spans="1:16" ht="14" x14ac:dyDescent="0.3">
      <c r="A44" s="151">
        <f>IF(C44&lt;&gt;"",COUNTA($C$11:C44),"")</f>
        <v>32</v>
      </c>
      <c r="B44" s="151"/>
      <c r="C44" s="353" t="s">
        <v>313</v>
      </c>
      <c r="D44" s="339"/>
      <c r="E44" s="339"/>
      <c r="F44" s="277">
        <v>0</v>
      </c>
      <c r="G44" s="277"/>
      <c r="H44" s="277">
        <v>1.67E-3</v>
      </c>
      <c r="I44" s="354">
        <f t="shared" si="8"/>
        <v>1.67E-3</v>
      </c>
      <c r="J44" s="339"/>
      <c r="K44" s="339"/>
      <c r="P44" s="352"/>
    </row>
    <row r="45" spans="1:16" ht="14" x14ac:dyDescent="0.3">
      <c r="A45" s="151">
        <f>IF(C45&lt;&gt;"",COUNTA($C$11:C45),"")</f>
        <v>33</v>
      </c>
      <c r="B45" s="151"/>
      <c r="C45" s="355" t="s">
        <v>314</v>
      </c>
      <c r="D45" s="339"/>
      <c r="E45" s="339"/>
      <c r="F45" s="277">
        <v>0</v>
      </c>
      <c r="G45" s="277"/>
      <c r="H45" s="277">
        <v>8.8000000000000003E-4</v>
      </c>
      <c r="I45" s="354">
        <f t="shared" si="8"/>
        <v>8.8000000000000003E-4</v>
      </c>
      <c r="J45" s="339"/>
      <c r="K45" s="339"/>
      <c r="P45" s="352"/>
    </row>
    <row r="46" spans="1:16" ht="14" x14ac:dyDescent="0.3">
      <c r="A46" s="151">
        <f>IF(C46&lt;&gt;"",COUNTA($C$11:C46),"")</f>
        <v>34</v>
      </c>
      <c r="B46" s="151"/>
      <c r="C46" s="355" t="s">
        <v>59</v>
      </c>
      <c r="D46" s="339"/>
      <c r="E46" s="339"/>
      <c r="F46" s="277">
        <v>0</v>
      </c>
      <c r="G46" s="277"/>
      <c r="H46" s="277">
        <v>-1.33E-3</v>
      </c>
      <c r="I46" s="354">
        <f t="shared" si="8"/>
        <v>-1.33E-3</v>
      </c>
      <c r="J46" s="339"/>
      <c r="K46" s="339"/>
      <c r="P46" s="352"/>
    </row>
    <row r="47" spans="1:16" ht="14" x14ac:dyDescent="0.3">
      <c r="A47" s="151">
        <f>IF(C47&lt;&gt;"",COUNTA($C$11:C47),"")</f>
        <v>35</v>
      </c>
      <c r="B47" s="151"/>
      <c r="C47" s="353" t="s">
        <v>53</v>
      </c>
      <c r="D47" s="339"/>
      <c r="E47" s="339"/>
      <c r="F47" s="277">
        <v>-6.0999999999999997E-4</v>
      </c>
      <c r="G47" s="277"/>
      <c r="H47" s="277">
        <v>-5.1999999999999995E-4</v>
      </c>
      <c r="I47" s="354">
        <f t="shared" si="8"/>
        <v>9.0000000000000019E-5</v>
      </c>
      <c r="J47" s="339"/>
      <c r="K47" s="339"/>
      <c r="P47" s="352"/>
    </row>
    <row r="48" spans="1:16" ht="14" x14ac:dyDescent="0.3">
      <c r="A48" s="151">
        <f>IF(C48&lt;&gt;"",COUNTA($C$11:C48),"")</f>
        <v>36</v>
      </c>
      <c r="B48" s="151"/>
      <c r="C48" s="353" t="s">
        <v>315</v>
      </c>
      <c r="D48" s="339"/>
      <c r="E48" s="339"/>
      <c r="F48" s="277">
        <v>3.058E-2</v>
      </c>
      <c r="G48" s="277"/>
      <c r="H48" s="277">
        <v>2.5850000000000001E-2</v>
      </c>
      <c r="I48" s="354">
        <f t="shared" si="8"/>
        <v>-4.7299999999999981E-3</v>
      </c>
      <c r="J48" s="339"/>
      <c r="K48" s="339"/>
      <c r="P48" s="352"/>
    </row>
    <row r="49" spans="1:16" ht="14" x14ac:dyDescent="0.3">
      <c r="A49" s="151">
        <f>IF(C49&lt;&gt;"",COUNTA($C$11:C49),"")</f>
        <v>37</v>
      </c>
      <c r="B49" s="151"/>
      <c r="C49" s="353" t="s">
        <v>317</v>
      </c>
      <c r="D49" s="339"/>
      <c r="E49" s="339"/>
      <c r="F49" s="277">
        <v>1.4749999999999999E-2</v>
      </c>
      <c r="G49" s="277"/>
      <c r="H49" s="277">
        <v>1.4749999999999999E-2</v>
      </c>
      <c r="I49" s="354">
        <f t="shared" si="8"/>
        <v>0</v>
      </c>
      <c r="J49" s="339"/>
      <c r="K49" s="339"/>
      <c r="P49" s="352"/>
    </row>
    <row r="50" spans="1:16" ht="14" x14ac:dyDescent="0.3">
      <c r="A50" s="151">
        <f>IF(C50&lt;&gt;"",COUNTA($C$11:C50),"")</f>
        <v>38</v>
      </c>
      <c r="B50" s="151"/>
      <c r="C50" s="353" t="s">
        <v>318</v>
      </c>
      <c r="D50" s="339"/>
      <c r="E50" s="339"/>
      <c r="F50" s="277">
        <v>2.5000000000000001E-3</v>
      </c>
      <c r="G50" s="277"/>
      <c r="H50" s="277">
        <f>+F50</f>
        <v>2.5000000000000001E-3</v>
      </c>
      <c r="I50" s="354">
        <f t="shared" si="8"/>
        <v>0</v>
      </c>
      <c r="J50" s="339"/>
      <c r="K50" s="339"/>
      <c r="P50" s="352"/>
    </row>
    <row r="51" spans="1:16" ht="14" x14ac:dyDescent="0.3">
      <c r="A51" s="151">
        <f>IF(C51&lt;&gt;"",COUNTA($C$11:C51),"")</f>
        <v>39</v>
      </c>
      <c r="B51" s="151"/>
      <c r="C51" s="353" t="s">
        <v>320</v>
      </c>
      <c r="D51" s="339"/>
      <c r="E51" s="339"/>
      <c r="F51" s="277">
        <v>5.0000000000000001E-4</v>
      </c>
      <c r="G51" s="277"/>
      <c r="H51" s="277">
        <f>+F51</f>
        <v>5.0000000000000001E-4</v>
      </c>
      <c r="I51" s="354">
        <f t="shared" si="8"/>
        <v>0</v>
      </c>
      <c r="J51" s="339"/>
      <c r="K51" s="339"/>
      <c r="P51" s="352"/>
    </row>
    <row r="52" spans="1:16" ht="14" x14ac:dyDescent="0.3">
      <c r="A52" s="151">
        <f>IF(C52&lt;&gt;"",COUNTA($C$11:C52),"")</f>
        <v>40</v>
      </c>
      <c r="B52" s="151"/>
      <c r="C52" s="353" t="s">
        <v>322</v>
      </c>
      <c r="D52" s="339"/>
      <c r="E52" s="339"/>
      <c r="F52" s="277">
        <v>0.11397</v>
      </c>
      <c r="G52" s="277"/>
      <c r="H52" s="277">
        <v>0.13588</v>
      </c>
      <c r="I52" s="354">
        <f t="shared" si="8"/>
        <v>2.1909999999999999E-2</v>
      </c>
      <c r="J52" s="339"/>
      <c r="K52" s="339"/>
      <c r="P52" s="352"/>
    </row>
    <row r="53" spans="1:16" ht="14" x14ac:dyDescent="0.3">
      <c r="A53" s="151"/>
      <c r="B53" s="151"/>
      <c r="D53" s="339"/>
      <c r="E53" s="339"/>
      <c r="F53" s="356"/>
      <c r="G53" s="356"/>
      <c r="H53" s="356"/>
      <c r="I53" s="354"/>
      <c r="J53" s="339"/>
      <c r="K53" s="339"/>
      <c r="L53" s="339"/>
    </row>
    <row r="54" spans="1:16" ht="14" x14ac:dyDescent="0.3">
      <c r="A54" s="151"/>
      <c r="B54" s="151"/>
      <c r="D54" s="339"/>
      <c r="E54" s="339"/>
      <c r="F54" s="356"/>
      <c r="G54" s="356"/>
      <c r="H54" s="356"/>
      <c r="I54" s="354"/>
      <c r="J54" s="339"/>
      <c r="K54" s="339"/>
      <c r="L54" s="339"/>
    </row>
    <row r="55" spans="1:16" ht="14" x14ac:dyDescent="0.3">
      <c r="A55" s="151"/>
      <c r="B55" s="151"/>
      <c r="C55" s="335" t="s">
        <v>555</v>
      </c>
      <c r="D55" s="339"/>
      <c r="E55" s="339"/>
      <c r="F55" s="356">
        <f>SUM(F32:F51)</f>
        <v>0.10917</v>
      </c>
      <c r="G55" s="356"/>
      <c r="H55" s="356">
        <f>SUM(H32:H51)</f>
        <v>0.10735</v>
      </c>
      <c r="I55" s="354">
        <f>SUM(I32:I51)</f>
        <v>-1.8200000000000048E-3</v>
      </c>
      <c r="J55" s="339"/>
      <c r="K55" s="339"/>
      <c r="L55" s="339"/>
    </row>
    <row r="56" spans="1:16" ht="14" x14ac:dyDescent="0.3">
      <c r="C56" s="335" t="s">
        <v>556</v>
      </c>
      <c r="D56" s="339"/>
      <c r="E56" s="339"/>
      <c r="F56" s="356">
        <f>F52</f>
        <v>0.11397</v>
      </c>
      <c r="G56" s="356"/>
      <c r="H56" s="356">
        <f>H52</f>
        <v>0.13588</v>
      </c>
      <c r="I56" s="354">
        <f>I52</f>
        <v>2.1909999999999999E-2</v>
      </c>
      <c r="J56" s="339"/>
      <c r="K56" s="339"/>
      <c r="L56" s="339"/>
    </row>
  </sheetData>
  <mergeCells count="7">
    <mergeCell ref="A4:M4"/>
    <mergeCell ref="A5:M5"/>
    <mergeCell ref="A6:M6"/>
    <mergeCell ref="A8:M8"/>
    <mergeCell ref="D11:F11"/>
    <mergeCell ref="H11:J11"/>
    <mergeCell ref="L11:M11"/>
  </mergeCells>
  <pageMargins left="0.7" right="0.7" top="0.75" bottom="0.75" header="0.3" footer="0.3"/>
  <pageSetup scale="66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1D10F-F68B-457E-B912-175000430796}">
  <sheetPr>
    <tabColor theme="3" tint="0.59999389629810485"/>
    <pageSetUpPr fitToPage="1"/>
  </sheetPr>
  <dimension ref="A4:X57"/>
  <sheetViews>
    <sheetView zoomScaleNormal="100" workbookViewId="0"/>
  </sheetViews>
  <sheetFormatPr defaultRowHeight="12.5" x14ac:dyDescent="0.25"/>
  <cols>
    <col min="1" max="1" width="4" bestFit="1" customWidth="1"/>
    <col min="2" max="2" width="5.54296875" bestFit="1" customWidth="1"/>
    <col min="3" max="3" width="12" customWidth="1"/>
    <col min="4" max="6" width="14.7265625" customWidth="1"/>
    <col min="7" max="7" width="2" customWidth="1"/>
    <col min="8" max="10" width="14.7265625" customWidth="1"/>
    <col min="11" max="11" width="2" customWidth="1"/>
    <col min="12" max="13" width="12" customWidth="1"/>
    <col min="15" max="15" width="10.81640625" bestFit="1" customWidth="1"/>
    <col min="16" max="17" width="9.7265625" bestFit="1" customWidth="1"/>
    <col min="18" max="18" width="10.1796875" bestFit="1" customWidth="1"/>
    <col min="19" max="19" width="8.453125" bestFit="1" customWidth="1"/>
    <col min="20" max="20" width="10.81640625" bestFit="1" customWidth="1"/>
    <col min="21" max="22" width="9.7265625" bestFit="1" customWidth="1"/>
    <col min="23" max="23" width="10.1796875" bestFit="1" customWidth="1"/>
    <col min="24" max="24" width="8.453125" bestFit="1" customWidth="1"/>
  </cols>
  <sheetData>
    <row r="4" spans="1:24" ht="14" x14ac:dyDescent="0.3">
      <c r="A4" s="759" t="str">
        <f>'Bill_EMA R1'!A4:M4</f>
        <v>Eastern Massachusetts</v>
      </c>
      <c r="B4" s="759"/>
      <c r="C4" s="759"/>
      <c r="D4" s="759"/>
      <c r="E4" s="759"/>
      <c r="F4" s="759"/>
      <c r="G4" s="759"/>
      <c r="H4" s="759"/>
      <c r="I4" s="759"/>
      <c r="J4" s="759"/>
      <c r="K4" s="759"/>
      <c r="L4" s="759"/>
      <c r="M4" s="759"/>
    </row>
    <row r="5" spans="1:24" ht="14" x14ac:dyDescent="0.3">
      <c r="A5" s="759" t="str">
        <f>+'Bill_EMA R1'!A5</f>
        <v>Calculation of Monthly Typical Bill</v>
      </c>
      <c r="B5" s="759"/>
      <c r="C5" s="759"/>
      <c r="D5" s="759"/>
      <c r="E5" s="759"/>
      <c r="F5" s="759"/>
      <c r="G5" s="759"/>
      <c r="H5" s="759"/>
      <c r="I5" s="759"/>
      <c r="J5" s="759"/>
      <c r="K5" s="759"/>
      <c r="L5" s="759"/>
      <c r="M5" s="759"/>
      <c r="N5" s="357"/>
    </row>
    <row r="6" spans="1:24" ht="14" x14ac:dyDescent="0.3">
      <c r="A6" s="759" t="str">
        <f>'Bill_EMA R1'!A6:M6</f>
        <v>Proposed January 1, 2019</v>
      </c>
      <c r="B6" s="759"/>
      <c r="C6" s="759"/>
      <c r="D6" s="759"/>
      <c r="E6" s="759"/>
      <c r="F6" s="759"/>
      <c r="G6" s="759"/>
      <c r="H6" s="759"/>
      <c r="I6" s="759"/>
      <c r="J6" s="759"/>
      <c r="K6" s="759"/>
      <c r="L6" s="759"/>
      <c r="M6" s="759"/>
      <c r="N6" s="357"/>
    </row>
    <row r="7" spans="1:24" ht="14" x14ac:dyDescent="0.3">
      <c r="A7" s="357"/>
      <c r="B7" s="357"/>
      <c r="C7" s="357"/>
      <c r="D7" s="357"/>
      <c r="E7" s="357"/>
      <c r="F7" s="357"/>
      <c r="G7" s="357"/>
      <c r="H7" s="357"/>
      <c r="I7" s="357"/>
      <c r="J7" s="357"/>
      <c r="K7" s="357"/>
      <c r="L7" s="357"/>
      <c r="M7" s="357"/>
      <c r="N7" s="357"/>
    </row>
    <row r="8" spans="1:24" ht="14" x14ac:dyDescent="0.3">
      <c r="A8" s="759" t="s">
        <v>336</v>
      </c>
      <c r="B8" s="759"/>
      <c r="C8" s="759"/>
      <c r="D8" s="759"/>
      <c r="E8" s="759"/>
      <c r="F8" s="759"/>
      <c r="G8" s="759"/>
      <c r="H8" s="759"/>
      <c r="I8" s="759"/>
      <c r="J8" s="759"/>
      <c r="K8" s="759"/>
      <c r="L8" s="759"/>
      <c r="M8" s="759"/>
    </row>
    <row r="9" spans="1:24" ht="14" x14ac:dyDescent="0.3">
      <c r="A9" s="329"/>
      <c r="B9" s="329"/>
      <c r="C9" s="330"/>
      <c r="D9" s="330"/>
      <c r="E9" s="330"/>
      <c r="F9" s="331"/>
      <c r="G9" s="330"/>
    </row>
    <row r="10" spans="1:24" ht="14" x14ac:dyDescent="0.3">
      <c r="A10" s="329"/>
      <c r="B10" s="329"/>
      <c r="C10" s="330"/>
      <c r="D10" s="330"/>
      <c r="E10" s="330"/>
      <c r="F10" s="332"/>
      <c r="G10" s="330"/>
    </row>
    <row r="11" spans="1:24" ht="14" x14ac:dyDescent="0.3">
      <c r="A11" s="151">
        <f>IF(C11&lt;&gt;"",COUNTA($C$11:C11),"")</f>
        <v>1</v>
      </c>
      <c r="B11" s="151"/>
      <c r="C11" s="329" t="s">
        <v>528</v>
      </c>
      <c r="D11" s="758" t="str">
        <f>+'Bill_EMA R1'!D11</f>
        <v>Current Monthly Bill</v>
      </c>
      <c r="E11" s="758"/>
      <c r="F11" s="758"/>
      <c r="G11" s="330"/>
      <c r="H11" s="758" t="str">
        <f>+'Bill_EMA R1'!H11</f>
        <v>Proposed Monthly Bill</v>
      </c>
      <c r="I11" s="758"/>
      <c r="J11" s="758"/>
      <c r="L11" s="758" t="str">
        <f>+'Bill_EMA R1'!L11</f>
        <v>Total Bill Impact</v>
      </c>
      <c r="M11" s="758"/>
      <c r="O11" s="335"/>
      <c r="P11" s="335"/>
      <c r="Q11" s="335"/>
      <c r="R11" s="335"/>
      <c r="T11" s="335"/>
      <c r="U11" s="335"/>
      <c r="V11" s="335"/>
      <c r="W11" s="335"/>
    </row>
    <row r="12" spans="1:24" ht="14" x14ac:dyDescent="0.3">
      <c r="A12" s="151">
        <f>IF(C12&lt;&gt;"",COUNTA($C$11:C12),"")</f>
        <v>2</v>
      </c>
      <c r="B12" s="151"/>
      <c r="C12" s="336" t="s">
        <v>551</v>
      </c>
      <c r="D12" s="336" t="str">
        <f>+'Bill_EMA R1'!D12</f>
        <v>Delivery</v>
      </c>
      <c r="E12" s="336" t="str">
        <f>+'Bill_EMA R1'!E12</f>
        <v>Supplier</v>
      </c>
      <c r="F12" s="336" t="str">
        <f>+'Bill_EMA R1'!F12</f>
        <v>Total</v>
      </c>
      <c r="G12" s="330"/>
      <c r="H12" s="336" t="str">
        <f>+'Bill_EMA R1'!H12</f>
        <v>Delivery</v>
      </c>
      <c r="I12" s="336" t="str">
        <f>+'Bill_EMA R1'!I12</f>
        <v>Supplier</v>
      </c>
      <c r="J12" s="336" t="str">
        <f>+'Bill_EMA R1'!J12</f>
        <v>Total</v>
      </c>
      <c r="L12" s="336" t="str">
        <f>+'Bill_EMA R1'!L12</f>
        <v>Change</v>
      </c>
      <c r="M12" s="336" t="str">
        <f>+'Bill_EMA R1'!M12</f>
        <v>% Change</v>
      </c>
    </row>
    <row r="13" spans="1:24" ht="14" x14ac:dyDescent="0.3">
      <c r="A13" s="151">
        <f>IF(C13&lt;&gt;"",COUNTA($C$11:C13),"")</f>
        <v>3</v>
      </c>
      <c r="B13" s="151"/>
      <c r="C13" s="337">
        <v>100</v>
      </c>
      <c r="D13" s="338">
        <f t="shared" ref="D13:D26" si="0">ROUND(($C13*SUM($F$32:$F$51)+$F$31)*(1-$F$53),2)</f>
        <v>10.6</v>
      </c>
      <c r="E13" s="338">
        <f t="shared" ref="E13:E26" si="1">ROUND(($F$52*C13)*(1-$F$53),2)</f>
        <v>7.29</v>
      </c>
      <c r="F13" s="338">
        <f>SUM(D13:E13)</f>
        <v>17.89</v>
      </c>
      <c r="G13" s="358"/>
      <c r="H13" s="338">
        <f t="shared" ref="H13:H26" si="2">ROUND(($C13*SUM($H$32:$H$51)+$H$31)*(1-$H$53),2)</f>
        <v>10.48</v>
      </c>
      <c r="I13" s="338">
        <f t="shared" ref="I13:I26" si="3">ROUND(($H$52*C13)*(1-$H$53),2)</f>
        <v>8.6999999999999993</v>
      </c>
      <c r="J13" s="338">
        <f>SUM(H13:I13)</f>
        <v>19.18</v>
      </c>
      <c r="K13" s="339"/>
      <c r="L13" s="340">
        <f>+J13-F13</f>
        <v>1.2899999999999991</v>
      </c>
      <c r="M13" s="341">
        <f>+L13/F13</f>
        <v>7.2107322526551096E-2</v>
      </c>
      <c r="O13" s="339"/>
      <c r="P13" s="339"/>
      <c r="Q13" s="339"/>
      <c r="R13" s="339"/>
      <c r="S13" s="339"/>
      <c r="T13" s="339"/>
      <c r="U13" s="339"/>
      <c r="V13" s="339"/>
      <c r="W13" s="339"/>
      <c r="X13" s="339"/>
    </row>
    <row r="14" spans="1:24" ht="14" x14ac:dyDescent="0.3">
      <c r="A14" s="151">
        <f>IF(C14&lt;&gt;"",COUNTA($C$11:C14),"")</f>
        <v>4</v>
      </c>
      <c r="B14" s="151"/>
      <c r="C14" s="337">
        <v>200</v>
      </c>
      <c r="D14" s="338">
        <f t="shared" si="0"/>
        <v>16.71</v>
      </c>
      <c r="E14" s="338">
        <f t="shared" si="1"/>
        <v>14.59</v>
      </c>
      <c r="F14" s="338">
        <f t="shared" ref="F14:F26" si="4">SUM(D14:E14)</f>
        <v>31.3</v>
      </c>
      <c r="G14" s="358"/>
      <c r="H14" s="338">
        <f t="shared" si="2"/>
        <v>16.48</v>
      </c>
      <c r="I14" s="338">
        <f t="shared" si="3"/>
        <v>17.39</v>
      </c>
      <c r="J14" s="338">
        <f t="shared" ref="J14:J26" si="5">SUM(H14:I14)</f>
        <v>33.870000000000005</v>
      </c>
      <c r="K14" s="339"/>
      <c r="L14" s="340">
        <f t="shared" ref="L14:L26" si="6">+J14-F14</f>
        <v>2.5700000000000038</v>
      </c>
      <c r="M14" s="341">
        <f t="shared" ref="M14:M26" si="7">+L14/F14</f>
        <v>8.2108626198083193E-2</v>
      </c>
      <c r="O14" s="339"/>
      <c r="P14" s="339"/>
      <c r="Q14" s="339"/>
      <c r="R14" s="339"/>
      <c r="S14" s="339"/>
      <c r="T14" s="339"/>
      <c r="U14" s="339"/>
      <c r="V14" s="339"/>
      <c r="W14" s="339"/>
      <c r="X14" s="339"/>
    </row>
    <row r="15" spans="1:24" ht="14" x14ac:dyDescent="0.3">
      <c r="A15" s="151">
        <f>IF(C15&lt;&gt;"",COUNTA($C$11:C15),"")</f>
        <v>5</v>
      </c>
      <c r="B15" s="151"/>
      <c r="C15" s="337">
        <v>300</v>
      </c>
      <c r="D15" s="338">
        <f t="shared" si="0"/>
        <v>22.83</v>
      </c>
      <c r="E15" s="338">
        <f t="shared" si="1"/>
        <v>21.88</v>
      </c>
      <c r="F15" s="338">
        <f t="shared" si="4"/>
        <v>44.709999999999994</v>
      </c>
      <c r="G15" s="358"/>
      <c r="H15" s="338">
        <f t="shared" si="2"/>
        <v>22.48</v>
      </c>
      <c r="I15" s="338">
        <f t="shared" si="3"/>
        <v>26.09</v>
      </c>
      <c r="J15" s="338">
        <f t="shared" si="5"/>
        <v>48.57</v>
      </c>
      <c r="K15" s="339"/>
      <c r="L15" s="340">
        <f t="shared" si="6"/>
        <v>3.8600000000000065</v>
      </c>
      <c r="M15" s="341">
        <f t="shared" si="7"/>
        <v>8.6334153433236568E-2</v>
      </c>
      <c r="O15" s="339"/>
      <c r="P15" s="339"/>
      <c r="Q15" s="339"/>
      <c r="R15" s="339"/>
      <c r="S15" s="339"/>
      <c r="T15" s="339"/>
      <c r="U15" s="339"/>
      <c r="V15" s="339"/>
      <c r="W15" s="339"/>
      <c r="X15" s="339"/>
    </row>
    <row r="16" spans="1:24" ht="14" x14ac:dyDescent="0.3">
      <c r="A16" s="151">
        <f>IF(C16&lt;&gt;"",COUNTA($C$11:C16),"")</f>
        <v>6</v>
      </c>
      <c r="B16" s="151"/>
      <c r="C16" s="337">
        <v>400</v>
      </c>
      <c r="D16" s="338">
        <f t="shared" si="0"/>
        <v>28.94</v>
      </c>
      <c r="E16" s="338">
        <f t="shared" si="1"/>
        <v>29.18</v>
      </c>
      <c r="F16" s="338">
        <f t="shared" si="4"/>
        <v>58.120000000000005</v>
      </c>
      <c r="G16" s="358"/>
      <c r="H16" s="338">
        <f t="shared" si="2"/>
        <v>28.47</v>
      </c>
      <c r="I16" s="338">
        <f t="shared" si="3"/>
        <v>34.79</v>
      </c>
      <c r="J16" s="338">
        <f t="shared" si="5"/>
        <v>63.26</v>
      </c>
      <c r="K16" s="339"/>
      <c r="L16" s="340">
        <f t="shared" si="6"/>
        <v>5.1399999999999935</v>
      </c>
      <c r="M16" s="341">
        <f t="shared" si="7"/>
        <v>8.8437715072264167E-2</v>
      </c>
      <c r="O16" s="339"/>
      <c r="P16" s="339"/>
      <c r="Q16" s="339"/>
      <c r="R16" s="339"/>
      <c r="S16" s="339"/>
      <c r="T16" s="339"/>
      <c r="U16" s="339"/>
      <c r="V16" s="339"/>
      <c r="W16" s="339"/>
      <c r="X16" s="339"/>
    </row>
    <row r="17" spans="1:24" ht="14" x14ac:dyDescent="0.3">
      <c r="A17" s="151">
        <f>IF(C17&lt;&gt;"",COUNTA($C$11:C17),"")</f>
        <v>7</v>
      </c>
      <c r="B17" s="151"/>
      <c r="C17" s="337">
        <v>500</v>
      </c>
      <c r="D17" s="338">
        <f t="shared" si="0"/>
        <v>35.06</v>
      </c>
      <c r="E17" s="338">
        <f t="shared" si="1"/>
        <v>36.47</v>
      </c>
      <c r="F17" s="338">
        <f t="shared" si="4"/>
        <v>71.53</v>
      </c>
      <c r="G17" s="358"/>
      <c r="H17" s="338">
        <f t="shared" si="2"/>
        <v>34.47</v>
      </c>
      <c r="I17" s="338">
        <f t="shared" si="3"/>
        <v>43.48</v>
      </c>
      <c r="J17" s="338">
        <f t="shared" si="5"/>
        <v>77.949999999999989</v>
      </c>
      <c r="K17" s="339"/>
      <c r="L17" s="340">
        <f t="shared" si="6"/>
        <v>6.4199999999999875</v>
      </c>
      <c r="M17" s="341">
        <f t="shared" si="7"/>
        <v>8.9752551377044423E-2</v>
      </c>
      <c r="O17" s="339"/>
      <c r="P17" s="339"/>
      <c r="Q17" s="339"/>
      <c r="R17" s="339"/>
      <c r="S17" s="339"/>
      <c r="T17" s="339"/>
      <c r="U17" s="339"/>
      <c r="V17" s="339"/>
      <c r="W17" s="339"/>
      <c r="X17" s="339"/>
    </row>
    <row r="18" spans="1:24" ht="14" x14ac:dyDescent="0.3">
      <c r="A18" s="151">
        <f>IF(C18&lt;&gt;"",COUNTA($C$11:C18),"")</f>
        <v>8</v>
      </c>
      <c r="B18" s="151"/>
      <c r="C18" s="337">
        <v>600</v>
      </c>
      <c r="D18" s="338">
        <f t="shared" si="0"/>
        <v>41.17</v>
      </c>
      <c r="E18" s="338">
        <f t="shared" si="1"/>
        <v>43.76</v>
      </c>
      <c r="F18" s="338">
        <f t="shared" si="4"/>
        <v>84.93</v>
      </c>
      <c r="G18" s="358"/>
      <c r="H18" s="338">
        <f t="shared" si="2"/>
        <v>40.47</v>
      </c>
      <c r="I18" s="338">
        <f t="shared" si="3"/>
        <v>52.18</v>
      </c>
      <c r="J18" s="338">
        <f t="shared" si="5"/>
        <v>92.65</v>
      </c>
      <c r="K18" s="339"/>
      <c r="L18" s="340">
        <f t="shared" si="6"/>
        <v>7.7199999999999989</v>
      </c>
      <c r="M18" s="341">
        <f t="shared" si="7"/>
        <v>9.0898386906864456E-2</v>
      </c>
      <c r="O18" s="339"/>
      <c r="P18" s="339"/>
      <c r="Q18" s="339"/>
      <c r="R18" s="339"/>
      <c r="S18" s="339"/>
      <c r="T18" s="339"/>
      <c r="U18" s="339"/>
      <c r="V18" s="339"/>
      <c r="W18" s="339"/>
      <c r="X18" s="339"/>
    </row>
    <row r="19" spans="1:24" ht="14" x14ac:dyDescent="0.3">
      <c r="A19" s="151">
        <f>IF(C19&lt;&gt;"",COUNTA($C$11:C19),"")</f>
        <v>9</v>
      </c>
      <c r="B19" s="151"/>
      <c r="C19" s="337">
        <v>700</v>
      </c>
      <c r="D19" s="338">
        <f t="shared" si="0"/>
        <v>47.29</v>
      </c>
      <c r="E19" s="338">
        <f t="shared" si="1"/>
        <v>51.06</v>
      </c>
      <c r="F19" s="338">
        <f t="shared" si="4"/>
        <v>98.35</v>
      </c>
      <c r="G19" s="358"/>
      <c r="H19" s="338">
        <f t="shared" si="2"/>
        <v>46.47</v>
      </c>
      <c r="I19" s="338">
        <f t="shared" si="3"/>
        <v>60.87</v>
      </c>
      <c r="J19" s="338">
        <f t="shared" si="5"/>
        <v>107.34</v>
      </c>
      <c r="K19" s="339"/>
      <c r="L19" s="340">
        <f t="shared" si="6"/>
        <v>8.9900000000000091</v>
      </c>
      <c r="M19" s="341">
        <f t="shared" si="7"/>
        <v>9.1408235892221759E-2</v>
      </c>
      <c r="O19" s="339"/>
      <c r="P19" s="339"/>
      <c r="Q19" s="339"/>
      <c r="R19" s="339"/>
      <c r="S19" s="339"/>
      <c r="T19" s="339"/>
      <c r="U19" s="339"/>
      <c r="V19" s="339"/>
      <c r="W19" s="339"/>
      <c r="X19" s="339"/>
    </row>
    <row r="20" spans="1:24" ht="14" x14ac:dyDescent="0.3">
      <c r="A20" s="151">
        <f>IF(C20&lt;&gt;"",COUNTA($C$11:C20),"")</f>
        <v>10</v>
      </c>
      <c r="B20" s="151"/>
      <c r="C20" s="337">
        <v>800</v>
      </c>
      <c r="D20" s="338">
        <f t="shared" si="0"/>
        <v>53.4</v>
      </c>
      <c r="E20" s="338">
        <f t="shared" si="1"/>
        <v>58.35</v>
      </c>
      <c r="F20" s="338">
        <f t="shared" si="4"/>
        <v>111.75</v>
      </c>
      <c r="G20" s="358"/>
      <c r="H20" s="338">
        <f t="shared" si="2"/>
        <v>52.47</v>
      </c>
      <c r="I20" s="338">
        <f t="shared" si="3"/>
        <v>69.569999999999993</v>
      </c>
      <c r="J20" s="338">
        <f t="shared" si="5"/>
        <v>122.03999999999999</v>
      </c>
      <c r="K20" s="339"/>
      <c r="L20" s="340">
        <f t="shared" si="6"/>
        <v>10.289999999999992</v>
      </c>
      <c r="M20" s="341">
        <f t="shared" si="7"/>
        <v>9.2080536912751601E-2</v>
      </c>
      <c r="O20" s="339"/>
      <c r="P20" s="339"/>
      <c r="Q20" s="339"/>
      <c r="R20" s="339"/>
      <c r="S20" s="339"/>
      <c r="T20" s="339"/>
      <c r="U20" s="339"/>
      <c r="V20" s="339"/>
      <c r="W20" s="339"/>
      <c r="X20" s="339"/>
    </row>
    <row r="21" spans="1:24" ht="14" x14ac:dyDescent="0.3">
      <c r="A21" s="151">
        <f>IF(C21&lt;&gt;"",COUNTA($C$11:C21),"")</f>
        <v>11</v>
      </c>
      <c r="B21" s="151"/>
      <c r="C21" s="337">
        <v>900</v>
      </c>
      <c r="D21" s="338">
        <f t="shared" si="0"/>
        <v>59.52</v>
      </c>
      <c r="E21" s="338">
        <f t="shared" si="1"/>
        <v>65.650000000000006</v>
      </c>
      <c r="F21" s="338">
        <f t="shared" si="4"/>
        <v>125.17000000000002</v>
      </c>
      <c r="G21" s="358"/>
      <c r="H21" s="338">
        <f t="shared" si="2"/>
        <v>58.47</v>
      </c>
      <c r="I21" s="338">
        <f t="shared" si="3"/>
        <v>78.27</v>
      </c>
      <c r="J21" s="338">
        <f t="shared" si="5"/>
        <v>136.74</v>
      </c>
      <c r="K21" s="339"/>
      <c r="L21" s="340">
        <f t="shared" si="6"/>
        <v>11.569999999999993</v>
      </c>
      <c r="M21" s="341">
        <f t="shared" si="7"/>
        <v>9.2434289366461544E-2</v>
      </c>
      <c r="O21" s="339"/>
      <c r="P21" s="339"/>
      <c r="Q21" s="339"/>
      <c r="R21" s="339"/>
      <c r="S21" s="339"/>
      <c r="T21" s="339"/>
      <c r="U21" s="339"/>
      <c r="V21" s="339"/>
      <c r="W21" s="339"/>
      <c r="X21" s="339"/>
    </row>
    <row r="22" spans="1:24" ht="14" x14ac:dyDescent="0.3">
      <c r="A22" s="151">
        <f>IF(C22&lt;&gt;"",COUNTA($C$11:C22),"")</f>
        <v>12</v>
      </c>
      <c r="B22" s="151"/>
      <c r="C22" s="337">
        <v>1000</v>
      </c>
      <c r="D22" s="338">
        <f t="shared" si="0"/>
        <v>65.63</v>
      </c>
      <c r="E22" s="338">
        <f t="shared" si="1"/>
        <v>72.94</v>
      </c>
      <c r="F22" s="338">
        <f t="shared" si="4"/>
        <v>138.57</v>
      </c>
      <c r="G22" s="358"/>
      <c r="H22" s="338">
        <f t="shared" si="2"/>
        <v>64.47</v>
      </c>
      <c r="I22" s="338">
        <f t="shared" si="3"/>
        <v>86.96</v>
      </c>
      <c r="J22" s="338">
        <f t="shared" si="5"/>
        <v>151.43</v>
      </c>
      <c r="K22" s="339"/>
      <c r="L22" s="340">
        <f t="shared" si="6"/>
        <v>12.860000000000014</v>
      </c>
      <c r="M22" s="341">
        <f t="shared" si="7"/>
        <v>9.2805080464747156E-2</v>
      </c>
      <c r="O22" s="339"/>
      <c r="P22" s="339"/>
      <c r="Q22" s="339"/>
      <c r="R22" s="339"/>
      <c r="S22" s="339"/>
      <c r="T22" s="339"/>
      <c r="U22" s="339"/>
      <c r="V22" s="339"/>
      <c r="W22" s="339"/>
      <c r="X22" s="339"/>
    </row>
    <row r="23" spans="1:24" ht="14" x14ac:dyDescent="0.3">
      <c r="A23" s="151">
        <f>IF(C23&lt;&gt;"",COUNTA($C$11:C23),"")</f>
        <v>13</v>
      </c>
      <c r="B23" s="151"/>
      <c r="C23" s="337">
        <v>1250</v>
      </c>
      <c r="D23" s="338">
        <f t="shared" si="0"/>
        <v>80.92</v>
      </c>
      <c r="E23" s="338">
        <f t="shared" si="1"/>
        <v>91.18</v>
      </c>
      <c r="F23" s="338">
        <f t="shared" si="4"/>
        <v>172.10000000000002</v>
      </c>
      <c r="G23" s="358"/>
      <c r="H23" s="338">
        <f t="shared" si="2"/>
        <v>79.459999999999994</v>
      </c>
      <c r="I23" s="338">
        <f t="shared" si="3"/>
        <v>108.7</v>
      </c>
      <c r="J23" s="338">
        <f t="shared" si="5"/>
        <v>188.16</v>
      </c>
      <c r="K23" s="339"/>
      <c r="L23" s="340">
        <f t="shared" si="6"/>
        <v>16.059999999999974</v>
      </c>
      <c r="M23" s="341">
        <f t="shared" si="7"/>
        <v>9.3317838466007969E-2</v>
      </c>
      <c r="O23" s="339"/>
      <c r="P23" s="339"/>
      <c r="Q23" s="339"/>
      <c r="R23" s="339"/>
      <c r="S23" s="339"/>
      <c r="T23" s="339"/>
      <c r="U23" s="339"/>
      <c r="V23" s="339"/>
      <c r="W23" s="339"/>
      <c r="X23" s="339"/>
    </row>
    <row r="24" spans="1:24" ht="14" x14ac:dyDescent="0.3">
      <c r="A24" s="151">
        <f>IF(C24&lt;&gt;"",COUNTA($C$11:C24),"")</f>
        <v>14</v>
      </c>
      <c r="B24" s="151"/>
      <c r="C24" s="337">
        <v>1500</v>
      </c>
      <c r="D24" s="338">
        <f t="shared" si="0"/>
        <v>96.21</v>
      </c>
      <c r="E24" s="338">
        <f t="shared" si="1"/>
        <v>109.41</v>
      </c>
      <c r="F24" s="338">
        <f t="shared" si="4"/>
        <v>205.62</v>
      </c>
      <c r="G24" s="358"/>
      <c r="H24" s="338">
        <f t="shared" si="2"/>
        <v>94.46</v>
      </c>
      <c r="I24" s="338">
        <f t="shared" si="3"/>
        <v>130.44</v>
      </c>
      <c r="J24" s="338">
        <f t="shared" si="5"/>
        <v>224.89999999999998</v>
      </c>
      <c r="K24" s="339"/>
      <c r="L24" s="340">
        <f t="shared" si="6"/>
        <v>19.279999999999973</v>
      </c>
      <c r="M24" s="341">
        <f t="shared" si="7"/>
        <v>9.3765197937943648E-2</v>
      </c>
      <c r="O24" s="339"/>
      <c r="P24" s="339"/>
      <c r="Q24" s="339"/>
      <c r="R24" s="339"/>
      <c r="S24" s="339"/>
      <c r="T24" s="339"/>
      <c r="U24" s="339"/>
      <c r="V24" s="339"/>
      <c r="W24" s="339"/>
      <c r="X24" s="339"/>
    </row>
    <row r="25" spans="1:24" ht="14" x14ac:dyDescent="0.3">
      <c r="A25" s="151">
        <f>IF(C25&lt;&gt;"",COUNTA($C$11:C25),"")</f>
        <v>15</v>
      </c>
      <c r="B25" s="151"/>
      <c r="C25" s="337">
        <v>2000</v>
      </c>
      <c r="D25" s="338">
        <f t="shared" si="0"/>
        <v>126.78</v>
      </c>
      <c r="E25" s="338">
        <f t="shared" si="1"/>
        <v>145.88</v>
      </c>
      <c r="F25" s="338">
        <f t="shared" si="4"/>
        <v>272.65999999999997</v>
      </c>
      <c r="G25" s="358"/>
      <c r="H25" s="338">
        <f t="shared" si="2"/>
        <v>124.45</v>
      </c>
      <c r="I25" s="338">
        <f t="shared" si="3"/>
        <v>173.93</v>
      </c>
      <c r="J25" s="338">
        <f t="shared" si="5"/>
        <v>298.38</v>
      </c>
      <c r="K25" s="339"/>
      <c r="L25" s="340">
        <f t="shared" si="6"/>
        <v>25.720000000000027</v>
      </c>
      <c r="M25" s="341">
        <f t="shared" si="7"/>
        <v>9.4329934717230363E-2</v>
      </c>
      <c r="O25" s="339"/>
      <c r="P25" s="339"/>
      <c r="Q25" s="339"/>
      <c r="R25" s="339"/>
      <c r="S25" s="339"/>
      <c r="T25" s="339"/>
      <c r="U25" s="339"/>
      <c r="V25" s="339"/>
      <c r="W25" s="339"/>
      <c r="X25" s="339"/>
    </row>
    <row r="26" spans="1:24" ht="14" x14ac:dyDescent="0.3">
      <c r="A26" s="151">
        <f>IF(C26&lt;&gt;"",COUNTA($C$11:C26),"")</f>
        <v>16</v>
      </c>
      <c r="B26" s="151" t="s">
        <v>554</v>
      </c>
      <c r="C26" s="337">
        <v>488</v>
      </c>
      <c r="D26" s="338">
        <f t="shared" si="0"/>
        <v>34.32</v>
      </c>
      <c r="E26" s="338">
        <f t="shared" si="1"/>
        <v>35.6</v>
      </c>
      <c r="F26" s="338">
        <f t="shared" si="4"/>
        <v>69.92</v>
      </c>
      <c r="G26" s="358"/>
      <c r="H26" s="338">
        <f t="shared" si="2"/>
        <v>33.75</v>
      </c>
      <c r="I26" s="338">
        <f t="shared" si="3"/>
        <v>42.44</v>
      </c>
      <c r="J26" s="338">
        <f t="shared" si="5"/>
        <v>76.19</v>
      </c>
      <c r="K26" s="339"/>
      <c r="L26" s="340">
        <f t="shared" si="6"/>
        <v>6.269999999999996</v>
      </c>
      <c r="M26" s="341">
        <f t="shared" si="7"/>
        <v>8.9673913043478201E-2</v>
      </c>
      <c r="O26" s="339"/>
      <c r="P26" s="339"/>
      <c r="Q26" s="339"/>
      <c r="R26" s="339"/>
      <c r="S26" s="339"/>
      <c r="T26" s="339"/>
      <c r="U26" s="339"/>
      <c r="V26" s="339"/>
      <c r="W26" s="339"/>
      <c r="X26" s="339"/>
    </row>
    <row r="27" spans="1:24" ht="14" x14ac:dyDescent="0.3">
      <c r="A27" s="151" t="str">
        <f>IF(C27&lt;&gt;"",COUNTA($C$11:C27),"")</f>
        <v/>
      </c>
      <c r="B27" s="151"/>
      <c r="C27" s="337"/>
      <c r="D27" s="344"/>
      <c r="E27" s="344"/>
      <c r="F27" s="344"/>
      <c r="G27" s="359"/>
      <c r="H27" s="344"/>
      <c r="I27" s="344"/>
      <c r="J27" s="344"/>
      <c r="K27" s="345"/>
      <c r="L27" s="345"/>
    </row>
    <row r="28" spans="1:24" ht="14" x14ac:dyDescent="0.3">
      <c r="A28" s="151" t="str">
        <f>IF(C28&lt;&gt;"",COUNTA($C$11:C28),"")</f>
        <v/>
      </c>
      <c r="B28" s="151"/>
      <c r="C28" s="343"/>
      <c r="D28" s="344"/>
      <c r="E28" s="344"/>
      <c r="F28" s="344"/>
      <c r="G28" s="359"/>
      <c r="H28" s="344"/>
      <c r="I28" s="344"/>
      <c r="J28" s="344"/>
      <c r="K28" s="345"/>
      <c r="L28" s="345"/>
    </row>
    <row r="29" spans="1:24" ht="14" x14ac:dyDescent="0.3">
      <c r="A29" s="151">
        <f>IF(C29&lt;&gt;"",COUNTA($C$11:C29),"")</f>
        <v>17</v>
      </c>
      <c r="B29" s="151"/>
      <c r="C29" s="293" t="s">
        <v>46</v>
      </c>
      <c r="D29" s="339"/>
      <c r="E29" s="339"/>
      <c r="F29" s="347" t="str">
        <f>+'Bill_EMA R1'!F29</f>
        <v>Current</v>
      </c>
      <c r="G29" s="360"/>
      <c r="H29" s="347" t="str">
        <f>+'Bill_EMA R1'!H29</f>
        <v>Proposed</v>
      </c>
      <c r="I29" s="348"/>
      <c r="J29" s="339"/>
      <c r="K29" s="339"/>
      <c r="L29" s="339"/>
    </row>
    <row r="30" spans="1:24" ht="14" x14ac:dyDescent="0.3">
      <c r="A30" s="151">
        <f>IF(C30&lt;&gt;"",COUNTA($C$11:C30),"")</f>
        <v>18</v>
      </c>
      <c r="B30" s="151"/>
      <c r="C30" s="293" t="s">
        <v>46</v>
      </c>
      <c r="D30" s="339"/>
      <c r="E30" s="339"/>
      <c r="F30" s="349" t="s">
        <v>239</v>
      </c>
      <c r="G30" s="360"/>
      <c r="H30" s="349" t="s">
        <v>239</v>
      </c>
      <c r="I30" s="349" t="s">
        <v>65</v>
      </c>
      <c r="J30" s="339"/>
      <c r="K30" s="339"/>
      <c r="L30" s="339"/>
    </row>
    <row r="31" spans="1:24" ht="14" x14ac:dyDescent="0.3">
      <c r="A31" s="151">
        <f>IF(C31&lt;&gt;"",COUNTA($C$11:C31),"")</f>
        <v>19</v>
      </c>
      <c r="B31" s="151"/>
      <c r="C31" s="330" t="str">
        <f>+'Bill_EMA R1'!C31</f>
        <v>Customer Charge</v>
      </c>
      <c r="D31" s="339"/>
      <c r="E31" s="339"/>
      <c r="F31" s="350">
        <v>7</v>
      </c>
      <c r="G31" s="361"/>
      <c r="H31" s="350">
        <f>+F31</f>
        <v>7</v>
      </c>
      <c r="I31" s="351">
        <f>+H31-F31</f>
        <v>0</v>
      </c>
      <c r="J31" s="339"/>
      <c r="K31" s="339"/>
      <c r="L31" s="339"/>
    </row>
    <row r="32" spans="1:24" ht="14" x14ac:dyDescent="0.3">
      <c r="A32" s="151">
        <f>IF(C32&lt;&gt;"",COUNTA($C$11:C32),"")</f>
        <v>20</v>
      </c>
      <c r="B32" s="151"/>
      <c r="C32" s="330" t="str">
        <f>+'Bill_EMA R1'!C32</f>
        <v>Distribution Energy</v>
      </c>
      <c r="D32" s="339"/>
      <c r="E32" s="339"/>
      <c r="F32" s="277">
        <v>4.3720000000000002E-2</v>
      </c>
      <c r="G32" s="362"/>
      <c r="H32" s="277">
        <v>4.5629999999999997E-2</v>
      </c>
      <c r="I32" s="354">
        <f t="shared" ref="I32:I53" si="8">+H32-F32</f>
        <v>1.909999999999995E-3</v>
      </c>
      <c r="J32" s="339"/>
      <c r="K32" s="339"/>
      <c r="L32" s="339"/>
    </row>
    <row r="33" spans="1:12" ht="14" x14ac:dyDescent="0.3">
      <c r="A33" s="151">
        <f>IF(C33&lt;&gt;"",COUNTA($C$11:C33),"")</f>
        <v>21</v>
      </c>
      <c r="B33" s="151"/>
      <c r="C33" s="330" t="str">
        <f>+'Bill_EMA R1'!C33</f>
        <v>Revenue Decoupling</v>
      </c>
      <c r="D33" s="339"/>
      <c r="E33" s="339"/>
      <c r="F33" s="277">
        <v>0</v>
      </c>
      <c r="G33" s="277"/>
      <c r="H33" s="277">
        <v>-5.6999999999999998E-4</v>
      </c>
      <c r="I33" s="354">
        <f t="shared" si="8"/>
        <v>-5.6999999999999998E-4</v>
      </c>
      <c r="J33" s="339"/>
      <c r="K33" s="339"/>
      <c r="L33" s="339"/>
    </row>
    <row r="34" spans="1:12" ht="14" x14ac:dyDescent="0.3">
      <c r="A34" s="151">
        <f>IF(C34&lt;&gt;"",COUNTA($C$11:C34),"")</f>
        <v>22</v>
      </c>
      <c r="B34" s="151"/>
      <c r="C34" s="330" t="str">
        <f>+'Bill_EMA R1'!C34</f>
        <v>Residential Assistance Adjustment Factor</v>
      </c>
      <c r="D34" s="339"/>
      <c r="E34" s="339"/>
      <c r="F34" s="277">
        <v>3.7499999999999999E-3</v>
      </c>
      <c r="G34" s="277"/>
      <c r="H34" s="277">
        <v>4.8199999999999996E-3</v>
      </c>
      <c r="I34" s="354">
        <f t="shared" si="8"/>
        <v>1.0699999999999998E-3</v>
      </c>
      <c r="J34" s="339"/>
      <c r="K34" s="339"/>
      <c r="L34" s="339"/>
    </row>
    <row r="35" spans="1:12" ht="14" x14ac:dyDescent="0.3">
      <c r="A35" s="151">
        <f>IF(C35&lt;&gt;"",COUNTA($C$11:C35),"")</f>
        <v>23</v>
      </c>
      <c r="B35" s="151"/>
      <c r="C35" s="330" t="str">
        <f>+'Bill_EMA R1'!C35</f>
        <v>Pension Adjustment Factor</v>
      </c>
      <c r="D35" s="339"/>
      <c r="E35" s="339"/>
      <c r="F35" s="277">
        <v>-1.1E-4</v>
      </c>
      <c r="G35" s="277"/>
      <c r="H35" s="277">
        <v>9.3000000000000005E-4</v>
      </c>
      <c r="I35" s="354">
        <f t="shared" si="8"/>
        <v>1.0400000000000001E-3</v>
      </c>
      <c r="J35" s="339"/>
      <c r="K35" s="339"/>
      <c r="L35" s="339"/>
    </row>
    <row r="36" spans="1:12" ht="14" x14ac:dyDescent="0.3">
      <c r="A36" s="151">
        <f>IF(C36&lt;&gt;"",COUNTA($C$11:C36),"")</f>
        <v>24</v>
      </c>
      <c r="B36" s="151"/>
      <c r="C36" s="330" t="str">
        <f>+'Bill_EMA R1'!C36</f>
        <v>Net Metering Recovery Surcharge</v>
      </c>
      <c r="D36" s="339"/>
      <c r="E36" s="339"/>
      <c r="F36" s="277">
        <v>7.3800000000000003E-3</v>
      </c>
      <c r="G36" s="277"/>
      <c r="H36" s="277">
        <v>6.2899999999999996E-3</v>
      </c>
      <c r="I36" s="354">
        <f t="shared" si="8"/>
        <v>-1.0900000000000007E-3</v>
      </c>
      <c r="J36" s="339"/>
      <c r="K36" s="339"/>
      <c r="L36" s="339"/>
    </row>
    <row r="37" spans="1:12" ht="14" x14ac:dyDescent="0.3">
      <c r="A37" s="151">
        <f>IF(C37&lt;&gt;"",COUNTA($C$11:C37),"")</f>
        <v>25</v>
      </c>
      <c r="B37" s="151"/>
      <c r="C37" s="330" t="str">
        <f>+'Bill_EMA R1'!C37</f>
        <v>Long Term Renewable Contract Adjustment</v>
      </c>
      <c r="D37" s="339"/>
      <c r="E37" s="339"/>
      <c r="F37" s="277">
        <v>2.3600000000000001E-3</v>
      </c>
      <c r="G37" s="277"/>
      <c r="H37" s="277">
        <v>1.74E-3</v>
      </c>
      <c r="I37" s="354">
        <f t="shared" si="8"/>
        <v>-6.2000000000000011E-4</v>
      </c>
      <c r="J37" s="339"/>
      <c r="K37" s="339"/>
      <c r="L37" s="339"/>
    </row>
    <row r="38" spans="1:12" ht="14" x14ac:dyDescent="0.3">
      <c r="A38" s="151">
        <f>IF(C38&lt;&gt;"",COUNTA($C$11:C38),"")</f>
        <v>26</v>
      </c>
      <c r="B38" s="151"/>
      <c r="C38" s="330" t="str">
        <f>+'Bill_EMA R1'!C38</f>
        <v>AG Consulting Expense</v>
      </c>
      <c r="D38" s="339"/>
      <c r="E38" s="339"/>
      <c r="F38" s="277">
        <v>4.0000000000000003E-5</v>
      </c>
      <c r="G38" s="277"/>
      <c r="H38" s="277">
        <v>1.0000000000000001E-5</v>
      </c>
      <c r="I38" s="354">
        <f t="shared" si="8"/>
        <v>-3.0000000000000004E-5</v>
      </c>
      <c r="J38" s="339"/>
      <c r="K38" s="339"/>
      <c r="L38" s="339"/>
    </row>
    <row r="39" spans="1:12" ht="14" x14ac:dyDescent="0.3">
      <c r="A39" s="151">
        <f>IF(C39&lt;&gt;"",COUNTA($C$11:C39),"")</f>
        <v>27</v>
      </c>
      <c r="B39" s="151"/>
      <c r="C39" s="330" t="str">
        <f>+'Bill_EMA R1'!C39</f>
        <v>Storm Cost Recovery Adjustment Factor</v>
      </c>
      <c r="D39" s="339"/>
      <c r="E39" s="339"/>
      <c r="F39" s="277">
        <v>2.31E-3</v>
      </c>
      <c r="G39" s="277"/>
      <c r="H39" s="277">
        <v>3.65E-3</v>
      </c>
      <c r="I39" s="354">
        <f t="shared" si="8"/>
        <v>1.34E-3</v>
      </c>
      <c r="J39" s="339"/>
      <c r="K39" s="339"/>
      <c r="L39" s="339"/>
    </row>
    <row r="40" spans="1:12" ht="14" x14ac:dyDescent="0.3">
      <c r="A40" s="151">
        <f>IF(C40&lt;&gt;"",COUNTA($C$11:C40),"")</f>
        <v>28</v>
      </c>
      <c r="B40" s="151"/>
      <c r="C40" s="330" t="str">
        <f>+'Bill_EMA R1'!C40</f>
        <v>Storm Reserve Adjustment</v>
      </c>
      <c r="D40" s="339"/>
      <c r="E40" s="339"/>
      <c r="F40" s="277">
        <v>0</v>
      </c>
      <c r="G40" s="277"/>
      <c r="H40" s="277">
        <v>0</v>
      </c>
      <c r="I40" s="354">
        <f t="shared" si="8"/>
        <v>0</v>
      </c>
      <c r="J40" s="339"/>
      <c r="K40" s="339"/>
      <c r="L40" s="339"/>
    </row>
    <row r="41" spans="1:12" ht="14" x14ac:dyDescent="0.3">
      <c r="A41" s="151">
        <f>IF(C41&lt;&gt;"",COUNTA($C$11:C41),"")</f>
        <v>29</v>
      </c>
      <c r="B41" s="151"/>
      <c r="C41" s="330" t="str">
        <f>+'Bill_EMA R1'!C41</f>
        <v>Basic Service Cost True Up Factor</v>
      </c>
      <c r="D41" s="339"/>
      <c r="E41" s="339"/>
      <c r="F41" s="277">
        <v>2E-3</v>
      </c>
      <c r="G41" s="277"/>
      <c r="H41" s="277">
        <v>-2.4000000000000001E-4</v>
      </c>
      <c r="I41" s="354">
        <f t="shared" si="8"/>
        <v>-2.2400000000000002E-3</v>
      </c>
      <c r="J41" s="339"/>
      <c r="K41" s="339"/>
      <c r="L41" s="339"/>
    </row>
    <row r="42" spans="1:12" ht="14" x14ac:dyDescent="0.3">
      <c r="A42" s="151">
        <f>IF(C42&lt;&gt;"",COUNTA($C$11:C42),"")</f>
        <v>30</v>
      </c>
      <c r="B42" s="151"/>
      <c r="C42" s="330" t="str">
        <f>+'Bill_EMA R1'!C42</f>
        <v>Solar Program Cost Adjustment Factor</v>
      </c>
      <c r="D42" s="339"/>
      <c r="E42" s="339"/>
      <c r="F42" s="277">
        <v>0</v>
      </c>
      <c r="G42" s="277"/>
      <c r="H42" s="277">
        <v>4.0000000000000003E-5</v>
      </c>
      <c r="I42" s="354">
        <f t="shared" si="8"/>
        <v>4.0000000000000003E-5</v>
      </c>
      <c r="J42" s="339"/>
      <c r="K42" s="339"/>
      <c r="L42" s="339"/>
    </row>
    <row r="43" spans="1:12" ht="14" x14ac:dyDescent="0.3">
      <c r="A43" s="151">
        <f>IF(C43&lt;&gt;"",COUNTA($C$11:C43),"")</f>
        <v>31</v>
      </c>
      <c r="B43" s="151"/>
      <c r="C43" s="330" t="str">
        <f>+'Bill_EMA R1'!C43</f>
        <v>Solar Expansion Cost Recovery Factor</v>
      </c>
      <c r="D43" s="339"/>
      <c r="E43" s="339"/>
      <c r="F43" s="277">
        <v>0</v>
      </c>
      <c r="G43" s="277"/>
      <c r="H43" s="277">
        <v>7.5000000000000002E-4</v>
      </c>
      <c r="I43" s="354">
        <f t="shared" si="8"/>
        <v>7.5000000000000002E-4</v>
      </c>
      <c r="J43" s="339"/>
      <c r="K43" s="339"/>
      <c r="L43" s="339"/>
    </row>
    <row r="44" spans="1:12" ht="14" x14ac:dyDescent="0.3">
      <c r="A44" s="151">
        <f>IF(C44&lt;&gt;"",COUNTA($C$11:C44),"")</f>
        <v>32</v>
      </c>
      <c r="B44" s="151"/>
      <c r="C44" s="330" t="str">
        <f>+'Bill_EMA R1'!C44</f>
        <v>Vegetation Management</v>
      </c>
      <c r="D44" s="339"/>
      <c r="E44" s="339"/>
      <c r="F44" s="277">
        <v>0</v>
      </c>
      <c r="G44" s="277"/>
      <c r="H44" s="277">
        <v>1.67E-3</v>
      </c>
      <c r="I44" s="354">
        <f t="shared" si="8"/>
        <v>1.67E-3</v>
      </c>
      <c r="J44" s="339"/>
      <c r="K44" s="339"/>
      <c r="L44" s="339"/>
    </row>
    <row r="45" spans="1:12" ht="14" x14ac:dyDescent="0.3">
      <c r="A45" s="151">
        <f>IF(C45&lt;&gt;"",COUNTA($C$11:C45),"")</f>
        <v>33</v>
      </c>
      <c r="B45" s="151"/>
      <c r="C45" s="330" t="str">
        <f>+'Bill_EMA R1'!C45</f>
        <v>Solar Massachusetts Renewable Target</v>
      </c>
      <c r="D45" s="339"/>
      <c r="E45" s="339"/>
      <c r="F45" s="277">
        <v>0</v>
      </c>
      <c r="G45" s="277"/>
      <c r="H45" s="277">
        <v>8.8000000000000003E-4</v>
      </c>
      <c r="I45" s="354">
        <f t="shared" si="8"/>
        <v>8.8000000000000003E-4</v>
      </c>
      <c r="J45" s="339"/>
      <c r="K45" s="339"/>
      <c r="L45" s="339"/>
    </row>
    <row r="46" spans="1:12" ht="14" x14ac:dyDescent="0.3">
      <c r="A46" s="151">
        <f>IF(C46&lt;&gt;"",COUNTA($C$11:C46),"")</f>
        <v>34</v>
      </c>
      <c r="B46" s="151"/>
      <c r="C46" s="330" t="str">
        <f>+'Bill_EMA R1'!C46</f>
        <v>Tax Act Credit Factor</v>
      </c>
      <c r="D46" s="339"/>
      <c r="E46" s="339"/>
      <c r="F46" s="277">
        <v>0</v>
      </c>
      <c r="G46" s="277"/>
      <c r="H46" s="277">
        <v>-1.33E-3</v>
      </c>
      <c r="I46" s="354">
        <f t="shared" si="8"/>
        <v>-1.33E-3</v>
      </c>
      <c r="J46" s="339"/>
      <c r="K46" s="339"/>
      <c r="L46" s="339"/>
    </row>
    <row r="47" spans="1:12" ht="14" x14ac:dyDescent="0.3">
      <c r="A47" s="151">
        <f>IF(C47&lt;&gt;"",COUNTA($C$11:C47),"")</f>
        <v>35</v>
      </c>
      <c r="B47" s="151"/>
      <c r="C47" s="330" t="str">
        <f>+'Bill_EMA R1'!C47</f>
        <v>Transition</v>
      </c>
      <c r="D47" s="339"/>
      <c r="E47" s="339"/>
      <c r="F47" s="277">
        <v>-6.0999999999999997E-4</v>
      </c>
      <c r="G47" s="277"/>
      <c r="H47" s="277">
        <v>-5.1999999999999995E-4</v>
      </c>
      <c r="I47" s="354">
        <f t="shared" si="8"/>
        <v>9.0000000000000019E-5</v>
      </c>
      <c r="J47" s="339"/>
      <c r="K47" s="339"/>
      <c r="L47" s="339"/>
    </row>
    <row r="48" spans="1:12" ht="14" x14ac:dyDescent="0.3">
      <c r="A48" s="151">
        <f>IF(C48&lt;&gt;"",COUNTA($C$11:C48),"")</f>
        <v>36</v>
      </c>
      <c r="B48" s="151"/>
      <c r="C48" s="330" t="str">
        <f>+'Bill_EMA R1'!C48</f>
        <v>Transmission Energy</v>
      </c>
      <c r="D48" s="339"/>
      <c r="E48" s="339"/>
      <c r="F48" s="277">
        <v>3.058E-2</v>
      </c>
      <c r="G48" s="277"/>
      <c r="H48" s="277">
        <v>2.5850000000000001E-2</v>
      </c>
      <c r="I48" s="354">
        <f t="shared" si="8"/>
        <v>-4.7299999999999981E-3</v>
      </c>
      <c r="J48" s="339"/>
      <c r="K48" s="339"/>
      <c r="L48" s="339"/>
    </row>
    <row r="49" spans="1:12" ht="14" x14ac:dyDescent="0.3">
      <c r="A49" s="151">
        <f>IF(C49&lt;&gt;"",COUNTA($C$11:C49),"")</f>
        <v>37</v>
      </c>
      <c r="B49" s="151"/>
      <c r="C49" s="330" t="str">
        <f>+'Bill_EMA R1'!C49</f>
        <v>Energy Efficiency Reconciliation Factor</v>
      </c>
      <c r="D49" s="339"/>
      <c r="E49" s="339"/>
      <c r="F49" s="277">
        <v>1.1299999999999999E-3</v>
      </c>
      <c r="G49" s="277"/>
      <c r="H49" s="277">
        <v>1.1299999999999999E-3</v>
      </c>
      <c r="I49" s="354">
        <f t="shared" si="8"/>
        <v>0</v>
      </c>
      <c r="J49" s="339"/>
      <c r="K49" s="339"/>
      <c r="L49" s="339"/>
    </row>
    <row r="50" spans="1:12" ht="14" x14ac:dyDescent="0.3">
      <c r="A50" s="151">
        <f>IF(C50&lt;&gt;"",COUNTA($C$11:C50),"")</f>
        <v>38</v>
      </c>
      <c r="B50" s="151"/>
      <c r="C50" s="330" t="str">
        <f>+'Bill_EMA R1'!C50</f>
        <v>System Benefits Charge</v>
      </c>
      <c r="D50" s="339"/>
      <c r="E50" s="339"/>
      <c r="F50" s="277">
        <v>2.5000000000000001E-3</v>
      </c>
      <c r="G50" s="277"/>
      <c r="H50" s="277">
        <f>+F50</f>
        <v>2.5000000000000001E-3</v>
      </c>
      <c r="I50" s="354">
        <f t="shared" si="8"/>
        <v>0</v>
      </c>
      <c r="J50" s="339"/>
      <c r="K50" s="339"/>
      <c r="L50" s="339"/>
    </row>
    <row r="51" spans="1:12" ht="14" x14ac:dyDescent="0.3">
      <c r="A51" s="151">
        <f>IF(C51&lt;&gt;"",COUNTA($C$11:C51),"")</f>
        <v>39</v>
      </c>
      <c r="B51" s="151"/>
      <c r="C51" s="330" t="str">
        <f>+'Bill_EMA R1'!C51</f>
        <v>Renewable Energy Charge</v>
      </c>
      <c r="D51" s="339"/>
      <c r="E51" s="339"/>
      <c r="F51" s="277">
        <v>5.0000000000000001E-4</v>
      </c>
      <c r="G51" s="277"/>
      <c r="H51" s="277">
        <f>+F51</f>
        <v>5.0000000000000001E-4</v>
      </c>
      <c r="I51" s="354">
        <f t="shared" si="8"/>
        <v>0</v>
      </c>
      <c r="J51" s="339"/>
      <c r="K51" s="339"/>
      <c r="L51" s="339"/>
    </row>
    <row r="52" spans="1:12" ht="14" x14ac:dyDescent="0.3">
      <c r="A52" s="151">
        <f>IF(C52&lt;&gt;"",COUNTA($C$11:C52),"")</f>
        <v>40</v>
      </c>
      <c r="B52" s="151"/>
      <c r="C52" s="330" t="str">
        <f>+'Bill_EMA R1'!C52</f>
        <v>Basic Service Charge</v>
      </c>
      <c r="D52" s="339"/>
      <c r="E52" s="339"/>
      <c r="F52" s="277">
        <v>0.11397</v>
      </c>
      <c r="G52" s="277"/>
      <c r="H52" s="277">
        <v>0.13588</v>
      </c>
      <c r="I52" s="354">
        <f t="shared" si="8"/>
        <v>2.1909999999999999E-2</v>
      </c>
      <c r="J52" s="339"/>
      <c r="K52" s="339"/>
      <c r="L52" s="339"/>
    </row>
    <row r="53" spans="1:12" ht="14" x14ac:dyDescent="0.3">
      <c r="A53" s="151">
        <f>IF(C53&lt;&gt;"",COUNTA($C$11:C53),"")</f>
        <v>41</v>
      </c>
      <c r="B53" s="151"/>
      <c r="C53" s="330" t="s">
        <v>557</v>
      </c>
      <c r="D53" s="339"/>
      <c r="E53" s="339"/>
      <c r="F53" s="302">
        <v>0.36</v>
      </c>
      <c r="G53" s="302"/>
      <c r="H53" s="302">
        <f>+F53</f>
        <v>0.36</v>
      </c>
      <c r="I53" s="302">
        <f t="shared" si="8"/>
        <v>0</v>
      </c>
      <c r="J53" s="339"/>
      <c r="K53" s="339"/>
      <c r="L53" s="339"/>
    </row>
    <row r="54" spans="1:12" ht="14" x14ac:dyDescent="0.3">
      <c r="A54" s="151"/>
      <c r="B54" s="151"/>
      <c r="C54" s="330"/>
      <c r="D54" s="339"/>
      <c r="E54" s="339"/>
      <c r="F54" s="356"/>
      <c r="G54" s="356"/>
      <c r="H54" s="356"/>
      <c r="I54" s="356"/>
      <c r="J54" s="339"/>
      <c r="K54" s="339"/>
      <c r="L54" s="339"/>
    </row>
    <row r="55" spans="1:12" ht="14" x14ac:dyDescent="0.3">
      <c r="A55" s="151"/>
      <c r="B55" s="151"/>
      <c r="D55" s="339"/>
      <c r="E55" s="339"/>
      <c r="F55" s="356"/>
      <c r="G55" s="356"/>
      <c r="H55" s="356"/>
      <c r="I55" s="356"/>
      <c r="J55" s="339"/>
      <c r="K55" s="339"/>
      <c r="L55" s="339"/>
    </row>
    <row r="56" spans="1:12" ht="14" x14ac:dyDescent="0.3">
      <c r="A56" s="151"/>
      <c r="B56" s="151"/>
      <c r="C56" s="335" t="str">
        <f>'Bill_EMA R1'!C55</f>
        <v>Total Energy</v>
      </c>
      <c r="D56" s="339"/>
      <c r="E56" s="339"/>
      <c r="F56" s="356">
        <f>SUM(F32:F51)</f>
        <v>9.555000000000001E-2</v>
      </c>
      <c r="G56" s="356"/>
      <c r="H56" s="356">
        <f>SUM(H32:H51)</f>
        <v>9.3730000000000008E-2</v>
      </c>
      <c r="I56" s="354">
        <f>SUM(I32:I51)</f>
        <v>-1.8200000000000048E-3</v>
      </c>
      <c r="J56" s="339"/>
      <c r="K56" s="339"/>
      <c r="L56" s="339"/>
    </row>
    <row r="57" spans="1:12" ht="14" x14ac:dyDescent="0.3">
      <c r="C57" s="335" t="str">
        <f>'Bill_EMA R1'!C56</f>
        <v>Total Basic Service</v>
      </c>
      <c r="F57" s="363">
        <f>F52</f>
        <v>0.11397</v>
      </c>
      <c r="H57" s="363">
        <f>H52</f>
        <v>0.13588</v>
      </c>
      <c r="I57" s="354">
        <f>I52</f>
        <v>2.1909999999999999E-2</v>
      </c>
    </row>
  </sheetData>
  <mergeCells count="7">
    <mergeCell ref="A4:M4"/>
    <mergeCell ref="A5:M5"/>
    <mergeCell ref="A6:M6"/>
    <mergeCell ref="A8:M8"/>
    <mergeCell ref="D11:F11"/>
    <mergeCell ref="H11:J11"/>
    <mergeCell ref="L11:M11"/>
  </mergeCells>
  <pageMargins left="0.7" right="0.7" top="0.75" bottom="0.75" header="0.3" footer="0.3"/>
  <pageSetup scale="66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E6FAA-3351-49D8-A927-E93D4EDAD98E}">
  <sheetPr>
    <tabColor theme="3" tint="0.59999389629810485"/>
    <pageSetUpPr fitToPage="1"/>
  </sheetPr>
  <dimension ref="A4:X57"/>
  <sheetViews>
    <sheetView zoomScaleNormal="100" workbookViewId="0"/>
  </sheetViews>
  <sheetFormatPr defaultRowHeight="12.5" x14ac:dyDescent="0.25"/>
  <cols>
    <col min="1" max="1" width="4" bestFit="1" customWidth="1"/>
    <col min="2" max="2" width="5.54296875" bestFit="1" customWidth="1"/>
    <col min="3" max="3" width="12" customWidth="1"/>
    <col min="4" max="6" width="14.7265625" customWidth="1"/>
    <col min="7" max="7" width="2" customWidth="1"/>
    <col min="8" max="10" width="14.7265625" customWidth="1"/>
    <col min="11" max="11" width="2" customWidth="1"/>
    <col min="12" max="13" width="12" customWidth="1"/>
    <col min="15" max="15" width="10.81640625" bestFit="1" customWidth="1"/>
    <col min="16" max="16" width="9.7265625" bestFit="1" customWidth="1"/>
    <col min="17" max="18" width="10.1796875" bestFit="1" customWidth="1"/>
    <col min="19" max="19" width="8.453125" bestFit="1" customWidth="1"/>
    <col min="20" max="20" width="10.81640625" bestFit="1" customWidth="1"/>
    <col min="21" max="21" width="9.7265625" bestFit="1" customWidth="1"/>
    <col min="22" max="23" width="10.1796875" bestFit="1" customWidth="1"/>
    <col min="24" max="24" width="8.453125" bestFit="1" customWidth="1"/>
  </cols>
  <sheetData>
    <row r="4" spans="1:24" ht="14" x14ac:dyDescent="0.3">
      <c r="A4" s="757" t="str">
        <f>'Bill_EMA R2'!A4:M4</f>
        <v>Eastern Massachusetts</v>
      </c>
      <c r="B4" s="757"/>
      <c r="C4" s="757"/>
      <c r="D4" s="757"/>
      <c r="E4" s="757"/>
      <c r="F4" s="757"/>
      <c r="G4" s="757"/>
      <c r="H4" s="757"/>
      <c r="I4" s="757"/>
      <c r="J4" s="757"/>
      <c r="K4" s="757"/>
      <c r="L4" s="757"/>
      <c r="M4" s="757"/>
    </row>
    <row r="5" spans="1:24" ht="14" x14ac:dyDescent="0.3">
      <c r="A5" s="757" t="str">
        <f>+'Bill_EMA R1'!A5</f>
        <v>Calculation of Monthly Typical Bill</v>
      </c>
      <c r="B5" s="757"/>
      <c r="C5" s="757"/>
      <c r="D5" s="757"/>
      <c r="E5" s="757"/>
      <c r="F5" s="757"/>
      <c r="G5" s="757"/>
      <c r="H5" s="757"/>
      <c r="I5" s="757"/>
      <c r="J5" s="757"/>
      <c r="K5" s="757"/>
      <c r="L5" s="757"/>
      <c r="M5" s="757"/>
      <c r="N5" s="328"/>
    </row>
    <row r="6" spans="1:24" ht="14" x14ac:dyDescent="0.3">
      <c r="A6" s="757" t="str">
        <f>'Bill_EMA R1'!A6:M6</f>
        <v>Proposed January 1, 2019</v>
      </c>
      <c r="B6" s="757"/>
      <c r="C6" s="757"/>
      <c r="D6" s="757"/>
      <c r="E6" s="757"/>
      <c r="F6" s="757"/>
      <c r="G6" s="757"/>
      <c r="H6" s="757"/>
      <c r="I6" s="757"/>
      <c r="J6" s="757"/>
      <c r="K6" s="757"/>
      <c r="L6" s="757"/>
      <c r="M6" s="757"/>
      <c r="N6" s="328"/>
    </row>
    <row r="7" spans="1:24" ht="14" x14ac:dyDescent="0.3">
      <c r="A7" s="328"/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</row>
    <row r="8" spans="1:24" ht="14" x14ac:dyDescent="0.3">
      <c r="A8" s="757" t="s">
        <v>558</v>
      </c>
      <c r="B8" s="757"/>
      <c r="C8" s="757"/>
      <c r="D8" s="757"/>
      <c r="E8" s="757"/>
      <c r="F8" s="757"/>
      <c r="G8" s="757"/>
      <c r="H8" s="757"/>
      <c r="I8" s="757"/>
      <c r="J8" s="757"/>
      <c r="K8" s="757"/>
      <c r="L8" s="757"/>
      <c r="M8" s="757"/>
    </row>
    <row r="9" spans="1:24" ht="14" x14ac:dyDescent="0.3">
      <c r="A9" s="329"/>
      <c r="B9" s="329"/>
      <c r="C9" s="330"/>
      <c r="D9" s="330"/>
      <c r="E9" s="330"/>
      <c r="F9" s="331"/>
      <c r="G9" s="330"/>
    </row>
    <row r="10" spans="1:24" ht="14" x14ac:dyDescent="0.3">
      <c r="A10" s="329"/>
      <c r="B10" s="329"/>
      <c r="C10" s="330"/>
      <c r="D10" s="330"/>
      <c r="E10" s="330"/>
      <c r="F10" s="332"/>
      <c r="G10" s="330"/>
    </row>
    <row r="11" spans="1:24" ht="14" x14ac:dyDescent="0.3">
      <c r="A11" s="151">
        <f>IF(C11&lt;&gt;"",COUNTA($C$11:C11),"")</f>
        <v>1</v>
      </c>
      <c r="B11" s="151"/>
      <c r="C11" s="329" t="s">
        <v>528</v>
      </c>
      <c r="D11" s="758" t="str">
        <f>+'Bill_EMA R1'!D11</f>
        <v>Current Monthly Bill</v>
      </c>
      <c r="E11" s="758"/>
      <c r="F11" s="758"/>
      <c r="G11" s="330"/>
      <c r="H11" s="758" t="str">
        <f>+'Bill_EMA R1'!H11</f>
        <v>Proposed Monthly Bill</v>
      </c>
      <c r="I11" s="758"/>
      <c r="J11" s="758"/>
      <c r="L11" s="758" t="str">
        <f>+'Bill_EMA R1'!L11</f>
        <v>Total Bill Impact</v>
      </c>
      <c r="M11" s="758"/>
      <c r="O11" s="335"/>
      <c r="P11" s="335"/>
      <c r="Q11" s="335"/>
      <c r="R11" s="335"/>
      <c r="T11" s="335"/>
      <c r="U11" s="335"/>
      <c r="V11" s="335"/>
      <c r="W11" s="335"/>
    </row>
    <row r="12" spans="1:24" ht="14" x14ac:dyDescent="0.3">
      <c r="A12" s="151">
        <f>IF(C12&lt;&gt;"",COUNTA($C$11:C12),"")</f>
        <v>2</v>
      </c>
      <c r="B12" s="151"/>
      <c r="C12" s="336" t="s">
        <v>551</v>
      </c>
      <c r="D12" s="336" t="str">
        <f>+'Bill_EMA R1'!D12</f>
        <v>Delivery</v>
      </c>
      <c r="E12" s="336" t="str">
        <f>+'Bill_EMA R1'!E12</f>
        <v>Supplier</v>
      </c>
      <c r="F12" s="336" t="str">
        <f>+'Bill_EMA R1'!F12</f>
        <v>Total</v>
      </c>
      <c r="G12" s="330"/>
      <c r="H12" s="336" t="str">
        <f>+'Bill_EMA R1'!H12</f>
        <v>Delivery</v>
      </c>
      <c r="I12" s="336" t="str">
        <f>+'Bill_EMA R1'!I12</f>
        <v>Supplier</v>
      </c>
      <c r="J12" s="336" t="str">
        <f>+'Bill_EMA R1'!J12</f>
        <v>Total</v>
      </c>
      <c r="L12" s="336" t="str">
        <f>+'Bill_EMA R1'!L12</f>
        <v>Change</v>
      </c>
      <c r="M12" s="336" t="str">
        <f>+'Bill_EMA R1'!M12</f>
        <v>% Change</v>
      </c>
    </row>
    <row r="13" spans="1:24" ht="14" x14ac:dyDescent="0.3">
      <c r="A13" s="151">
        <f>IF(C13&lt;&gt;"",COUNTA($C$11:C13),"")</f>
        <v>3</v>
      </c>
      <c r="B13" s="151"/>
      <c r="C13" s="337">
        <v>100</v>
      </c>
      <c r="D13" s="338">
        <f t="shared" ref="D13:D26" si="0">ROUND($C13*(SUM($F$32:$F$51))+$F$31,2)</f>
        <v>16.89</v>
      </c>
      <c r="E13" s="338">
        <f t="shared" ref="E13:E26" si="1">ROUND($F$52*C13,2)</f>
        <v>11.4</v>
      </c>
      <c r="F13" s="338">
        <f>SUM(D13:E13)</f>
        <v>28.29</v>
      </c>
      <c r="G13" s="358"/>
      <c r="H13" s="338">
        <f t="shared" ref="H13:H26" si="2">ROUND($C13*(SUM($H$32:$H$51))+$H$31,2)</f>
        <v>16.809999999999999</v>
      </c>
      <c r="I13" s="338">
        <f t="shared" ref="I13:I26" si="3">ROUND($H$52*C13,2)</f>
        <v>13.59</v>
      </c>
      <c r="J13" s="338">
        <f>SUM(H13:I13)</f>
        <v>30.4</v>
      </c>
      <c r="K13" s="339"/>
      <c r="L13" s="340">
        <f>+J13-F13</f>
        <v>2.1099999999999994</v>
      </c>
      <c r="M13" s="341">
        <f>+L13/F13</f>
        <v>7.4584658890067143E-2</v>
      </c>
      <c r="O13" s="339"/>
      <c r="P13" s="339"/>
      <c r="Q13" s="339"/>
      <c r="R13" s="339"/>
      <c r="S13" s="339"/>
      <c r="T13" s="339"/>
      <c r="U13" s="339"/>
      <c r="V13" s="339"/>
      <c r="W13" s="339"/>
      <c r="X13" s="339"/>
    </row>
    <row r="14" spans="1:24" ht="14" x14ac:dyDescent="0.3">
      <c r="A14" s="151">
        <f>IF(C14&lt;&gt;"",COUNTA($C$11:C14),"")</f>
        <v>4</v>
      </c>
      <c r="B14" s="151"/>
      <c r="C14" s="337">
        <v>200</v>
      </c>
      <c r="D14" s="338">
        <f t="shared" si="0"/>
        <v>26.78</v>
      </c>
      <c r="E14" s="338">
        <f t="shared" si="1"/>
        <v>22.79</v>
      </c>
      <c r="F14" s="338">
        <f t="shared" ref="F14:F26" si="4">SUM(D14:E14)</f>
        <v>49.57</v>
      </c>
      <c r="G14" s="358"/>
      <c r="H14" s="338">
        <f t="shared" si="2"/>
        <v>26.63</v>
      </c>
      <c r="I14" s="338">
        <f t="shared" si="3"/>
        <v>27.18</v>
      </c>
      <c r="J14" s="338">
        <f t="shared" ref="J14:J26" si="5">SUM(H14:I14)</f>
        <v>53.81</v>
      </c>
      <c r="K14" s="339"/>
      <c r="L14" s="340">
        <f t="shared" ref="L14:L26" si="6">+J14-F14</f>
        <v>4.240000000000002</v>
      </c>
      <c r="M14" s="341">
        <f t="shared" ref="M14:M26" si="7">+L14/F14</f>
        <v>8.5535606213435589E-2</v>
      </c>
      <c r="O14" s="339"/>
      <c r="P14" s="339"/>
      <c r="Q14" s="339"/>
      <c r="R14" s="339"/>
      <c r="S14" s="339"/>
      <c r="T14" s="339"/>
      <c r="U14" s="339"/>
      <c r="V14" s="339"/>
      <c r="W14" s="339"/>
      <c r="X14" s="339"/>
    </row>
    <row r="15" spans="1:24" ht="14" x14ac:dyDescent="0.3">
      <c r="A15" s="151">
        <f>IF(C15&lt;&gt;"",COUNTA($C$11:C15),"")</f>
        <v>5</v>
      </c>
      <c r="B15" s="151"/>
      <c r="C15" s="337">
        <v>300</v>
      </c>
      <c r="D15" s="338">
        <f t="shared" si="0"/>
        <v>36.659999999999997</v>
      </c>
      <c r="E15" s="338">
        <f t="shared" si="1"/>
        <v>34.19</v>
      </c>
      <c r="F15" s="338">
        <f t="shared" si="4"/>
        <v>70.849999999999994</v>
      </c>
      <c r="G15" s="358"/>
      <c r="H15" s="338">
        <f t="shared" si="2"/>
        <v>36.44</v>
      </c>
      <c r="I15" s="338">
        <f t="shared" si="3"/>
        <v>40.76</v>
      </c>
      <c r="J15" s="338">
        <f t="shared" si="5"/>
        <v>77.199999999999989</v>
      </c>
      <c r="K15" s="339"/>
      <c r="L15" s="340">
        <f t="shared" si="6"/>
        <v>6.3499999999999943</v>
      </c>
      <c r="M15" s="341">
        <f t="shared" si="7"/>
        <v>8.9625970359915236E-2</v>
      </c>
      <c r="O15" s="339"/>
      <c r="P15" s="339"/>
      <c r="Q15" s="339"/>
      <c r="R15" s="339"/>
      <c r="S15" s="339"/>
      <c r="T15" s="339"/>
      <c r="U15" s="339"/>
      <c r="V15" s="339"/>
      <c r="W15" s="339"/>
      <c r="X15" s="339"/>
    </row>
    <row r="16" spans="1:24" ht="14" x14ac:dyDescent="0.3">
      <c r="A16" s="151">
        <f>IF(C16&lt;&gt;"",COUNTA($C$11:C16),"")</f>
        <v>6</v>
      </c>
      <c r="B16" s="151"/>
      <c r="C16" s="337">
        <v>400</v>
      </c>
      <c r="D16" s="338">
        <f t="shared" si="0"/>
        <v>46.55</v>
      </c>
      <c r="E16" s="338">
        <f t="shared" si="1"/>
        <v>45.59</v>
      </c>
      <c r="F16" s="338">
        <f t="shared" si="4"/>
        <v>92.14</v>
      </c>
      <c r="G16" s="358"/>
      <c r="H16" s="338">
        <f t="shared" si="2"/>
        <v>46.25</v>
      </c>
      <c r="I16" s="338">
        <f t="shared" si="3"/>
        <v>54.35</v>
      </c>
      <c r="J16" s="338">
        <f t="shared" si="5"/>
        <v>100.6</v>
      </c>
      <c r="K16" s="339"/>
      <c r="L16" s="340">
        <f t="shared" si="6"/>
        <v>8.4599999999999937</v>
      </c>
      <c r="M16" s="341">
        <f t="shared" si="7"/>
        <v>9.1816800520946318E-2</v>
      </c>
      <c r="O16" s="339"/>
      <c r="P16" s="339"/>
      <c r="Q16" s="339"/>
      <c r="R16" s="339"/>
      <c r="S16" s="339"/>
      <c r="T16" s="339"/>
      <c r="U16" s="339"/>
      <c r="V16" s="339"/>
      <c r="W16" s="339"/>
      <c r="X16" s="339"/>
    </row>
    <row r="17" spans="1:24" ht="14" x14ac:dyDescent="0.3">
      <c r="A17" s="151">
        <f>IF(C17&lt;&gt;"",COUNTA($C$11:C17),"")</f>
        <v>7</v>
      </c>
      <c r="B17" s="151"/>
      <c r="C17" s="337">
        <v>500</v>
      </c>
      <c r="D17" s="338">
        <f t="shared" si="0"/>
        <v>56.44</v>
      </c>
      <c r="E17" s="338">
        <f t="shared" si="1"/>
        <v>56.99</v>
      </c>
      <c r="F17" s="338">
        <f t="shared" si="4"/>
        <v>113.43</v>
      </c>
      <c r="G17" s="358"/>
      <c r="H17" s="338">
        <f t="shared" si="2"/>
        <v>56.07</v>
      </c>
      <c r="I17" s="338">
        <f t="shared" si="3"/>
        <v>67.94</v>
      </c>
      <c r="J17" s="338">
        <f t="shared" si="5"/>
        <v>124.00999999999999</v>
      </c>
      <c r="K17" s="339"/>
      <c r="L17" s="340">
        <f t="shared" si="6"/>
        <v>10.579999999999984</v>
      </c>
      <c r="M17" s="341">
        <f t="shared" si="7"/>
        <v>9.3273384466190462E-2</v>
      </c>
      <c r="O17" s="339"/>
      <c r="P17" s="339"/>
      <c r="Q17" s="339"/>
      <c r="R17" s="339"/>
      <c r="S17" s="339"/>
      <c r="T17" s="339"/>
      <c r="U17" s="339"/>
      <c r="V17" s="339"/>
      <c r="W17" s="339"/>
      <c r="X17" s="339"/>
    </row>
    <row r="18" spans="1:24" ht="14" x14ac:dyDescent="0.3">
      <c r="A18" s="151">
        <f>IF(C18&lt;&gt;"",COUNTA($C$11:C18),"")</f>
        <v>8</v>
      </c>
      <c r="B18" s="151"/>
      <c r="C18" s="337">
        <v>600</v>
      </c>
      <c r="D18" s="338">
        <f t="shared" si="0"/>
        <v>66.33</v>
      </c>
      <c r="E18" s="338">
        <f t="shared" si="1"/>
        <v>68.38</v>
      </c>
      <c r="F18" s="338">
        <f t="shared" si="4"/>
        <v>134.70999999999998</v>
      </c>
      <c r="G18" s="358"/>
      <c r="H18" s="338">
        <f t="shared" si="2"/>
        <v>65.88</v>
      </c>
      <c r="I18" s="338">
        <f t="shared" si="3"/>
        <v>81.53</v>
      </c>
      <c r="J18" s="338">
        <f t="shared" si="5"/>
        <v>147.41</v>
      </c>
      <c r="K18" s="339"/>
      <c r="L18" s="340">
        <f t="shared" si="6"/>
        <v>12.700000000000017</v>
      </c>
      <c r="M18" s="341">
        <f t="shared" si="7"/>
        <v>9.4276594165244004E-2</v>
      </c>
      <c r="O18" s="339"/>
      <c r="P18" s="339"/>
      <c r="Q18" s="339"/>
      <c r="R18" s="339"/>
      <c r="S18" s="339"/>
      <c r="T18" s="339"/>
      <c r="U18" s="339"/>
      <c r="V18" s="339"/>
      <c r="W18" s="339"/>
      <c r="X18" s="339"/>
    </row>
    <row r="19" spans="1:24" ht="14" x14ac:dyDescent="0.3">
      <c r="A19" s="151">
        <f>IF(C19&lt;&gt;"",COUNTA($C$11:C19),"")</f>
        <v>9</v>
      </c>
      <c r="B19" s="151"/>
      <c r="C19" s="337">
        <v>700</v>
      </c>
      <c r="D19" s="338">
        <f t="shared" si="0"/>
        <v>76.22</v>
      </c>
      <c r="E19" s="338">
        <f t="shared" si="1"/>
        <v>79.78</v>
      </c>
      <c r="F19" s="338">
        <f t="shared" si="4"/>
        <v>156</v>
      </c>
      <c r="G19" s="358"/>
      <c r="H19" s="338">
        <f t="shared" si="2"/>
        <v>75.69</v>
      </c>
      <c r="I19" s="338">
        <f t="shared" si="3"/>
        <v>95.12</v>
      </c>
      <c r="J19" s="338">
        <f t="shared" si="5"/>
        <v>170.81</v>
      </c>
      <c r="K19" s="339"/>
      <c r="L19" s="340">
        <f t="shared" si="6"/>
        <v>14.810000000000002</v>
      </c>
      <c r="M19" s="341">
        <f t="shared" si="7"/>
        <v>9.4935897435897448E-2</v>
      </c>
      <c r="O19" s="339"/>
      <c r="P19" s="339"/>
      <c r="Q19" s="339"/>
      <c r="R19" s="339"/>
      <c r="S19" s="339"/>
      <c r="T19" s="339"/>
      <c r="U19" s="339"/>
      <c r="V19" s="339"/>
      <c r="W19" s="339"/>
      <c r="X19" s="339"/>
    </row>
    <row r="20" spans="1:24" ht="14" x14ac:dyDescent="0.3">
      <c r="A20" s="151">
        <f>IF(C20&lt;&gt;"",COUNTA($C$11:C20),"")</f>
        <v>10</v>
      </c>
      <c r="B20" s="151"/>
      <c r="C20" s="337">
        <v>800</v>
      </c>
      <c r="D20" s="338">
        <f t="shared" si="0"/>
        <v>86.1</v>
      </c>
      <c r="E20" s="338">
        <f t="shared" si="1"/>
        <v>91.18</v>
      </c>
      <c r="F20" s="338">
        <f t="shared" si="4"/>
        <v>177.28</v>
      </c>
      <c r="G20" s="358"/>
      <c r="H20" s="338">
        <f t="shared" si="2"/>
        <v>85.5</v>
      </c>
      <c r="I20" s="338">
        <f t="shared" si="3"/>
        <v>108.7</v>
      </c>
      <c r="J20" s="338">
        <f t="shared" si="5"/>
        <v>194.2</v>
      </c>
      <c r="K20" s="339"/>
      <c r="L20" s="340">
        <f t="shared" si="6"/>
        <v>16.919999999999987</v>
      </c>
      <c r="M20" s="341">
        <f t="shared" si="7"/>
        <v>9.5442238267147941E-2</v>
      </c>
      <c r="O20" s="339"/>
      <c r="P20" s="339"/>
      <c r="Q20" s="339"/>
      <c r="R20" s="339"/>
      <c r="S20" s="339"/>
      <c r="T20" s="339"/>
      <c r="U20" s="339"/>
      <c r="V20" s="339"/>
      <c r="W20" s="339"/>
      <c r="X20" s="339"/>
    </row>
    <row r="21" spans="1:24" ht="14" x14ac:dyDescent="0.3">
      <c r="A21" s="151">
        <f>IF(C21&lt;&gt;"",COUNTA($C$11:C21),"")</f>
        <v>11</v>
      </c>
      <c r="B21" s="151"/>
      <c r="C21" s="337">
        <v>900</v>
      </c>
      <c r="D21" s="338">
        <f t="shared" si="0"/>
        <v>95.99</v>
      </c>
      <c r="E21" s="338">
        <f t="shared" si="1"/>
        <v>102.57</v>
      </c>
      <c r="F21" s="338">
        <f t="shared" si="4"/>
        <v>198.56</v>
      </c>
      <c r="G21" s="358"/>
      <c r="H21" s="338">
        <f t="shared" si="2"/>
        <v>95.32</v>
      </c>
      <c r="I21" s="338">
        <f t="shared" si="3"/>
        <v>122.29</v>
      </c>
      <c r="J21" s="338">
        <f t="shared" si="5"/>
        <v>217.61</v>
      </c>
      <c r="K21" s="339"/>
      <c r="L21" s="340">
        <f t="shared" si="6"/>
        <v>19.050000000000011</v>
      </c>
      <c r="M21" s="341">
        <f t="shared" si="7"/>
        <v>9.5940773569701904E-2</v>
      </c>
      <c r="O21" s="339"/>
      <c r="P21" s="339"/>
      <c r="Q21" s="339"/>
      <c r="R21" s="339"/>
      <c r="S21" s="339"/>
      <c r="T21" s="339"/>
      <c r="U21" s="339"/>
      <c r="V21" s="339"/>
      <c r="W21" s="339"/>
      <c r="X21" s="339"/>
    </row>
    <row r="22" spans="1:24" ht="14" x14ac:dyDescent="0.3">
      <c r="A22" s="151">
        <f>IF(C22&lt;&gt;"",COUNTA($C$11:C22),"")</f>
        <v>12</v>
      </c>
      <c r="B22" s="151"/>
      <c r="C22" s="337">
        <v>1000</v>
      </c>
      <c r="D22" s="338">
        <f t="shared" si="0"/>
        <v>105.88</v>
      </c>
      <c r="E22" s="338">
        <f t="shared" si="1"/>
        <v>113.97</v>
      </c>
      <c r="F22" s="338">
        <f t="shared" si="4"/>
        <v>219.85</v>
      </c>
      <c r="G22" s="358"/>
      <c r="H22" s="338">
        <f t="shared" si="2"/>
        <v>105.13</v>
      </c>
      <c r="I22" s="338">
        <f t="shared" si="3"/>
        <v>135.88</v>
      </c>
      <c r="J22" s="338">
        <f t="shared" si="5"/>
        <v>241.01</v>
      </c>
      <c r="K22" s="339"/>
      <c r="L22" s="340">
        <f t="shared" si="6"/>
        <v>21.159999999999997</v>
      </c>
      <c r="M22" s="341">
        <f t="shared" si="7"/>
        <v>9.6247441437343637E-2</v>
      </c>
      <c r="O22" s="339"/>
      <c r="P22" s="339"/>
      <c r="Q22" s="339"/>
      <c r="R22" s="339"/>
      <c r="S22" s="339"/>
      <c r="T22" s="339"/>
      <c r="U22" s="339"/>
      <c r="V22" s="339"/>
      <c r="W22" s="339"/>
      <c r="X22" s="339"/>
    </row>
    <row r="23" spans="1:24" ht="14" x14ac:dyDescent="0.3">
      <c r="A23" s="151">
        <f>IF(C23&lt;&gt;"",COUNTA($C$11:C23),"")</f>
        <v>13</v>
      </c>
      <c r="B23" s="151"/>
      <c r="C23" s="337">
        <v>1250</v>
      </c>
      <c r="D23" s="338">
        <f t="shared" si="0"/>
        <v>130.6</v>
      </c>
      <c r="E23" s="338">
        <f t="shared" si="1"/>
        <v>142.46</v>
      </c>
      <c r="F23" s="338">
        <f t="shared" si="4"/>
        <v>273.06</v>
      </c>
      <c r="G23" s="358"/>
      <c r="H23" s="338">
        <f t="shared" si="2"/>
        <v>129.66</v>
      </c>
      <c r="I23" s="338">
        <f t="shared" si="3"/>
        <v>169.85</v>
      </c>
      <c r="J23" s="338">
        <f t="shared" si="5"/>
        <v>299.51</v>
      </c>
      <c r="K23" s="339"/>
      <c r="L23" s="340">
        <f t="shared" si="6"/>
        <v>26.449999999999989</v>
      </c>
      <c r="M23" s="341">
        <f t="shared" si="7"/>
        <v>9.686515784076756E-2</v>
      </c>
      <c r="O23" s="339"/>
      <c r="P23" s="339"/>
      <c r="Q23" s="339"/>
      <c r="R23" s="339"/>
      <c r="S23" s="339"/>
      <c r="T23" s="339"/>
      <c r="U23" s="339"/>
      <c r="V23" s="339"/>
      <c r="W23" s="339"/>
      <c r="X23" s="339"/>
    </row>
    <row r="24" spans="1:24" ht="14" x14ac:dyDescent="0.3">
      <c r="A24" s="151">
        <f>IF(C24&lt;&gt;"",COUNTA($C$11:C24),"")</f>
        <v>14</v>
      </c>
      <c r="B24" s="151"/>
      <c r="C24" s="337">
        <v>1500</v>
      </c>
      <c r="D24" s="338">
        <f t="shared" si="0"/>
        <v>155.32</v>
      </c>
      <c r="E24" s="338">
        <f t="shared" si="1"/>
        <v>170.96</v>
      </c>
      <c r="F24" s="338">
        <f t="shared" si="4"/>
        <v>326.27999999999997</v>
      </c>
      <c r="G24" s="358"/>
      <c r="H24" s="338">
        <f t="shared" si="2"/>
        <v>154.19999999999999</v>
      </c>
      <c r="I24" s="338">
        <f t="shared" si="3"/>
        <v>203.82</v>
      </c>
      <c r="J24" s="338">
        <f t="shared" si="5"/>
        <v>358.02</v>
      </c>
      <c r="K24" s="339"/>
      <c r="L24" s="340">
        <f t="shared" si="6"/>
        <v>31.740000000000009</v>
      </c>
      <c r="M24" s="341">
        <f t="shared" si="7"/>
        <v>9.7278411180581129E-2</v>
      </c>
      <c r="O24" s="339"/>
      <c r="P24" s="339"/>
      <c r="Q24" s="339"/>
      <c r="R24" s="339"/>
      <c r="S24" s="339"/>
      <c r="T24" s="339"/>
      <c r="U24" s="339"/>
      <c r="V24" s="339"/>
      <c r="W24" s="339"/>
      <c r="X24" s="339"/>
    </row>
    <row r="25" spans="1:24" ht="14" x14ac:dyDescent="0.3">
      <c r="A25" s="151">
        <f>IF(C25&lt;&gt;"",COUNTA($C$11:C25),"")</f>
        <v>15</v>
      </c>
      <c r="B25" s="151"/>
      <c r="C25" s="337">
        <v>2000</v>
      </c>
      <c r="D25" s="338">
        <f t="shared" si="0"/>
        <v>204.76</v>
      </c>
      <c r="E25" s="338">
        <f t="shared" si="1"/>
        <v>227.94</v>
      </c>
      <c r="F25" s="338">
        <f t="shared" si="4"/>
        <v>432.7</v>
      </c>
      <c r="G25" s="358"/>
      <c r="H25" s="338">
        <f t="shared" si="2"/>
        <v>203.26</v>
      </c>
      <c r="I25" s="338">
        <f t="shared" si="3"/>
        <v>271.76</v>
      </c>
      <c r="J25" s="338">
        <f t="shared" si="5"/>
        <v>475.02</v>
      </c>
      <c r="K25" s="339"/>
      <c r="L25" s="340">
        <f t="shared" si="6"/>
        <v>42.319999999999993</v>
      </c>
      <c r="M25" s="341">
        <f t="shared" si="7"/>
        <v>9.7804483475849302E-2</v>
      </c>
      <c r="O25" s="339"/>
      <c r="P25" s="339"/>
      <c r="Q25" s="339"/>
      <c r="R25" s="339"/>
      <c r="S25" s="339"/>
      <c r="T25" s="339"/>
      <c r="U25" s="339"/>
      <c r="V25" s="339"/>
      <c r="W25" s="339"/>
      <c r="X25" s="339"/>
    </row>
    <row r="26" spans="1:24" ht="14" x14ac:dyDescent="0.3">
      <c r="A26" s="151">
        <f>IF(C26&lt;&gt;"",COUNTA($C$11:C26),"")</f>
        <v>16</v>
      </c>
      <c r="B26" s="151" t="s">
        <v>554</v>
      </c>
      <c r="C26" s="337">
        <v>740</v>
      </c>
      <c r="D26" s="338">
        <f t="shared" si="0"/>
        <v>80.17</v>
      </c>
      <c r="E26" s="338">
        <f t="shared" si="1"/>
        <v>84.34</v>
      </c>
      <c r="F26" s="338">
        <f t="shared" si="4"/>
        <v>164.51</v>
      </c>
      <c r="G26" s="358"/>
      <c r="H26" s="338">
        <f t="shared" si="2"/>
        <v>79.62</v>
      </c>
      <c r="I26" s="338">
        <f t="shared" si="3"/>
        <v>100.55</v>
      </c>
      <c r="J26" s="338">
        <f t="shared" si="5"/>
        <v>180.17000000000002</v>
      </c>
      <c r="K26" s="339"/>
      <c r="L26" s="340">
        <f t="shared" si="6"/>
        <v>15.660000000000025</v>
      </c>
      <c r="M26" s="341">
        <f t="shared" si="7"/>
        <v>9.5191781654610813E-2</v>
      </c>
      <c r="O26" s="339"/>
      <c r="P26" s="339"/>
      <c r="Q26" s="339"/>
      <c r="R26" s="339"/>
      <c r="S26" s="339"/>
      <c r="T26" s="339"/>
      <c r="U26" s="339"/>
      <c r="V26" s="339"/>
      <c r="W26" s="339"/>
      <c r="X26" s="339"/>
    </row>
    <row r="27" spans="1:24" ht="14" x14ac:dyDescent="0.3">
      <c r="A27" s="151" t="str">
        <f>IF(C27&lt;&gt;"",COUNTA($C$11:C27),"")</f>
        <v/>
      </c>
      <c r="B27" s="151"/>
      <c r="C27" s="343"/>
      <c r="D27" s="344"/>
      <c r="E27" s="344"/>
      <c r="F27" s="344"/>
      <c r="G27" s="359"/>
      <c r="H27" s="344"/>
      <c r="I27" s="344"/>
      <c r="J27" s="344"/>
      <c r="K27" s="345"/>
      <c r="L27" s="345"/>
    </row>
    <row r="28" spans="1:24" ht="14" x14ac:dyDescent="0.3">
      <c r="A28" s="151" t="str">
        <f>IF(C28&lt;&gt;"",COUNTA($C$11:C28),"")</f>
        <v/>
      </c>
      <c r="B28" s="151"/>
      <c r="C28" s="343"/>
      <c r="D28" s="345"/>
      <c r="E28" s="344"/>
      <c r="F28" s="344"/>
      <c r="G28" s="359"/>
      <c r="H28" s="344"/>
      <c r="I28" s="344"/>
      <c r="J28" s="344"/>
      <c r="K28" s="345"/>
      <c r="L28" s="345"/>
    </row>
    <row r="29" spans="1:24" ht="14" x14ac:dyDescent="0.3">
      <c r="A29" s="151">
        <f>IF(C29&lt;&gt;"",COUNTA($C$11:C29),"")</f>
        <v>17</v>
      </c>
      <c r="B29" s="151"/>
      <c r="C29" s="293" t="s">
        <v>46</v>
      </c>
      <c r="D29" s="339"/>
      <c r="E29" s="339"/>
      <c r="F29" s="347" t="str">
        <f>+'Bill_EMA R1'!F29</f>
        <v>Current</v>
      </c>
      <c r="G29" s="360"/>
      <c r="H29" s="347" t="str">
        <f>+'Bill_EMA R1'!H29</f>
        <v>Proposed</v>
      </c>
      <c r="I29" s="348"/>
      <c r="J29" s="339"/>
      <c r="K29" s="339"/>
      <c r="L29" s="339"/>
    </row>
    <row r="30" spans="1:24" ht="14" x14ac:dyDescent="0.3">
      <c r="A30" s="151">
        <f>IF(C30&lt;&gt;"",COUNTA($C$11:C30),"")</f>
        <v>18</v>
      </c>
      <c r="B30" s="151"/>
      <c r="C30" s="293" t="s">
        <v>46</v>
      </c>
      <c r="D30" s="339"/>
      <c r="E30" s="339"/>
      <c r="F30" s="349" t="s">
        <v>239</v>
      </c>
      <c r="G30" s="360"/>
      <c r="H30" s="349" t="s">
        <v>239</v>
      </c>
      <c r="I30" s="349" t="s">
        <v>65</v>
      </c>
      <c r="J30" s="339"/>
      <c r="K30" s="339"/>
      <c r="L30" s="339"/>
    </row>
    <row r="31" spans="1:24" ht="14" x14ac:dyDescent="0.3">
      <c r="A31" s="151">
        <f>IF(C31&lt;&gt;"",COUNTA($C$11:C31),"")</f>
        <v>19</v>
      </c>
      <c r="B31" s="151"/>
      <c r="C31" s="330" t="str">
        <f>+'Bill_EMA R1'!C31</f>
        <v>Customer Charge</v>
      </c>
      <c r="D31" s="339"/>
      <c r="E31" s="339"/>
      <c r="F31" s="350">
        <v>7</v>
      </c>
      <c r="G31" s="361"/>
      <c r="H31" s="350">
        <f>+F31</f>
        <v>7</v>
      </c>
      <c r="I31" s="351">
        <f>+H31-F31</f>
        <v>0</v>
      </c>
      <c r="J31" s="339"/>
      <c r="K31" s="339"/>
      <c r="L31" s="339"/>
    </row>
    <row r="32" spans="1:24" ht="14" x14ac:dyDescent="0.3">
      <c r="A32" s="151">
        <f>IF(C32&lt;&gt;"",COUNTA($C$11:C32),"")</f>
        <v>20</v>
      </c>
      <c r="B32" s="151"/>
      <c r="C32" s="330" t="str">
        <f>+'Bill_EMA R1'!C32</f>
        <v>Distribution Energy</v>
      </c>
      <c r="D32" s="339"/>
      <c r="E32" s="339"/>
      <c r="F32" s="277">
        <v>3.8350000000000002E-2</v>
      </c>
      <c r="G32" s="362"/>
      <c r="H32" s="277">
        <v>3.9940000000000003E-2</v>
      </c>
      <c r="I32" s="354">
        <f t="shared" ref="I32:I52" si="8">+H32-F32</f>
        <v>1.5900000000000011E-3</v>
      </c>
      <c r="J32" s="339"/>
      <c r="K32" s="339"/>
      <c r="L32" s="339"/>
    </row>
    <row r="33" spans="1:12" ht="14" x14ac:dyDescent="0.3">
      <c r="A33" s="151">
        <f>IF(C33&lt;&gt;"",COUNTA($C$11:C33),"")</f>
        <v>21</v>
      </c>
      <c r="B33" s="151"/>
      <c r="C33" s="330" t="str">
        <f>+'Bill_EMA R1'!C33</f>
        <v>Revenue Decoupling</v>
      </c>
      <c r="D33" s="339"/>
      <c r="E33" s="339"/>
      <c r="F33" s="277">
        <v>0</v>
      </c>
      <c r="G33" s="277"/>
      <c r="H33" s="277">
        <v>-4.6000000000000001E-4</v>
      </c>
      <c r="I33" s="354">
        <f t="shared" si="8"/>
        <v>-4.6000000000000001E-4</v>
      </c>
      <c r="J33" s="339"/>
      <c r="K33" s="339"/>
      <c r="L33" s="339"/>
    </row>
    <row r="34" spans="1:12" ht="14" x14ac:dyDescent="0.3">
      <c r="A34" s="151">
        <f>IF(C34&lt;&gt;"",COUNTA($C$11:C34),"")</f>
        <v>22</v>
      </c>
      <c r="B34" s="151"/>
      <c r="C34" s="330" t="str">
        <f>+'Bill_EMA R1'!C34</f>
        <v>Residential Assistance Adjustment Factor</v>
      </c>
      <c r="D34" s="339"/>
      <c r="E34" s="339"/>
      <c r="F34" s="277">
        <v>2.9499999999999999E-3</v>
      </c>
      <c r="G34" s="277"/>
      <c r="H34" s="277">
        <v>3.9199999999999999E-3</v>
      </c>
      <c r="I34" s="354">
        <f t="shared" si="8"/>
        <v>9.6999999999999994E-4</v>
      </c>
      <c r="J34" s="339"/>
      <c r="K34" s="339"/>
      <c r="L34" s="339"/>
    </row>
    <row r="35" spans="1:12" ht="14" x14ac:dyDescent="0.3">
      <c r="A35" s="151">
        <f>IF(C35&lt;&gt;"",COUNTA($C$11:C35),"")</f>
        <v>23</v>
      </c>
      <c r="B35" s="151"/>
      <c r="C35" s="330" t="str">
        <f>+'Bill_EMA R1'!C35</f>
        <v>Pension Adjustment Factor</v>
      </c>
      <c r="D35" s="339"/>
      <c r="E35" s="339"/>
      <c r="F35" s="277">
        <v>-1E-4</v>
      </c>
      <c r="G35" s="277"/>
      <c r="H35" s="277">
        <v>9.2000000000000003E-4</v>
      </c>
      <c r="I35" s="354">
        <f t="shared" si="8"/>
        <v>1.0200000000000001E-3</v>
      </c>
      <c r="J35" s="339"/>
      <c r="K35" s="339"/>
      <c r="L35" s="339"/>
    </row>
    <row r="36" spans="1:12" ht="14" x14ac:dyDescent="0.3">
      <c r="A36" s="151">
        <f>IF(C36&lt;&gt;"",COUNTA($C$11:C36),"")</f>
        <v>24</v>
      </c>
      <c r="B36" s="151"/>
      <c r="C36" s="330" t="str">
        <f>+'Bill_EMA R1'!C36</f>
        <v>Net Metering Recovery Surcharge</v>
      </c>
      <c r="D36" s="339"/>
      <c r="E36" s="339"/>
      <c r="F36" s="277">
        <v>5.7999999999999996E-3</v>
      </c>
      <c r="G36" s="277"/>
      <c r="H36" s="277">
        <v>5.11E-3</v>
      </c>
      <c r="I36" s="354">
        <f t="shared" si="8"/>
        <v>-6.8999999999999964E-4</v>
      </c>
      <c r="J36" s="339"/>
      <c r="K36" s="339"/>
      <c r="L36" s="339"/>
    </row>
    <row r="37" spans="1:12" ht="14" x14ac:dyDescent="0.3">
      <c r="A37" s="151">
        <f>IF(C37&lt;&gt;"",COUNTA($C$11:C37),"")</f>
        <v>25</v>
      </c>
      <c r="B37" s="151"/>
      <c r="C37" s="330" t="str">
        <f>+'Bill_EMA R1'!C37</f>
        <v>Long Term Renewable Contract Adjustment</v>
      </c>
      <c r="D37" s="339"/>
      <c r="E37" s="339"/>
      <c r="F37" s="277">
        <v>2.3600000000000001E-3</v>
      </c>
      <c r="G37" s="277"/>
      <c r="H37" s="277">
        <v>1.74E-3</v>
      </c>
      <c r="I37" s="354">
        <f t="shared" si="8"/>
        <v>-6.2000000000000011E-4</v>
      </c>
      <c r="J37" s="339"/>
      <c r="K37" s="339"/>
      <c r="L37" s="339"/>
    </row>
    <row r="38" spans="1:12" ht="14" x14ac:dyDescent="0.3">
      <c r="A38" s="151">
        <f>IF(C38&lt;&gt;"",COUNTA($C$11:C38),"")</f>
        <v>26</v>
      </c>
      <c r="B38" s="151"/>
      <c r="C38" s="330" t="str">
        <f>+'Bill_EMA R1'!C38</f>
        <v>AG Consulting Expense</v>
      </c>
      <c r="D38" s="339"/>
      <c r="E38" s="339"/>
      <c r="F38" s="277">
        <v>3.0000000000000001E-5</v>
      </c>
      <c r="G38" s="277"/>
      <c r="H38" s="277">
        <v>1.0000000000000001E-5</v>
      </c>
      <c r="I38" s="354">
        <f t="shared" si="8"/>
        <v>-1.9999999999999998E-5</v>
      </c>
      <c r="J38" s="339"/>
      <c r="K38" s="339"/>
      <c r="L38" s="339"/>
    </row>
    <row r="39" spans="1:12" ht="14" x14ac:dyDescent="0.3">
      <c r="A39" s="151">
        <f>IF(C39&lt;&gt;"",COUNTA($C$11:C39),"")</f>
        <v>27</v>
      </c>
      <c r="B39" s="151"/>
      <c r="C39" s="330" t="str">
        <f>+'Bill_EMA R1'!C39</f>
        <v>Storm Cost Recovery Adjustment Factor</v>
      </c>
      <c r="D39" s="339"/>
      <c r="E39" s="339"/>
      <c r="F39" s="277">
        <v>1.82E-3</v>
      </c>
      <c r="G39" s="277"/>
      <c r="H39" s="277">
        <v>2.96E-3</v>
      </c>
      <c r="I39" s="354">
        <f t="shared" si="8"/>
        <v>1.14E-3</v>
      </c>
      <c r="J39" s="339"/>
      <c r="K39" s="339"/>
      <c r="L39" s="339"/>
    </row>
    <row r="40" spans="1:12" ht="14" x14ac:dyDescent="0.3">
      <c r="A40" s="151">
        <f>IF(C40&lt;&gt;"",COUNTA($C$11:C40),"")</f>
        <v>28</v>
      </c>
      <c r="B40" s="151"/>
      <c r="C40" s="330" t="str">
        <f>+'Bill_EMA R1'!C40</f>
        <v>Storm Reserve Adjustment</v>
      </c>
      <c r="D40" s="339"/>
      <c r="E40" s="339"/>
      <c r="F40" s="277">
        <v>0</v>
      </c>
      <c r="G40" s="277"/>
      <c r="H40" s="277">
        <v>0</v>
      </c>
      <c r="I40" s="354">
        <f t="shared" si="8"/>
        <v>0</v>
      </c>
      <c r="J40" s="339"/>
      <c r="K40" s="339"/>
      <c r="L40" s="339"/>
    </row>
    <row r="41" spans="1:12" ht="14" x14ac:dyDescent="0.3">
      <c r="A41" s="151">
        <f>IF(C41&lt;&gt;"",COUNTA($C$11:C41),"")</f>
        <v>29</v>
      </c>
      <c r="B41" s="151"/>
      <c r="C41" s="330" t="str">
        <f>+'Bill_EMA R1'!C41</f>
        <v>Basic Service Cost True Up Factor</v>
      </c>
      <c r="D41" s="339"/>
      <c r="E41" s="339"/>
      <c r="F41" s="277">
        <v>1.57E-3</v>
      </c>
      <c r="G41" s="277"/>
      <c r="H41" s="277">
        <v>-1.9000000000000001E-4</v>
      </c>
      <c r="I41" s="354">
        <f t="shared" si="8"/>
        <v>-1.7600000000000001E-3</v>
      </c>
      <c r="J41" s="339"/>
      <c r="K41" s="339"/>
      <c r="L41" s="339"/>
    </row>
    <row r="42" spans="1:12" ht="14" x14ac:dyDescent="0.3">
      <c r="A42" s="151">
        <f>IF(C42&lt;&gt;"",COUNTA($C$11:C42),"")</f>
        <v>30</v>
      </c>
      <c r="B42" s="151"/>
      <c r="C42" s="330" t="str">
        <f>+'Bill_EMA R1'!C42</f>
        <v>Solar Program Cost Adjustment Factor</v>
      </c>
      <c r="D42" s="339"/>
      <c r="E42" s="339"/>
      <c r="F42" s="277">
        <v>0</v>
      </c>
      <c r="G42" s="277"/>
      <c r="H42" s="277">
        <v>3.0000000000000001E-5</v>
      </c>
      <c r="I42" s="354">
        <f t="shared" si="8"/>
        <v>3.0000000000000001E-5</v>
      </c>
      <c r="J42" s="339"/>
      <c r="K42" s="339"/>
      <c r="L42" s="339"/>
    </row>
    <row r="43" spans="1:12" ht="14" x14ac:dyDescent="0.3">
      <c r="A43" s="151">
        <f>IF(C43&lt;&gt;"",COUNTA($C$11:C43),"")</f>
        <v>31</v>
      </c>
      <c r="B43" s="151"/>
      <c r="C43" s="330" t="str">
        <f>+'Bill_EMA R1'!C43</f>
        <v>Solar Expansion Cost Recovery Factor</v>
      </c>
      <c r="D43" s="339"/>
      <c r="E43" s="339"/>
      <c r="F43" s="277">
        <v>0</v>
      </c>
      <c r="G43" s="277"/>
      <c r="H43" s="277">
        <v>6.0999999999999997E-4</v>
      </c>
      <c r="I43" s="354">
        <f t="shared" si="8"/>
        <v>6.0999999999999997E-4</v>
      </c>
      <c r="J43" s="339"/>
      <c r="K43" s="339"/>
      <c r="L43" s="339"/>
    </row>
    <row r="44" spans="1:12" ht="14" x14ac:dyDescent="0.3">
      <c r="A44" s="151">
        <f>IF(C44&lt;&gt;"",COUNTA($C$11:C44),"")</f>
        <v>32</v>
      </c>
      <c r="B44" s="151"/>
      <c r="C44" s="330" t="str">
        <f>+'Bill_EMA R1'!C44</f>
        <v>Vegetation Management</v>
      </c>
      <c r="D44" s="339"/>
      <c r="E44" s="339"/>
      <c r="F44" s="277">
        <v>0</v>
      </c>
      <c r="G44" s="277"/>
      <c r="H44" s="277">
        <v>1.64E-3</v>
      </c>
      <c r="I44" s="354">
        <f t="shared" si="8"/>
        <v>1.64E-3</v>
      </c>
      <c r="J44" s="339"/>
      <c r="K44" s="339"/>
      <c r="L44" s="339"/>
    </row>
    <row r="45" spans="1:12" ht="14" x14ac:dyDescent="0.3">
      <c r="A45" s="151">
        <f>IF(C45&lt;&gt;"",COUNTA($C$11:C45),"")</f>
        <v>33</v>
      </c>
      <c r="B45" s="151"/>
      <c r="C45" s="330" t="str">
        <f>+'Bill_EMA R1'!C45</f>
        <v>Solar Massachusetts Renewable Target</v>
      </c>
      <c r="D45" s="339"/>
      <c r="E45" s="339"/>
      <c r="F45" s="277">
        <v>0</v>
      </c>
      <c r="G45" s="277"/>
      <c r="H45" s="277">
        <v>7.1000000000000002E-4</v>
      </c>
      <c r="I45" s="354">
        <f t="shared" si="8"/>
        <v>7.1000000000000002E-4</v>
      </c>
      <c r="J45" s="339"/>
      <c r="K45" s="339"/>
      <c r="L45" s="339"/>
    </row>
    <row r="46" spans="1:12" ht="14" x14ac:dyDescent="0.3">
      <c r="A46" s="151">
        <f>IF(C46&lt;&gt;"",COUNTA($C$11:C46),"")</f>
        <v>34</v>
      </c>
      <c r="B46" s="151"/>
      <c r="C46" s="330" t="str">
        <f>+'Bill_EMA R1'!C46</f>
        <v>Tax Act Credit Factor</v>
      </c>
      <c r="D46" s="339"/>
      <c r="E46" s="339"/>
      <c r="F46" s="277">
        <v>0</v>
      </c>
      <c r="G46" s="277"/>
      <c r="H46" s="277">
        <v>-1.08E-3</v>
      </c>
      <c r="I46" s="354">
        <f t="shared" si="8"/>
        <v>-1.08E-3</v>
      </c>
      <c r="J46" s="339"/>
      <c r="K46" s="339"/>
      <c r="L46" s="339"/>
    </row>
    <row r="47" spans="1:12" ht="14" x14ac:dyDescent="0.3">
      <c r="A47" s="151">
        <f>IF(C47&lt;&gt;"",COUNTA($C$11:C47),"")</f>
        <v>35</v>
      </c>
      <c r="B47" s="151"/>
      <c r="C47" s="330" t="str">
        <f>+'Bill_EMA R1'!C47</f>
        <v>Transition</v>
      </c>
      <c r="D47" s="339"/>
      <c r="E47" s="339"/>
      <c r="F47" s="277">
        <v>-6.0999999999999997E-4</v>
      </c>
      <c r="G47" s="277"/>
      <c r="H47" s="277">
        <v>-5.1999999999999995E-4</v>
      </c>
      <c r="I47" s="354">
        <f t="shared" si="8"/>
        <v>9.0000000000000019E-5</v>
      </c>
      <c r="J47" s="339"/>
      <c r="K47" s="339"/>
      <c r="L47" s="339"/>
    </row>
    <row r="48" spans="1:12" ht="14" x14ac:dyDescent="0.3">
      <c r="A48" s="151">
        <f>IF(C48&lt;&gt;"",COUNTA($C$11:C48),"")</f>
        <v>36</v>
      </c>
      <c r="B48" s="151"/>
      <c r="C48" s="330" t="str">
        <f>+'Bill_EMA R1'!C48</f>
        <v>Transmission Energy</v>
      </c>
      <c r="D48" s="339"/>
      <c r="E48" s="339"/>
      <c r="F48" s="277">
        <v>2.896E-2</v>
      </c>
      <c r="G48" s="277"/>
      <c r="H48" s="277">
        <v>2.504E-2</v>
      </c>
      <c r="I48" s="354">
        <f t="shared" si="8"/>
        <v>-3.9199999999999999E-3</v>
      </c>
      <c r="J48" s="339"/>
      <c r="K48" s="339"/>
      <c r="L48" s="339"/>
    </row>
    <row r="49" spans="1:12" ht="14" x14ac:dyDescent="0.3">
      <c r="A49" s="151">
        <f>IF(C49&lt;&gt;"",COUNTA($C$11:C49),"")</f>
        <v>37</v>
      </c>
      <c r="B49" s="151"/>
      <c r="C49" s="330" t="str">
        <f>+'Bill_EMA R1'!C49</f>
        <v>Energy Efficiency Reconciliation Factor</v>
      </c>
      <c r="D49" s="339"/>
      <c r="E49" s="339"/>
      <c r="F49" s="277">
        <v>1.4749999999999999E-2</v>
      </c>
      <c r="G49" s="277"/>
      <c r="H49" s="277">
        <v>1.4749999999999999E-2</v>
      </c>
      <c r="I49" s="354">
        <f t="shared" si="8"/>
        <v>0</v>
      </c>
      <c r="J49" s="339"/>
      <c r="K49" s="339"/>
      <c r="L49" s="339"/>
    </row>
    <row r="50" spans="1:12" ht="14" x14ac:dyDescent="0.3">
      <c r="A50" s="151">
        <f>IF(C50&lt;&gt;"",COUNTA($C$11:C50),"")</f>
        <v>38</v>
      </c>
      <c r="B50" s="151"/>
      <c r="C50" s="330" t="str">
        <f>+'Bill_EMA R1'!C50</f>
        <v>System Benefits Charge</v>
      </c>
      <c r="D50" s="339"/>
      <c r="E50" s="339"/>
      <c r="F50" s="277">
        <v>2.5000000000000001E-3</v>
      </c>
      <c r="G50" s="277"/>
      <c r="H50" s="277">
        <f>+F50</f>
        <v>2.5000000000000001E-3</v>
      </c>
      <c r="I50" s="354">
        <f t="shared" si="8"/>
        <v>0</v>
      </c>
      <c r="J50" s="339"/>
      <c r="K50" s="339"/>
      <c r="L50" s="339"/>
    </row>
    <row r="51" spans="1:12" ht="14" x14ac:dyDescent="0.3">
      <c r="A51" s="151">
        <f>IF(C51&lt;&gt;"",COUNTA($C$11:C51),"")</f>
        <v>39</v>
      </c>
      <c r="B51" s="151"/>
      <c r="C51" s="330" t="str">
        <f>+'Bill_EMA R1'!C51</f>
        <v>Renewable Energy Charge</v>
      </c>
      <c r="D51" s="339"/>
      <c r="E51" s="339"/>
      <c r="F51" s="277">
        <v>5.0000000000000001E-4</v>
      </c>
      <c r="G51" s="277"/>
      <c r="H51" s="277">
        <f>+F51</f>
        <v>5.0000000000000001E-4</v>
      </c>
      <c r="I51" s="354">
        <f t="shared" si="8"/>
        <v>0</v>
      </c>
      <c r="J51" s="339"/>
      <c r="K51" s="339"/>
      <c r="L51" s="339"/>
    </row>
    <row r="52" spans="1:12" ht="14" x14ac:dyDescent="0.3">
      <c r="A52" s="151">
        <f>IF(C52&lt;&gt;"",COUNTA($C$11:C52),"")</f>
        <v>40</v>
      </c>
      <c r="B52" s="151"/>
      <c r="C52" s="330" t="str">
        <f>+'Bill_EMA R1'!C52</f>
        <v>Basic Service Charge</v>
      </c>
      <c r="D52" s="339"/>
      <c r="E52" s="339"/>
      <c r="F52" s="277">
        <v>0.11397</v>
      </c>
      <c r="G52" s="277"/>
      <c r="H52" s="277">
        <v>0.13588</v>
      </c>
      <c r="I52" s="354">
        <f t="shared" si="8"/>
        <v>2.1909999999999999E-2</v>
      </c>
      <c r="J52" s="339"/>
      <c r="K52" s="339"/>
      <c r="L52" s="339"/>
    </row>
    <row r="53" spans="1:12" ht="14" x14ac:dyDescent="0.3">
      <c r="A53" s="151"/>
      <c r="B53" s="151"/>
      <c r="D53" s="339"/>
      <c r="E53" s="339"/>
      <c r="F53" s="356"/>
      <c r="G53" s="356"/>
      <c r="H53" s="356"/>
      <c r="I53" s="356"/>
      <c r="J53" s="339"/>
      <c r="K53" s="339"/>
      <c r="L53" s="339"/>
    </row>
    <row r="54" spans="1:12" ht="14" x14ac:dyDescent="0.3">
      <c r="A54" s="151"/>
      <c r="B54" s="151"/>
      <c r="D54" s="339"/>
      <c r="E54" s="339"/>
      <c r="F54" s="356"/>
      <c r="G54" s="356"/>
      <c r="H54" s="356"/>
      <c r="I54" s="356"/>
      <c r="J54" s="339"/>
      <c r="K54" s="339"/>
      <c r="L54" s="339"/>
    </row>
    <row r="55" spans="1:12" ht="14" x14ac:dyDescent="0.3">
      <c r="A55" s="151"/>
      <c r="B55" s="151"/>
      <c r="C55" s="335" t="s">
        <v>555</v>
      </c>
      <c r="D55" s="339"/>
      <c r="E55" s="339"/>
      <c r="F55" s="356">
        <f>SUM(F32:F51)</f>
        <v>9.888000000000001E-2</v>
      </c>
      <c r="G55" s="356"/>
      <c r="H55" s="356">
        <f>SUM(H32:H51)</f>
        <v>9.8130000000000009E-2</v>
      </c>
      <c r="I55" s="354">
        <f>SUM(I32:I51)</f>
        <v>-7.4999999999999893E-4</v>
      </c>
      <c r="J55" s="339"/>
      <c r="K55" s="339"/>
      <c r="L55" s="339"/>
    </row>
    <row r="56" spans="1:12" ht="14" x14ac:dyDescent="0.3">
      <c r="C56" s="335" t="str">
        <f>'Bill_EMA R1'!C56</f>
        <v>Total Basic Service</v>
      </c>
      <c r="D56" s="339"/>
      <c r="E56" s="339"/>
      <c r="F56" s="356">
        <f>F52</f>
        <v>0.11397</v>
      </c>
      <c r="G56" s="356"/>
      <c r="H56" s="356">
        <f>H52</f>
        <v>0.13588</v>
      </c>
      <c r="I56" s="354">
        <f>I52</f>
        <v>2.1909999999999999E-2</v>
      </c>
      <c r="J56" s="339"/>
      <c r="K56" s="339"/>
      <c r="L56" s="339"/>
    </row>
    <row r="57" spans="1:12" ht="14" x14ac:dyDescent="0.3">
      <c r="F57" s="335"/>
    </row>
  </sheetData>
  <mergeCells count="7">
    <mergeCell ref="A4:M4"/>
    <mergeCell ref="A5:M5"/>
    <mergeCell ref="A6:M6"/>
    <mergeCell ref="A8:M8"/>
    <mergeCell ref="D11:F11"/>
    <mergeCell ref="H11:J11"/>
    <mergeCell ref="L11:M11"/>
  </mergeCells>
  <pageMargins left="0.7" right="0.7" top="0.75" bottom="0.75" header="0.3" footer="0.3"/>
  <pageSetup scale="66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74555-C694-4979-A576-28DCDDA7B666}">
  <sheetPr>
    <tabColor theme="3" tint="0.59999389629810485"/>
    <pageSetUpPr fitToPage="1"/>
  </sheetPr>
  <dimension ref="A4:X57"/>
  <sheetViews>
    <sheetView zoomScaleNormal="100" workbookViewId="0"/>
  </sheetViews>
  <sheetFormatPr defaultRowHeight="12.5" x14ac:dyDescent="0.25"/>
  <cols>
    <col min="1" max="1" width="4" bestFit="1" customWidth="1"/>
    <col min="2" max="2" width="5.54296875" bestFit="1" customWidth="1"/>
    <col min="3" max="3" width="12" customWidth="1"/>
    <col min="4" max="6" width="14.7265625" customWidth="1"/>
    <col min="7" max="7" width="2" customWidth="1"/>
    <col min="8" max="10" width="14.7265625" customWidth="1"/>
    <col min="11" max="11" width="2" customWidth="1"/>
    <col min="12" max="13" width="12" customWidth="1"/>
    <col min="15" max="15" width="10.81640625" bestFit="1" customWidth="1"/>
    <col min="17" max="17" width="9.7265625" bestFit="1" customWidth="1"/>
    <col min="18" max="18" width="10.1796875" bestFit="1" customWidth="1"/>
    <col min="19" max="19" width="8.453125" bestFit="1" customWidth="1"/>
    <col min="20" max="20" width="10.81640625" bestFit="1" customWidth="1"/>
    <col min="21" max="21" width="9" bestFit="1" customWidth="1"/>
    <col min="22" max="22" width="9.7265625" bestFit="1" customWidth="1"/>
    <col min="23" max="23" width="10.1796875" bestFit="1" customWidth="1"/>
    <col min="24" max="24" width="8.453125" bestFit="1" customWidth="1"/>
  </cols>
  <sheetData>
    <row r="4" spans="1:24" ht="14" x14ac:dyDescent="0.3">
      <c r="A4" s="759" t="str">
        <f>'Bill_EMA R3'!A4:M4</f>
        <v>Eastern Massachusetts</v>
      </c>
      <c r="B4" s="759"/>
      <c r="C4" s="759"/>
      <c r="D4" s="759"/>
      <c r="E4" s="759"/>
      <c r="F4" s="759"/>
      <c r="G4" s="759"/>
      <c r="H4" s="759"/>
      <c r="I4" s="759"/>
      <c r="J4" s="759"/>
      <c r="K4" s="759"/>
      <c r="L4" s="759"/>
      <c r="M4" s="759"/>
    </row>
    <row r="5" spans="1:24" ht="14" x14ac:dyDescent="0.3">
      <c r="A5" s="759" t="str">
        <f>+'Bill_EMA R1'!A5</f>
        <v>Calculation of Monthly Typical Bill</v>
      </c>
      <c r="B5" s="759"/>
      <c r="C5" s="759"/>
      <c r="D5" s="759"/>
      <c r="E5" s="759"/>
      <c r="F5" s="759"/>
      <c r="G5" s="759"/>
      <c r="H5" s="759"/>
      <c r="I5" s="759"/>
      <c r="J5" s="759"/>
      <c r="K5" s="759"/>
      <c r="L5" s="759"/>
      <c r="M5" s="759"/>
      <c r="N5" s="357"/>
    </row>
    <row r="6" spans="1:24" ht="14" x14ac:dyDescent="0.3">
      <c r="A6" s="759" t="str">
        <f>'Bill_EMA R1'!A6:M6</f>
        <v>Proposed January 1, 2019</v>
      </c>
      <c r="B6" s="759"/>
      <c r="C6" s="759"/>
      <c r="D6" s="759"/>
      <c r="E6" s="759"/>
      <c r="F6" s="759"/>
      <c r="G6" s="759"/>
      <c r="H6" s="759"/>
      <c r="I6" s="759"/>
      <c r="J6" s="759"/>
      <c r="K6" s="759"/>
      <c r="L6" s="759"/>
      <c r="M6" s="759"/>
      <c r="N6" s="357"/>
    </row>
    <row r="7" spans="1:24" ht="14" x14ac:dyDescent="0.3">
      <c r="A7" s="357"/>
      <c r="B7" s="357"/>
      <c r="C7" s="357"/>
      <c r="D7" s="357"/>
      <c r="E7" s="357"/>
      <c r="F7" s="357"/>
      <c r="G7" s="357"/>
      <c r="H7" s="357"/>
      <c r="I7" s="357"/>
      <c r="J7" s="357"/>
      <c r="K7" s="357"/>
      <c r="L7" s="357"/>
      <c r="M7" s="357"/>
      <c r="N7" s="357"/>
    </row>
    <row r="8" spans="1:24" ht="14" x14ac:dyDescent="0.3">
      <c r="A8" s="759" t="s">
        <v>559</v>
      </c>
      <c r="B8" s="759"/>
      <c r="C8" s="759"/>
      <c r="D8" s="759"/>
      <c r="E8" s="759"/>
      <c r="F8" s="759"/>
      <c r="G8" s="759"/>
      <c r="H8" s="759"/>
      <c r="I8" s="759"/>
      <c r="J8" s="759"/>
      <c r="K8" s="759"/>
      <c r="L8" s="759"/>
      <c r="M8" s="759"/>
    </row>
    <row r="9" spans="1:24" ht="14" x14ac:dyDescent="0.3">
      <c r="A9" s="329"/>
      <c r="B9" s="329"/>
      <c r="C9" s="330"/>
      <c r="D9" s="330"/>
      <c r="E9" s="330"/>
      <c r="F9" s="331"/>
      <c r="G9" s="330"/>
    </row>
    <row r="10" spans="1:24" ht="14" x14ac:dyDescent="0.3">
      <c r="A10" s="329"/>
      <c r="B10" s="329"/>
      <c r="C10" s="330"/>
      <c r="D10" s="330"/>
      <c r="E10" s="330"/>
      <c r="F10" s="332"/>
      <c r="G10" s="330"/>
    </row>
    <row r="11" spans="1:24" ht="14" x14ac:dyDescent="0.3">
      <c r="A11" s="151">
        <f>IF(C11&lt;&gt;"",COUNTA($C$11:C11),"")</f>
        <v>1</v>
      </c>
      <c r="B11" s="151"/>
      <c r="C11" s="329" t="s">
        <v>528</v>
      </c>
      <c r="D11" s="758" t="str">
        <f>+'Bill_EMA R1'!D11</f>
        <v>Current Monthly Bill</v>
      </c>
      <c r="E11" s="758"/>
      <c r="F11" s="758"/>
      <c r="G11" s="330"/>
      <c r="H11" s="758" t="str">
        <f>+'Bill_EMA R1'!H11</f>
        <v>Proposed Monthly Bill</v>
      </c>
      <c r="I11" s="758"/>
      <c r="J11" s="758"/>
      <c r="L11" s="758" t="str">
        <f>+'Bill_EMA R1'!L11</f>
        <v>Total Bill Impact</v>
      </c>
      <c r="M11" s="758"/>
      <c r="O11" s="335"/>
      <c r="P11" s="335"/>
      <c r="Q11" s="335"/>
      <c r="R11" s="335"/>
      <c r="T11" s="335"/>
      <c r="U11" s="335"/>
      <c r="V11" s="335"/>
      <c r="W11" s="335"/>
    </row>
    <row r="12" spans="1:24" ht="14" x14ac:dyDescent="0.3">
      <c r="A12" s="151">
        <f>IF(C12&lt;&gt;"",COUNTA($C$11:C12),"")</f>
        <v>2</v>
      </c>
      <c r="B12" s="151"/>
      <c r="C12" s="336" t="s">
        <v>551</v>
      </c>
      <c r="D12" s="336" t="str">
        <f>+'Bill_EMA R1'!D12</f>
        <v>Delivery</v>
      </c>
      <c r="E12" s="336" t="str">
        <f>+'Bill_EMA R1'!E12</f>
        <v>Supplier</v>
      </c>
      <c r="F12" s="336" t="str">
        <f>+'Bill_EMA R1'!F12</f>
        <v>Total</v>
      </c>
      <c r="G12" s="330"/>
      <c r="H12" s="336" t="str">
        <f>+'Bill_EMA R1'!H12</f>
        <v>Delivery</v>
      </c>
      <c r="I12" s="336" t="str">
        <f>+'Bill_EMA R1'!I12</f>
        <v>Supplier</v>
      </c>
      <c r="J12" s="336" t="str">
        <f>+'Bill_EMA R1'!J12</f>
        <v>Total</v>
      </c>
      <c r="L12" s="336" t="str">
        <f>+'Bill_EMA R1'!L12</f>
        <v>Change</v>
      </c>
      <c r="M12" s="336" t="str">
        <f>+'Bill_EMA R1'!M12</f>
        <v>% Change</v>
      </c>
    </row>
    <row r="13" spans="1:24" ht="14" x14ac:dyDescent="0.3">
      <c r="A13" s="151">
        <f>IF(C13&lt;&gt;"",COUNTA($C$11:C13),"")</f>
        <v>3</v>
      </c>
      <c r="B13" s="151"/>
      <c r="C13" s="337">
        <v>100</v>
      </c>
      <c r="D13" s="338">
        <f t="shared" ref="D13:D26" si="0">ROUND(($C13*(SUM($F$32:$F$51))+$F$31)*(1-$F$53),2)</f>
        <v>9.94</v>
      </c>
      <c r="E13" s="338">
        <f t="shared" ref="E13:E26" si="1">ROUND(($F$52*C13)*(1-$F$53),2)</f>
        <v>7.29</v>
      </c>
      <c r="F13" s="338">
        <f>SUM(D13:E13)</f>
        <v>17.23</v>
      </c>
      <c r="G13" s="358"/>
      <c r="H13" s="338">
        <f t="shared" ref="H13:H26" si="2">ROUND(($C13*(SUM($H$32:$H$51))+$H$31)*(1-$H$53),2)</f>
        <v>9.89</v>
      </c>
      <c r="I13" s="338">
        <f t="shared" ref="I13:I26" si="3">ROUND(($H$52*C13)*(1-$H$53),2)</f>
        <v>8.6999999999999993</v>
      </c>
      <c r="J13" s="338">
        <f>SUM(H13:I13)</f>
        <v>18.59</v>
      </c>
      <c r="K13" s="339"/>
      <c r="L13" s="340">
        <f>+J13-F13</f>
        <v>1.3599999999999994</v>
      </c>
      <c r="M13" s="341">
        <f>+L13/F13</f>
        <v>7.8932095182820627E-2</v>
      </c>
      <c r="O13" s="339"/>
      <c r="P13" s="339"/>
      <c r="Q13" s="339"/>
      <c r="R13" s="339"/>
      <c r="S13" s="339"/>
      <c r="T13" s="339"/>
      <c r="U13" s="339"/>
      <c r="V13" s="339"/>
      <c r="W13" s="339"/>
      <c r="X13" s="339"/>
    </row>
    <row r="14" spans="1:24" ht="14" x14ac:dyDescent="0.3">
      <c r="A14" s="151">
        <f>IF(C14&lt;&gt;"",COUNTA($C$11:C14),"")</f>
        <v>4</v>
      </c>
      <c r="B14" s="151"/>
      <c r="C14" s="337">
        <v>200</v>
      </c>
      <c r="D14" s="338">
        <f t="shared" si="0"/>
        <v>15.39</v>
      </c>
      <c r="E14" s="338">
        <f t="shared" si="1"/>
        <v>14.59</v>
      </c>
      <c r="F14" s="338">
        <f t="shared" ref="F14:F26" si="4">SUM(D14:E14)</f>
        <v>29.98</v>
      </c>
      <c r="G14" s="358"/>
      <c r="H14" s="338">
        <f t="shared" si="2"/>
        <v>15.3</v>
      </c>
      <c r="I14" s="338">
        <f t="shared" si="3"/>
        <v>17.39</v>
      </c>
      <c r="J14" s="338">
        <f t="shared" ref="J14:J26" si="5">SUM(H14:I14)</f>
        <v>32.69</v>
      </c>
      <c r="K14" s="339"/>
      <c r="L14" s="340">
        <f t="shared" ref="L14:L26" si="6">+J14-F14</f>
        <v>2.7099999999999973</v>
      </c>
      <c r="M14" s="341">
        <f t="shared" ref="M14:M26" si="7">+L14/F14</f>
        <v>9.03935957304869E-2</v>
      </c>
      <c r="O14" s="339"/>
      <c r="P14" s="339"/>
      <c r="Q14" s="339"/>
      <c r="R14" s="339"/>
      <c r="S14" s="339"/>
      <c r="T14" s="339"/>
      <c r="U14" s="339"/>
      <c r="V14" s="339"/>
      <c r="W14" s="339"/>
      <c r="X14" s="339"/>
    </row>
    <row r="15" spans="1:24" ht="14" x14ac:dyDescent="0.3">
      <c r="A15" s="151">
        <f>IF(C15&lt;&gt;"",COUNTA($C$11:C15),"")</f>
        <v>5</v>
      </c>
      <c r="B15" s="151"/>
      <c r="C15" s="337">
        <v>300</v>
      </c>
      <c r="D15" s="338">
        <f t="shared" si="0"/>
        <v>20.85</v>
      </c>
      <c r="E15" s="338">
        <f t="shared" si="1"/>
        <v>21.88</v>
      </c>
      <c r="F15" s="338">
        <f t="shared" si="4"/>
        <v>42.730000000000004</v>
      </c>
      <c r="G15" s="358"/>
      <c r="H15" s="338">
        <f t="shared" si="2"/>
        <v>20.71</v>
      </c>
      <c r="I15" s="338">
        <f t="shared" si="3"/>
        <v>26.09</v>
      </c>
      <c r="J15" s="338">
        <f t="shared" si="5"/>
        <v>46.8</v>
      </c>
      <c r="K15" s="339"/>
      <c r="L15" s="340">
        <f t="shared" si="6"/>
        <v>4.0699999999999932</v>
      </c>
      <c r="M15" s="341">
        <f t="shared" si="7"/>
        <v>9.5249239410250236E-2</v>
      </c>
      <c r="O15" s="339"/>
      <c r="P15" s="339"/>
      <c r="Q15" s="339"/>
      <c r="R15" s="339"/>
      <c r="S15" s="339"/>
      <c r="T15" s="339"/>
      <c r="U15" s="339"/>
      <c r="V15" s="339"/>
      <c r="W15" s="339"/>
      <c r="X15" s="339"/>
    </row>
    <row r="16" spans="1:24" ht="14" x14ac:dyDescent="0.3">
      <c r="A16" s="151">
        <f>IF(C16&lt;&gt;"",COUNTA($C$11:C16),"")</f>
        <v>6</v>
      </c>
      <c r="B16" s="151"/>
      <c r="C16" s="337">
        <v>400</v>
      </c>
      <c r="D16" s="338">
        <f t="shared" si="0"/>
        <v>26.31</v>
      </c>
      <c r="E16" s="338">
        <f t="shared" si="1"/>
        <v>29.18</v>
      </c>
      <c r="F16" s="338">
        <f t="shared" si="4"/>
        <v>55.489999999999995</v>
      </c>
      <c r="G16" s="358"/>
      <c r="H16" s="338">
        <f t="shared" si="2"/>
        <v>26.11</v>
      </c>
      <c r="I16" s="338">
        <f t="shared" si="3"/>
        <v>34.79</v>
      </c>
      <c r="J16" s="338">
        <f t="shared" si="5"/>
        <v>60.9</v>
      </c>
      <c r="K16" s="339"/>
      <c r="L16" s="340">
        <f t="shared" si="6"/>
        <v>5.4100000000000037</v>
      </c>
      <c r="M16" s="341">
        <f t="shared" si="7"/>
        <v>9.7495044152099558E-2</v>
      </c>
      <c r="O16" s="339"/>
      <c r="P16" s="339"/>
      <c r="Q16" s="339"/>
      <c r="R16" s="339"/>
      <c r="S16" s="339"/>
      <c r="T16" s="339"/>
      <c r="U16" s="339"/>
      <c r="V16" s="339"/>
      <c r="W16" s="339"/>
      <c r="X16" s="339"/>
    </row>
    <row r="17" spans="1:24" ht="14" x14ac:dyDescent="0.3">
      <c r="A17" s="151">
        <f>IF(C17&lt;&gt;"",COUNTA($C$11:C17),"")</f>
        <v>7</v>
      </c>
      <c r="B17" s="151"/>
      <c r="C17" s="337">
        <v>500</v>
      </c>
      <c r="D17" s="338">
        <f t="shared" si="0"/>
        <v>31.76</v>
      </c>
      <c r="E17" s="338">
        <f t="shared" si="1"/>
        <v>36.47</v>
      </c>
      <c r="F17" s="338">
        <f t="shared" si="4"/>
        <v>68.23</v>
      </c>
      <c r="G17" s="358"/>
      <c r="H17" s="338">
        <f t="shared" si="2"/>
        <v>31.52</v>
      </c>
      <c r="I17" s="338">
        <f t="shared" si="3"/>
        <v>43.48</v>
      </c>
      <c r="J17" s="338">
        <f t="shared" si="5"/>
        <v>75</v>
      </c>
      <c r="K17" s="339"/>
      <c r="L17" s="340">
        <f t="shared" si="6"/>
        <v>6.769999999999996</v>
      </c>
      <c r="M17" s="341">
        <f t="shared" si="7"/>
        <v>9.9223215594313283E-2</v>
      </c>
      <c r="O17" s="339"/>
      <c r="P17" s="339"/>
      <c r="Q17" s="339"/>
      <c r="R17" s="339"/>
      <c r="S17" s="339"/>
      <c r="T17" s="339"/>
      <c r="U17" s="339"/>
      <c r="V17" s="339"/>
      <c r="W17" s="339"/>
      <c r="X17" s="339"/>
    </row>
    <row r="18" spans="1:24" ht="14" x14ac:dyDescent="0.3">
      <c r="A18" s="151">
        <f>IF(C18&lt;&gt;"",COUNTA($C$11:C18),"")</f>
        <v>8</v>
      </c>
      <c r="B18" s="151"/>
      <c r="C18" s="337">
        <v>600</v>
      </c>
      <c r="D18" s="338">
        <f t="shared" si="0"/>
        <v>37.22</v>
      </c>
      <c r="E18" s="338">
        <f t="shared" si="1"/>
        <v>43.76</v>
      </c>
      <c r="F18" s="338">
        <f t="shared" si="4"/>
        <v>80.97999999999999</v>
      </c>
      <c r="G18" s="358"/>
      <c r="H18" s="338">
        <f t="shared" si="2"/>
        <v>36.93</v>
      </c>
      <c r="I18" s="338">
        <f t="shared" si="3"/>
        <v>52.18</v>
      </c>
      <c r="J18" s="338">
        <f t="shared" si="5"/>
        <v>89.11</v>
      </c>
      <c r="K18" s="339"/>
      <c r="L18" s="340">
        <f t="shared" si="6"/>
        <v>8.1300000000000097</v>
      </c>
      <c r="M18" s="341">
        <f t="shared" si="7"/>
        <v>0.10039515929859237</v>
      </c>
      <c r="O18" s="339"/>
      <c r="P18" s="339"/>
      <c r="Q18" s="339"/>
      <c r="R18" s="339"/>
      <c r="S18" s="339"/>
      <c r="T18" s="339"/>
      <c r="U18" s="339"/>
      <c r="V18" s="339"/>
      <c r="W18" s="339"/>
      <c r="X18" s="339"/>
    </row>
    <row r="19" spans="1:24" ht="14" x14ac:dyDescent="0.3">
      <c r="A19" s="151">
        <f>IF(C19&lt;&gt;"",COUNTA($C$11:C19),"")</f>
        <v>9</v>
      </c>
      <c r="B19" s="151"/>
      <c r="C19" s="337">
        <v>700</v>
      </c>
      <c r="D19" s="338">
        <f t="shared" si="0"/>
        <v>42.68</v>
      </c>
      <c r="E19" s="338">
        <f t="shared" si="1"/>
        <v>51.06</v>
      </c>
      <c r="F19" s="338">
        <f t="shared" si="4"/>
        <v>93.740000000000009</v>
      </c>
      <c r="G19" s="358"/>
      <c r="H19" s="338">
        <f t="shared" si="2"/>
        <v>42.34</v>
      </c>
      <c r="I19" s="338">
        <f t="shared" si="3"/>
        <v>60.87</v>
      </c>
      <c r="J19" s="338">
        <f t="shared" si="5"/>
        <v>103.21000000000001</v>
      </c>
      <c r="K19" s="339"/>
      <c r="L19" s="340">
        <f t="shared" si="6"/>
        <v>9.4699999999999989</v>
      </c>
      <c r="M19" s="341">
        <f t="shared" si="7"/>
        <v>0.10102410923831873</v>
      </c>
      <c r="O19" s="339"/>
      <c r="P19" s="339"/>
      <c r="Q19" s="339"/>
      <c r="R19" s="339"/>
      <c r="S19" s="339"/>
      <c r="T19" s="339"/>
      <c r="U19" s="339"/>
      <c r="V19" s="339"/>
      <c r="W19" s="339"/>
      <c r="X19" s="339"/>
    </row>
    <row r="20" spans="1:24" ht="14" x14ac:dyDescent="0.3">
      <c r="A20" s="151">
        <f>IF(C20&lt;&gt;"",COUNTA($C$11:C20),"")</f>
        <v>10</v>
      </c>
      <c r="B20" s="151"/>
      <c r="C20" s="337">
        <v>800</v>
      </c>
      <c r="D20" s="338">
        <f t="shared" si="0"/>
        <v>48.13</v>
      </c>
      <c r="E20" s="338">
        <f t="shared" si="1"/>
        <v>58.35</v>
      </c>
      <c r="F20" s="338">
        <f t="shared" si="4"/>
        <v>106.48</v>
      </c>
      <c r="G20" s="358"/>
      <c r="H20" s="338">
        <f t="shared" si="2"/>
        <v>47.75</v>
      </c>
      <c r="I20" s="338">
        <f t="shared" si="3"/>
        <v>69.569999999999993</v>
      </c>
      <c r="J20" s="338">
        <f t="shared" si="5"/>
        <v>117.32</v>
      </c>
      <c r="K20" s="339"/>
      <c r="L20" s="340">
        <f t="shared" si="6"/>
        <v>10.839999999999989</v>
      </c>
      <c r="M20" s="341">
        <f t="shared" si="7"/>
        <v>0.10180315552216368</v>
      </c>
      <c r="O20" s="339"/>
      <c r="P20" s="339"/>
      <c r="Q20" s="339"/>
      <c r="R20" s="339"/>
      <c r="S20" s="339"/>
      <c r="T20" s="339"/>
      <c r="U20" s="339"/>
      <c r="V20" s="339"/>
      <c r="W20" s="339"/>
      <c r="X20" s="339"/>
    </row>
    <row r="21" spans="1:24" ht="14" x14ac:dyDescent="0.3">
      <c r="A21" s="151">
        <f>IF(C21&lt;&gt;"",COUNTA($C$11:C21),"")</f>
        <v>11</v>
      </c>
      <c r="B21" s="151"/>
      <c r="C21" s="337">
        <v>900</v>
      </c>
      <c r="D21" s="338">
        <f t="shared" si="0"/>
        <v>53.59</v>
      </c>
      <c r="E21" s="338">
        <f t="shared" si="1"/>
        <v>65.650000000000006</v>
      </c>
      <c r="F21" s="338">
        <f t="shared" si="4"/>
        <v>119.24000000000001</v>
      </c>
      <c r="G21" s="358"/>
      <c r="H21" s="338">
        <f t="shared" si="2"/>
        <v>53.16</v>
      </c>
      <c r="I21" s="338">
        <f t="shared" si="3"/>
        <v>78.27</v>
      </c>
      <c r="J21" s="338">
        <f t="shared" si="5"/>
        <v>131.43</v>
      </c>
      <c r="K21" s="339"/>
      <c r="L21" s="340">
        <f t="shared" si="6"/>
        <v>12.189999999999998</v>
      </c>
      <c r="M21" s="341">
        <f t="shared" si="7"/>
        <v>0.10223079503522305</v>
      </c>
      <c r="O21" s="339"/>
      <c r="P21" s="339"/>
      <c r="Q21" s="339"/>
      <c r="R21" s="339"/>
      <c r="S21" s="339"/>
      <c r="T21" s="339"/>
      <c r="U21" s="339"/>
      <c r="V21" s="339"/>
      <c r="W21" s="339"/>
      <c r="X21" s="339"/>
    </row>
    <row r="22" spans="1:24" ht="14" x14ac:dyDescent="0.3">
      <c r="A22" s="151">
        <f>IF(C22&lt;&gt;"",COUNTA($C$11:C22),"")</f>
        <v>12</v>
      </c>
      <c r="B22" s="151"/>
      <c r="C22" s="337">
        <v>1000</v>
      </c>
      <c r="D22" s="338">
        <f t="shared" si="0"/>
        <v>59.05</v>
      </c>
      <c r="E22" s="338">
        <f t="shared" si="1"/>
        <v>72.94</v>
      </c>
      <c r="F22" s="338">
        <f t="shared" si="4"/>
        <v>131.99</v>
      </c>
      <c r="G22" s="358"/>
      <c r="H22" s="338">
        <f t="shared" si="2"/>
        <v>58.57</v>
      </c>
      <c r="I22" s="338">
        <f t="shared" si="3"/>
        <v>86.96</v>
      </c>
      <c r="J22" s="338">
        <f t="shared" si="5"/>
        <v>145.53</v>
      </c>
      <c r="K22" s="339"/>
      <c r="L22" s="340">
        <f t="shared" si="6"/>
        <v>13.539999999999992</v>
      </c>
      <c r="M22" s="341">
        <f t="shared" si="7"/>
        <v>0.1025835290552314</v>
      </c>
      <c r="O22" s="339"/>
      <c r="P22" s="339"/>
      <c r="Q22" s="339"/>
      <c r="R22" s="339"/>
      <c r="S22" s="339"/>
      <c r="T22" s="339"/>
      <c r="U22" s="339"/>
      <c r="V22" s="339"/>
      <c r="W22" s="339"/>
      <c r="X22" s="339"/>
    </row>
    <row r="23" spans="1:24" ht="14" x14ac:dyDescent="0.3">
      <c r="A23" s="151">
        <f>IF(C23&lt;&gt;"",COUNTA($C$11:C23),"")</f>
        <v>13</v>
      </c>
      <c r="B23" s="151"/>
      <c r="C23" s="337">
        <v>1250</v>
      </c>
      <c r="D23" s="338">
        <f t="shared" si="0"/>
        <v>72.69</v>
      </c>
      <c r="E23" s="338">
        <f t="shared" si="1"/>
        <v>91.18</v>
      </c>
      <c r="F23" s="338">
        <f t="shared" si="4"/>
        <v>163.87</v>
      </c>
      <c r="G23" s="358"/>
      <c r="H23" s="338">
        <f t="shared" si="2"/>
        <v>72.09</v>
      </c>
      <c r="I23" s="338">
        <f t="shared" si="3"/>
        <v>108.7</v>
      </c>
      <c r="J23" s="338">
        <f t="shared" si="5"/>
        <v>180.79000000000002</v>
      </c>
      <c r="K23" s="339"/>
      <c r="L23" s="340">
        <f t="shared" si="6"/>
        <v>16.920000000000016</v>
      </c>
      <c r="M23" s="341">
        <f t="shared" si="7"/>
        <v>0.10325257826325755</v>
      </c>
      <c r="O23" s="339"/>
      <c r="P23" s="339"/>
      <c r="Q23" s="339"/>
      <c r="R23" s="339"/>
      <c r="S23" s="339"/>
      <c r="T23" s="339"/>
      <c r="U23" s="339"/>
      <c r="V23" s="339"/>
      <c r="W23" s="339"/>
      <c r="X23" s="339"/>
    </row>
    <row r="24" spans="1:24" ht="14" x14ac:dyDescent="0.3">
      <c r="A24" s="151">
        <f>IF(C24&lt;&gt;"",COUNTA($C$11:C24),"")</f>
        <v>14</v>
      </c>
      <c r="B24" s="151"/>
      <c r="C24" s="337">
        <v>1500</v>
      </c>
      <c r="D24" s="338">
        <f t="shared" si="0"/>
        <v>86.33</v>
      </c>
      <c r="E24" s="338">
        <f t="shared" si="1"/>
        <v>109.41</v>
      </c>
      <c r="F24" s="338">
        <f t="shared" si="4"/>
        <v>195.74</v>
      </c>
      <c r="G24" s="358"/>
      <c r="H24" s="338">
        <f t="shared" si="2"/>
        <v>85.61</v>
      </c>
      <c r="I24" s="338">
        <f t="shared" si="3"/>
        <v>130.44</v>
      </c>
      <c r="J24" s="338">
        <f t="shared" si="5"/>
        <v>216.05</v>
      </c>
      <c r="K24" s="339"/>
      <c r="L24" s="340">
        <f t="shared" si="6"/>
        <v>20.310000000000002</v>
      </c>
      <c r="M24" s="341">
        <f t="shared" si="7"/>
        <v>0.10376008991519363</v>
      </c>
      <c r="O24" s="339"/>
      <c r="P24" s="339"/>
      <c r="Q24" s="339"/>
      <c r="R24" s="339"/>
      <c r="S24" s="339"/>
      <c r="T24" s="339"/>
      <c r="U24" s="339"/>
      <c r="V24" s="339"/>
      <c r="W24" s="339"/>
      <c r="X24" s="339"/>
    </row>
    <row r="25" spans="1:24" ht="14" x14ac:dyDescent="0.3">
      <c r="A25" s="151">
        <f>IF(C25&lt;&gt;"",COUNTA($C$11:C25),"")</f>
        <v>15</v>
      </c>
      <c r="B25" s="151"/>
      <c r="C25" s="337">
        <v>2000</v>
      </c>
      <c r="D25" s="338">
        <f t="shared" si="0"/>
        <v>113.61</v>
      </c>
      <c r="E25" s="338">
        <f t="shared" si="1"/>
        <v>145.88</v>
      </c>
      <c r="F25" s="338">
        <f t="shared" si="4"/>
        <v>259.49</v>
      </c>
      <c r="G25" s="358"/>
      <c r="H25" s="338">
        <f t="shared" si="2"/>
        <v>112.65</v>
      </c>
      <c r="I25" s="338">
        <f t="shared" si="3"/>
        <v>173.93</v>
      </c>
      <c r="J25" s="338">
        <f t="shared" si="5"/>
        <v>286.58000000000004</v>
      </c>
      <c r="K25" s="339"/>
      <c r="L25" s="340">
        <f t="shared" si="6"/>
        <v>27.090000000000032</v>
      </c>
      <c r="M25" s="341">
        <f t="shared" si="7"/>
        <v>0.10439708659293241</v>
      </c>
      <c r="O25" s="339"/>
      <c r="P25" s="339"/>
      <c r="Q25" s="339"/>
      <c r="R25" s="339"/>
      <c r="S25" s="339"/>
      <c r="T25" s="339"/>
      <c r="U25" s="339"/>
      <c r="V25" s="339"/>
      <c r="W25" s="339"/>
      <c r="X25" s="339"/>
    </row>
    <row r="26" spans="1:24" ht="14" x14ac:dyDescent="0.3">
      <c r="A26" s="151">
        <f>IF(C26&lt;&gt;"",COUNTA($C$11:C26),"")</f>
        <v>16</v>
      </c>
      <c r="B26" s="151" t="s">
        <v>554</v>
      </c>
      <c r="C26" s="337">
        <v>874</v>
      </c>
      <c r="D26" s="338">
        <f t="shared" si="0"/>
        <v>52.17</v>
      </c>
      <c r="E26" s="338">
        <f t="shared" si="1"/>
        <v>63.75</v>
      </c>
      <c r="F26" s="338">
        <f t="shared" si="4"/>
        <v>115.92</v>
      </c>
      <c r="G26" s="358"/>
      <c r="H26" s="338">
        <f t="shared" si="2"/>
        <v>51.75</v>
      </c>
      <c r="I26" s="338">
        <f t="shared" si="3"/>
        <v>76.010000000000005</v>
      </c>
      <c r="J26" s="338">
        <f t="shared" si="5"/>
        <v>127.76</v>
      </c>
      <c r="K26" s="339"/>
      <c r="L26" s="340">
        <f t="shared" si="6"/>
        <v>11.840000000000003</v>
      </c>
      <c r="M26" s="341">
        <f t="shared" si="7"/>
        <v>0.1021394064872326</v>
      </c>
      <c r="O26" s="339"/>
      <c r="P26" s="339"/>
      <c r="Q26" s="339"/>
      <c r="R26" s="339"/>
      <c r="S26" s="339"/>
      <c r="T26" s="339"/>
      <c r="U26" s="339"/>
      <c r="V26" s="339"/>
      <c r="W26" s="339"/>
      <c r="X26" s="339"/>
    </row>
    <row r="27" spans="1:24" ht="14" x14ac:dyDescent="0.3">
      <c r="A27" s="151" t="str">
        <f>IF(C27&lt;&gt;"",COUNTA($C$11:C27),"")</f>
        <v/>
      </c>
      <c r="B27" s="151"/>
      <c r="C27" s="343"/>
      <c r="D27" s="344"/>
      <c r="E27" s="344"/>
      <c r="F27" s="344"/>
      <c r="G27" s="359"/>
      <c r="H27" s="344"/>
      <c r="I27" s="344"/>
      <c r="J27" s="344"/>
      <c r="K27" s="345"/>
      <c r="L27" s="345"/>
    </row>
    <row r="28" spans="1:24" ht="14" x14ac:dyDescent="0.3">
      <c r="A28" s="151" t="str">
        <f>IF(C28&lt;&gt;"",COUNTA($C$11:C28),"")</f>
        <v/>
      </c>
      <c r="B28" s="151"/>
      <c r="C28" s="343"/>
      <c r="D28" s="344"/>
      <c r="E28" s="344"/>
      <c r="F28" s="344"/>
      <c r="G28" s="359"/>
      <c r="H28" s="344"/>
      <c r="I28" s="344"/>
      <c r="J28" s="344"/>
      <c r="K28" s="345"/>
      <c r="L28" s="345"/>
    </row>
    <row r="29" spans="1:24" ht="14" x14ac:dyDescent="0.3">
      <c r="A29" s="151">
        <f>IF(C29&lt;&gt;"",COUNTA($C$11:C29),"")</f>
        <v>17</v>
      </c>
      <c r="B29" s="151"/>
      <c r="C29" s="293" t="s">
        <v>46</v>
      </c>
      <c r="D29" s="339"/>
      <c r="E29" s="339"/>
      <c r="F29" s="347" t="str">
        <f>+'Bill_EMA R1'!F29</f>
        <v>Current</v>
      </c>
      <c r="G29" s="360"/>
      <c r="H29" s="347" t="str">
        <f>+'Bill_EMA R1'!H29</f>
        <v>Proposed</v>
      </c>
      <c r="I29" s="348"/>
      <c r="J29" s="339"/>
      <c r="K29" s="339"/>
      <c r="L29" s="339"/>
    </row>
    <row r="30" spans="1:24" ht="14" x14ac:dyDescent="0.3">
      <c r="A30" s="151">
        <f>IF(C30&lt;&gt;"",COUNTA($C$11:C30),"")</f>
        <v>18</v>
      </c>
      <c r="B30" s="151"/>
      <c r="C30" s="293" t="s">
        <v>46</v>
      </c>
      <c r="D30" s="339"/>
      <c r="E30" s="339"/>
      <c r="F30" s="349" t="s">
        <v>239</v>
      </c>
      <c r="G30" s="360"/>
      <c r="H30" s="349" t="s">
        <v>239</v>
      </c>
      <c r="I30" s="349" t="s">
        <v>65</v>
      </c>
      <c r="J30" s="339"/>
      <c r="K30" s="339"/>
      <c r="L30" s="339"/>
    </row>
    <row r="31" spans="1:24" ht="14" x14ac:dyDescent="0.3">
      <c r="A31" s="151">
        <f>IF(C31&lt;&gt;"",COUNTA($C$11:C31),"")</f>
        <v>19</v>
      </c>
      <c r="B31" s="151"/>
      <c r="C31" s="330" t="str">
        <f>+'Bill_EMA R2'!C31</f>
        <v>Customer Charge</v>
      </c>
      <c r="D31" s="339"/>
      <c r="E31" s="339"/>
      <c r="F31" s="350">
        <v>7</v>
      </c>
      <c r="G31" s="361"/>
      <c r="H31" s="350">
        <f>+F31</f>
        <v>7</v>
      </c>
      <c r="I31" s="351">
        <f>+H31-F31</f>
        <v>0</v>
      </c>
      <c r="J31" s="339"/>
      <c r="K31" s="339"/>
      <c r="L31" s="339"/>
    </row>
    <row r="32" spans="1:24" ht="14" x14ac:dyDescent="0.3">
      <c r="A32" s="151">
        <f>IF(C32&lt;&gt;"",COUNTA($C$11:C32),"")</f>
        <v>20</v>
      </c>
      <c r="B32" s="151"/>
      <c r="C32" s="330" t="str">
        <f>+'Bill_EMA R2'!C32</f>
        <v>Distribution Energy</v>
      </c>
      <c r="D32" s="339"/>
      <c r="E32" s="339"/>
      <c r="F32" s="277">
        <v>3.8350000000000002E-2</v>
      </c>
      <c r="G32" s="362"/>
      <c r="H32" s="277">
        <v>3.9940000000000003E-2</v>
      </c>
      <c r="I32" s="354">
        <f t="shared" ref="I32:I53" si="8">+H32-F32</f>
        <v>1.5900000000000011E-3</v>
      </c>
      <c r="J32" s="339"/>
      <c r="K32" s="339"/>
      <c r="L32" s="339"/>
    </row>
    <row r="33" spans="1:12" ht="14" x14ac:dyDescent="0.3">
      <c r="A33" s="151">
        <f>IF(C33&lt;&gt;"",COUNTA($C$11:C33),"")</f>
        <v>21</v>
      </c>
      <c r="B33" s="151"/>
      <c r="C33" s="330" t="str">
        <f>+'Bill_EMA R2'!C33</f>
        <v>Revenue Decoupling</v>
      </c>
      <c r="D33" s="339"/>
      <c r="E33" s="339"/>
      <c r="F33" s="277">
        <v>0</v>
      </c>
      <c r="G33" s="277"/>
      <c r="H33" s="277">
        <v>-4.6000000000000001E-4</v>
      </c>
      <c r="I33" s="354">
        <f t="shared" si="8"/>
        <v>-4.6000000000000001E-4</v>
      </c>
      <c r="J33" s="339"/>
      <c r="K33" s="339"/>
      <c r="L33" s="339"/>
    </row>
    <row r="34" spans="1:12" ht="14" x14ac:dyDescent="0.3">
      <c r="A34" s="151">
        <f>IF(C34&lt;&gt;"",COUNTA($C$11:C34),"")</f>
        <v>22</v>
      </c>
      <c r="B34" s="151"/>
      <c r="C34" s="330" t="str">
        <f>+'Bill_EMA R2'!C34</f>
        <v>Residential Assistance Adjustment Factor</v>
      </c>
      <c r="D34" s="339"/>
      <c r="E34" s="339"/>
      <c r="F34" s="277">
        <v>2.9499999999999999E-3</v>
      </c>
      <c r="G34" s="277"/>
      <c r="H34" s="277">
        <v>3.9199999999999999E-3</v>
      </c>
      <c r="I34" s="354">
        <f t="shared" si="8"/>
        <v>9.6999999999999994E-4</v>
      </c>
      <c r="J34" s="339"/>
      <c r="K34" s="339"/>
      <c r="L34" s="339"/>
    </row>
    <row r="35" spans="1:12" ht="14" x14ac:dyDescent="0.3">
      <c r="A35" s="151">
        <f>IF(C35&lt;&gt;"",COUNTA($C$11:C35),"")</f>
        <v>23</v>
      </c>
      <c r="B35" s="151"/>
      <c r="C35" s="330" t="str">
        <f>+'Bill_EMA R2'!C35</f>
        <v>Pension Adjustment Factor</v>
      </c>
      <c r="D35" s="339"/>
      <c r="E35" s="339"/>
      <c r="F35" s="277">
        <v>-1E-4</v>
      </c>
      <c r="G35" s="277"/>
      <c r="H35" s="277">
        <v>9.2000000000000003E-4</v>
      </c>
      <c r="I35" s="354">
        <f t="shared" si="8"/>
        <v>1.0200000000000001E-3</v>
      </c>
      <c r="J35" s="339"/>
      <c r="K35" s="339"/>
      <c r="L35" s="339"/>
    </row>
    <row r="36" spans="1:12" ht="14" x14ac:dyDescent="0.3">
      <c r="A36" s="151">
        <f>IF(C36&lt;&gt;"",COUNTA($C$11:C36),"")</f>
        <v>24</v>
      </c>
      <c r="B36" s="151"/>
      <c r="C36" s="330" t="str">
        <f>+'Bill_EMA R2'!C36</f>
        <v>Net Metering Recovery Surcharge</v>
      </c>
      <c r="D36" s="339"/>
      <c r="E36" s="339"/>
      <c r="F36" s="277">
        <v>5.7999999999999996E-3</v>
      </c>
      <c r="G36" s="277"/>
      <c r="H36" s="277">
        <v>5.11E-3</v>
      </c>
      <c r="I36" s="354">
        <f t="shared" si="8"/>
        <v>-6.8999999999999964E-4</v>
      </c>
      <c r="J36" s="339"/>
      <c r="K36" s="339"/>
      <c r="L36" s="339"/>
    </row>
    <row r="37" spans="1:12" ht="14" x14ac:dyDescent="0.3">
      <c r="A37" s="151">
        <f>IF(C37&lt;&gt;"",COUNTA($C$11:C37),"")</f>
        <v>25</v>
      </c>
      <c r="B37" s="151"/>
      <c r="C37" s="330" t="str">
        <f>+'Bill_EMA R2'!C37</f>
        <v>Long Term Renewable Contract Adjustment</v>
      </c>
      <c r="D37" s="339"/>
      <c r="E37" s="339"/>
      <c r="F37" s="277">
        <v>2.3600000000000001E-3</v>
      </c>
      <c r="G37" s="277"/>
      <c r="H37" s="277">
        <v>1.74E-3</v>
      </c>
      <c r="I37" s="354">
        <f t="shared" si="8"/>
        <v>-6.2000000000000011E-4</v>
      </c>
      <c r="J37" s="339"/>
      <c r="K37" s="339"/>
      <c r="L37" s="339"/>
    </row>
    <row r="38" spans="1:12" ht="14" x14ac:dyDescent="0.3">
      <c r="A38" s="151">
        <f>IF(C38&lt;&gt;"",COUNTA($C$11:C38),"")</f>
        <v>26</v>
      </c>
      <c r="B38" s="151"/>
      <c r="C38" s="330" t="str">
        <f>+'Bill_EMA R2'!C38</f>
        <v>AG Consulting Expense</v>
      </c>
      <c r="D38" s="339"/>
      <c r="E38" s="339"/>
      <c r="F38" s="277">
        <v>3.0000000000000001E-5</v>
      </c>
      <c r="G38" s="277"/>
      <c r="H38" s="277">
        <v>1.0000000000000001E-5</v>
      </c>
      <c r="I38" s="354">
        <f t="shared" si="8"/>
        <v>-1.9999999999999998E-5</v>
      </c>
      <c r="J38" s="339"/>
      <c r="K38" s="339"/>
      <c r="L38" s="339"/>
    </row>
    <row r="39" spans="1:12" ht="14" x14ac:dyDescent="0.3">
      <c r="A39" s="151">
        <f>IF(C39&lt;&gt;"",COUNTA($C$11:C39),"")</f>
        <v>27</v>
      </c>
      <c r="B39" s="151"/>
      <c r="C39" s="330" t="str">
        <f>+'Bill_EMA R2'!C39</f>
        <v>Storm Cost Recovery Adjustment Factor</v>
      </c>
      <c r="D39" s="339"/>
      <c r="E39" s="339"/>
      <c r="F39" s="277">
        <v>1.82E-3</v>
      </c>
      <c r="G39" s="277"/>
      <c r="H39" s="277">
        <v>2.96E-3</v>
      </c>
      <c r="I39" s="354">
        <f t="shared" si="8"/>
        <v>1.14E-3</v>
      </c>
      <c r="J39" s="339"/>
      <c r="K39" s="339"/>
      <c r="L39" s="339"/>
    </row>
    <row r="40" spans="1:12" ht="14" x14ac:dyDescent="0.3">
      <c r="A40" s="151">
        <f>IF(C40&lt;&gt;"",COUNTA($C$11:C40),"")</f>
        <v>28</v>
      </c>
      <c r="B40" s="151"/>
      <c r="C40" s="330" t="str">
        <f>+'Bill_EMA R2'!C40</f>
        <v>Storm Reserve Adjustment</v>
      </c>
      <c r="D40" s="339"/>
      <c r="E40" s="339"/>
      <c r="F40" s="277">
        <v>0</v>
      </c>
      <c r="G40" s="277"/>
      <c r="H40" s="277">
        <v>0</v>
      </c>
      <c r="I40" s="354">
        <f t="shared" si="8"/>
        <v>0</v>
      </c>
      <c r="J40" s="339"/>
      <c r="K40" s="339"/>
      <c r="L40" s="339"/>
    </row>
    <row r="41" spans="1:12" ht="14" x14ac:dyDescent="0.3">
      <c r="A41" s="151">
        <f>IF(C41&lt;&gt;"",COUNTA($C$11:C41),"")</f>
        <v>29</v>
      </c>
      <c r="B41" s="151"/>
      <c r="C41" s="330" t="str">
        <f>+'Bill_EMA R2'!C41</f>
        <v>Basic Service Cost True Up Factor</v>
      </c>
      <c r="D41" s="339"/>
      <c r="E41" s="339"/>
      <c r="F41" s="277">
        <v>1.57E-3</v>
      </c>
      <c r="G41" s="277"/>
      <c r="H41" s="277">
        <v>-1.9000000000000001E-4</v>
      </c>
      <c r="I41" s="354">
        <f t="shared" si="8"/>
        <v>-1.7600000000000001E-3</v>
      </c>
      <c r="J41" s="339"/>
      <c r="K41" s="339"/>
      <c r="L41" s="339"/>
    </row>
    <row r="42" spans="1:12" ht="14" x14ac:dyDescent="0.3">
      <c r="A42" s="151">
        <f>IF(C42&lt;&gt;"",COUNTA($C$11:C42),"")</f>
        <v>30</v>
      </c>
      <c r="B42" s="151"/>
      <c r="C42" s="330" t="str">
        <f>+'Bill_EMA R2'!C42</f>
        <v>Solar Program Cost Adjustment Factor</v>
      </c>
      <c r="D42" s="339"/>
      <c r="E42" s="339"/>
      <c r="F42" s="277">
        <v>0</v>
      </c>
      <c r="G42" s="277"/>
      <c r="H42" s="277">
        <v>3.0000000000000001E-5</v>
      </c>
      <c r="I42" s="354">
        <f t="shared" si="8"/>
        <v>3.0000000000000001E-5</v>
      </c>
      <c r="J42" s="339"/>
      <c r="K42" s="339"/>
      <c r="L42" s="339"/>
    </row>
    <row r="43" spans="1:12" ht="14" x14ac:dyDescent="0.3">
      <c r="A43" s="151">
        <f>IF(C43&lt;&gt;"",COUNTA($C$11:C43),"")</f>
        <v>31</v>
      </c>
      <c r="B43" s="151"/>
      <c r="C43" s="330" t="str">
        <f>+'Bill_EMA R2'!C43</f>
        <v>Solar Expansion Cost Recovery Factor</v>
      </c>
      <c r="D43" s="339"/>
      <c r="E43" s="339"/>
      <c r="F43" s="277">
        <v>0</v>
      </c>
      <c r="G43" s="277"/>
      <c r="H43" s="277">
        <v>6.0999999999999997E-4</v>
      </c>
      <c r="I43" s="354">
        <f t="shared" si="8"/>
        <v>6.0999999999999997E-4</v>
      </c>
      <c r="J43" s="339"/>
      <c r="K43" s="339"/>
      <c r="L43" s="339"/>
    </row>
    <row r="44" spans="1:12" ht="14" x14ac:dyDescent="0.3">
      <c r="A44" s="151">
        <f>IF(C44&lt;&gt;"",COUNTA($C$11:C44),"")</f>
        <v>32</v>
      </c>
      <c r="B44" s="151"/>
      <c r="C44" s="330" t="str">
        <f>+'Bill_EMA R2'!C44</f>
        <v>Vegetation Management</v>
      </c>
      <c r="D44" s="339"/>
      <c r="E44" s="339"/>
      <c r="F44" s="277">
        <v>0</v>
      </c>
      <c r="G44" s="277"/>
      <c r="H44" s="277">
        <v>1.64E-3</v>
      </c>
      <c r="I44" s="354">
        <f t="shared" si="8"/>
        <v>1.64E-3</v>
      </c>
      <c r="J44" s="339"/>
      <c r="K44" s="339"/>
      <c r="L44" s="339"/>
    </row>
    <row r="45" spans="1:12" ht="14" x14ac:dyDescent="0.3">
      <c r="A45" s="151">
        <f>IF(C45&lt;&gt;"",COUNTA($C$11:C45),"")</f>
        <v>33</v>
      </c>
      <c r="B45" s="151"/>
      <c r="C45" s="330" t="str">
        <f>+'Bill_EMA R2'!C45</f>
        <v>Solar Massachusetts Renewable Target</v>
      </c>
      <c r="D45" s="339"/>
      <c r="E45" s="339"/>
      <c r="F45" s="277">
        <v>0</v>
      </c>
      <c r="G45" s="277"/>
      <c r="H45" s="277">
        <v>7.1000000000000002E-4</v>
      </c>
      <c r="I45" s="354">
        <f t="shared" si="8"/>
        <v>7.1000000000000002E-4</v>
      </c>
      <c r="J45" s="339"/>
      <c r="K45" s="339"/>
      <c r="L45" s="339"/>
    </row>
    <row r="46" spans="1:12" ht="14" x14ac:dyDescent="0.3">
      <c r="A46" s="151">
        <f>IF(C46&lt;&gt;"",COUNTA($C$11:C46),"")</f>
        <v>34</v>
      </c>
      <c r="B46" s="151"/>
      <c r="C46" s="330" t="str">
        <f>+'Bill_EMA R2'!C46</f>
        <v>Tax Act Credit Factor</v>
      </c>
      <c r="D46" s="339"/>
      <c r="E46" s="339"/>
      <c r="F46" s="277">
        <v>0</v>
      </c>
      <c r="G46" s="277"/>
      <c r="H46" s="277">
        <v>-1.08E-3</v>
      </c>
      <c r="I46" s="354">
        <f t="shared" si="8"/>
        <v>-1.08E-3</v>
      </c>
      <c r="J46" s="339"/>
      <c r="K46" s="339"/>
      <c r="L46" s="339"/>
    </row>
    <row r="47" spans="1:12" ht="14" x14ac:dyDescent="0.3">
      <c r="A47" s="151">
        <f>IF(C47&lt;&gt;"",COUNTA($C$11:C47),"")</f>
        <v>35</v>
      </c>
      <c r="B47" s="151"/>
      <c r="C47" s="330" t="str">
        <f>+'Bill_EMA R2'!C47</f>
        <v>Transition</v>
      </c>
      <c r="D47" s="339"/>
      <c r="E47" s="339"/>
      <c r="F47" s="277">
        <v>-6.0999999999999997E-4</v>
      </c>
      <c r="G47" s="277"/>
      <c r="H47" s="277">
        <v>-5.1999999999999995E-4</v>
      </c>
      <c r="I47" s="354">
        <f t="shared" si="8"/>
        <v>9.0000000000000019E-5</v>
      </c>
      <c r="J47" s="339"/>
      <c r="K47" s="339"/>
      <c r="L47" s="339"/>
    </row>
    <row r="48" spans="1:12" ht="14" x14ac:dyDescent="0.3">
      <c r="A48" s="151">
        <f>IF(C48&lt;&gt;"",COUNTA($C$11:C48),"")</f>
        <v>36</v>
      </c>
      <c r="B48" s="151"/>
      <c r="C48" s="330" t="str">
        <f>+'Bill_EMA R2'!C48</f>
        <v>Transmission Energy</v>
      </c>
      <c r="D48" s="339"/>
      <c r="E48" s="339"/>
      <c r="F48" s="277">
        <v>2.896E-2</v>
      </c>
      <c r="G48" s="277"/>
      <c r="H48" s="277">
        <v>2.504E-2</v>
      </c>
      <c r="I48" s="354">
        <f t="shared" si="8"/>
        <v>-3.9199999999999999E-3</v>
      </c>
      <c r="J48" s="339"/>
      <c r="K48" s="339"/>
      <c r="L48" s="339"/>
    </row>
    <row r="49" spans="1:12" ht="14" x14ac:dyDescent="0.3">
      <c r="A49" s="151">
        <f>IF(C49&lt;&gt;"",COUNTA($C$11:C49),"")</f>
        <v>37</v>
      </c>
      <c r="B49" s="151"/>
      <c r="C49" s="330" t="str">
        <f>+'Bill_EMA R2'!C49</f>
        <v>Energy Efficiency Reconciliation Factor</v>
      </c>
      <c r="D49" s="339"/>
      <c r="E49" s="339"/>
      <c r="F49" s="277">
        <v>1.1299999999999999E-3</v>
      </c>
      <c r="G49" s="277"/>
      <c r="H49" s="277">
        <v>1.1299999999999999E-3</v>
      </c>
      <c r="I49" s="354">
        <f t="shared" si="8"/>
        <v>0</v>
      </c>
      <c r="J49" s="339"/>
      <c r="K49" s="339"/>
      <c r="L49" s="339"/>
    </row>
    <row r="50" spans="1:12" ht="14" x14ac:dyDescent="0.3">
      <c r="A50" s="151">
        <f>IF(C50&lt;&gt;"",COUNTA($C$11:C50),"")</f>
        <v>38</v>
      </c>
      <c r="B50" s="151"/>
      <c r="C50" s="330" t="str">
        <f>+'Bill_EMA R2'!C50</f>
        <v>System Benefits Charge</v>
      </c>
      <c r="D50" s="339"/>
      <c r="E50" s="339"/>
      <c r="F50" s="277">
        <v>2.5000000000000001E-3</v>
      </c>
      <c r="G50" s="277"/>
      <c r="H50" s="277">
        <f>+F50</f>
        <v>2.5000000000000001E-3</v>
      </c>
      <c r="I50" s="354">
        <f t="shared" si="8"/>
        <v>0</v>
      </c>
      <c r="J50" s="339"/>
      <c r="K50" s="339"/>
      <c r="L50" s="339"/>
    </row>
    <row r="51" spans="1:12" ht="14" x14ac:dyDescent="0.3">
      <c r="A51" s="151">
        <f>IF(C51&lt;&gt;"",COUNTA($C$11:C51),"")</f>
        <v>39</v>
      </c>
      <c r="B51" s="151"/>
      <c r="C51" s="330" t="str">
        <f>+'Bill_EMA R2'!C51</f>
        <v>Renewable Energy Charge</v>
      </c>
      <c r="D51" s="339"/>
      <c r="E51" s="339"/>
      <c r="F51" s="277">
        <v>5.0000000000000001E-4</v>
      </c>
      <c r="G51" s="277"/>
      <c r="H51" s="277">
        <f>+F51</f>
        <v>5.0000000000000001E-4</v>
      </c>
      <c r="I51" s="354">
        <f t="shared" si="8"/>
        <v>0</v>
      </c>
      <c r="J51" s="339"/>
      <c r="K51" s="339"/>
      <c r="L51" s="339"/>
    </row>
    <row r="52" spans="1:12" ht="14" x14ac:dyDescent="0.3">
      <c r="A52" s="151">
        <f>IF(C52&lt;&gt;"",COUNTA($C$11:C52),"")</f>
        <v>40</v>
      </c>
      <c r="B52" s="151"/>
      <c r="C52" s="330" t="str">
        <f>+'Bill_EMA R2'!C52</f>
        <v>Basic Service Charge</v>
      </c>
      <c r="D52" s="339"/>
      <c r="E52" s="339"/>
      <c r="F52" s="277">
        <v>0.11397</v>
      </c>
      <c r="G52" s="277"/>
      <c r="H52" s="277">
        <v>0.13588</v>
      </c>
      <c r="I52" s="354">
        <f t="shared" si="8"/>
        <v>2.1909999999999999E-2</v>
      </c>
      <c r="J52" s="339"/>
      <c r="K52" s="339"/>
      <c r="L52" s="339"/>
    </row>
    <row r="53" spans="1:12" ht="14" x14ac:dyDescent="0.3">
      <c r="A53" s="151">
        <f>IF(C53&lt;&gt;"",COUNTA($C$11:C53),"")</f>
        <v>41</v>
      </c>
      <c r="B53" s="151"/>
      <c r="C53" s="330" t="str">
        <f>+'Bill_EMA R2'!C53</f>
        <v>Low Income Discount</v>
      </c>
      <c r="D53" s="339"/>
      <c r="E53" s="339"/>
      <c r="F53" s="302">
        <v>0.36</v>
      </c>
      <c r="G53" s="302"/>
      <c r="H53" s="302">
        <f>+F53</f>
        <v>0.36</v>
      </c>
      <c r="I53" s="302">
        <f t="shared" si="8"/>
        <v>0</v>
      </c>
      <c r="J53" s="339"/>
      <c r="K53" s="339"/>
      <c r="L53" s="339"/>
    </row>
    <row r="54" spans="1:12" ht="14" x14ac:dyDescent="0.3">
      <c r="A54" s="151"/>
      <c r="B54" s="151"/>
      <c r="C54" s="330"/>
      <c r="D54" s="339"/>
      <c r="E54" s="339"/>
      <c r="F54" s="356"/>
      <c r="G54" s="356"/>
      <c r="H54" s="356"/>
      <c r="I54" s="356"/>
      <c r="J54" s="339"/>
      <c r="K54" s="339"/>
      <c r="L54" s="339"/>
    </row>
    <row r="55" spans="1:12" ht="14" x14ac:dyDescent="0.3">
      <c r="A55" s="151"/>
      <c r="B55" s="151"/>
      <c r="D55" s="339"/>
      <c r="E55" s="339"/>
      <c r="F55" s="356"/>
      <c r="G55" s="356"/>
      <c r="H55" s="356"/>
      <c r="I55" s="356"/>
      <c r="J55" s="339"/>
      <c r="K55" s="339"/>
      <c r="L55" s="339"/>
    </row>
    <row r="56" spans="1:12" ht="14" x14ac:dyDescent="0.3">
      <c r="A56" s="151"/>
      <c r="B56" s="151"/>
      <c r="C56" s="335" t="str">
        <f>'Bill_EMA R1'!C55</f>
        <v>Total Energy</v>
      </c>
      <c r="D56" s="339"/>
      <c r="E56" s="339"/>
      <c r="F56" s="356">
        <f>SUM(F32:F51)</f>
        <v>8.5260000000000016E-2</v>
      </c>
      <c r="G56" s="356"/>
      <c r="H56" s="356">
        <f>SUM(H32:H51)</f>
        <v>8.4510000000000016E-2</v>
      </c>
      <c r="I56" s="354">
        <f>SUM(I32:I51)</f>
        <v>-7.4999999999999893E-4</v>
      </c>
      <c r="J56" s="339"/>
      <c r="K56" s="339"/>
      <c r="L56" s="339"/>
    </row>
    <row r="57" spans="1:12" ht="14" x14ac:dyDescent="0.3">
      <c r="C57" s="335" t="str">
        <f>'Bill_EMA R1'!C56</f>
        <v>Total Basic Service</v>
      </c>
      <c r="F57" s="363">
        <f>F52</f>
        <v>0.11397</v>
      </c>
      <c r="H57" s="363">
        <f>H52</f>
        <v>0.13588</v>
      </c>
      <c r="I57" s="354">
        <f>I52</f>
        <v>2.1909999999999999E-2</v>
      </c>
    </row>
  </sheetData>
  <mergeCells count="7">
    <mergeCell ref="A4:M4"/>
    <mergeCell ref="A5:M5"/>
    <mergeCell ref="A6:M6"/>
    <mergeCell ref="A8:M8"/>
    <mergeCell ref="D11:F11"/>
    <mergeCell ref="H11:J11"/>
    <mergeCell ref="L11:M11"/>
  </mergeCells>
  <pageMargins left="0.7" right="0.7" top="0.75" bottom="0.75" header="0.3" footer="0.3"/>
  <pageSetup scale="66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DFC08-16B1-4717-8A77-E1960EC62C6B}">
  <sheetPr>
    <tabColor theme="3" tint="0.59999389629810485"/>
    <pageSetUpPr fitToPage="1"/>
  </sheetPr>
  <dimension ref="A4:X57"/>
  <sheetViews>
    <sheetView zoomScaleNormal="100" workbookViewId="0"/>
  </sheetViews>
  <sheetFormatPr defaultRowHeight="12.5" x14ac:dyDescent="0.25"/>
  <cols>
    <col min="1" max="1" width="4" bestFit="1" customWidth="1"/>
    <col min="2" max="2" width="5.54296875" bestFit="1" customWidth="1"/>
    <col min="3" max="3" width="12" customWidth="1"/>
    <col min="4" max="6" width="14.7265625" customWidth="1"/>
    <col min="7" max="7" width="2" customWidth="1"/>
    <col min="8" max="10" width="14.7265625" customWidth="1"/>
    <col min="11" max="11" width="2" customWidth="1"/>
    <col min="12" max="13" width="12" customWidth="1"/>
    <col min="15" max="15" width="10.81640625" bestFit="1" customWidth="1"/>
    <col min="16" max="18" width="10.1796875" bestFit="1" customWidth="1"/>
    <col min="19" max="19" width="8.453125" bestFit="1" customWidth="1"/>
    <col min="20" max="20" width="10.81640625" bestFit="1" customWidth="1"/>
    <col min="21" max="23" width="10.1796875" bestFit="1" customWidth="1"/>
    <col min="24" max="24" width="8.453125" bestFit="1" customWidth="1"/>
  </cols>
  <sheetData>
    <row r="4" spans="1:24" ht="14" x14ac:dyDescent="0.3">
      <c r="A4" s="757" t="s">
        <v>344</v>
      </c>
      <c r="B4" s="757"/>
      <c r="C4" s="757"/>
      <c r="D4" s="757"/>
      <c r="E4" s="757"/>
      <c r="F4" s="757"/>
      <c r="G4" s="757"/>
      <c r="H4" s="757"/>
      <c r="I4" s="757"/>
      <c r="J4" s="757"/>
      <c r="K4" s="757"/>
      <c r="L4" s="757"/>
      <c r="M4" s="757"/>
    </row>
    <row r="5" spans="1:24" ht="14" x14ac:dyDescent="0.3">
      <c r="A5" s="757" t="s">
        <v>547</v>
      </c>
      <c r="B5" s="757"/>
      <c r="C5" s="757"/>
      <c r="D5" s="757"/>
      <c r="E5" s="757"/>
      <c r="F5" s="757"/>
      <c r="G5" s="757"/>
      <c r="H5" s="757"/>
      <c r="I5" s="757"/>
      <c r="J5" s="757"/>
      <c r="K5" s="757"/>
      <c r="L5" s="757"/>
      <c r="M5" s="757"/>
      <c r="N5" s="328"/>
    </row>
    <row r="6" spans="1:24" ht="14" x14ac:dyDescent="0.3">
      <c r="A6" s="757" t="str">
        <f>'Bill_EMA R1'!A6:M6</f>
        <v>Proposed January 1, 2019</v>
      </c>
      <c r="B6" s="757"/>
      <c r="C6" s="757"/>
      <c r="D6" s="757"/>
      <c r="E6" s="757"/>
      <c r="F6" s="757"/>
      <c r="G6" s="757"/>
      <c r="H6" s="757"/>
      <c r="I6" s="757"/>
      <c r="J6" s="757"/>
      <c r="K6" s="757"/>
      <c r="L6" s="757"/>
      <c r="M6" s="757"/>
      <c r="N6" s="328"/>
    </row>
    <row r="7" spans="1:24" ht="14" x14ac:dyDescent="0.3">
      <c r="A7" s="328"/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</row>
    <row r="8" spans="1:24" ht="14" x14ac:dyDescent="0.3">
      <c r="A8" s="757" t="s">
        <v>292</v>
      </c>
      <c r="B8" s="757"/>
      <c r="C8" s="757"/>
      <c r="D8" s="757"/>
      <c r="E8" s="757"/>
      <c r="F8" s="757"/>
      <c r="G8" s="757"/>
      <c r="H8" s="757"/>
      <c r="I8" s="757"/>
      <c r="J8" s="757"/>
      <c r="K8" s="757"/>
      <c r="L8" s="757"/>
      <c r="M8" s="757"/>
    </row>
    <row r="9" spans="1:24" ht="14" x14ac:dyDescent="0.3">
      <c r="A9" s="329"/>
      <c r="B9" s="329"/>
      <c r="C9" s="330"/>
      <c r="D9" s="330"/>
      <c r="E9" s="330"/>
      <c r="F9" s="331"/>
      <c r="G9" s="330"/>
    </row>
    <row r="10" spans="1:24" ht="14" x14ac:dyDescent="0.3">
      <c r="A10" s="329"/>
      <c r="B10" s="329"/>
      <c r="C10" s="330"/>
      <c r="D10" s="330"/>
      <c r="E10" s="330"/>
      <c r="F10" s="332"/>
      <c r="G10" s="330"/>
    </row>
    <row r="11" spans="1:24" ht="14" x14ac:dyDescent="0.3">
      <c r="A11" s="151">
        <f>IF(C11&lt;&gt;"",COUNTA($C$11:C11),"")</f>
        <v>1</v>
      </c>
      <c r="B11" s="151"/>
      <c r="C11" s="329" t="s">
        <v>528</v>
      </c>
      <c r="D11" s="758" t="s">
        <v>548</v>
      </c>
      <c r="E11" s="758"/>
      <c r="F11" s="758"/>
      <c r="G11" s="330"/>
      <c r="H11" s="758" t="s">
        <v>549</v>
      </c>
      <c r="I11" s="758"/>
      <c r="J11" s="758"/>
      <c r="L11" s="758" t="s">
        <v>550</v>
      </c>
      <c r="M11" s="758"/>
      <c r="O11" s="335"/>
      <c r="P11" s="335"/>
      <c r="Q11" s="335"/>
      <c r="R11" s="335"/>
      <c r="T11" s="335"/>
      <c r="U11" s="335"/>
      <c r="V11" s="335"/>
      <c r="W11" s="335"/>
    </row>
    <row r="12" spans="1:24" ht="14" x14ac:dyDescent="0.3">
      <c r="A12" s="151">
        <f>IF(C12&lt;&gt;"",COUNTA($C$11:C12),"")</f>
        <v>2</v>
      </c>
      <c r="B12" s="151"/>
      <c r="C12" s="336" t="s">
        <v>551</v>
      </c>
      <c r="D12" s="336" t="s">
        <v>552</v>
      </c>
      <c r="E12" s="336" t="s">
        <v>553</v>
      </c>
      <c r="F12" s="336" t="s">
        <v>47</v>
      </c>
      <c r="G12" s="330"/>
      <c r="H12" s="336" t="s">
        <v>552</v>
      </c>
      <c r="I12" s="336" t="s">
        <v>553</v>
      </c>
      <c r="J12" s="336" t="s">
        <v>47</v>
      </c>
      <c r="L12" s="336" t="s">
        <v>65</v>
      </c>
      <c r="M12" s="336" t="s">
        <v>325</v>
      </c>
    </row>
    <row r="13" spans="1:24" ht="14" x14ac:dyDescent="0.3">
      <c r="A13" s="151">
        <f>IF(C13&lt;&gt;"",COUNTA($C$11:C13),"")</f>
        <v>3</v>
      </c>
      <c r="B13" s="151"/>
      <c r="C13" s="337">
        <v>100</v>
      </c>
      <c r="D13" s="338">
        <f t="shared" ref="D13:D26" si="0">ROUND(SUM($F$32:$F$51)*C13,2)+F$31</f>
        <v>18.47</v>
      </c>
      <c r="E13" s="338">
        <f t="shared" ref="E13:E26" si="1">ROUND($F$52*C13,2)</f>
        <v>10</v>
      </c>
      <c r="F13" s="338">
        <f>SUM(D13:E13)</f>
        <v>28.47</v>
      </c>
      <c r="G13" s="358"/>
      <c r="H13" s="338">
        <f t="shared" ref="H13:H26" si="2">ROUND(SUM($H$32:$H$51)*C13,2)+H$31</f>
        <v>17.66</v>
      </c>
      <c r="I13" s="338">
        <f t="shared" ref="I13:I26" si="3">ROUND($H$52*C13,2)</f>
        <v>11.68</v>
      </c>
      <c r="J13" s="338">
        <f>SUM(H13:I13)</f>
        <v>29.34</v>
      </c>
      <c r="K13" s="339"/>
      <c r="L13" s="340">
        <f>+J13-F13</f>
        <v>0.87000000000000099</v>
      </c>
      <c r="M13" s="341">
        <f>+L13/F13</f>
        <v>3.055848261327717E-2</v>
      </c>
      <c r="O13" s="339"/>
      <c r="P13" s="339"/>
      <c r="Q13" s="339"/>
      <c r="R13" s="339"/>
      <c r="S13" s="339"/>
      <c r="T13" s="339"/>
      <c r="U13" s="339"/>
      <c r="V13" s="339"/>
      <c r="W13" s="339"/>
      <c r="X13" s="339"/>
    </row>
    <row r="14" spans="1:24" ht="14" x14ac:dyDescent="0.3">
      <c r="A14" s="151">
        <f>IF(C14&lt;&gt;"",COUNTA($C$11:C14),"")</f>
        <v>4</v>
      </c>
      <c r="B14" s="151"/>
      <c r="C14" s="337">
        <v>200</v>
      </c>
      <c r="D14" s="338">
        <f t="shared" si="0"/>
        <v>29.94</v>
      </c>
      <c r="E14" s="338">
        <f t="shared" si="1"/>
        <v>20.010000000000002</v>
      </c>
      <c r="F14" s="338">
        <f t="shared" ref="F14:F26" si="4">SUM(D14:E14)</f>
        <v>49.95</v>
      </c>
      <c r="G14" s="358"/>
      <c r="H14" s="338">
        <f t="shared" si="2"/>
        <v>28.33</v>
      </c>
      <c r="I14" s="338">
        <f t="shared" si="3"/>
        <v>23.36</v>
      </c>
      <c r="J14" s="338">
        <f t="shared" ref="J14:J26" si="5">SUM(H14:I14)</f>
        <v>51.69</v>
      </c>
      <c r="K14" s="339"/>
      <c r="L14" s="340">
        <f t="shared" ref="L14:L26" si="6">+J14-F14</f>
        <v>1.7399999999999949</v>
      </c>
      <c r="M14" s="341">
        <f t="shared" ref="M14:M26" si="7">+L14/F14</f>
        <v>3.4834834834834731E-2</v>
      </c>
      <c r="O14" s="339"/>
      <c r="P14" s="339"/>
      <c r="Q14" s="339"/>
      <c r="R14" s="339"/>
      <c r="S14" s="339"/>
      <c r="T14" s="339"/>
      <c r="U14" s="339"/>
      <c r="V14" s="339"/>
      <c r="W14" s="339"/>
      <c r="X14" s="339"/>
    </row>
    <row r="15" spans="1:24" ht="14" x14ac:dyDescent="0.3">
      <c r="A15" s="151">
        <f>IF(C15&lt;&gt;"",COUNTA($C$11:C15),"")</f>
        <v>5</v>
      </c>
      <c r="B15" s="151"/>
      <c r="C15" s="337">
        <v>300</v>
      </c>
      <c r="D15" s="338">
        <f t="shared" si="0"/>
        <v>41.41</v>
      </c>
      <c r="E15" s="338">
        <f t="shared" si="1"/>
        <v>30.01</v>
      </c>
      <c r="F15" s="338">
        <f t="shared" si="4"/>
        <v>71.42</v>
      </c>
      <c r="G15" s="358"/>
      <c r="H15" s="338">
        <f t="shared" si="2"/>
        <v>38.989999999999995</v>
      </c>
      <c r="I15" s="338">
        <f t="shared" si="3"/>
        <v>35.03</v>
      </c>
      <c r="J15" s="338">
        <f t="shared" si="5"/>
        <v>74.02</v>
      </c>
      <c r="K15" s="339"/>
      <c r="L15" s="340">
        <f t="shared" si="6"/>
        <v>2.5999999999999943</v>
      </c>
      <c r="M15" s="341">
        <f t="shared" si="7"/>
        <v>3.6404368524222824E-2</v>
      </c>
      <c r="O15" s="339"/>
      <c r="P15" s="339"/>
      <c r="Q15" s="339"/>
      <c r="R15" s="339"/>
      <c r="S15" s="339"/>
      <c r="T15" s="339"/>
      <c r="U15" s="339"/>
      <c r="V15" s="339"/>
      <c r="W15" s="339"/>
      <c r="X15" s="339"/>
    </row>
    <row r="16" spans="1:24" ht="14" x14ac:dyDescent="0.3">
      <c r="A16" s="151">
        <f>IF(C16&lt;&gt;"",COUNTA($C$11:C16),"")</f>
        <v>6</v>
      </c>
      <c r="B16" s="151"/>
      <c r="C16" s="337">
        <v>400</v>
      </c>
      <c r="D16" s="338">
        <f t="shared" si="0"/>
        <v>52.88</v>
      </c>
      <c r="E16" s="338">
        <f t="shared" si="1"/>
        <v>40.01</v>
      </c>
      <c r="F16" s="338">
        <f t="shared" si="4"/>
        <v>92.89</v>
      </c>
      <c r="G16" s="358"/>
      <c r="H16" s="338">
        <f t="shared" si="2"/>
        <v>49.66</v>
      </c>
      <c r="I16" s="338">
        <f t="shared" si="3"/>
        <v>46.71</v>
      </c>
      <c r="J16" s="338">
        <f t="shared" si="5"/>
        <v>96.37</v>
      </c>
      <c r="K16" s="339"/>
      <c r="L16" s="340">
        <f t="shared" si="6"/>
        <v>3.480000000000004</v>
      </c>
      <c r="M16" s="341">
        <f t="shared" si="7"/>
        <v>3.7463666702551447E-2</v>
      </c>
      <c r="O16" s="339"/>
      <c r="P16" s="339"/>
      <c r="Q16" s="339"/>
      <c r="R16" s="339"/>
      <c r="S16" s="339"/>
      <c r="T16" s="339"/>
      <c r="U16" s="339"/>
      <c r="V16" s="339"/>
      <c r="W16" s="339"/>
      <c r="X16" s="339"/>
    </row>
    <row r="17" spans="1:24" ht="14" x14ac:dyDescent="0.3">
      <c r="A17" s="151">
        <f>IF(C17&lt;&gt;"",COUNTA($C$11:C17),"")</f>
        <v>7</v>
      </c>
      <c r="B17" s="151"/>
      <c r="C17" s="337">
        <v>500</v>
      </c>
      <c r="D17" s="338">
        <f t="shared" si="0"/>
        <v>64.349999999999994</v>
      </c>
      <c r="E17" s="338">
        <f t="shared" si="1"/>
        <v>50.02</v>
      </c>
      <c r="F17" s="338">
        <f t="shared" si="4"/>
        <v>114.37</v>
      </c>
      <c r="G17" s="358"/>
      <c r="H17" s="338">
        <f t="shared" si="2"/>
        <v>60.32</v>
      </c>
      <c r="I17" s="338">
        <f t="shared" si="3"/>
        <v>58.39</v>
      </c>
      <c r="J17" s="338">
        <f t="shared" si="5"/>
        <v>118.71000000000001</v>
      </c>
      <c r="K17" s="339"/>
      <c r="L17" s="340">
        <f t="shared" si="6"/>
        <v>4.3400000000000034</v>
      </c>
      <c r="M17" s="341">
        <f t="shared" si="7"/>
        <v>3.7947014077118153E-2</v>
      </c>
      <c r="O17" s="339"/>
      <c r="P17" s="339"/>
      <c r="Q17" s="339"/>
      <c r="R17" s="339"/>
      <c r="S17" s="339"/>
      <c r="T17" s="339"/>
      <c r="U17" s="339"/>
      <c r="V17" s="339"/>
      <c r="W17" s="339"/>
      <c r="X17" s="339"/>
    </row>
    <row r="18" spans="1:24" ht="14" x14ac:dyDescent="0.3">
      <c r="A18" s="151">
        <f>IF(C18&lt;&gt;"",COUNTA($C$11:C18),"")</f>
        <v>8</v>
      </c>
      <c r="B18" s="151"/>
      <c r="C18" s="337">
        <v>600</v>
      </c>
      <c r="D18" s="338">
        <f t="shared" si="0"/>
        <v>75.81</v>
      </c>
      <c r="E18" s="338">
        <f t="shared" si="1"/>
        <v>60.02</v>
      </c>
      <c r="F18" s="338">
        <f t="shared" si="4"/>
        <v>135.83000000000001</v>
      </c>
      <c r="G18" s="358"/>
      <c r="H18" s="338">
        <f t="shared" si="2"/>
        <v>70.97999999999999</v>
      </c>
      <c r="I18" s="338">
        <f t="shared" si="3"/>
        <v>70.069999999999993</v>
      </c>
      <c r="J18" s="338">
        <f t="shared" si="5"/>
        <v>141.04999999999998</v>
      </c>
      <c r="K18" s="339"/>
      <c r="L18" s="340">
        <f t="shared" si="6"/>
        <v>5.2199999999999704</v>
      </c>
      <c r="M18" s="341">
        <f t="shared" si="7"/>
        <v>3.8430390929838548E-2</v>
      </c>
      <c r="O18" s="339"/>
      <c r="P18" s="339"/>
      <c r="Q18" s="339"/>
      <c r="R18" s="339"/>
      <c r="S18" s="339"/>
      <c r="T18" s="339"/>
      <c r="U18" s="339"/>
      <c r="V18" s="339"/>
      <c r="W18" s="339"/>
      <c r="X18" s="339"/>
    </row>
    <row r="19" spans="1:24" ht="14" x14ac:dyDescent="0.3">
      <c r="A19" s="151">
        <f>IF(C19&lt;&gt;"",COUNTA($C$11:C19),"")</f>
        <v>9</v>
      </c>
      <c r="B19" s="151"/>
      <c r="C19" s="337">
        <v>700</v>
      </c>
      <c r="D19" s="338">
        <f t="shared" si="0"/>
        <v>87.28</v>
      </c>
      <c r="E19" s="338">
        <f t="shared" si="1"/>
        <v>70.02</v>
      </c>
      <c r="F19" s="338">
        <f t="shared" si="4"/>
        <v>157.30000000000001</v>
      </c>
      <c r="G19" s="358"/>
      <c r="H19" s="338">
        <f t="shared" si="2"/>
        <v>81.650000000000006</v>
      </c>
      <c r="I19" s="338">
        <f t="shared" si="3"/>
        <v>81.75</v>
      </c>
      <c r="J19" s="338">
        <f t="shared" si="5"/>
        <v>163.4</v>
      </c>
      <c r="K19" s="339"/>
      <c r="L19" s="340">
        <f t="shared" si="6"/>
        <v>6.0999999999999943</v>
      </c>
      <c r="M19" s="341">
        <f t="shared" si="7"/>
        <v>3.8779402415766016E-2</v>
      </c>
      <c r="O19" s="339"/>
      <c r="P19" s="339"/>
      <c r="Q19" s="339"/>
      <c r="R19" s="339"/>
      <c r="S19" s="339"/>
      <c r="T19" s="339"/>
      <c r="U19" s="339"/>
      <c r="V19" s="339"/>
      <c r="W19" s="339"/>
      <c r="X19" s="339"/>
    </row>
    <row r="20" spans="1:24" ht="14" x14ac:dyDescent="0.3">
      <c r="A20" s="151">
        <f>IF(C20&lt;&gt;"",COUNTA($C$11:C20),"")</f>
        <v>10</v>
      </c>
      <c r="B20" s="151"/>
      <c r="C20" s="337">
        <v>800</v>
      </c>
      <c r="D20" s="338">
        <f t="shared" si="0"/>
        <v>98.75</v>
      </c>
      <c r="E20" s="338">
        <f t="shared" si="1"/>
        <v>80.02</v>
      </c>
      <c r="F20" s="338">
        <f t="shared" si="4"/>
        <v>178.76999999999998</v>
      </c>
      <c r="G20" s="358"/>
      <c r="H20" s="338">
        <f t="shared" si="2"/>
        <v>92.31</v>
      </c>
      <c r="I20" s="338">
        <f t="shared" si="3"/>
        <v>93.42</v>
      </c>
      <c r="J20" s="338">
        <f t="shared" si="5"/>
        <v>185.73000000000002</v>
      </c>
      <c r="K20" s="339"/>
      <c r="L20" s="340">
        <f t="shared" si="6"/>
        <v>6.9600000000000364</v>
      </c>
      <c r="M20" s="341">
        <f t="shared" si="7"/>
        <v>3.8932706830005243E-2</v>
      </c>
      <c r="O20" s="339"/>
      <c r="P20" s="339"/>
      <c r="Q20" s="339"/>
      <c r="R20" s="339"/>
      <c r="S20" s="339"/>
      <c r="T20" s="339"/>
      <c r="U20" s="339"/>
      <c r="V20" s="339"/>
      <c r="W20" s="339"/>
      <c r="X20" s="339"/>
    </row>
    <row r="21" spans="1:24" ht="14" x14ac:dyDescent="0.3">
      <c r="A21" s="151">
        <f>IF(C21&lt;&gt;"",COUNTA($C$11:C21),"")</f>
        <v>11</v>
      </c>
      <c r="B21" s="151"/>
      <c r="C21" s="337">
        <v>900</v>
      </c>
      <c r="D21" s="338">
        <f t="shared" si="0"/>
        <v>110.22</v>
      </c>
      <c r="E21" s="338">
        <f t="shared" si="1"/>
        <v>90.03</v>
      </c>
      <c r="F21" s="338">
        <f t="shared" si="4"/>
        <v>200.25</v>
      </c>
      <c r="G21" s="358"/>
      <c r="H21" s="338">
        <f t="shared" si="2"/>
        <v>102.98</v>
      </c>
      <c r="I21" s="338">
        <f t="shared" si="3"/>
        <v>105.1</v>
      </c>
      <c r="J21" s="338">
        <f t="shared" si="5"/>
        <v>208.07999999999998</v>
      </c>
      <c r="K21" s="339"/>
      <c r="L21" s="340">
        <f t="shared" si="6"/>
        <v>7.8299999999999841</v>
      </c>
      <c r="M21" s="341">
        <f t="shared" si="7"/>
        <v>3.9101123595505535E-2</v>
      </c>
      <c r="O21" s="339"/>
      <c r="P21" s="339"/>
      <c r="Q21" s="339"/>
      <c r="R21" s="339"/>
      <c r="S21" s="339"/>
      <c r="T21" s="339"/>
      <c r="U21" s="339"/>
      <c r="V21" s="339"/>
      <c r="W21" s="339"/>
      <c r="X21" s="339"/>
    </row>
    <row r="22" spans="1:24" ht="14" x14ac:dyDescent="0.3">
      <c r="A22" s="151">
        <f>IF(C22&lt;&gt;"",COUNTA($C$11:C22),"")</f>
        <v>12</v>
      </c>
      <c r="B22" s="151"/>
      <c r="C22" s="337">
        <v>1000</v>
      </c>
      <c r="D22" s="338">
        <f t="shared" si="0"/>
        <v>121.69</v>
      </c>
      <c r="E22" s="338">
        <f t="shared" si="1"/>
        <v>100.03</v>
      </c>
      <c r="F22" s="338">
        <f t="shared" si="4"/>
        <v>221.72</v>
      </c>
      <c r="G22" s="358"/>
      <c r="H22" s="338">
        <f t="shared" si="2"/>
        <v>113.64</v>
      </c>
      <c r="I22" s="338">
        <f t="shared" si="3"/>
        <v>116.78</v>
      </c>
      <c r="J22" s="338">
        <f t="shared" si="5"/>
        <v>230.42000000000002</v>
      </c>
      <c r="K22" s="339"/>
      <c r="L22" s="340">
        <f t="shared" si="6"/>
        <v>8.7000000000000171</v>
      </c>
      <c r="M22" s="341">
        <f t="shared" si="7"/>
        <v>3.9238679415479059E-2</v>
      </c>
      <c r="O22" s="339"/>
      <c r="P22" s="339"/>
      <c r="Q22" s="339"/>
      <c r="R22" s="339"/>
      <c r="S22" s="339"/>
      <c r="T22" s="339"/>
      <c r="U22" s="339"/>
      <c r="V22" s="339"/>
      <c r="W22" s="339"/>
      <c r="X22" s="339"/>
    </row>
    <row r="23" spans="1:24" ht="14" x14ac:dyDescent="0.3">
      <c r="A23" s="151">
        <f>IF(C23&lt;&gt;"",COUNTA($C$11:C23),"")</f>
        <v>13</v>
      </c>
      <c r="B23" s="151"/>
      <c r="C23" s="337">
        <v>1250</v>
      </c>
      <c r="D23" s="338">
        <f t="shared" si="0"/>
        <v>150.36000000000001</v>
      </c>
      <c r="E23" s="338">
        <f t="shared" si="1"/>
        <v>125.04</v>
      </c>
      <c r="F23" s="338">
        <f t="shared" si="4"/>
        <v>275.40000000000003</v>
      </c>
      <c r="G23" s="358"/>
      <c r="H23" s="338">
        <f t="shared" si="2"/>
        <v>140.30000000000001</v>
      </c>
      <c r="I23" s="338">
        <f t="shared" si="3"/>
        <v>145.97999999999999</v>
      </c>
      <c r="J23" s="338">
        <f t="shared" si="5"/>
        <v>286.27999999999997</v>
      </c>
      <c r="K23" s="339"/>
      <c r="L23" s="340">
        <f t="shared" si="6"/>
        <v>10.879999999999939</v>
      </c>
      <c r="M23" s="341">
        <f t="shared" si="7"/>
        <v>3.9506172839505943E-2</v>
      </c>
      <c r="O23" s="339"/>
      <c r="P23" s="339"/>
      <c r="Q23" s="339"/>
      <c r="R23" s="339"/>
      <c r="S23" s="339"/>
      <c r="T23" s="339"/>
      <c r="U23" s="339"/>
      <c r="V23" s="339"/>
      <c r="W23" s="339"/>
      <c r="X23" s="339"/>
    </row>
    <row r="24" spans="1:24" ht="14" x14ac:dyDescent="0.3">
      <c r="A24" s="151">
        <f>IF(C24&lt;&gt;"",COUNTA($C$11:C24),"")</f>
        <v>14</v>
      </c>
      <c r="B24" s="151"/>
      <c r="C24" s="337">
        <v>1500</v>
      </c>
      <c r="D24" s="338">
        <f t="shared" si="0"/>
        <v>179.04</v>
      </c>
      <c r="E24" s="338">
        <f t="shared" si="1"/>
        <v>150.05000000000001</v>
      </c>
      <c r="F24" s="338">
        <f t="shared" si="4"/>
        <v>329.09000000000003</v>
      </c>
      <c r="G24" s="358"/>
      <c r="H24" s="338">
        <f t="shared" si="2"/>
        <v>166.96</v>
      </c>
      <c r="I24" s="338">
        <f t="shared" si="3"/>
        <v>175.17</v>
      </c>
      <c r="J24" s="338">
        <f t="shared" si="5"/>
        <v>342.13</v>
      </c>
      <c r="K24" s="339"/>
      <c r="L24" s="340">
        <f t="shared" si="6"/>
        <v>13.039999999999964</v>
      </c>
      <c r="M24" s="341">
        <f t="shared" si="7"/>
        <v>3.9624418851985664E-2</v>
      </c>
      <c r="O24" s="339"/>
      <c r="P24" s="339"/>
      <c r="Q24" s="339"/>
      <c r="R24" s="339"/>
      <c r="S24" s="339"/>
      <c r="T24" s="339"/>
      <c r="U24" s="339"/>
      <c r="V24" s="339"/>
      <c r="W24" s="339"/>
      <c r="X24" s="339"/>
    </row>
    <row r="25" spans="1:24" ht="14" x14ac:dyDescent="0.3">
      <c r="A25" s="151">
        <f>IF(C25&lt;&gt;"",COUNTA($C$11:C25),"")</f>
        <v>15</v>
      </c>
      <c r="B25" s="151"/>
      <c r="C25" s="337">
        <v>2000</v>
      </c>
      <c r="D25" s="338">
        <f t="shared" si="0"/>
        <v>236.38</v>
      </c>
      <c r="E25" s="338">
        <f t="shared" si="1"/>
        <v>200.06</v>
      </c>
      <c r="F25" s="338">
        <f t="shared" si="4"/>
        <v>436.44</v>
      </c>
      <c r="G25" s="358"/>
      <c r="H25" s="338">
        <f t="shared" si="2"/>
        <v>220.28</v>
      </c>
      <c r="I25" s="338">
        <f t="shared" si="3"/>
        <v>233.56</v>
      </c>
      <c r="J25" s="338">
        <f t="shared" si="5"/>
        <v>453.84000000000003</v>
      </c>
      <c r="K25" s="339"/>
      <c r="L25" s="340">
        <f t="shared" si="6"/>
        <v>17.400000000000034</v>
      </c>
      <c r="M25" s="341">
        <f t="shared" si="7"/>
        <v>3.9868023095958285E-2</v>
      </c>
      <c r="O25" s="339"/>
      <c r="P25" s="339"/>
      <c r="Q25" s="339"/>
      <c r="R25" s="339"/>
      <c r="S25" s="339"/>
      <c r="T25" s="339"/>
      <c r="U25" s="339"/>
      <c r="V25" s="339"/>
      <c r="W25" s="339"/>
      <c r="X25" s="339"/>
    </row>
    <row r="26" spans="1:24" ht="14" x14ac:dyDescent="0.3">
      <c r="A26" s="151">
        <f>IF(C26&lt;&gt;"",COUNTA($C$11:C26),"")</f>
        <v>16</v>
      </c>
      <c r="B26" s="151" t="s">
        <v>554</v>
      </c>
      <c r="C26" s="337">
        <v>516</v>
      </c>
      <c r="D26" s="338">
        <f t="shared" si="0"/>
        <v>66.180000000000007</v>
      </c>
      <c r="E26" s="338">
        <f t="shared" si="1"/>
        <v>51.62</v>
      </c>
      <c r="F26" s="338">
        <f t="shared" si="4"/>
        <v>117.80000000000001</v>
      </c>
      <c r="G26" s="358"/>
      <c r="H26" s="338">
        <f t="shared" si="2"/>
        <v>62.03</v>
      </c>
      <c r="I26" s="338">
        <f t="shared" si="3"/>
        <v>60.26</v>
      </c>
      <c r="J26" s="338">
        <f t="shared" si="5"/>
        <v>122.28999999999999</v>
      </c>
      <c r="K26" s="339"/>
      <c r="L26" s="340">
        <f t="shared" si="6"/>
        <v>4.4899999999999807</v>
      </c>
      <c r="M26" s="341">
        <f t="shared" si="7"/>
        <v>3.8115449915110192E-2</v>
      </c>
      <c r="O26" s="339"/>
      <c r="P26" s="339"/>
      <c r="Q26" s="339"/>
      <c r="R26" s="339"/>
      <c r="S26" s="339"/>
      <c r="T26" s="339"/>
      <c r="U26" s="339"/>
      <c r="V26" s="339"/>
      <c r="W26" s="339"/>
      <c r="X26" s="339"/>
    </row>
    <row r="27" spans="1:24" ht="14" x14ac:dyDescent="0.3">
      <c r="A27" s="151" t="str">
        <f>IF(C27&lt;&gt;"",COUNTA($C$11:C27),"")</f>
        <v/>
      </c>
      <c r="B27" s="151"/>
      <c r="C27" s="337"/>
      <c r="D27" s="338"/>
      <c r="E27" s="338"/>
      <c r="F27" s="338"/>
      <c r="G27" s="358"/>
      <c r="H27" s="338"/>
      <c r="I27" s="338"/>
      <c r="J27" s="338"/>
      <c r="K27" s="339"/>
      <c r="L27" s="340"/>
      <c r="M27" s="341"/>
    </row>
    <row r="28" spans="1:24" ht="14" x14ac:dyDescent="0.3">
      <c r="A28" s="151" t="str">
        <f>IF(C28&lt;&gt;"",COUNTA($C$11:C28),"")</f>
        <v/>
      </c>
      <c r="B28" s="151"/>
      <c r="C28" s="343"/>
      <c r="D28" s="344"/>
      <c r="E28" s="344"/>
      <c r="F28" s="344"/>
      <c r="G28" s="359"/>
      <c r="H28" s="344"/>
      <c r="I28" s="344"/>
      <c r="J28" s="344"/>
      <c r="K28" s="345"/>
      <c r="L28" s="345"/>
    </row>
    <row r="29" spans="1:24" ht="14" x14ac:dyDescent="0.3">
      <c r="A29" s="151">
        <f>IF(C29&lt;&gt;"",COUNTA($C$11:C29),"")</f>
        <v>17</v>
      </c>
      <c r="B29" s="151"/>
      <c r="C29" s="293" t="s">
        <v>46</v>
      </c>
      <c r="D29" s="339"/>
      <c r="E29" s="339"/>
      <c r="F29" s="346" t="s">
        <v>63</v>
      </c>
      <c r="G29" s="360"/>
      <c r="H29" s="347" t="s">
        <v>64</v>
      </c>
      <c r="I29" s="348"/>
      <c r="J29" s="339"/>
      <c r="K29" s="339"/>
      <c r="L29" s="339"/>
    </row>
    <row r="30" spans="1:24" ht="14" x14ac:dyDescent="0.3">
      <c r="A30" s="151">
        <f>IF(C30&lt;&gt;"",COUNTA($C$11:C30),"")</f>
        <v>18</v>
      </c>
      <c r="B30" s="151"/>
      <c r="C30" s="293" t="s">
        <v>46</v>
      </c>
      <c r="D30" s="339"/>
      <c r="E30" s="339"/>
      <c r="F30" s="349" t="s">
        <v>239</v>
      </c>
      <c r="G30" s="360"/>
      <c r="H30" s="349" t="s">
        <v>239</v>
      </c>
      <c r="I30" s="349" t="s">
        <v>65</v>
      </c>
      <c r="J30" s="339"/>
      <c r="K30" s="339"/>
      <c r="L30" s="339"/>
    </row>
    <row r="31" spans="1:24" ht="14" x14ac:dyDescent="0.3">
      <c r="A31" s="151">
        <f>IF(C31&lt;&gt;"",COUNTA($C$11:C31),"")</f>
        <v>19</v>
      </c>
      <c r="B31" s="151"/>
      <c r="C31" s="330" t="str">
        <f>+'Bill_EMA R1'!C31</f>
        <v>Customer Charge</v>
      </c>
      <c r="D31" s="339"/>
      <c r="E31" s="339"/>
      <c r="F31" s="350">
        <v>7</v>
      </c>
      <c r="G31" s="350"/>
      <c r="H31" s="350">
        <f>+F31</f>
        <v>7</v>
      </c>
      <c r="I31" s="351">
        <f>+H31-F31</f>
        <v>0</v>
      </c>
      <c r="J31" s="339"/>
      <c r="K31" s="339"/>
      <c r="L31" s="339"/>
    </row>
    <row r="32" spans="1:24" ht="14" x14ac:dyDescent="0.3">
      <c r="A32" s="151">
        <f>IF(C32&lt;&gt;"",COUNTA($C$11:C32),"")</f>
        <v>20</v>
      </c>
      <c r="B32" s="151"/>
      <c r="C32" s="330" t="str">
        <f>+'Bill_EMA R1'!C32</f>
        <v>Distribution Energy</v>
      </c>
      <c r="D32" s="339"/>
      <c r="E32" s="339"/>
      <c r="F32" s="277">
        <v>4.3720000000000002E-2</v>
      </c>
      <c r="G32" s="277"/>
      <c r="H32" s="277">
        <v>4.5629999999999997E-2</v>
      </c>
      <c r="I32" s="354">
        <f t="shared" ref="I32:I52" si="8">+H32-F32</f>
        <v>1.909999999999995E-3</v>
      </c>
      <c r="J32" s="339"/>
      <c r="K32" s="339"/>
      <c r="L32" s="339"/>
    </row>
    <row r="33" spans="1:12" ht="14" x14ac:dyDescent="0.3">
      <c r="A33" s="151">
        <f>IF(C33&lt;&gt;"",COUNTA($C$11:C33),"")</f>
        <v>21</v>
      </c>
      <c r="B33" s="151"/>
      <c r="C33" s="330" t="str">
        <f>+'Bill_EMA R1'!C33</f>
        <v>Revenue Decoupling</v>
      </c>
      <c r="D33" s="339"/>
      <c r="E33" s="339"/>
      <c r="F33" s="277">
        <v>7.5000000000000002E-4</v>
      </c>
      <c r="G33" s="277"/>
      <c r="H33" s="277">
        <v>-5.6999999999999998E-4</v>
      </c>
      <c r="I33" s="354">
        <f t="shared" si="8"/>
        <v>-1.32E-3</v>
      </c>
      <c r="J33" s="339"/>
      <c r="K33" s="339"/>
      <c r="L33" s="339"/>
    </row>
    <row r="34" spans="1:12" ht="14" x14ac:dyDescent="0.3">
      <c r="A34" s="151">
        <f>IF(C34&lt;&gt;"",COUNTA($C$11:C34),"")</f>
        <v>22</v>
      </c>
      <c r="B34" s="151"/>
      <c r="C34" s="330" t="str">
        <f>+'Bill_EMA R1'!C34</f>
        <v>Residential Assistance Adjustment Factor</v>
      </c>
      <c r="D34" s="339"/>
      <c r="E34" s="339"/>
      <c r="F34" s="277">
        <v>1.323E-2</v>
      </c>
      <c r="G34" s="277"/>
      <c r="H34" s="277">
        <v>4.8199999999999996E-3</v>
      </c>
      <c r="I34" s="354">
        <f t="shared" si="8"/>
        <v>-8.4100000000000008E-3</v>
      </c>
      <c r="J34" s="339"/>
      <c r="K34" s="339"/>
      <c r="L34" s="339"/>
    </row>
    <row r="35" spans="1:12" ht="14" x14ac:dyDescent="0.3">
      <c r="A35" s="151">
        <f>IF(C35&lt;&gt;"",COUNTA($C$11:C35),"")</f>
        <v>23</v>
      </c>
      <c r="B35" s="151"/>
      <c r="C35" s="330" t="str">
        <f>+'Bill_EMA R1'!C35</f>
        <v>Pension Adjustment Factor</v>
      </c>
      <c r="D35" s="339"/>
      <c r="E35" s="339"/>
      <c r="F35" s="277">
        <v>1.4300000000000001E-3</v>
      </c>
      <c r="G35" s="277"/>
      <c r="H35" s="277">
        <v>9.3000000000000005E-4</v>
      </c>
      <c r="I35" s="354">
        <f t="shared" si="8"/>
        <v>-5.0000000000000001E-4</v>
      </c>
      <c r="J35" s="339"/>
      <c r="K35" s="339"/>
      <c r="L35" s="339"/>
    </row>
    <row r="36" spans="1:12" ht="14" x14ac:dyDescent="0.3">
      <c r="A36" s="151">
        <f>IF(C36&lt;&gt;"",COUNTA($C$11:C36),"")</f>
        <v>24</v>
      </c>
      <c r="B36" s="151"/>
      <c r="C36" s="330" t="str">
        <f>+'Bill_EMA R1'!C36</f>
        <v>Net Metering Recovery Surcharge</v>
      </c>
      <c r="D36" s="339"/>
      <c r="E36" s="339"/>
      <c r="F36" s="277">
        <v>5.7499999999999999E-3</v>
      </c>
      <c r="G36" s="277"/>
      <c r="H36" s="277">
        <v>6.2899999999999996E-3</v>
      </c>
      <c r="I36" s="354">
        <f t="shared" si="8"/>
        <v>5.3999999999999968E-4</v>
      </c>
      <c r="J36" s="339"/>
      <c r="K36" s="339"/>
      <c r="L36" s="339"/>
    </row>
    <row r="37" spans="1:12" ht="14" x14ac:dyDescent="0.3">
      <c r="A37" s="151">
        <f>IF(C37&lt;&gt;"",COUNTA($C$11:C37),"")</f>
        <v>25</v>
      </c>
      <c r="B37" s="151"/>
      <c r="C37" s="330" t="str">
        <f>+'Bill_EMA R1'!C37</f>
        <v>Long Term Renewable Contract Adjustment</v>
      </c>
      <c r="D37" s="339"/>
      <c r="E37" s="339"/>
      <c r="F37" s="277">
        <v>3.31E-3</v>
      </c>
      <c r="G37" s="277"/>
      <c r="H37" s="277">
        <v>1.74E-3</v>
      </c>
      <c r="I37" s="354">
        <f t="shared" si="8"/>
        <v>-1.57E-3</v>
      </c>
      <c r="J37" s="339"/>
      <c r="K37" s="339"/>
      <c r="L37" s="339"/>
    </row>
    <row r="38" spans="1:12" ht="14" x14ac:dyDescent="0.3">
      <c r="A38" s="151">
        <f>IF(C38&lt;&gt;"",COUNTA($C$11:C38),"")</f>
        <v>26</v>
      </c>
      <c r="B38" s="151"/>
      <c r="C38" s="330" t="str">
        <f>+'Bill_EMA R1'!C38</f>
        <v>AG Consulting Expense</v>
      </c>
      <c r="D38" s="339"/>
      <c r="E38" s="339"/>
      <c r="F38" s="277">
        <v>4.0000000000000003E-5</v>
      </c>
      <c r="G38" s="277"/>
      <c r="H38" s="277">
        <v>1.0000000000000001E-5</v>
      </c>
      <c r="I38" s="354">
        <f t="shared" si="8"/>
        <v>-3.0000000000000004E-5</v>
      </c>
      <c r="J38" s="339"/>
      <c r="K38" s="339"/>
      <c r="L38" s="339"/>
    </row>
    <row r="39" spans="1:12" ht="14" x14ac:dyDescent="0.3">
      <c r="A39" s="151">
        <f>IF(C39&lt;&gt;"",COUNTA($C$11:C39),"")</f>
        <v>27</v>
      </c>
      <c r="B39" s="151"/>
      <c r="C39" s="330" t="str">
        <f>+'Bill_EMA R1'!C39</f>
        <v>Storm Cost Recovery Adjustment Factor</v>
      </c>
      <c r="D39" s="339"/>
      <c r="E39" s="339"/>
      <c r="F39" s="277">
        <v>3.0699999999999998E-3</v>
      </c>
      <c r="G39" s="277"/>
      <c r="H39" s="277">
        <v>3.6700000000000001E-3</v>
      </c>
      <c r="I39" s="354">
        <f t="shared" si="8"/>
        <v>6.0000000000000027E-4</v>
      </c>
      <c r="J39" s="339"/>
      <c r="K39" s="339"/>
      <c r="L39" s="339"/>
    </row>
    <row r="40" spans="1:12" ht="14" x14ac:dyDescent="0.3">
      <c r="A40" s="151">
        <f>IF(C40&lt;&gt;"",COUNTA($C$11:C40),"")</f>
        <v>28</v>
      </c>
      <c r="B40" s="151"/>
      <c r="C40" s="330" t="str">
        <f>+'Bill_EMA R1'!C40</f>
        <v>Storm Reserve Adjustment</v>
      </c>
      <c r="D40" s="339"/>
      <c r="E40" s="339"/>
      <c r="F40" s="277">
        <v>0</v>
      </c>
      <c r="G40" s="277"/>
      <c r="H40" s="277">
        <v>0</v>
      </c>
      <c r="I40" s="354">
        <f t="shared" si="8"/>
        <v>0</v>
      </c>
      <c r="J40" s="339"/>
      <c r="K40" s="339"/>
      <c r="L40" s="339"/>
    </row>
    <row r="41" spans="1:12" ht="14" x14ac:dyDescent="0.3">
      <c r="A41" s="151">
        <f>IF(C41&lt;&gt;"",COUNTA($C$11:C41),"")</f>
        <v>29</v>
      </c>
      <c r="B41" s="151"/>
      <c r="C41" s="330" t="str">
        <f>+'Bill_EMA R1'!C41</f>
        <v>Basic Service Cost True Up Factor</v>
      </c>
      <c r="D41" s="339"/>
      <c r="E41" s="339"/>
      <c r="F41" s="277">
        <v>2.7E-4</v>
      </c>
      <c r="G41" s="277"/>
      <c r="H41" s="277">
        <v>-2.4000000000000001E-4</v>
      </c>
      <c r="I41" s="354">
        <f t="shared" si="8"/>
        <v>-5.1000000000000004E-4</v>
      </c>
      <c r="J41" s="339"/>
      <c r="K41" s="339"/>
      <c r="L41" s="339"/>
    </row>
    <row r="42" spans="1:12" ht="14" x14ac:dyDescent="0.3">
      <c r="A42" s="151">
        <f>IF(C42&lt;&gt;"",COUNTA($C$11:C42),"")</f>
        <v>30</v>
      </c>
      <c r="B42" s="151"/>
      <c r="C42" s="330" t="str">
        <f>+'Bill_EMA R1'!C42</f>
        <v>Solar Program Cost Adjustment Factor</v>
      </c>
      <c r="D42" s="339"/>
      <c r="E42" s="339"/>
      <c r="F42" s="277">
        <v>-1.6000000000000001E-4</v>
      </c>
      <c r="G42" s="277"/>
      <c r="H42" s="277">
        <v>4.0000000000000003E-5</v>
      </c>
      <c r="I42" s="354">
        <f t="shared" si="8"/>
        <v>2.0000000000000001E-4</v>
      </c>
      <c r="J42" s="339"/>
      <c r="K42" s="339"/>
      <c r="L42" s="339"/>
    </row>
    <row r="43" spans="1:12" ht="14" x14ac:dyDescent="0.3">
      <c r="A43" s="151">
        <f>IF(C43&lt;&gt;"",COUNTA($C$11:C43),"")</f>
        <v>31</v>
      </c>
      <c r="B43" s="151"/>
      <c r="C43" s="330" t="str">
        <f>+'Bill_EMA R1'!C43</f>
        <v>Solar Expansion Cost Recovery Factor</v>
      </c>
      <c r="D43" s="339"/>
      <c r="E43" s="339"/>
      <c r="F43" s="277">
        <v>0</v>
      </c>
      <c r="G43" s="277"/>
      <c r="H43" s="277">
        <v>7.5000000000000002E-4</v>
      </c>
      <c r="I43" s="354">
        <f t="shared" si="8"/>
        <v>7.5000000000000002E-4</v>
      </c>
      <c r="J43" s="339"/>
      <c r="K43" s="339"/>
      <c r="L43" s="339"/>
    </row>
    <row r="44" spans="1:12" ht="14" x14ac:dyDescent="0.3">
      <c r="A44" s="151">
        <f>IF(C44&lt;&gt;"",COUNTA($C$11:C44),"")</f>
        <v>32</v>
      </c>
      <c r="B44" s="151"/>
      <c r="C44" s="330" t="str">
        <f>+'Bill_EMA R1'!C44</f>
        <v>Vegetation Management</v>
      </c>
      <c r="D44" s="339"/>
      <c r="E44" s="339"/>
      <c r="F44" s="277">
        <v>0</v>
      </c>
      <c r="G44" s="277"/>
      <c r="H44" s="277">
        <v>1.67E-3</v>
      </c>
      <c r="I44" s="354">
        <f t="shared" si="8"/>
        <v>1.67E-3</v>
      </c>
      <c r="J44" s="339"/>
      <c r="K44" s="339"/>
      <c r="L44" s="339"/>
    </row>
    <row r="45" spans="1:12" ht="14" x14ac:dyDescent="0.3">
      <c r="A45" s="151">
        <f>IF(C45&lt;&gt;"",COUNTA($C$11:C45),"")</f>
        <v>33</v>
      </c>
      <c r="B45" s="151"/>
      <c r="C45" s="330" t="str">
        <f>+'Bill_EMA R1'!C45</f>
        <v>Solar Massachusetts Renewable Target</v>
      </c>
      <c r="D45" s="339"/>
      <c r="E45" s="339"/>
      <c r="F45" s="277">
        <v>0</v>
      </c>
      <c r="G45" s="277"/>
      <c r="H45" s="277">
        <v>8.8000000000000003E-4</v>
      </c>
      <c r="I45" s="354">
        <f t="shared" si="8"/>
        <v>8.8000000000000003E-4</v>
      </c>
      <c r="J45" s="339"/>
      <c r="K45" s="339"/>
      <c r="L45" s="339"/>
    </row>
    <row r="46" spans="1:12" ht="14" x14ac:dyDescent="0.3">
      <c r="A46" s="151">
        <f>IF(C46&lt;&gt;"",COUNTA($C$11:C46),"")</f>
        <v>34</v>
      </c>
      <c r="B46" s="151"/>
      <c r="C46" s="330" t="str">
        <f>+'Bill_EMA R1'!C46</f>
        <v>Tax Act Credit Factor</v>
      </c>
      <c r="D46" s="339"/>
      <c r="E46" s="339"/>
      <c r="F46" s="277">
        <v>0</v>
      </c>
      <c r="G46" s="277"/>
      <c r="H46" s="277">
        <v>-1.33E-3</v>
      </c>
      <c r="I46" s="354">
        <f t="shared" si="8"/>
        <v>-1.33E-3</v>
      </c>
      <c r="J46" s="339"/>
      <c r="K46" s="339"/>
      <c r="L46" s="339"/>
    </row>
    <row r="47" spans="1:12" ht="14" x14ac:dyDescent="0.3">
      <c r="A47" s="151">
        <f>IF(C47&lt;&gt;"",COUNTA($C$11:C47),"")</f>
        <v>35</v>
      </c>
      <c r="B47" s="151"/>
      <c r="C47" s="330" t="str">
        <f>+'Bill_EMA R1'!C47</f>
        <v>Transition</v>
      </c>
      <c r="D47" s="339"/>
      <c r="E47" s="339"/>
      <c r="F47" s="277">
        <v>-1.7099999999999999E-3</v>
      </c>
      <c r="G47" s="277"/>
      <c r="H47" s="277">
        <v>-5.1999999999999995E-4</v>
      </c>
      <c r="I47" s="354">
        <f t="shared" si="8"/>
        <v>1.1900000000000001E-3</v>
      </c>
      <c r="J47" s="339"/>
      <c r="K47" s="339"/>
      <c r="L47" s="339"/>
    </row>
    <row r="48" spans="1:12" ht="14" x14ac:dyDescent="0.3">
      <c r="A48" s="151">
        <f>IF(C48&lt;&gt;"",COUNTA($C$11:C48),"")</f>
        <v>36</v>
      </c>
      <c r="B48" s="151"/>
      <c r="C48" s="330" t="str">
        <f>+'Bill_EMA R1'!C48</f>
        <v>Transmission Energy</v>
      </c>
      <c r="D48" s="339"/>
      <c r="E48" s="339"/>
      <c r="F48" s="277">
        <v>2.7969999999999998E-2</v>
      </c>
      <c r="G48" s="277"/>
      <c r="H48" s="277">
        <v>2.5850000000000001E-2</v>
      </c>
      <c r="I48" s="354">
        <f t="shared" si="8"/>
        <v>-2.1199999999999969E-3</v>
      </c>
      <c r="J48" s="339"/>
      <c r="K48" s="339"/>
      <c r="L48" s="339"/>
    </row>
    <row r="49" spans="1:12" ht="14" x14ac:dyDescent="0.3">
      <c r="A49" s="151">
        <f>IF(C49&lt;&gt;"",COUNTA($C$11:C49),"")</f>
        <v>37</v>
      </c>
      <c r="B49" s="151"/>
      <c r="C49" s="330" t="str">
        <f>+'Bill_EMA R1'!C49</f>
        <v>Energy Efficiency Reconciliation Factor</v>
      </c>
      <c r="D49" s="339"/>
      <c r="E49" s="339"/>
      <c r="F49" s="277">
        <v>1.4019999999999999E-2</v>
      </c>
      <c r="G49" s="277"/>
      <c r="H49" s="277">
        <v>1.4019999999999999E-2</v>
      </c>
      <c r="I49" s="354">
        <f t="shared" si="8"/>
        <v>0</v>
      </c>
      <c r="J49" s="339"/>
      <c r="K49" s="339"/>
      <c r="L49" s="339"/>
    </row>
    <row r="50" spans="1:12" ht="14" x14ac:dyDescent="0.3">
      <c r="A50" s="151">
        <f>IF(C50&lt;&gt;"",COUNTA($C$11:C50),"")</f>
        <v>38</v>
      </c>
      <c r="B50" s="151"/>
      <c r="C50" s="330" t="str">
        <f>+'Bill_EMA R1'!C50</f>
        <v>System Benefits Charge</v>
      </c>
      <c r="D50" s="339"/>
      <c r="E50" s="339"/>
      <c r="F50" s="277">
        <v>2.5000000000000001E-3</v>
      </c>
      <c r="G50" s="277"/>
      <c r="H50" s="277">
        <f>+F50</f>
        <v>2.5000000000000001E-3</v>
      </c>
      <c r="I50" s="354">
        <f t="shared" si="8"/>
        <v>0</v>
      </c>
      <c r="J50" s="339"/>
      <c r="K50" s="339"/>
      <c r="L50" s="339"/>
    </row>
    <row r="51" spans="1:12" ht="14" x14ac:dyDescent="0.3">
      <c r="A51" s="151">
        <f>IF(C51&lt;&gt;"",COUNTA($C$11:C51),"")</f>
        <v>39</v>
      </c>
      <c r="B51" s="151"/>
      <c r="C51" s="330" t="str">
        <f>+'Bill_EMA R1'!C51</f>
        <v>Renewable Energy Charge</v>
      </c>
      <c r="D51" s="339"/>
      <c r="E51" s="339"/>
      <c r="F51" s="277">
        <v>5.0000000000000001E-4</v>
      </c>
      <c r="G51" s="277"/>
      <c r="H51" s="277">
        <f>+F51</f>
        <v>5.0000000000000001E-4</v>
      </c>
      <c r="I51" s="354">
        <f t="shared" si="8"/>
        <v>0</v>
      </c>
      <c r="J51" s="339"/>
      <c r="K51" s="339"/>
      <c r="L51" s="339"/>
    </row>
    <row r="52" spans="1:12" ht="14" x14ac:dyDescent="0.3">
      <c r="A52" s="151">
        <f>IF(C52&lt;&gt;"",COUNTA($C$11:C52),"")</f>
        <v>40</v>
      </c>
      <c r="B52" s="151"/>
      <c r="C52" s="330" t="str">
        <f>+'Bill_EMA R1'!C52</f>
        <v>Basic Service Charge</v>
      </c>
      <c r="D52" s="339"/>
      <c r="E52" s="339"/>
      <c r="F52" s="277">
        <v>0.10002999999999999</v>
      </c>
      <c r="G52" s="277"/>
      <c r="H52" s="277">
        <v>0.11677999999999999</v>
      </c>
      <c r="I52" s="354">
        <f t="shared" si="8"/>
        <v>1.6750000000000001E-2</v>
      </c>
      <c r="J52" s="339"/>
      <c r="K52" s="339"/>
      <c r="L52" s="339"/>
    </row>
    <row r="53" spans="1:12" ht="14" x14ac:dyDescent="0.3">
      <c r="A53" s="151"/>
      <c r="B53" s="151"/>
      <c r="D53" s="339"/>
      <c r="E53" s="339"/>
      <c r="F53" s="356"/>
      <c r="G53" s="356"/>
      <c r="H53" s="356"/>
      <c r="I53" s="356"/>
      <c r="J53" s="339"/>
      <c r="K53" s="339"/>
      <c r="L53" s="339"/>
    </row>
    <row r="54" spans="1:12" ht="14" x14ac:dyDescent="0.3">
      <c r="A54" s="151"/>
      <c r="B54" s="151"/>
      <c r="D54" s="339"/>
      <c r="E54" s="339"/>
      <c r="F54" s="356"/>
      <c r="G54" s="356"/>
      <c r="H54" s="356"/>
      <c r="I54" s="356"/>
      <c r="J54" s="339"/>
      <c r="K54" s="339"/>
      <c r="L54" s="339"/>
    </row>
    <row r="55" spans="1:12" ht="14" x14ac:dyDescent="0.3">
      <c r="A55" s="151"/>
      <c r="B55" s="151"/>
      <c r="C55" s="335" t="s">
        <v>555</v>
      </c>
      <c r="D55" s="339"/>
      <c r="E55" s="339"/>
      <c r="F55" s="356">
        <f>SUM(F32:F51)</f>
        <v>0.11469000000000001</v>
      </c>
      <c r="G55" s="356"/>
      <c r="H55" s="356">
        <f>SUM(H32:H51)</f>
        <v>0.10664</v>
      </c>
      <c r="I55" s="354">
        <f>SUM(I32:I51)</f>
        <v>-8.0500000000000033E-3</v>
      </c>
      <c r="J55" s="339"/>
      <c r="K55" s="339"/>
      <c r="L55" s="339"/>
    </row>
    <row r="56" spans="1:12" ht="14" x14ac:dyDescent="0.3">
      <c r="C56" s="335" t="str">
        <f>'Bill_EMA R1'!C56</f>
        <v>Total Basic Service</v>
      </c>
      <c r="D56" s="339"/>
      <c r="E56" s="339"/>
      <c r="F56" s="356">
        <f>F52</f>
        <v>0.10002999999999999</v>
      </c>
      <c r="G56" s="356"/>
      <c r="H56" s="356">
        <f>H52</f>
        <v>0.11677999999999999</v>
      </c>
      <c r="I56" s="354">
        <f>I52</f>
        <v>1.6750000000000001E-2</v>
      </c>
      <c r="J56" s="339"/>
      <c r="K56" s="339"/>
      <c r="L56" s="339"/>
    </row>
    <row r="57" spans="1:12" ht="14" x14ac:dyDescent="0.3">
      <c r="F57" s="335"/>
    </row>
  </sheetData>
  <mergeCells count="7">
    <mergeCell ref="A4:M4"/>
    <mergeCell ref="A5:M5"/>
    <mergeCell ref="A6:M6"/>
    <mergeCell ref="A8:M8"/>
    <mergeCell ref="D11:F11"/>
    <mergeCell ref="H11:J11"/>
    <mergeCell ref="L11:M11"/>
  </mergeCells>
  <pageMargins left="0.7" right="0.7" top="0.75" bottom="0.75" header="0.3" footer="0.3"/>
  <pageSetup scale="66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3C427-E1B9-413D-90B0-0AA6A5A6374C}">
  <sheetPr>
    <tabColor theme="3" tint="0.59999389629810485"/>
    <pageSetUpPr fitToPage="1"/>
  </sheetPr>
  <dimension ref="A4:X57"/>
  <sheetViews>
    <sheetView zoomScaleNormal="100" workbookViewId="0"/>
  </sheetViews>
  <sheetFormatPr defaultRowHeight="12.5" x14ac:dyDescent="0.25"/>
  <cols>
    <col min="1" max="1" width="4" bestFit="1" customWidth="1"/>
    <col min="2" max="2" width="5.54296875" bestFit="1" customWidth="1"/>
    <col min="3" max="3" width="12" customWidth="1"/>
    <col min="4" max="6" width="14.7265625" customWidth="1"/>
    <col min="7" max="7" width="2" customWidth="1"/>
    <col min="8" max="10" width="14.7265625" customWidth="1"/>
    <col min="11" max="11" width="2" customWidth="1"/>
    <col min="12" max="13" width="12" customWidth="1"/>
    <col min="15" max="15" width="10.81640625" bestFit="1" customWidth="1"/>
    <col min="16" max="18" width="9.7265625" bestFit="1" customWidth="1"/>
    <col min="19" max="19" width="8.453125" bestFit="1" customWidth="1"/>
    <col min="20" max="20" width="10.81640625" bestFit="1" customWidth="1"/>
    <col min="21" max="23" width="9.7265625" bestFit="1" customWidth="1"/>
    <col min="24" max="24" width="8.453125" bestFit="1" customWidth="1"/>
  </cols>
  <sheetData>
    <row r="4" spans="1:24" ht="14" x14ac:dyDescent="0.3">
      <c r="A4" s="759" t="str">
        <f>'Bill_WMA R1'!A4:M4</f>
        <v>Western Massachusetts</v>
      </c>
      <c r="B4" s="759"/>
      <c r="C4" s="759"/>
      <c r="D4" s="759"/>
      <c r="E4" s="759"/>
      <c r="F4" s="759"/>
      <c r="G4" s="759"/>
      <c r="H4" s="759"/>
      <c r="I4" s="759"/>
      <c r="J4" s="759"/>
      <c r="K4" s="759"/>
      <c r="L4" s="759"/>
      <c r="M4" s="759"/>
    </row>
    <row r="5" spans="1:24" ht="14" x14ac:dyDescent="0.3">
      <c r="A5" s="759" t="str">
        <f>+'Bill_WMA R1'!A5</f>
        <v>Calculation of Monthly Typical Bill</v>
      </c>
      <c r="B5" s="759"/>
      <c r="C5" s="759"/>
      <c r="D5" s="759"/>
      <c r="E5" s="759"/>
      <c r="F5" s="759"/>
      <c r="G5" s="759"/>
      <c r="H5" s="759"/>
      <c r="I5" s="759"/>
      <c r="J5" s="759"/>
      <c r="K5" s="759"/>
      <c r="L5" s="759"/>
      <c r="M5" s="759"/>
      <c r="N5" s="357"/>
    </row>
    <row r="6" spans="1:24" ht="14" x14ac:dyDescent="0.3">
      <c r="A6" s="759" t="str">
        <f>'Bill_EMA R1'!A6:M6</f>
        <v>Proposed January 1, 2019</v>
      </c>
      <c r="B6" s="759"/>
      <c r="C6" s="759"/>
      <c r="D6" s="759"/>
      <c r="E6" s="759"/>
      <c r="F6" s="759"/>
      <c r="G6" s="759"/>
      <c r="H6" s="759"/>
      <c r="I6" s="759"/>
      <c r="J6" s="759"/>
      <c r="K6" s="759"/>
      <c r="L6" s="759"/>
      <c r="M6" s="759"/>
      <c r="N6" s="357"/>
    </row>
    <row r="7" spans="1:24" ht="14" x14ac:dyDescent="0.3">
      <c r="A7" s="357"/>
      <c r="B7" s="357"/>
      <c r="C7" s="357"/>
      <c r="D7" s="357"/>
      <c r="E7" s="357"/>
      <c r="F7" s="357"/>
      <c r="G7" s="357"/>
      <c r="H7" s="357"/>
      <c r="I7" s="357"/>
      <c r="J7" s="357"/>
      <c r="K7" s="357"/>
      <c r="L7" s="357"/>
      <c r="M7" s="357"/>
      <c r="N7" s="357"/>
    </row>
    <row r="8" spans="1:24" ht="14" x14ac:dyDescent="0.3">
      <c r="A8" s="759" t="s">
        <v>336</v>
      </c>
      <c r="B8" s="759"/>
      <c r="C8" s="759"/>
      <c r="D8" s="759"/>
      <c r="E8" s="759"/>
      <c r="F8" s="759"/>
      <c r="G8" s="759"/>
      <c r="H8" s="759"/>
      <c r="I8" s="759"/>
      <c r="J8" s="759"/>
      <c r="K8" s="759"/>
      <c r="L8" s="759"/>
      <c r="M8" s="759"/>
    </row>
    <row r="9" spans="1:24" ht="14" x14ac:dyDescent="0.3">
      <c r="A9" s="329"/>
      <c r="B9" s="329"/>
      <c r="C9" s="330"/>
      <c r="D9" s="330"/>
      <c r="E9" s="330"/>
      <c r="F9" s="331"/>
      <c r="G9" s="330"/>
    </row>
    <row r="10" spans="1:24" ht="14" x14ac:dyDescent="0.3">
      <c r="A10" s="329"/>
      <c r="B10" s="329"/>
      <c r="C10" s="330"/>
      <c r="D10" s="330"/>
      <c r="E10" s="330"/>
      <c r="F10" s="332"/>
      <c r="G10" s="330"/>
    </row>
    <row r="11" spans="1:24" ht="14" x14ac:dyDescent="0.3">
      <c r="A11" s="151">
        <f>IF(C11&lt;&gt;"",COUNTA($C$11:C11),"")</f>
        <v>1</v>
      </c>
      <c r="B11" s="151"/>
      <c r="C11" s="329" t="s">
        <v>528</v>
      </c>
      <c r="D11" s="758" t="str">
        <f>+'Bill_WMA R1'!D11</f>
        <v>Current Monthly Bill</v>
      </c>
      <c r="E11" s="758"/>
      <c r="F11" s="758"/>
      <c r="G11" s="330"/>
      <c r="H11" s="758" t="str">
        <f>+'Bill_WMA R1'!H11</f>
        <v>Proposed Monthly Bill</v>
      </c>
      <c r="I11" s="758"/>
      <c r="J11" s="758"/>
      <c r="L11" s="758" t="str">
        <f>+'Bill_WMA R1'!L11</f>
        <v>Total Bill Impact</v>
      </c>
      <c r="M11" s="758"/>
      <c r="O11" s="335"/>
      <c r="P11" s="335"/>
      <c r="Q11" s="335"/>
      <c r="R11" s="335"/>
      <c r="T11" s="335"/>
      <c r="U11" s="335"/>
      <c r="V11" s="335"/>
      <c r="W11" s="335"/>
    </row>
    <row r="12" spans="1:24" ht="14" x14ac:dyDescent="0.3">
      <c r="A12" s="151">
        <f>IF(C12&lt;&gt;"",COUNTA($C$11:C12),"")</f>
        <v>2</v>
      </c>
      <c r="B12" s="151"/>
      <c r="C12" s="336" t="s">
        <v>551</v>
      </c>
      <c r="D12" s="336" t="str">
        <f>+'Bill_WMA R1'!D12</f>
        <v>Delivery</v>
      </c>
      <c r="E12" s="336" t="str">
        <f>+'Bill_WMA R1'!E12</f>
        <v>Supplier</v>
      </c>
      <c r="F12" s="336" t="str">
        <f>+'Bill_WMA R1'!F12</f>
        <v>Total</v>
      </c>
      <c r="G12" s="330"/>
      <c r="H12" s="336" t="str">
        <f>+'Bill_WMA R1'!H12</f>
        <v>Delivery</v>
      </c>
      <c r="I12" s="336" t="str">
        <f>+'Bill_WMA R1'!I12</f>
        <v>Supplier</v>
      </c>
      <c r="J12" s="336" t="str">
        <f>+'Bill_WMA R1'!J12</f>
        <v>Total</v>
      </c>
      <c r="L12" s="336" t="str">
        <f>+'Bill_WMA R1'!L12</f>
        <v>Change</v>
      </c>
      <c r="M12" s="336" t="str">
        <f>+'Bill_WMA R1'!M12</f>
        <v>% Change</v>
      </c>
    </row>
    <row r="13" spans="1:24" ht="14" x14ac:dyDescent="0.3">
      <c r="A13" s="151">
        <f>IF(C13&lt;&gt;"",COUNTA($C$11:C13),"")</f>
        <v>3</v>
      </c>
      <c r="B13" s="151"/>
      <c r="C13" s="337">
        <v>100</v>
      </c>
      <c r="D13" s="338">
        <f t="shared" ref="D13:D26" si="0">ROUND(($C13*SUM($F$32:$F$51)+$F$31)*(1-$F$53),2)</f>
        <v>10.96</v>
      </c>
      <c r="E13" s="338">
        <f t="shared" ref="E13:E26" si="1">ROUND(($F$52*C13)*(1-$F$53),2)</f>
        <v>6.4</v>
      </c>
      <c r="F13" s="338">
        <f>SUM(D13:E13)</f>
        <v>17.36</v>
      </c>
      <c r="G13" s="358"/>
      <c r="H13" s="338">
        <f t="shared" ref="H13:H26" si="2">ROUND(($C13*SUM($H$32:$H$51)+$H$31)*(1-$H$53),2)</f>
        <v>10.45</v>
      </c>
      <c r="I13" s="338">
        <f t="shared" ref="I13:I26" si="3">ROUND(($H$52*C13)*(1-$H$53),2)</f>
        <v>7.47</v>
      </c>
      <c r="J13" s="338">
        <f>SUM(H13:I13)</f>
        <v>17.919999999999998</v>
      </c>
      <c r="K13" s="339"/>
      <c r="L13" s="340">
        <f>+J13-F13</f>
        <v>0.55999999999999872</v>
      </c>
      <c r="M13" s="341">
        <f>+L13/F13</f>
        <v>3.2258064516128962E-2</v>
      </c>
      <c r="O13" s="339"/>
      <c r="P13" s="339"/>
      <c r="Q13" s="339"/>
      <c r="R13" s="339"/>
      <c r="S13" s="339"/>
      <c r="T13" s="339"/>
      <c r="U13" s="339"/>
      <c r="V13" s="339"/>
      <c r="W13" s="339"/>
      <c r="X13" s="339"/>
    </row>
    <row r="14" spans="1:24" ht="14" x14ac:dyDescent="0.3">
      <c r="A14" s="151">
        <f>IF(C14&lt;&gt;"",COUNTA($C$11:C14),"")</f>
        <v>4</v>
      </c>
      <c r="B14" s="151"/>
      <c r="C14" s="337">
        <v>200</v>
      </c>
      <c r="D14" s="338">
        <f t="shared" si="0"/>
        <v>17.45</v>
      </c>
      <c r="E14" s="338">
        <f t="shared" si="1"/>
        <v>12.8</v>
      </c>
      <c r="F14" s="338">
        <f t="shared" ref="F14:F26" si="4">SUM(D14:E14)</f>
        <v>30.25</v>
      </c>
      <c r="G14" s="358"/>
      <c r="H14" s="338">
        <f t="shared" si="2"/>
        <v>16.420000000000002</v>
      </c>
      <c r="I14" s="338">
        <f t="shared" si="3"/>
        <v>14.95</v>
      </c>
      <c r="J14" s="338">
        <f t="shared" ref="J14:J26" si="5">SUM(H14:I14)</f>
        <v>31.37</v>
      </c>
      <c r="K14" s="339"/>
      <c r="L14" s="340">
        <f t="shared" ref="L14:L26" si="6">+J14-F14</f>
        <v>1.120000000000001</v>
      </c>
      <c r="M14" s="341">
        <f t="shared" ref="M14:M26" si="7">+L14/F14</f>
        <v>3.7024793388429782E-2</v>
      </c>
      <c r="O14" s="339"/>
      <c r="P14" s="339"/>
      <c r="Q14" s="339"/>
      <c r="R14" s="339"/>
      <c r="S14" s="339"/>
      <c r="T14" s="339"/>
      <c r="U14" s="339"/>
      <c r="V14" s="339"/>
      <c r="W14" s="339"/>
      <c r="X14" s="339"/>
    </row>
    <row r="15" spans="1:24" ht="14" x14ac:dyDescent="0.3">
      <c r="A15" s="151">
        <f>IF(C15&lt;&gt;"",COUNTA($C$11:C15),"")</f>
        <v>5</v>
      </c>
      <c r="B15" s="151"/>
      <c r="C15" s="337">
        <v>300</v>
      </c>
      <c r="D15" s="338">
        <f t="shared" si="0"/>
        <v>23.93</v>
      </c>
      <c r="E15" s="338">
        <f t="shared" si="1"/>
        <v>19.21</v>
      </c>
      <c r="F15" s="338">
        <f t="shared" si="4"/>
        <v>43.14</v>
      </c>
      <c r="G15" s="358"/>
      <c r="H15" s="338">
        <f t="shared" si="2"/>
        <v>22.39</v>
      </c>
      <c r="I15" s="338">
        <f t="shared" si="3"/>
        <v>22.42</v>
      </c>
      <c r="J15" s="338">
        <f t="shared" si="5"/>
        <v>44.81</v>
      </c>
      <c r="K15" s="339"/>
      <c r="L15" s="340">
        <f t="shared" si="6"/>
        <v>1.6700000000000017</v>
      </c>
      <c r="M15" s="341">
        <f t="shared" si="7"/>
        <v>3.8711172925359333E-2</v>
      </c>
      <c r="O15" s="339"/>
      <c r="P15" s="339"/>
      <c r="Q15" s="339"/>
      <c r="R15" s="339"/>
      <c r="S15" s="339"/>
      <c r="T15" s="339"/>
      <c r="U15" s="339"/>
      <c r="V15" s="339"/>
      <c r="W15" s="339"/>
      <c r="X15" s="339"/>
    </row>
    <row r="16" spans="1:24" ht="14" x14ac:dyDescent="0.3">
      <c r="A16" s="151">
        <f>IF(C16&lt;&gt;"",COUNTA($C$11:C16),"")</f>
        <v>6</v>
      </c>
      <c r="B16" s="151"/>
      <c r="C16" s="337">
        <v>400</v>
      </c>
      <c r="D16" s="338">
        <f t="shared" si="0"/>
        <v>30.42</v>
      </c>
      <c r="E16" s="338">
        <f t="shared" si="1"/>
        <v>25.61</v>
      </c>
      <c r="F16" s="338">
        <f t="shared" si="4"/>
        <v>56.03</v>
      </c>
      <c r="G16" s="358"/>
      <c r="H16" s="338">
        <f t="shared" si="2"/>
        <v>28.36</v>
      </c>
      <c r="I16" s="338">
        <f t="shared" si="3"/>
        <v>29.9</v>
      </c>
      <c r="J16" s="338">
        <f t="shared" si="5"/>
        <v>58.26</v>
      </c>
      <c r="K16" s="339"/>
      <c r="L16" s="340">
        <f t="shared" si="6"/>
        <v>2.2299999999999969</v>
      </c>
      <c r="M16" s="341">
        <f t="shared" si="7"/>
        <v>3.9800107085489859E-2</v>
      </c>
      <c r="O16" s="339"/>
      <c r="P16" s="339"/>
      <c r="Q16" s="339"/>
      <c r="R16" s="339"/>
      <c r="S16" s="339"/>
      <c r="T16" s="339"/>
      <c r="U16" s="339"/>
      <c r="V16" s="339"/>
      <c r="W16" s="339"/>
      <c r="X16" s="339"/>
    </row>
    <row r="17" spans="1:24" ht="14" x14ac:dyDescent="0.3">
      <c r="A17" s="151">
        <f>IF(C17&lt;&gt;"",COUNTA($C$11:C17),"")</f>
        <v>7</v>
      </c>
      <c r="B17" s="151"/>
      <c r="C17" s="337">
        <v>500</v>
      </c>
      <c r="D17" s="338">
        <f t="shared" si="0"/>
        <v>36.9</v>
      </c>
      <c r="E17" s="338">
        <f t="shared" si="1"/>
        <v>32.01</v>
      </c>
      <c r="F17" s="338">
        <f t="shared" si="4"/>
        <v>68.91</v>
      </c>
      <c r="G17" s="358"/>
      <c r="H17" s="338">
        <f t="shared" si="2"/>
        <v>34.33</v>
      </c>
      <c r="I17" s="338">
        <f t="shared" si="3"/>
        <v>37.369999999999997</v>
      </c>
      <c r="J17" s="338">
        <f t="shared" si="5"/>
        <v>71.699999999999989</v>
      </c>
      <c r="K17" s="339"/>
      <c r="L17" s="340">
        <f t="shared" si="6"/>
        <v>2.789999999999992</v>
      </c>
      <c r="M17" s="341">
        <f t="shared" si="7"/>
        <v>4.0487592511972023E-2</v>
      </c>
      <c r="O17" s="339"/>
      <c r="P17" s="339"/>
      <c r="Q17" s="339"/>
      <c r="R17" s="339"/>
      <c r="S17" s="339"/>
      <c r="T17" s="339"/>
      <c r="U17" s="339"/>
      <c r="V17" s="339"/>
      <c r="W17" s="339"/>
      <c r="X17" s="339"/>
    </row>
    <row r="18" spans="1:24" ht="14" x14ac:dyDescent="0.3">
      <c r="A18" s="151">
        <f>IF(C18&lt;&gt;"",COUNTA($C$11:C18),"")</f>
        <v>8</v>
      </c>
      <c r="B18" s="151"/>
      <c r="C18" s="337">
        <v>600</v>
      </c>
      <c r="D18" s="338">
        <f t="shared" si="0"/>
        <v>43.39</v>
      </c>
      <c r="E18" s="338">
        <f t="shared" si="1"/>
        <v>38.409999999999997</v>
      </c>
      <c r="F18" s="338">
        <f t="shared" si="4"/>
        <v>81.8</v>
      </c>
      <c r="G18" s="358"/>
      <c r="H18" s="338">
        <f t="shared" si="2"/>
        <v>40.299999999999997</v>
      </c>
      <c r="I18" s="338">
        <f t="shared" si="3"/>
        <v>44.84</v>
      </c>
      <c r="J18" s="338">
        <f t="shared" si="5"/>
        <v>85.14</v>
      </c>
      <c r="K18" s="339"/>
      <c r="L18" s="340">
        <f t="shared" si="6"/>
        <v>3.3400000000000034</v>
      </c>
      <c r="M18" s="341">
        <f t="shared" si="7"/>
        <v>4.0831295843520826E-2</v>
      </c>
      <c r="O18" s="339"/>
      <c r="P18" s="339"/>
      <c r="Q18" s="339"/>
      <c r="R18" s="339"/>
      <c r="S18" s="339"/>
      <c r="T18" s="339"/>
      <c r="U18" s="339"/>
      <c r="V18" s="339"/>
      <c r="W18" s="339"/>
      <c r="X18" s="339"/>
    </row>
    <row r="19" spans="1:24" ht="14" x14ac:dyDescent="0.3">
      <c r="A19" s="151">
        <f>IF(C19&lt;&gt;"",COUNTA($C$11:C19),"")</f>
        <v>9</v>
      </c>
      <c r="B19" s="151"/>
      <c r="C19" s="337">
        <v>700</v>
      </c>
      <c r="D19" s="338">
        <f t="shared" si="0"/>
        <v>49.87</v>
      </c>
      <c r="E19" s="338">
        <f t="shared" si="1"/>
        <v>44.81</v>
      </c>
      <c r="F19" s="338">
        <f t="shared" si="4"/>
        <v>94.68</v>
      </c>
      <c r="G19" s="358"/>
      <c r="H19" s="338">
        <f t="shared" si="2"/>
        <v>46.26</v>
      </c>
      <c r="I19" s="338">
        <f t="shared" si="3"/>
        <v>52.32</v>
      </c>
      <c r="J19" s="338">
        <f t="shared" si="5"/>
        <v>98.58</v>
      </c>
      <c r="K19" s="339"/>
      <c r="L19" s="340">
        <f t="shared" si="6"/>
        <v>3.8999999999999915</v>
      </c>
      <c r="M19" s="341">
        <f t="shared" si="7"/>
        <v>4.1191381495563915E-2</v>
      </c>
      <c r="O19" s="339"/>
      <c r="P19" s="339"/>
      <c r="Q19" s="339"/>
      <c r="R19" s="339"/>
      <c r="S19" s="339"/>
      <c r="T19" s="339"/>
      <c r="U19" s="339"/>
      <c r="V19" s="339"/>
      <c r="W19" s="339"/>
      <c r="X19" s="339"/>
    </row>
    <row r="20" spans="1:24" ht="14" x14ac:dyDescent="0.3">
      <c r="A20" s="151">
        <f>IF(C20&lt;&gt;"",COUNTA($C$11:C20),"")</f>
        <v>10</v>
      </c>
      <c r="B20" s="151"/>
      <c r="C20" s="337">
        <v>800</v>
      </c>
      <c r="D20" s="338">
        <f t="shared" si="0"/>
        <v>56.36</v>
      </c>
      <c r="E20" s="338">
        <f t="shared" si="1"/>
        <v>51.22</v>
      </c>
      <c r="F20" s="338">
        <f t="shared" si="4"/>
        <v>107.58</v>
      </c>
      <c r="G20" s="358"/>
      <c r="H20" s="338">
        <f t="shared" si="2"/>
        <v>52.23</v>
      </c>
      <c r="I20" s="338">
        <f t="shared" si="3"/>
        <v>59.79</v>
      </c>
      <c r="J20" s="338">
        <f t="shared" si="5"/>
        <v>112.02</v>
      </c>
      <c r="K20" s="339"/>
      <c r="L20" s="340">
        <f t="shared" si="6"/>
        <v>4.4399999999999977</v>
      </c>
      <c r="M20" s="341">
        <f t="shared" si="7"/>
        <v>4.127161182375904E-2</v>
      </c>
      <c r="O20" s="339"/>
      <c r="P20" s="339"/>
      <c r="Q20" s="339"/>
      <c r="R20" s="339"/>
      <c r="S20" s="339"/>
      <c r="T20" s="339"/>
      <c r="U20" s="339"/>
      <c r="V20" s="339"/>
      <c r="W20" s="339"/>
      <c r="X20" s="339"/>
    </row>
    <row r="21" spans="1:24" ht="14" x14ac:dyDescent="0.3">
      <c r="A21" s="151">
        <f>IF(C21&lt;&gt;"",COUNTA($C$11:C21),"")</f>
        <v>11</v>
      </c>
      <c r="B21" s="151"/>
      <c r="C21" s="337">
        <v>900</v>
      </c>
      <c r="D21" s="338">
        <f t="shared" si="0"/>
        <v>62.84</v>
      </c>
      <c r="E21" s="338">
        <f t="shared" si="1"/>
        <v>57.62</v>
      </c>
      <c r="F21" s="338">
        <f t="shared" si="4"/>
        <v>120.46000000000001</v>
      </c>
      <c r="G21" s="358"/>
      <c r="H21" s="338">
        <f t="shared" si="2"/>
        <v>58.2</v>
      </c>
      <c r="I21" s="338">
        <f t="shared" si="3"/>
        <v>67.27</v>
      </c>
      <c r="J21" s="338">
        <f t="shared" si="5"/>
        <v>125.47</v>
      </c>
      <c r="K21" s="339"/>
      <c r="L21" s="340">
        <f t="shared" si="6"/>
        <v>5.0099999999999909</v>
      </c>
      <c r="M21" s="341">
        <f t="shared" si="7"/>
        <v>4.1590569483645944E-2</v>
      </c>
      <c r="O21" s="339"/>
      <c r="P21" s="339"/>
      <c r="Q21" s="339"/>
      <c r="R21" s="339"/>
      <c r="S21" s="339"/>
      <c r="T21" s="339"/>
      <c r="U21" s="339"/>
      <c r="V21" s="339"/>
      <c r="W21" s="339"/>
      <c r="X21" s="339"/>
    </row>
    <row r="22" spans="1:24" ht="14" x14ac:dyDescent="0.3">
      <c r="A22" s="151">
        <f>IF(C22&lt;&gt;"",COUNTA($C$11:C22),"")</f>
        <v>12</v>
      </c>
      <c r="B22" s="151"/>
      <c r="C22" s="337">
        <v>1000</v>
      </c>
      <c r="D22" s="338">
        <f t="shared" si="0"/>
        <v>69.319999999999993</v>
      </c>
      <c r="E22" s="338">
        <f t="shared" si="1"/>
        <v>64.02</v>
      </c>
      <c r="F22" s="338">
        <f t="shared" si="4"/>
        <v>133.33999999999997</v>
      </c>
      <c r="G22" s="358"/>
      <c r="H22" s="338">
        <f t="shared" si="2"/>
        <v>64.17</v>
      </c>
      <c r="I22" s="338">
        <f t="shared" si="3"/>
        <v>74.739999999999995</v>
      </c>
      <c r="J22" s="338">
        <f t="shared" si="5"/>
        <v>138.91</v>
      </c>
      <c r="K22" s="339"/>
      <c r="L22" s="340">
        <f t="shared" si="6"/>
        <v>5.5700000000000216</v>
      </c>
      <c r="M22" s="341">
        <f t="shared" si="7"/>
        <v>4.1772911354432452E-2</v>
      </c>
      <c r="O22" s="339"/>
      <c r="P22" s="339"/>
      <c r="Q22" s="339"/>
      <c r="R22" s="339"/>
      <c r="S22" s="339"/>
      <c r="T22" s="339"/>
      <c r="U22" s="339"/>
      <c r="V22" s="339"/>
      <c r="W22" s="339"/>
      <c r="X22" s="339"/>
    </row>
    <row r="23" spans="1:24" ht="14" x14ac:dyDescent="0.3">
      <c r="A23" s="151">
        <f>IF(C23&lt;&gt;"",COUNTA($C$11:C23),"")</f>
        <v>13</v>
      </c>
      <c r="B23" s="151"/>
      <c r="C23" s="337">
        <v>1250</v>
      </c>
      <c r="D23" s="338">
        <f t="shared" si="0"/>
        <v>85.54</v>
      </c>
      <c r="E23" s="338">
        <f t="shared" si="1"/>
        <v>80.02</v>
      </c>
      <c r="F23" s="338">
        <f t="shared" si="4"/>
        <v>165.56</v>
      </c>
      <c r="G23" s="358"/>
      <c r="H23" s="338">
        <f t="shared" si="2"/>
        <v>79.099999999999994</v>
      </c>
      <c r="I23" s="338">
        <f t="shared" si="3"/>
        <v>93.42</v>
      </c>
      <c r="J23" s="338">
        <f t="shared" si="5"/>
        <v>172.51999999999998</v>
      </c>
      <c r="K23" s="339"/>
      <c r="L23" s="340">
        <f t="shared" si="6"/>
        <v>6.9599999999999795</v>
      </c>
      <c r="M23" s="341">
        <f t="shared" si="7"/>
        <v>4.2039139888861918E-2</v>
      </c>
      <c r="O23" s="339"/>
      <c r="P23" s="339"/>
      <c r="Q23" s="339"/>
      <c r="R23" s="339"/>
      <c r="S23" s="339"/>
      <c r="T23" s="339"/>
      <c r="U23" s="339"/>
      <c r="V23" s="339"/>
      <c r="W23" s="339"/>
      <c r="X23" s="339"/>
    </row>
    <row r="24" spans="1:24" ht="14" x14ac:dyDescent="0.3">
      <c r="A24" s="151">
        <f>IF(C24&lt;&gt;"",COUNTA($C$11:C24),"")</f>
        <v>14</v>
      </c>
      <c r="B24" s="151"/>
      <c r="C24" s="337">
        <v>1500</v>
      </c>
      <c r="D24" s="338">
        <f t="shared" si="0"/>
        <v>101.75</v>
      </c>
      <c r="E24" s="338">
        <f t="shared" si="1"/>
        <v>96.03</v>
      </c>
      <c r="F24" s="338">
        <f t="shared" si="4"/>
        <v>197.78</v>
      </c>
      <c r="G24" s="358"/>
      <c r="H24" s="338">
        <f t="shared" si="2"/>
        <v>94.02</v>
      </c>
      <c r="I24" s="338">
        <f t="shared" si="3"/>
        <v>112.11</v>
      </c>
      <c r="J24" s="338">
        <f t="shared" si="5"/>
        <v>206.13</v>
      </c>
      <c r="K24" s="339"/>
      <c r="L24" s="340">
        <f t="shared" si="6"/>
        <v>8.3499999999999943</v>
      </c>
      <c r="M24" s="341">
        <f t="shared" si="7"/>
        <v>4.2218626757002699E-2</v>
      </c>
      <c r="O24" s="339"/>
      <c r="P24" s="339"/>
      <c r="Q24" s="339"/>
      <c r="R24" s="339"/>
      <c r="S24" s="339"/>
      <c r="T24" s="339"/>
      <c r="U24" s="339"/>
      <c r="V24" s="339"/>
      <c r="W24" s="339"/>
      <c r="X24" s="339"/>
    </row>
    <row r="25" spans="1:24" ht="14" x14ac:dyDescent="0.3">
      <c r="A25" s="151">
        <f>IF(C25&lt;&gt;"",COUNTA($C$11:C25),"")</f>
        <v>15</v>
      </c>
      <c r="B25" s="151"/>
      <c r="C25" s="337">
        <v>2000</v>
      </c>
      <c r="D25" s="338">
        <f t="shared" si="0"/>
        <v>134.16999999999999</v>
      </c>
      <c r="E25" s="338">
        <f t="shared" si="1"/>
        <v>128.04</v>
      </c>
      <c r="F25" s="338">
        <f t="shared" si="4"/>
        <v>262.20999999999998</v>
      </c>
      <c r="G25" s="358"/>
      <c r="H25" s="338">
        <f t="shared" si="2"/>
        <v>123.87</v>
      </c>
      <c r="I25" s="338">
        <f t="shared" si="3"/>
        <v>149.47999999999999</v>
      </c>
      <c r="J25" s="338">
        <f t="shared" si="5"/>
        <v>273.35000000000002</v>
      </c>
      <c r="K25" s="339"/>
      <c r="L25" s="340">
        <f t="shared" si="6"/>
        <v>11.140000000000043</v>
      </c>
      <c r="M25" s="341">
        <f t="shared" si="7"/>
        <v>4.2485031081957378E-2</v>
      </c>
      <c r="O25" s="339"/>
      <c r="P25" s="339"/>
      <c r="Q25" s="339"/>
      <c r="R25" s="339"/>
      <c r="S25" s="339"/>
      <c r="T25" s="339"/>
      <c r="U25" s="339"/>
      <c r="V25" s="339"/>
      <c r="W25" s="339"/>
      <c r="X25" s="339"/>
    </row>
    <row r="26" spans="1:24" ht="14" x14ac:dyDescent="0.3">
      <c r="A26" s="151">
        <f>IF(C26&lt;&gt;"",COUNTA($C$11:C26),"")</f>
        <v>16</v>
      </c>
      <c r="B26" s="151" t="s">
        <v>554</v>
      </c>
      <c r="C26" s="337">
        <v>488</v>
      </c>
      <c r="D26" s="338">
        <f t="shared" si="0"/>
        <v>36.119999999999997</v>
      </c>
      <c r="E26" s="338">
        <f t="shared" si="1"/>
        <v>31.24</v>
      </c>
      <c r="F26" s="338">
        <f t="shared" si="4"/>
        <v>67.36</v>
      </c>
      <c r="G26" s="358"/>
      <c r="H26" s="338">
        <f t="shared" si="2"/>
        <v>33.61</v>
      </c>
      <c r="I26" s="338">
        <f t="shared" si="3"/>
        <v>36.47</v>
      </c>
      <c r="J26" s="338">
        <f t="shared" si="5"/>
        <v>70.08</v>
      </c>
      <c r="K26" s="339"/>
      <c r="L26" s="340">
        <f t="shared" si="6"/>
        <v>2.7199999999999989</v>
      </c>
      <c r="M26" s="341">
        <f t="shared" si="7"/>
        <v>4.0380047505938224E-2</v>
      </c>
      <c r="O26" s="339"/>
      <c r="P26" s="339"/>
      <c r="Q26" s="339"/>
      <c r="R26" s="339"/>
      <c r="S26" s="339"/>
      <c r="T26" s="339"/>
      <c r="U26" s="339"/>
      <c r="V26" s="339"/>
      <c r="W26" s="339"/>
      <c r="X26" s="339"/>
    </row>
    <row r="27" spans="1:24" ht="14" x14ac:dyDescent="0.3">
      <c r="A27" s="151" t="str">
        <f>IF(C27&lt;&gt;"",COUNTA($C$11:C27),"")</f>
        <v/>
      </c>
      <c r="B27" s="151"/>
      <c r="C27" s="337"/>
      <c r="D27" s="344"/>
      <c r="E27" s="344"/>
      <c r="F27" s="344"/>
      <c r="G27" s="359"/>
      <c r="H27" s="344"/>
      <c r="I27" s="344"/>
      <c r="J27" s="344"/>
      <c r="K27" s="345"/>
      <c r="L27" s="345"/>
    </row>
    <row r="28" spans="1:24" ht="14" x14ac:dyDescent="0.3">
      <c r="A28" s="151" t="str">
        <f>IF(C28&lt;&gt;"",COUNTA($C$11:C28),"")</f>
        <v/>
      </c>
      <c r="B28" s="151"/>
      <c r="C28" s="343"/>
      <c r="D28" s="344"/>
      <c r="E28" s="344"/>
      <c r="F28" s="344"/>
      <c r="G28" s="359"/>
      <c r="H28" s="344"/>
      <c r="I28" s="344"/>
      <c r="J28" s="344"/>
      <c r="K28" s="345"/>
      <c r="L28" s="345"/>
    </row>
    <row r="29" spans="1:24" ht="14" x14ac:dyDescent="0.3">
      <c r="A29" s="151">
        <f>IF(C29&lt;&gt;"",COUNTA($C$11:C29),"")</f>
        <v>17</v>
      </c>
      <c r="B29" s="151"/>
      <c r="C29" s="293" t="s">
        <v>46</v>
      </c>
      <c r="D29" s="339"/>
      <c r="E29" s="339"/>
      <c r="F29" s="347" t="str">
        <f>+'Bill_WMA R1'!F29</f>
        <v>Current</v>
      </c>
      <c r="G29" s="360"/>
      <c r="H29" s="347" t="str">
        <f>+'Bill_WMA R1'!H29</f>
        <v>Proposed</v>
      </c>
      <c r="I29" s="348"/>
      <c r="J29" s="339"/>
      <c r="K29" s="339"/>
      <c r="L29" s="339"/>
    </row>
    <row r="30" spans="1:24" ht="14" x14ac:dyDescent="0.3">
      <c r="A30" s="151">
        <f>IF(C30&lt;&gt;"",COUNTA($C$11:C30),"")</f>
        <v>18</v>
      </c>
      <c r="B30" s="151"/>
      <c r="C30" s="293" t="s">
        <v>46</v>
      </c>
      <c r="D30" s="339"/>
      <c r="E30" s="339"/>
      <c r="F30" s="349" t="s">
        <v>239</v>
      </c>
      <c r="G30" s="360"/>
      <c r="H30" s="349" t="s">
        <v>239</v>
      </c>
      <c r="I30" s="349" t="s">
        <v>65</v>
      </c>
      <c r="J30" s="339"/>
      <c r="K30" s="339"/>
      <c r="L30" s="339"/>
    </row>
    <row r="31" spans="1:24" ht="14" x14ac:dyDescent="0.3">
      <c r="A31" s="151">
        <f>IF(C31&lt;&gt;"",COUNTA($C$11:C31),"")</f>
        <v>19</v>
      </c>
      <c r="B31" s="151"/>
      <c r="C31" s="330" t="str">
        <f>+'Bill_EMA R2'!C31</f>
        <v>Customer Charge</v>
      </c>
      <c r="D31" s="339"/>
      <c r="E31" s="339"/>
      <c r="F31" s="350">
        <v>7</v>
      </c>
      <c r="G31" s="350"/>
      <c r="H31" s="350">
        <f>+F31</f>
        <v>7</v>
      </c>
      <c r="I31" s="351">
        <f>+H31-F31</f>
        <v>0</v>
      </c>
      <c r="J31" s="339"/>
      <c r="K31" s="339"/>
      <c r="L31" s="339"/>
    </row>
    <row r="32" spans="1:24" ht="14" x14ac:dyDescent="0.3">
      <c r="A32" s="151">
        <f>IF(C32&lt;&gt;"",COUNTA($C$11:C32),"")</f>
        <v>20</v>
      </c>
      <c r="B32" s="151"/>
      <c r="C32" s="330" t="str">
        <f>+'Bill_EMA R2'!C32</f>
        <v>Distribution Energy</v>
      </c>
      <c r="D32" s="339"/>
      <c r="E32" s="339"/>
      <c r="F32" s="277">
        <v>4.3720000000000002E-2</v>
      </c>
      <c r="G32" s="277"/>
      <c r="H32" s="277">
        <v>4.5629999999999997E-2</v>
      </c>
      <c r="I32" s="354">
        <f t="shared" ref="I32:I53" si="8">+H32-F32</f>
        <v>1.909999999999995E-3</v>
      </c>
      <c r="J32" s="339"/>
      <c r="K32" s="339"/>
      <c r="L32" s="339"/>
    </row>
    <row r="33" spans="1:12" ht="14" x14ac:dyDescent="0.3">
      <c r="A33" s="151">
        <f>IF(C33&lt;&gt;"",COUNTA($C$11:C33),"")</f>
        <v>21</v>
      </c>
      <c r="B33" s="151"/>
      <c r="C33" s="330" t="str">
        <f>+'Bill_EMA R2'!C33</f>
        <v>Revenue Decoupling</v>
      </c>
      <c r="D33" s="339"/>
      <c r="E33" s="339"/>
      <c r="F33" s="277">
        <v>7.5000000000000002E-4</v>
      </c>
      <c r="G33" s="277"/>
      <c r="H33" s="277">
        <v>-5.6999999999999998E-4</v>
      </c>
      <c r="I33" s="354">
        <f t="shared" si="8"/>
        <v>-1.32E-3</v>
      </c>
      <c r="J33" s="339"/>
      <c r="K33" s="339"/>
      <c r="L33" s="339"/>
    </row>
    <row r="34" spans="1:12" ht="14" x14ac:dyDescent="0.3">
      <c r="A34" s="151">
        <f>IF(C34&lt;&gt;"",COUNTA($C$11:C34),"")</f>
        <v>22</v>
      </c>
      <c r="B34" s="151"/>
      <c r="C34" s="330" t="str">
        <f>+'Bill_EMA R2'!C34</f>
        <v>Residential Assistance Adjustment Factor</v>
      </c>
      <c r="D34" s="339"/>
      <c r="E34" s="339"/>
      <c r="F34" s="277">
        <v>1.323E-2</v>
      </c>
      <c r="G34" s="277"/>
      <c r="H34" s="277">
        <v>4.8199999999999996E-3</v>
      </c>
      <c r="I34" s="354">
        <f t="shared" si="8"/>
        <v>-8.4100000000000008E-3</v>
      </c>
      <c r="J34" s="339"/>
      <c r="K34" s="339"/>
      <c r="L34" s="339"/>
    </row>
    <row r="35" spans="1:12" ht="14" x14ac:dyDescent="0.3">
      <c r="A35" s="151">
        <f>IF(C35&lt;&gt;"",COUNTA($C$11:C35),"")</f>
        <v>23</v>
      </c>
      <c r="B35" s="151"/>
      <c r="C35" s="330" t="str">
        <f>+'Bill_EMA R2'!C35</f>
        <v>Pension Adjustment Factor</v>
      </c>
      <c r="D35" s="339"/>
      <c r="E35" s="339"/>
      <c r="F35" s="277">
        <v>1.4300000000000001E-3</v>
      </c>
      <c r="G35" s="277"/>
      <c r="H35" s="277">
        <v>9.3000000000000005E-4</v>
      </c>
      <c r="I35" s="354">
        <f t="shared" si="8"/>
        <v>-5.0000000000000001E-4</v>
      </c>
      <c r="J35" s="339"/>
      <c r="K35" s="339"/>
      <c r="L35" s="339"/>
    </row>
    <row r="36" spans="1:12" ht="14" x14ac:dyDescent="0.3">
      <c r="A36" s="151">
        <f>IF(C36&lt;&gt;"",COUNTA($C$11:C36),"")</f>
        <v>24</v>
      </c>
      <c r="B36" s="151"/>
      <c r="C36" s="330" t="str">
        <f>+'Bill_EMA R2'!C36</f>
        <v>Net Metering Recovery Surcharge</v>
      </c>
      <c r="D36" s="339"/>
      <c r="E36" s="339"/>
      <c r="F36" s="277">
        <v>5.7499999999999999E-3</v>
      </c>
      <c r="G36" s="277"/>
      <c r="H36" s="277">
        <v>6.2899999999999996E-3</v>
      </c>
      <c r="I36" s="354">
        <f t="shared" si="8"/>
        <v>5.3999999999999968E-4</v>
      </c>
      <c r="J36" s="339"/>
      <c r="K36" s="339"/>
      <c r="L36" s="339"/>
    </row>
    <row r="37" spans="1:12" ht="14" x14ac:dyDescent="0.3">
      <c r="A37" s="151">
        <f>IF(C37&lt;&gt;"",COUNTA($C$11:C37),"")</f>
        <v>25</v>
      </c>
      <c r="B37" s="151"/>
      <c r="C37" s="330" t="str">
        <f>+'Bill_EMA R2'!C37</f>
        <v>Long Term Renewable Contract Adjustment</v>
      </c>
      <c r="D37" s="339"/>
      <c r="E37" s="339"/>
      <c r="F37" s="277">
        <v>3.31E-3</v>
      </c>
      <c r="G37" s="277"/>
      <c r="H37" s="277">
        <v>1.74E-3</v>
      </c>
      <c r="I37" s="354">
        <f t="shared" si="8"/>
        <v>-1.57E-3</v>
      </c>
      <c r="J37" s="339"/>
      <c r="K37" s="339"/>
      <c r="L37" s="339"/>
    </row>
    <row r="38" spans="1:12" ht="14" x14ac:dyDescent="0.3">
      <c r="A38" s="151">
        <f>IF(C38&lt;&gt;"",COUNTA($C$11:C38),"")</f>
        <v>26</v>
      </c>
      <c r="B38" s="151"/>
      <c r="C38" s="330" t="str">
        <f>+'Bill_EMA R2'!C38</f>
        <v>AG Consulting Expense</v>
      </c>
      <c r="D38" s="339"/>
      <c r="E38" s="339"/>
      <c r="F38" s="277">
        <v>4.0000000000000003E-5</v>
      </c>
      <c r="G38" s="277"/>
      <c r="H38" s="277">
        <v>1.0000000000000001E-5</v>
      </c>
      <c r="I38" s="354">
        <f t="shared" si="8"/>
        <v>-3.0000000000000004E-5</v>
      </c>
      <c r="J38" s="339"/>
      <c r="K38" s="339"/>
      <c r="L38" s="339"/>
    </row>
    <row r="39" spans="1:12" ht="14" x14ac:dyDescent="0.3">
      <c r="A39" s="151">
        <f>IF(C39&lt;&gt;"",COUNTA($C$11:C39),"")</f>
        <v>27</v>
      </c>
      <c r="B39" s="151"/>
      <c r="C39" s="330" t="str">
        <f>+'Bill_EMA R2'!C39</f>
        <v>Storm Cost Recovery Adjustment Factor</v>
      </c>
      <c r="D39" s="339"/>
      <c r="E39" s="339"/>
      <c r="F39" s="277">
        <v>3.0699999999999998E-3</v>
      </c>
      <c r="G39" s="277"/>
      <c r="H39" s="277">
        <v>3.6700000000000001E-3</v>
      </c>
      <c r="I39" s="354">
        <f t="shared" si="8"/>
        <v>6.0000000000000027E-4</v>
      </c>
      <c r="J39" s="339"/>
      <c r="K39" s="339"/>
      <c r="L39" s="339"/>
    </row>
    <row r="40" spans="1:12" ht="14" x14ac:dyDescent="0.3">
      <c r="A40" s="151">
        <f>IF(C40&lt;&gt;"",COUNTA($C$11:C40),"")</f>
        <v>28</v>
      </c>
      <c r="B40" s="151"/>
      <c r="C40" s="330" t="str">
        <f>+'Bill_EMA R2'!C40</f>
        <v>Storm Reserve Adjustment</v>
      </c>
      <c r="D40" s="339"/>
      <c r="E40" s="339"/>
      <c r="F40" s="277">
        <v>0</v>
      </c>
      <c r="G40" s="277"/>
      <c r="H40" s="277">
        <v>0</v>
      </c>
      <c r="I40" s="354">
        <f t="shared" si="8"/>
        <v>0</v>
      </c>
      <c r="J40" s="339"/>
      <c r="K40" s="339"/>
      <c r="L40" s="339"/>
    </row>
    <row r="41" spans="1:12" ht="14" x14ac:dyDescent="0.3">
      <c r="A41" s="151">
        <f>IF(C41&lt;&gt;"",COUNTA($C$11:C41),"")</f>
        <v>29</v>
      </c>
      <c r="B41" s="151"/>
      <c r="C41" s="330" t="str">
        <f>+'Bill_EMA R2'!C41</f>
        <v>Basic Service Cost True Up Factor</v>
      </c>
      <c r="D41" s="339"/>
      <c r="E41" s="339"/>
      <c r="F41" s="277">
        <v>2.7E-4</v>
      </c>
      <c r="G41" s="277"/>
      <c r="H41" s="277">
        <v>-2.4000000000000001E-4</v>
      </c>
      <c r="I41" s="354">
        <f t="shared" si="8"/>
        <v>-5.1000000000000004E-4</v>
      </c>
      <c r="J41" s="339"/>
      <c r="K41" s="339"/>
      <c r="L41" s="339"/>
    </row>
    <row r="42" spans="1:12" ht="14" x14ac:dyDescent="0.3">
      <c r="A42" s="151">
        <f>IF(C42&lt;&gt;"",COUNTA($C$11:C42),"")</f>
        <v>30</v>
      </c>
      <c r="B42" s="151"/>
      <c r="C42" s="330" t="str">
        <f>+'Bill_EMA R2'!C42</f>
        <v>Solar Program Cost Adjustment Factor</v>
      </c>
      <c r="D42" s="339"/>
      <c r="E42" s="339"/>
      <c r="F42" s="277">
        <v>-1.6000000000000001E-4</v>
      </c>
      <c r="G42" s="277"/>
      <c r="H42" s="277">
        <v>4.0000000000000003E-5</v>
      </c>
      <c r="I42" s="354">
        <f t="shared" si="8"/>
        <v>2.0000000000000001E-4</v>
      </c>
      <c r="J42" s="339"/>
      <c r="K42" s="339"/>
      <c r="L42" s="339"/>
    </row>
    <row r="43" spans="1:12" ht="14" x14ac:dyDescent="0.3">
      <c r="A43" s="151">
        <f>IF(C43&lt;&gt;"",COUNTA($C$11:C43),"")</f>
        <v>31</v>
      </c>
      <c r="B43" s="151"/>
      <c r="C43" s="330" t="str">
        <f>+'Bill_EMA R2'!C43</f>
        <v>Solar Expansion Cost Recovery Factor</v>
      </c>
      <c r="D43" s="339"/>
      <c r="E43" s="339"/>
      <c r="F43" s="277">
        <v>0</v>
      </c>
      <c r="G43" s="277"/>
      <c r="H43" s="277">
        <v>7.5000000000000002E-4</v>
      </c>
      <c r="I43" s="354">
        <f t="shared" si="8"/>
        <v>7.5000000000000002E-4</v>
      </c>
      <c r="J43" s="339"/>
      <c r="K43" s="339"/>
      <c r="L43" s="339"/>
    </row>
    <row r="44" spans="1:12" ht="14" x14ac:dyDescent="0.3">
      <c r="A44" s="151">
        <f>IF(C44&lt;&gt;"",COUNTA($C$11:C44),"")</f>
        <v>32</v>
      </c>
      <c r="B44" s="151"/>
      <c r="C44" s="330" t="str">
        <f>+'Bill_EMA R2'!C44</f>
        <v>Vegetation Management</v>
      </c>
      <c r="D44" s="339"/>
      <c r="E44" s="339"/>
      <c r="F44" s="277">
        <v>0</v>
      </c>
      <c r="G44" s="277"/>
      <c r="H44" s="277">
        <v>1.67E-3</v>
      </c>
      <c r="I44" s="354">
        <f t="shared" si="8"/>
        <v>1.67E-3</v>
      </c>
      <c r="J44" s="339"/>
      <c r="K44" s="339"/>
      <c r="L44" s="339"/>
    </row>
    <row r="45" spans="1:12" ht="14" x14ac:dyDescent="0.3">
      <c r="A45" s="151">
        <f>IF(C45&lt;&gt;"",COUNTA($C$11:C45),"")</f>
        <v>33</v>
      </c>
      <c r="B45" s="151"/>
      <c r="C45" s="330" t="str">
        <f>+'Bill_EMA R2'!C45</f>
        <v>Solar Massachusetts Renewable Target</v>
      </c>
      <c r="D45" s="339"/>
      <c r="E45" s="339"/>
      <c r="F45" s="277">
        <v>0</v>
      </c>
      <c r="G45" s="277"/>
      <c r="H45" s="277">
        <v>8.8000000000000003E-4</v>
      </c>
      <c r="I45" s="354">
        <f t="shared" si="8"/>
        <v>8.8000000000000003E-4</v>
      </c>
      <c r="J45" s="339"/>
      <c r="K45" s="339"/>
      <c r="L45" s="339"/>
    </row>
    <row r="46" spans="1:12" ht="14" x14ac:dyDescent="0.3">
      <c r="A46" s="151">
        <f>IF(C46&lt;&gt;"",COUNTA($C$11:C46),"")</f>
        <v>34</v>
      </c>
      <c r="B46" s="151"/>
      <c r="C46" s="330" t="str">
        <f>+'Bill_EMA R2'!C46</f>
        <v>Tax Act Credit Factor</v>
      </c>
      <c r="D46" s="339"/>
      <c r="E46" s="339"/>
      <c r="F46" s="277">
        <v>0</v>
      </c>
      <c r="G46" s="277"/>
      <c r="H46" s="277">
        <v>-1.33E-3</v>
      </c>
      <c r="I46" s="354">
        <f t="shared" si="8"/>
        <v>-1.33E-3</v>
      </c>
      <c r="J46" s="339"/>
      <c r="K46" s="339"/>
      <c r="L46" s="339"/>
    </row>
    <row r="47" spans="1:12" ht="14" x14ac:dyDescent="0.3">
      <c r="A47" s="151">
        <f>IF(C47&lt;&gt;"",COUNTA($C$11:C47),"")</f>
        <v>35</v>
      </c>
      <c r="B47" s="151"/>
      <c r="C47" s="330" t="str">
        <f>+'Bill_EMA R2'!C47</f>
        <v>Transition</v>
      </c>
      <c r="D47" s="339"/>
      <c r="E47" s="339"/>
      <c r="F47" s="277">
        <v>-1.7099999999999999E-3</v>
      </c>
      <c r="G47" s="277"/>
      <c r="H47" s="277">
        <v>-5.1999999999999995E-4</v>
      </c>
      <c r="I47" s="354">
        <f t="shared" si="8"/>
        <v>1.1900000000000001E-3</v>
      </c>
      <c r="J47" s="339"/>
      <c r="K47" s="339"/>
      <c r="L47" s="339"/>
    </row>
    <row r="48" spans="1:12" ht="14" x14ac:dyDescent="0.3">
      <c r="A48" s="151">
        <f>IF(C48&lt;&gt;"",COUNTA($C$11:C48),"")</f>
        <v>36</v>
      </c>
      <c r="B48" s="151"/>
      <c r="C48" s="330" t="str">
        <f>+'Bill_EMA R2'!C48</f>
        <v>Transmission Energy</v>
      </c>
      <c r="D48" s="339"/>
      <c r="E48" s="339"/>
      <c r="F48" s="277">
        <v>2.7969999999999998E-2</v>
      </c>
      <c r="G48" s="277"/>
      <c r="H48" s="277">
        <v>2.5850000000000001E-2</v>
      </c>
      <c r="I48" s="354">
        <f t="shared" si="8"/>
        <v>-2.1199999999999969E-3</v>
      </c>
      <c r="J48" s="339"/>
      <c r="K48" s="339"/>
      <c r="L48" s="339"/>
    </row>
    <row r="49" spans="1:12" ht="14" x14ac:dyDescent="0.3">
      <c r="A49" s="151">
        <f>IF(C49&lt;&gt;"",COUNTA($C$11:C49),"")</f>
        <v>37</v>
      </c>
      <c r="B49" s="151"/>
      <c r="C49" s="330" t="str">
        <f>+'Bill_EMA R2'!C49</f>
        <v>Energy Efficiency Reconciliation Factor</v>
      </c>
      <c r="D49" s="339"/>
      <c r="E49" s="339"/>
      <c r="F49" s="277">
        <v>6.4999999999999997E-4</v>
      </c>
      <c r="G49" s="277"/>
      <c r="H49" s="277">
        <v>6.4999999999999997E-4</v>
      </c>
      <c r="I49" s="354">
        <f t="shared" si="8"/>
        <v>0</v>
      </c>
      <c r="J49" s="339"/>
      <c r="K49" s="339"/>
      <c r="L49" s="339"/>
    </row>
    <row r="50" spans="1:12" ht="14" x14ac:dyDescent="0.3">
      <c r="A50" s="151">
        <f>IF(C50&lt;&gt;"",COUNTA($C$11:C50),"")</f>
        <v>38</v>
      </c>
      <c r="B50" s="151"/>
      <c r="C50" s="330" t="str">
        <f>+'Bill_EMA R2'!C50</f>
        <v>System Benefits Charge</v>
      </c>
      <c r="D50" s="339"/>
      <c r="E50" s="339"/>
      <c r="F50" s="277">
        <v>2.5000000000000001E-3</v>
      </c>
      <c r="G50" s="277"/>
      <c r="H50" s="277">
        <f>+F50</f>
        <v>2.5000000000000001E-3</v>
      </c>
      <c r="I50" s="354">
        <f t="shared" si="8"/>
        <v>0</v>
      </c>
      <c r="J50" s="339"/>
      <c r="K50" s="339"/>
      <c r="L50" s="339"/>
    </row>
    <row r="51" spans="1:12" ht="14" x14ac:dyDescent="0.3">
      <c r="A51" s="151">
        <f>IF(C51&lt;&gt;"",COUNTA($C$11:C51),"")</f>
        <v>39</v>
      </c>
      <c r="B51" s="151"/>
      <c r="C51" s="330" t="str">
        <f>+'Bill_EMA R2'!C51</f>
        <v>Renewable Energy Charge</v>
      </c>
      <c r="D51" s="339"/>
      <c r="E51" s="339"/>
      <c r="F51" s="277">
        <v>5.0000000000000001E-4</v>
      </c>
      <c r="G51" s="277"/>
      <c r="H51" s="277">
        <f>+F51</f>
        <v>5.0000000000000001E-4</v>
      </c>
      <c r="I51" s="354">
        <f t="shared" si="8"/>
        <v>0</v>
      </c>
      <c r="J51" s="339"/>
      <c r="K51" s="339"/>
      <c r="L51" s="339"/>
    </row>
    <row r="52" spans="1:12" ht="14" x14ac:dyDescent="0.3">
      <c r="A52" s="151">
        <f>IF(C52&lt;&gt;"",COUNTA($C$11:C52),"")</f>
        <v>40</v>
      </c>
      <c r="B52" s="151"/>
      <c r="C52" s="330" t="str">
        <f>+'Bill_EMA R2'!C52</f>
        <v>Basic Service Charge</v>
      </c>
      <c r="D52" s="339"/>
      <c r="E52" s="339"/>
      <c r="F52" s="277">
        <v>0.10002999999999999</v>
      </c>
      <c r="G52" s="277"/>
      <c r="H52" s="277">
        <v>0.11677999999999999</v>
      </c>
      <c r="I52" s="354">
        <f t="shared" si="8"/>
        <v>1.6750000000000001E-2</v>
      </c>
      <c r="J52" s="339"/>
      <c r="K52" s="339"/>
      <c r="L52" s="339"/>
    </row>
    <row r="53" spans="1:12" ht="14" x14ac:dyDescent="0.3">
      <c r="A53" s="151">
        <f>IF(C53&lt;&gt;"",COUNTA($C$11:C53),"")</f>
        <v>41</v>
      </c>
      <c r="B53" s="151"/>
      <c r="C53" s="330" t="str">
        <f>+'Bill_EMA R2'!C53</f>
        <v>Low Income Discount</v>
      </c>
      <c r="D53" s="339"/>
      <c r="E53" s="339"/>
      <c r="F53" s="302">
        <v>0.36</v>
      </c>
      <c r="G53" s="302"/>
      <c r="H53" s="302">
        <v>0.36</v>
      </c>
      <c r="I53" s="302">
        <f t="shared" si="8"/>
        <v>0</v>
      </c>
      <c r="J53" s="339"/>
      <c r="K53" s="339"/>
      <c r="L53" s="339"/>
    </row>
    <row r="54" spans="1:12" ht="14" x14ac:dyDescent="0.3">
      <c r="A54" s="151"/>
      <c r="B54" s="151"/>
      <c r="C54" s="330"/>
      <c r="D54" s="339"/>
      <c r="E54" s="339"/>
      <c r="F54" s="356"/>
      <c r="G54" s="356"/>
      <c r="H54" s="356"/>
      <c r="I54" s="356"/>
      <c r="J54" s="339"/>
      <c r="K54" s="339"/>
      <c r="L54" s="339"/>
    </row>
    <row r="55" spans="1:12" ht="14" x14ac:dyDescent="0.3">
      <c r="A55" s="151"/>
      <c r="B55" s="151"/>
      <c r="D55" s="339"/>
      <c r="E55" s="339"/>
      <c r="F55" s="356"/>
      <c r="G55" s="356"/>
      <c r="H55" s="356"/>
      <c r="I55" s="356"/>
      <c r="J55" s="339"/>
      <c r="K55" s="339"/>
      <c r="L55" s="339"/>
    </row>
    <row r="56" spans="1:12" ht="14" x14ac:dyDescent="0.3">
      <c r="A56" s="151"/>
      <c r="B56" s="151"/>
      <c r="C56" s="335" t="str">
        <f>'Bill_EMA R1'!C55</f>
        <v>Total Energy</v>
      </c>
      <c r="D56" s="339"/>
      <c r="E56" s="339"/>
      <c r="F56" s="356">
        <f>SUM(F32:F51)</f>
        <v>0.10132000000000001</v>
      </c>
      <c r="G56" s="356"/>
      <c r="H56" s="356">
        <f>SUM(H32:H51)</f>
        <v>9.3269999999999992E-2</v>
      </c>
      <c r="I56" s="354">
        <f>SUM(I32:I51)</f>
        <v>-8.0500000000000033E-3</v>
      </c>
      <c r="J56" s="339"/>
      <c r="K56" s="339"/>
      <c r="L56" s="339"/>
    </row>
    <row r="57" spans="1:12" ht="14" x14ac:dyDescent="0.3">
      <c r="C57" s="335" t="str">
        <f>'Bill_EMA R1'!C56</f>
        <v>Total Basic Service</v>
      </c>
      <c r="F57" s="363">
        <f>F52</f>
        <v>0.10002999999999999</v>
      </c>
      <c r="H57" s="363">
        <f>H52</f>
        <v>0.11677999999999999</v>
      </c>
      <c r="I57" s="354">
        <f>I52</f>
        <v>1.6750000000000001E-2</v>
      </c>
    </row>
  </sheetData>
  <mergeCells count="7">
    <mergeCell ref="A4:M4"/>
    <mergeCell ref="A5:M5"/>
    <mergeCell ref="A6:M6"/>
    <mergeCell ref="A8:M8"/>
    <mergeCell ref="D11:F11"/>
    <mergeCell ref="H11:J11"/>
    <mergeCell ref="L11:M11"/>
  </mergeCells>
  <pageMargins left="0.7" right="0.7" top="0.75" bottom="0.75" header="0.3" footer="0.3"/>
  <pageSetup scale="66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6E953-CFE5-4596-8777-BBEAFC8CBCDB}">
  <sheetPr>
    <tabColor theme="3" tint="0.59999389629810485"/>
    <pageSetUpPr fitToPage="1"/>
  </sheetPr>
  <dimension ref="A4:X57"/>
  <sheetViews>
    <sheetView zoomScaleNormal="100" workbookViewId="0"/>
  </sheetViews>
  <sheetFormatPr defaultRowHeight="12.5" x14ac:dyDescent="0.25"/>
  <cols>
    <col min="1" max="1" width="4" bestFit="1" customWidth="1"/>
    <col min="2" max="2" width="5.54296875" bestFit="1" customWidth="1"/>
    <col min="3" max="3" width="12" customWidth="1"/>
    <col min="4" max="6" width="14.7265625" customWidth="1"/>
    <col min="7" max="7" width="2" customWidth="1"/>
    <col min="8" max="10" width="14.7265625" customWidth="1"/>
    <col min="11" max="11" width="2" customWidth="1"/>
    <col min="12" max="13" width="12" customWidth="1"/>
    <col min="15" max="15" width="10.81640625" bestFit="1" customWidth="1"/>
    <col min="16" max="16" width="9.7265625" bestFit="1" customWidth="1"/>
    <col min="17" max="18" width="10.1796875" bestFit="1" customWidth="1"/>
    <col min="19" max="19" width="8.453125" bestFit="1" customWidth="1"/>
    <col min="20" max="20" width="10.81640625" bestFit="1" customWidth="1"/>
    <col min="21" max="23" width="10.1796875" bestFit="1" customWidth="1"/>
    <col min="24" max="24" width="8.453125" bestFit="1" customWidth="1"/>
  </cols>
  <sheetData>
    <row r="4" spans="1:24" ht="14" x14ac:dyDescent="0.3">
      <c r="A4" s="757" t="str">
        <f>'Bill_WMA R2'!A4:M4</f>
        <v>Western Massachusetts</v>
      </c>
      <c r="B4" s="757"/>
      <c r="C4" s="757"/>
      <c r="D4" s="757"/>
      <c r="E4" s="757"/>
      <c r="F4" s="757"/>
      <c r="G4" s="757"/>
      <c r="H4" s="757"/>
      <c r="I4" s="757"/>
      <c r="J4" s="757"/>
      <c r="K4" s="757"/>
      <c r="L4" s="757"/>
      <c r="M4" s="757"/>
    </row>
    <row r="5" spans="1:24" ht="14" x14ac:dyDescent="0.3">
      <c r="A5" s="757" t="str">
        <f>+'Bill_WMA R1'!A5</f>
        <v>Calculation of Monthly Typical Bill</v>
      </c>
      <c r="B5" s="757"/>
      <c r="C5" s="757"/>
      <c r="D5" s="757"/>
      <c r="E5" s="757"/>
      <c r="F5" s="757"/>
      <c r="G5" s="757"/>
      <c r="H5" s="757"/>
      <c r="I5" s="757"/>
      <c r="J5" s="757"/>
      <c r="K5" s="757"/>
      <c r="L5" s="757"/>
      <c r="M5" s="757"/>
      <c r="N5" s="328"/>
    </row>
    <row r="6" spans="1:24" ht="14" x14ac:dyDescent="0.3">
      <c r="A6" s="757" t="str">
        <f>'Bill_EMA R1'!A6:M6</f>
        <v>Proposed January 1, 2019</v>
      </c>
      <c r="B6" s="757"/>
      <c r="C6" s="757"/>
      <c r="D6" s="757"/>
      <c r="E6" s="757"/>
      <c r="F6" s="757"/>
      <c r="G6" s="757"/>
      <c r="H6" s="757"/>
      <c r="I6" s="757"/>
      <c r="J6" s="757"/>
      <c r="K6" s="757"/>
      <c r="L6" s="757"/>
      <c r="M6" s="757"/>
      <c r="N6" s="328"/>
    </row>
    <row r="7" spans="1:24" ht="14" x14ac:dyDescent="0.3">
      <c r="A7" s="328"/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</row>
    <row r="8" spans="1:24" ht="14" x14ac:dyDescent="0.3">
      <c r="A8" s="757" t="s">
        <v>558</v>
      </c>
      <c r="B8" s="757"/>
      <c r="C8" s="757"/>
      <c r="D8" s="757"/>
      <c r="E8" s="757"/>
      <c r="F8" s="757"/>
      <c r="G8" s="757"/>
      <c r="H8" s="757"/>
      <c r="I8" s="757"/>
      <c r="J8" s="757"/>
      <c r="K8" s="757"/>
      <c r="L8" s="757"/>
      <c r="M8" s="757"/>
    </row>
    <row r="9" spans="1:24" ht="14" x14ac:dyDescent="0.3">
      <c r="A9" s="329"/>
      <c r="B9" s="329"/>
      <c r="C9" s="330"/>
      <c r="D9" s="330"/>
      <c r="E9" s="330"/>
      <c r="F9" s="331"/>
      <c r="G9" s="330"/>
    </row>
    <row r="10" spans="1:24" ht="14" x14ac:dyDescent="0.3">
      <c r="A10" s="329"/>
      <c r="B10" s="329"/>
      <c r="C10" s="330"/>
      <c r="D10" s="330"/>
      <c r="E10" s="330"/>
      <c r="F10" s="332"/>
      <c r="G10" s="330"/>
    </row>
    <row r="11" spans="1:24" ht="14" x14ac:dyDescent="0.3">
      <c r="A11" s="151">
        <f>IF(C11&lt;&gt;"",COUNTA($C$11:C11),"")</f>
        <v>1</v>
      </c>
      <c r="B11" s="151"/>
      <c r="C11" s="329" t="s">
        <v>528</v>
      </c>
      <c r="D11" s="758" t="str">
        <f>+'Bill_WMA R1'!D11</f>
        <v>Current Monthly Bill</v>
      </c>
      <c r="E11" s="758"/>
      <c r="F11" s="758"/>
      <c r="G11" s="330"/>
      <c r="H11" s="758" t="str">
        <f>+'Bill_WMA R1'!H11</f>
        <v>Proposed Monthly Bill</v>
      </c>
      <c r="I11" s="758"/>
      <c r="J11" s="758"/>
      <c r="L11" s="758" t="str">
        <f>+'Bill_WMA R1'!L11</f>
        <v>Total Bill Impact</v>
      </c>
      <c r="M11" s="758"/>
      <c r="O11" s="335"/>
      <c r="P11" s="335"/>
      <c r="Q11" s="335"/>
      <c r="R11" s="335"/>
      <c r="T11" s="335"/>
      <c r="U11" s="335"/>
      <c r="V11" s="335"/>
      <c r="W11" s="335"/>
    </row>
    <row r="12" spans="1:24" ht="14" x14ac:dyDescent="0.3">
      <c r="A12" s="151">
        <f>IF(C12&lt;&gt;"",COUNTA($C$11:C12),"")</f>
        <v>2</v>
      </c>
      <c r="B12" s="151"/>
      <c r="C12" s="336" t="s">
        <v>551</v>
      </c>
      <c r="D12" s="336" t="str">
        <f>+'Bill_WMA R1'!D12</f>
        <v>Delivery</v>
      </c>
      <c r="E12" s="336" t="str">
        <f>+'Bill_WMA R1'!E12</f>
        <v>Supplier</v>
      </c>
      <c r="F12" s="336" t="str">
        <f>+'Bill_WMA R1'!F12</f>
        <v>Total</v>
      </c>
      <c r="G12" s="330"/>
      <c r="H12" s="336" t="str">
        <f>+'Bill_WMA R1'!H12</f>
        <v>Delivery</v>
      </c>
      <c r="I12" s="336" t="str">
        <f>+'Bill_WMA R1'!I12</f>
        <v>Supplier</v>
      </c>
      <c r="J12" s="336" t="str">
        <f>+'Bill_WMA R1'!J12</f>
        <v>Total</v>
      </c>
      <c r="L12" s="336" t="str">
        <f>+'Bill_WMA R1'!L12</f>
        <v>Change</v>
      </c>
      <c r="M12" s="336" t="str">
        <f>+'Bill_WMA R1'!M12</f>
        <v>% Change</v>
      </c>
    </row>
    <row r="13" spans="1:24" ht="14" x14ac:dyDescent="0.3">
      <c r="A13" s="151">
        <f>IF(C13&lt;&gt;"",COUNTA($C$11:C13),"")</f>
        <v>3</v>
      </c>
      <c r="B13" s="151"/>
      <c r="C13" s="337">
        <v>100</v>
      </c>
      <c r="D13" s="338">
        <f t="shared" ref="D13:D26" si="0">ROUND($C13*(SUM($F$32:$F$51))+$F$31,2)</f>
        <v>17.54</v>
      </c>
      <c r="E13" s="338">
        <f t="shared" ref="E13:E26" si="1">ROUND($F$52*C13,2)</f>
        <v>10</v>
      </c>
      <c r="F13" s="338">
        <f>SUM(D13:E13)</f>
        <v>27.54</v>
      </c>
      <c r="G13" s="358"/>
      <c r="H13" s="338">
        <f t="shared" ref="H13:H26" si="2">ROUND($C13*(SUM($H$32:$H$51))+$H$31,2)</f>
        <v>16.739999999999998</v>
      </c>
      <c r="I13" s="338">
        <f t="shared" ref="I13:I26" si="3">ROUND($H$52*C13,2)</f>
        <v>11.68</v>
      </c>
      <c r="J13" s="338">
        <f>SUM(H13:I13)</f>
        <v>28.419999999999998</v>
      </c>
      <c r="K13" s="339"/>
      <c r="L13" s="340">
        <f>+J13-F13</f>
        <v>0.87999999999999901</v>
      </c>
      <c r="M13" s="341">
        <f>+L13/F13</f>
        <v>3.1953522149600545E-2</v>
      </c>
      <c r="O13" s="339"/>
      <c r="P13" s="339"/>
      <c r="Q13" s="339"/>
      <c r="R13" s="339"/>
      <c r="S13" s="339"/>
      <c r="T13" s="339"/>
      <c r="U13" s="339"/>
      <c r="V13" s="339"/>
      <c r="W13" s="339"/>
      <c r="X13" s="339"/>
    </row>
    <row r="14" spans="1:24" ht="14" x14ac:dyDescent="0.3">
      <c r="A14" s="151">
        <f>IF(C14&lt;&gt;"",COUNTA($C$11:C14),"")</f>
        <v>4</v>
      </c>
      <c r="B14" s="151"/>
      <c r="C14" s="337">
        <v>200</v>
      </c>
      <c r="D14" s="338">
        <f t="shared" si="0"/>
        <v>28.09</v>
      </c>
      <c r="E14" s="338">
        <f t="shared" si="1"/>
        <v>20.010000000000002</v>
      </c>
      <c r="F14" s="338">
        <f t="shared" ref="F14:F26" si="4">SUM(D14:E14)</f>
        <v>48.1</v>
      </c>
      <c r="G14" s="358"/>
      <c r="H14" s="338">
        <f t="shared" si="2"/>
        <v>26.48</v>
      </c>
      <c r="I14" s="338">
        <f t="shared" si="3"/>
        <v>23.36</v>
      </c>
      <c r="J14" s="338">
        <f t="shared" ref="J14:J26" si="5">SUM(H14:I14)</f>
        <v>49.84</v>
      </c>
      <c r="K14" s="339"/>
      <c r="L14" s="340">
        <f t="shared" ref="L14:L26" si="6">+J14-F14</f>
        <v>1.740000000000002</v>
      </c>
      <c r="M14" s="341">
        <f t="shared" ref="M14:M26" si="7">+L14/F14</f>
        <v>3.6174636174636218E-2</v>
      </c>
      <c r="O14" s="339"/>
      <c r="P14" s="339"/>
      <c r="Q14" s="339"/>
      <c r="R14" s="339"/>
      <c r="S14" s="339"/>
      <c r="T14" s="339"/>
      <c r="U14" s="339"/>
      <c r="V14" s="339"/>
      <c r="W14" s="339"/>
      <c r="X14" s="339"/>
    </row>
    <row r="15" spans="1:24" ht="14" x14ac:dyDescent="0.3">
      <c r="A15" s="151">
        <f>IF(C15&lt;&gt;"",COUNTA($C$11:C15),"")</f>
        <v>5</v>
      </c>
      <c r="B15" s="151"/>
      <c r="C15" s="337">
        <v>300</v>
      </c>
      <c r="D15" s="338">
        <f t="shared" si="0"/>
        <v>38.630000000000003</v>
      </c>
      <c r="E15" s="338">
        <f t="shared" si="1"/>
        <v>30.01</v>
      </c>
      <c r="F15" s="338">
        <f t="shared" si="4"/>
        <v>68.64</v>
      </c>
      <c r="G15" s="358"/>
      <c r="H15" s="338">
        <f t="shared" si="2"/>
        <v>36.22</v>
      </c>
      <c r="I15" s="338">
        <f t="shared" si="3"/>
        <v>35.03</v>
      </c>
      <c r="J15" s="338">
        <f t="shared" si="5"/>
        <v>71.25</v>
      </c>
      <c r="K15" s="339"/>
      <c r="L15" s="340">
        <f t="shared" si="6"/>
        <v>2.6099999999999994</v>
      </c>
      <c r="M15" s="341">
        <f t="shared" si="7"/>
        <v>3.8024475524475514E-2</v>
      </c>
      <c r="O15" s="339"/>
      <c r="P15" s="339"/>
      <c r="Q15" s="339"/>
      <c r="R15" s="339"/>
      <c r="S15" s="339"/>
      <c r="T15" s="339"/>
      <c r="U15" s="339"/>
      <c r="V15" s="339"/>
      <c r="W15" s="339"/>
      <c r="X15" s="339"/>
    </row>
    <row r="16" spans="1:24" ht="14" x14ac:dyDescent="0.3">
      <c r="A16" s="151">
        <f>IF(C16&lt;&gt;"",COUNTA($C$11:C16),"")</f>
        <v>6</v>
      </c>
      <c r="B16" s="151"/>
      <c r="C16" s="337">
        <v>400</v>
      </c>
      <c r="D16" s="338">
        <f t="shared" si="0"/>
        <v>49.18</v>
      </c>
      <c r="E16" s="338">
        <f t="shared" si="1"/>
        <v>40.01</v>
      </c>
      <c r="F16" s="338">
        <f t="shared" si="4"/>
        <v>89.19</v>
      </c>
      <c r="G16" s="358"/>
      <c r="H16" s="338">
        <f t="shared" si="2"/>
        <v>45.96</v>
      </c>
      <c r="I16" s="338">
        <f t="shared" si="3"/>
        <v>46.71</v>
      </c>
      <c r="J16" s="338">
        <f t="shared" si="5"/>
        <v>92.67</v>
      </c>
      <c r="K16" s="339"/>
      <c r="L16" s="340">
        <f t="shared" si="6"/>
        <v>3.480000000000004</v>
      </c>
      <c r="M16" s="341">
        <f t="shared" si="7"/>
        <v>3.9017827110662678E-2</v>
      </c>
      <c r="O16" s="339"/>
      <c r="P16" s="339"/>
      <c r="Q16" s="339"/>
      <c r="R16" s="339"/>
      <c r="S16" s="339"/>
      <c r="T16" s="339"/>
      <c r="U16" s="339"/>
      <c r="V16" s="339"/>
      <c r="W16" s="339"/>
      <c r="X16" s="339"/>
    </row>
    <row r="17" spans="1:24" ht="14" x14ac:dyDescent="0.3">
      <c r="A17" s="151">
        <f>IF(C17&lt;&gt;"",COUNTA($C$11:C17),"")</f>
        <v>7</v>
      </c>
      <c r="B17" s="151"/>
      <c r="C17" s="337">
        <v>500</v>
      </c>
      <c r="D17" s="338">
        <f t="shared" si="0"/>
        <v>59.72</v>
      </c>
      <c r="E17" s="338">
        <f t="shared" si="1"/>
        <v>50.02</v>
      </c>
      <c r="F17" s="338">
        <f t="shared" si="4"/>
        <v>109.74000000000001</v>
      </c>
      <c r="G17" s="358"/>
      <c r="H17" s="338">
        <f t="shared" si="2"/>
        <v>55.7</v>
      </c>
      <c r="I17" s="338">
        <f t="shared" si="3"/>
        <v>58.39</v>
      </c>
      <c r="J17" s="338">
        <f t="shared" si="5"/>
        <v>114.09</v>
      </c>
      <c r="K17" s="339"/>
      <c r="L17" s="340">
        <f t="shared" si="6"/>
        <v>4.3499999999999943</v>
      </c>
      <c r="M17" s="341">
        <f t="shared" si="7"/>
        <v>3.9639147074904263E-2</v>
      </c>
      <c r="O17" s="339"/>
      <c r="P17" s="339"/>
      <c r="Q17" s="339"/>
      <c r="R17" s="339"/>
      <c r="S17" s="339"/>
      <c r="T17" s="339"/>
      <c r="U17" s="339"/>
      <c r="V17" s="339"/>
      <c r="W17" s="339"/>
      <c r="X17" s="339"/>
    </row>
    <row r="18" spans="1:24" ht="14" x14ac:dyDescent="0.3">
      <c r="A18" s="151">
        <f>IF(C18&lt;&gt;"",COUNTA($C$11:C18),"")</f>
        <v>8</v>
      </c>
      <c r="B18" s="151"/>
      <c r="C18" s="337">
        <v>600</v>
      </c>
      <c r="D18" s="338">
        <f t="shared" si="0"/>
        <v>70.260000000000005</v>
      </c>
      <c r="E18" s="338">
        <f t="shared" si="1"/>
        <v>60.02</v>
      </c>
      <c r="F18" s="338">
        <f t="shared" si="4"/>
        <v>130.28</v>
      </c>
      <c r="G18" s="358"/>
      <c r="H18" s="338">
        <f t="shared" si="2"/>
        <v>65.44</v>
      </c>
      <c r="I18" s="338">
        <f t="shared" si="3"/>
        <v>70.069999999999993</v>
      </c>
      <c r="J18" s="338">
        <f t="shared" si="5"/>
        <v>135.51</v>
      </c>
      <c r="K18" s="339"/>
      <c r="L18" s="340">
        <f t="shared" si="6"/>
        <v>5.2299999999999898</v>
      </c>
      <c r="M18" s="341">
        <f t="shared" si="7"/>
        <v>4.0144304574761973E-2</v>
      </c>
      <c r="O18" s="339"/>
      <c r="P18" s="339"/>
      <c r="Q18" s="339"/>
      <c r="R18" s="339"/>
      <c r="S18" s="339"/>
      <c r="T18" s="339"/>
      <c r="U18" s="339"/>
      <c r="V18" s="339"/>
      <c r="W18" s="339"/>
      <c r="X18" s="339"/>
    </row>
    <row r="19" spans="1:24" ht="14" x14ac:dyDescent="0.3">
      <c r="A19" s="151">
        <f>IF(C19&lt;&gt;"",COUNTA($C$11:C19),"")</f>
        <v>9</v>
      </c>
      <c r="B19" s="151"/>
      <c r="C19" s="337">
        <v>700</v>
      </c>
      <c r="D19" s="338">
        <f t="shared" si="0"/>
        <v>80.81</v>
      </c>
      <c r="E19" s="338">
        <f t="shared" si="1"/>
        <v>70.02</v>
      </c>
      <c r="F19" s="338">
        <f t="shared" si="4"/>
        <v>150.82999999999998</v>
      </c>
      <c r="G19" s="358"/>
      <c r="H19" s="338">
        <f t="shared" si="2"/>
        <v>75.180000000000007</v>
      </c>
      <c r="I19" s="338">
        <f t="shared" si="3"/>
        <v>81.75</v>
      </c>
      <c r="J19" s="338">
        <f t="shared" si="5"/>
        <v>156.93</v>
      </c>
      <c r="K19" s="339"/>
      <c r="L19" s="340">
        <f t="shared" si="6"/>
        <v>6.1000000000000227</v>
      </c>
      <c r="M19" s="341">
        <f t="shared" si="7"/>
        <v>4.0442882715640283E-2</v>
      </c>
      <c r="O19" s="339"/>
      <c r="P19" s="339"/>
      <c r="Q19" s="339"/>
      <c r="R19" s="339"/>
      <c r="S19" s="339"/>
      <c r="T19" s="339"/>
      <c r="U19" s="339"/>
      <c r="V19" s="339"/>
      <c r="W19" s="339"/>
      <c r="X19" s="339"/>
    </row>
    <row r="20" spans="1:24" ht="14" x14ac:dyDescent="0.3">
      <c r="A20" s="151">
        <f>IF(C20&lt;&gt;"",COUNTA($C$11:C20),"")</f>
        <v>10</v>
      </c>
      <c r="B20" s="151"/>
      <c r="C20" s="337">
        <v>800</v>
      </c>
      <c r="D20" s="338">
        <f t="shared" si="0"/>
        <v>91.35</v>
      </c>
      <c r="E20" s="338">
        <f t="shared" si="1"/>
        <v>80.02</v>
      </c>
      <c r="F20" s="338">
        <f t="shared" si="4"/>
        <v>171.37</v>
      </c>
      <c r="G20" s="358"/>
      <c r="H20" s="338">
        <f t="shared" si="2"/>
        <v>84.92</v>
      </c>
      <c r="I20" s="338">
        <f t="shared" si="3"/>
        <v>93.42</v>
      </c>
      <c r="J20" s="338">
        <f t="shared" si="5"/>
        <v>178.34</v>
      </c>
      <c r="K20" s="339"/>
      <c r="L20" s="340">
        <f t="shared" si="6"/>
        <v>6.9699999999999989</v>
      </c>
      <c r="M20" s="341">
        <f t="shared" si="7"/>
        <v>4.0672229678473469E-2</v>
      </c>
      <c r="O20" s="339"/>
      <c r="P20" s="339"/>
      <c r="Q20" s="339"/>
      <c r="R20" s="339"/>
      <c r="S20" s="339"/>
      <c r="T20" s="339"/>
      <c r="U20" s="339"/>
      <c r="V20" s="339"/>
      <c r="W20" s="339"/>
      <c r="X20" s="339"/>
    </row>
    <row r="21" spans="1:24" ht="14" x14ac:dyDescent="0.3">
      <c r="A21" s="151">
        <f>IF(C21&lt;&gt;"",COUNTA($C$11:C21),"")</f>
        <v>11</v>
      </c>
      <c r="B21" s="151"/>
      <c r="C21" s="337">
        <v>900</v>
      </c>
      <c r="D21" s="338">
        <f t="shared" si="0"/>
        <v>101.9</v>
      </c>
      <c r="E21" s="338">
        <f t="shared" si="1"/>
        <v>90.03</v>
      </c>
      <c r="F21" s="338">
        <f t="shared" si="4"/>
        <v>191.93</v>
      </c>
      <c r="G21" s="358"/>
      <c r="H21" s="338">
        <f t="shared" si="2"/>
        <v>94.66</v>
      </c>
      <c r="I21" s="338">
        <f t="shared" si="3"/>
        <v>105.1</v>
      </c>
      <c r="J21" s="338">
        <f t="shared" si="5"/>
        <v>199.76</v>
      </c>
      <c r="K21" s="339"/>
      <c r="L21" s="340">
        <f t="shared" si="6"/>
        <v>7.8299999999999841</v>
      </c>
      <c r="M21" s="341">
        <f t="shared" si="7"/>
        <v>4.0796123586724242E-2</v>
      </c>
      <c r="O21" s="339"/>
      <c r="P21" s="339"/>
      <c r="Q21" s="339"/>
      <c r="R21" s="339"/>
      <c r="S21" s="339"/>
      <c r="T21" s="339"/>
      <c r="U21" s="339"/>
      <c r="V21" s="339"/>
      <c r="W21" s="339"/>
      <c r="X21" s="339"/>
    </row>
    <row r="22" spans="1:24" ht="14" x14ac:dyDescent="0.3">
      <c r="A22" s="151">
        <f>IF(C22&lt;&gt;"",COUNTA($C$11:C22),"")</f>
        <v>12</v>
      </c>
      <c r="B22" s="151"/>
      <c r="C22" s="337">
        <v>1000</v>
      </c>
      <c r="D22" s="338">
        <f t="shared" si="0"/>
        <v>112.44</v>
      </c>
      <c r="E22" s="338">
        <f t="shared" si="1"/>
        <v>100.03</v>
      </c>
      <c r="F22" s="338">
        <f t="shared" si="4"/>
        <v>212.47</v>
      </c>
      <c r="G22" s="358"/>
      <c r="H22" s="338">
        <f t="shared" si="2"/>
        <v>104.4</v>
      </c>
      <c r="I22" s="338">
        <f t="shared" si="3"/>
        <v>116.78</v>
      </c>
      <c r="J22" s="338">
        <f t="shared" si="5"/>
        <v>221.18</v>
      </c>
      <c r="K22" s="339"/>
      <c r="L22" s="340">
        <f t="shared" si="6"/>
        <v>8.710000000000008</v>
      </c>
      <c r="M22" s="341">
        <f t="shared" si="7"/>
        <v>4.0994022685555645E-2</v>
      </c>
      <c r="O22" s="339"/>
      <c r="P22" s="339"/>
      <c r="Q22" s="339"/>
      <c r="R22" s="339"/>
      <c r="S22" s="339"/>
      <c r="T22" s="339"/>
      <c r="U22" s="339"/>
      <c r="V22" s="339"/>
      <c r="W22" s="339"/>
      <c r="X22" s="339"/>
    </row>
    <row r="23" spans="1:24" ht="14" x14ac:dyDescent="0.3">
      <c r="A23" s="151">
        <f>IF(C23&lt;&gt;"",COUNTA($C$11:C23),"")</f>
        <v>13</v>
      </c>
      <c r="B23" s="151"/>
      <c r="C23" s="337">
        <v>1250</v>
      </c>
      <c r="D23" s="338">
        <f t="shared" si="0"/>
        <v>138.80000000000001</v>
      </c>
      <c r="E23" s="338">
        <f t="shared" si="1"/>
        <v>125.04</v>
      </c>
      <c r="F23" s="338">
        <f t="shared" si="4"/>
        <v>263.84000000000003</v>
      </c>
      <c r="G23" s="358"/>
      <c r="H23" s="338">
        <f t="shared" si="2"/>
        <v>128.75</v>
      </c>
      <c r="I23" s="338">
        <f t="shared" si="3"/>
        <v>145.97999999999999</v>
      </c>
      <c r="J23" s="338">
        <f t="shared" si="5"/>
        <v>274.73</v>
      </c>
      <c r="K23" s="339"/>
      <c r="L23" s="340">
        <f t="shared" si="6"/>
        <v>10.889999999999986</v>
      </c>
      <c r="M23" s="341">
        <f t="shared" si="7"/>
        <v>4.12750151607034E-2</v>
      </c>
      <c r="O23" s="339"/>
      <c r="P23" s="339"/>
      <c r="Q23" s="339"/>
      <c r="R23" s="339"/>
      <c r="S23" s="339"/>
      <c r="T23" s="339"/>
      <c r="U23" s="339"/>
      <c r="V23" s="339"/>
      <c r="W23" s="339"/>
      <c r="X23" s="339"/>
    </row>
    <row r="24" spans="1:24" ht="14" x14ac:dyDescent="0.3">
      <c r="A24" s="151">
        <f>IF(C24&lt;&gt;"",COUNTA($C$11:C24),"")</f>
        <v>14</v>
      </c>
      <c r="B24" s="151"/>
      <c r="C24" s="337">
        <v>1500</v>
      </c>
      <c r="D24" s="338">
        <f t="shared" si="0"/>
        <v>165.16</v>
      </c>
      <c r="E24" s="338">
        <f t="shared" si="1"/>
        <v>150.05000000000001</v>
      </c>
      <c r="F24" s="338">
        <f t="shared" si="4"/>
        <v>315.21000000000004</v>
      </c>
      <c r="G24" s="358"/>
      <c r="H24" s="338">
        <f t="shared" si="2"/>
        <v>153.1</v>
      </c>
      <c r="I24" s="338">
        <f t="shared" si="3"/>
        <v>175.17</v>
      </c>
      <c r="J24" s="338">
        <f t="shared" si="5"/>
        <v>328.27</v>
      </c>
      <c r="K24" s="339"/>
      <c r="L24" s="340">
        <f t="shared" si="6"/>
        <v>13.059999999999945</v>
      </c>
      <c r="M24" s="341">
        <f t="shared" si="7"/>
        <v>4.143269566320848E-2</v>
      </c>
      <c r="O24" s="339"/>
      <c r="P24" s="339"/>
      <c r="Q24" s="339"/>
      <c r="R24" s="339"/>
      <c r="S24" s="339"/>
      <c r="T24" s="339"/>
      <c r="U24" s="339"/>
      <c r="V24" s="339"/>
      <c r="W24" s="339"/>
      <c r="X24" s="339"/>
    </row>
    <row r="25" spans="1:24" ht="14" x14ac:dyDescent="0.3">
      <c r="A25" s="151">
        <f>IF(C25&lt;&gt;"",COUNTA($C$11:C25),"")</f>
        <v>15</v>
      </c>
      <c r="B25" s="151"/>
      <c r="C25" s="337">
        <v>2000</v>
      </c>
      <c r="D25" s="338">
        <f t="shared" si="0"/>
        <v>217.88</v>
      </c>
      <c r="E25" s="338">
        <f t="shared" si="1"/>
        <v>200.06</v>
      </c>
      <c r="F25" s="338">
        <f t="shared" si="4"/>
        <v>417.94</v>
      </c>
      <c r="G25" s="358"/>
      <c r="H25" s="338">
        <f t="shared" si="2"/>
        <v>201.8</v>
      </c>
      <c r="I25" s="338">
        <f t="shared" si="3"/>
        <v>233.56</v>
      </c>
      <c r="J25" s="338">
        <f t="shared" si="5"/>
        <v>435.36</v>
      </c>
      <c r="K25" s="339"/>
      <c r="L25" s="340">
        <f t="shared" si="6"/>
        <v>17.420000000000016</v>
      </c>
      <c r="M25" s="341">
        <f t="shared" si="7"/>
        <v>4.1680624013016261E-2</v>
      </c>
      <c r="O25" s="339"/>
      <c r="P25" s="339"/>
      <c r="Q25" s="339"/>
      <c r="R25" s="339"/>
      <c r="S25" s="339"/>
      <c r="T25" s="339"/>
      <c r="U25" s="339"/>
      <c r="V25" s="339"/>
      <c r="W25" s="339"/>
      <c r="X25" s="339"/>
    </row>
    <row r="26" spans="1:24" ht="14" x14ac:dyDescent="0.3">
      <c r="A26" s="151">
        <f>IF(C26&lt;&gt;"",COUNTA($C$11:C26),"")</f>
        <v>16</v>
      </c>
      <c r="B26" s="151" t="s">
        <v>554</v>
      </c>
      <c r="C26" s="337">
        <v>740</v>
      </c>
      <c r="D26" s="338">
        <f t="shared" si="0"/>
        <v>85.03</v>
      </c>
      <c r="E26" s="338">
        <f t="shared" si="1"/>
        <v>74.02</v>
      </c>
      <c r="F26" s="338">
        <f t="shared" si="4"/>
        <v>159.05000000000001</v>
      </c>
      <c r="G26" s="358"/>
      <c r="H26" s="338">
        <f t="shared" si="2"/>
        <v>79.08</v>
      </c>
      <c r="I26" s="338">
        <f t="shared" si="3"/>
        <v>86.42</v>
      </c>
      <c r="J26" s="338">
        <f t="shared" si="5"/>
        <v>165.5</v>
      </c>
      <c r="K26" s="339"/>
      <c r="L26" s="340">
        <f t="shared" si="6"/>
        <v>6.4499999999999886</v>
      </c>
      <c r="M26" s="341">
        <f t="shared" si="7"/>
        <v>4.0553285130462045E-2</v>
      </c>
      <c r="O26" s="339"/>
      <c r="P26" s="339"/>
      <c r="Q26" s="339"/>
      <c r="R26" s="339"/>
      <c r="S26" s="339"/>
      <c r="T26" s="339"/>
      <c r="U26" s="339"/>
      <c r="V26" s="339"/>
      <c r="W26" s="339"/>
      <c r="X26" s="339"/>
    </row>
    <row r="27" spans="1:24" ht="14" x14ac:dyDescent="0.3">
      <c r="A27" s="151" t="str">
        <f>IF(C27&lt;&gt;"",COUNTA($C$11:C27),"")</f>
        <v/>
      </c>
      <c r="B27" s="151"/>
      <c r="C27" s="343"/>
      <c r="D27" s="344"/>
      <c r="E27" s="344"/>
      <c r="F27" s="344"/>
      <c r="G27" s="359"/>
      <c r="H27" s="344"/>
      <c r="I27" s="344"/>
      <c r="J27" s="344"/>
      <c r="K27" s="345"/>
      <c r="L27" s="345"/>
    </row>
    <row r="28" spans="1:24" ht="14" x14ac:dyDescent="0.3">
      <c r="A28" s="151" t="str">
        <f>IF(C28&lt;&gt;"",COUNTA($C$11:C28),"")</f>
        <v/>
      </c>
      <c r="B28" s="151"/>
      <c r="C28" s="343"/>
      <c r="D28" s="345"/>
      <c r="E28" s="344"/>
      <c r="F28" s="344"/>
      <c r="G28" s="359"/>
      <c r="H28" s="344"/>
      <c r="I28" s="344"/>
      <c r="J28" s="344"/>
      <c r="K28" s="345"/>
      <c r="L28" s="345"/>
    </row>
    <row r="29" spans="1:24" ht="14" x14ac:dyDescent="0.3">
      <c r="A29" s="151">
        <f>IF(C29&lt;&gt;"",COUNTA($C$11:C29),"")</f>
        <v>17</v>
      </c>
      <c r="B29" s="151"/>
      <c r="C29" s="293" t="s">
        <v>46</v>
      </c>
      <c r="D29" s="339"/>
      <c r="E29" s="339"/>
      <c r="F29" s="347" t="str">
        <f>+'Bill_WMA R1'!F29</f>
        <v>Current</v>
      </c>
      <c r="G29" s="360"/>
      <c r="H29" s="347" t="str">
        <f>+'Bill_WMA R1'!H29</f>
        <v>Proposed</v>
      </c>
      <c r="I29" s="348"/>
      <c r="J29" s="339"/>
      <c r="K29" s="339"/>
      <c r="L29" s="339"/>
    </row>
    <row r="30" spans="1:24" ht="14" x14ac:dyDescent="0.3">
      <c r="A30" s="151">
        <f>IF(C30&lt;&gt;"",COUNTA($C$11:C30),"")</f>
        <v>18</v>
      </c>
      <c r="B30" s="151"/>
      <c r="C30" s="293" t="s">
        <v>46</v>
      </c>
      <c r="D30" s="339"/>
      <c r="E30" s="339"/>
      <c r="F30" s="349" t="s">
        <v>239</v>
      </c>
      <c r="G30" s="360"/>
      <c r="H30" s="349" t="s">
        <v>239</v>
      </c>
      <c r="I30" s="349" t="s">
        <v>65</v>
      </c>
      <c r="J30" s="339"/>
      <c r="K30" s="339"/>
      <c r="L30" s="339"/>
    </row>
    <row r="31" spans="1:24" ht="14" x14ac:dyDescent="0.3">
      <c r="A31" s="151">
        <f>IF(C31&lt;&gt;"",COUNTA($C$11:C31),"")</f>
        <v>19</v>
      </c>
      <c r="B31" s="151"/>
      <c r="C31" s="330" t="str">
        <f>+'Bill_EMA R3'!C31</f>
        <v>Customer Charge</v>
      </c>
      <c r="D31" s="339"/>
      <c r="E31" s="339"/>
      <c r="F31" s="350">
        <v>7</v>
      </c>
      <c r="G31" s="350"/>
      <c r="H31" s="350">
        <f>+F31</f>
        <v>7</v>
      </c>
      <c r="I31" s="351">
        <f>+H31-F31</f>
        <v>0</v>
      </c>
      <c r="J31" s="339"/>
      <c r="K31" s="339"/>
      <c r="L31" s="339"/>
    </row>
    <row r="32" spans="1:24" ht="14" x14ac:dyDescent="0.3">
      <c r="A32" s="151">
        <f>IF(C32&lt;&gt;"",COUNTA($C$11:C32),"")</f>
        <v>20</v>
      </c>
      <c r="B32" s="151"/>
      <c r="C32" s="330" t="str">
        <f>+'Bill_EMA R3'!C32</f>
        <v>Distribution Energy</v>
      </c>
      <c r="D32" s="339"/>
      <c r="E32" s="339"/>
      <c r="F32" s="277">
        <v>3.8350000000000002E-2</v>
      </c>
      <c r="G32" s="277"/>
      <c r="H32" s="277">
        <v>3.9940000000000003E-2</v>
      </c>
      <c r="I32" s="354">
        <f t="shared" ref="I32:I52" si="8">+H32-F32</f>
        <v>1.5900000000000011E-3</v>
      </c>
      <c r="J32" s="339"/>
      <c r="K32" s="339"/>
      <c r="L32" s="339"/>
    </row>
    <row r="33" spans="1:12" ht="14" x14ac:dyDescent="0.3">
      <c r="A33" s="151">
        <f>IF(C33&lt;&gt;"",COUNTA($C$11:C33),"")</f>
        <v>21</v>
      </c>
      <c r="B33" s="151"/>
      <c r="C33" s="330" t="str">
        <f>+'Bill_EMA R3'!C33</f>
        <v>Revenue Decoupling</v>
      </c>
      <c r="D33" s="339"/>
      <c r="E33" s="339"/>
      <c r="F33" s="277">
        <v>6.4000000000000005E-4</v>
      </c>
      <c r="G33" s="277"/>
      <c r="H33" s="277">
        <v>-4.6000000000000001E-4</v>
      </c>
      <c r="I33" s="354">
        <f t="shared" si="8"/>
        <v>-1.1000000000000001E-3</v>
      </c>
      <c r="J33" s="339"/>
      <c r="K33" s="339"/>
      <c r="L33" s="339"/>
    </row>
    <row r="34" spans="1:12" ht="14" x14ac:dyDescent="0.3">
      <c r="A34" s="151">
        <f>IF(C34&lt;&gt;"",COUNTA($C$11:C34),"")</f>
        <v>22</v>
      </c>
      <c r="B34" s="151"/>
      <c r="C34" s="330" t="str">
        <f>+'Bill_EMA R3'!C34</f>
        <v>Residential Assistance Adjustment Factor</v>
      </c>
      <c r="D34" s="339"/>
      <c r="E34" s="339"/>
      <c r="F34" s="277">
        <v>1.086E-2</v>
      </c>
      <c r="G34" s="277"/>
      <c r="H34" s="277">
        <v>3.9199999999999999E-3</v>
      </c>
      <c r="I34" s="354">
        <f t="shared" si="8"/>
        <v>-6.94E-3</v>
      </c>
      <c r="J34" s="339"/>
      <c r="K34" s="339"/>
      <c r="L34" s="339"/>
    </row>
    <row r="35" spans="1:12" ht="14" x14ac:dyDescent="0.3">
      <c r="A35" s="151">
        <f>IF(C35&lt;&gt;"",COUNTA($C$11:C35),"")</f>
        <v>23</v>
      </c>
      <c r="B35" s="151"/>
      <c r="C35" s="330" t="str">
        <f>+'Bill_EMA R3'!C35</f>
        <v>Pension Adjustment Factor</v>
      </c>
      <c r="D35" s="339"/>
      <c r="E35" s="339"/>
      <c r="F35" s="277">
        <v>1.4E-3</v>
      </c>
      <c r="G35" s="277"/>
      <c r="H35" s="277">
        <v>9.2000000000000003E-4</v>
      </c>
      <c r="I35" s="354">
        <f t="shared" si="8"/>
        <v>-4.7999999999999996E-4</v>
      </c>
      <c r="J35" s="339"/>
      <c r="K35" s="339"/>
      <c r="L35" s="339"/>
    </row>
    <row r="36" spans="1:12" ht="14" x14ac:dyDescent="0.3">
      <c r="A36" s="151">
        <f>IF(C36&lt;&gt;"",COUNTA($C$11:C36),"")</f>
        <v>24</v>
      </c>
      <c r="B36" s="151"/>
      <c r="C36" s="330" t="str">
        <f>+'Bill_EMA R3'!C36</f>
        <v>Net Metering Recovery Surcharge</v>
      </c>
      <c r="D36" s="339"/>
      <c r="E36" s="339"/>
      <c r="F36" s="277">
        <v>4.7200000000000002E-3</v>
      </c>
      <c r="G36" s="277"/>
      <c r="H36" s="277">
        <v>5.11E-3</v>
      </c>
      <c r="I36" s="354">
        <f t="shared" si="8"/>
        <v>3.8999999999999972E-4</v>
      </c>
      <c r="J36" s="339"/>
      <c r="K36" s="339"/>
      <c r="L36" s="339"/>
    </row>
    <row r="37" spans="1:12" ht="14" x14ac:dyDescent="0.3">
      <c r="A37" s="151">
        <f>IF(C37&lt;&gt;"",COUNTA($C$11:C37),"")</f>
        <v>25</v>
      </c>
      <c r="B37" s="151"/>
      <c r="C37" s="330" t="str">
        <f>+'Bill_EMA R3'!C37</f>
        <v>Long Term Renewable Contract Adjustment</v>
      </c>
      <c r="D37" s="339"/>
      <c r="E37" s="339"/>
      <c r="F37" s="277">
        <v>3.31E-3</v>
      </c>
      <c r="G37" s="277"/>
      <c r="H37" s="277">
        <v>1.74E-3</v>
      </c>
      <c r="I37" s="354">
        <f t="shared" si="8"/>
        <v>-1.57E-3</v>
      </c>
      <c r="J37" s="339"/>
      <c r="K37" s="339"/>
      <c r="L37" s="339"/>
    </row>
    <row r="38" spans="1:12" ht="14" x14ac:dyDescent="0.3">
      <c r="A38" s="151">
        <f>IF(C38&lt;&gt;"",COUNTA($C$11:C38),"")</f>
        <v>26</v>
      </c>
      <c r="B38" s="151"/>
      <c r="C38" s="330" t="str">
        <f>+'Bill_EMA R3'!C38</f>
        <v>AG Consulting Expense</v>
      </c>
      <c r="D38" s="339"/>
      <c r="E38" s="339"/>
      <c r="F38" s="277">
        <v>3.0000000000000001E-5</v>
      </c>
      <c r="G38" s="277"/>
      <c r="H38" s="277">
        <v>1.0000000000000001E-5</v>
      </c>
      <c r="I38" s="354">
        <f t="shared" si="8"/>
        <v>-1.9999999999999998E-5</v>
      </c>
      <c r="J38" s="339"/>
      <c r="K38" s="339"/>
      <c r="L38" s="339"/>
    </row>
    <row r="39" spans="1:12" ht="14" x14ac:dyDescent="0.3">
      <c r="A39" s="151">
        <f>IF(C39&lt;&gt;"",COUNTA($C$11:C39),"")</f>
        <v>27</v>
      </c>
      <c r="B39" s="151"/>
      <c r="C39" s="330" t="str">
        <f>+'Bill_EMA R3'!C39</f>
        <v>Storm Cost Recovery Adjustment Factor</v>
      </c>
      <c r="D39" s="339"/>
      <c r="E39" s="339"/>
      <c r="F39" s="277">
        <v>2.5200000000000001E-3</v>
      </c>
      <c r="G39" s="277"/>
      <c r="H39" s="277">
        <v>2.96E-3</v>
      </c>
      <c r="I39" s="354">
        <f t="shared" si="8"/>
        <v>4.3999999999999985E-4</v>
      </c>
      <c r="J39" s="339"/>
      <c r="K39" s="339"/>
      <c r="L39" s="339"/>
    </row>
    <row r="40" spans="1:12" ht="14" x14ac:dyDescent="0.3">
      <c r="A40" s="151">
        <f>IF(C40&lt;&gt;"",COUNTA($C$11:C40),"")</f>
        <v>28</v>
      </c>
      <c r="B40" s="151"/>
      <c r="C40" s="330" t="str">
        <f>+'Bill_EMA R3'!C40</f>
        <v>Storm Reserve Adjustment</v>
      </c>
      <c r="D40" s="339"/>
      <c r="E40" s="339"/>
      <c r="F40" s="277">
        <v>0</v>
      </c>
      <c r="G40" s="277"/>
      <c r="H40" s="277">
        <v>0</v>
      </c>
      <c r="I40" s="354">
        <f t="shared" si="8"/>
        <v>0</v>
      </c>
      <c r="J40" s="339"/>
      <c r="K40" s="339"/>
      <c r="L40" s="339"/>
    </row>
    <row r="41" spans="1:12" ht="14" x14ac:dyDescent="0.3">
      <c r="A41" s="151">
        <f>IF(C41&lt;&gt;"",COUNTA($C$11:C41),"")</f>
        <v>29</v>
      </c>
      <c r="B41" s="151"/>
      <c r="C41" s="330" t="str">
        <f>+'Bill_EMA R3'!C41</f>
        <v>Basic Service Cost True Up Factor</v>
      </c>
      <c r="D41" s="339"/>
      <c r="E41" s="339"/>
      <c r="F41" s="277">
        <v>2.3000000000000001E-4</v>
      </c>
      <c r="G41" s="277"/>
      <c r="H41" s="277">
        <v>-1.9000000000000001E-4</v>
      </c>
      <c r="I41" s="354">
        <f t="shared" si="8"/>
        <v>-4.2000000000000002E-4</v>
      </c>
      <c r="J41" s="339"/>
      <c r="K41" s="339"/>
      <c r="L41" s="339"/>
    </row>
    <row r="42" spans="1:12" ht="14" x14ac:dyDescent="0.3">
      <c r="A42" s="151">
        <f>IF(C42&lt;&gt;"",COUNTA($C$11:C42),"")</f>
        <v>30</v>
      </c>
      <c r="B42" s="151"/>
      <c r="C42" s="330" t="str">
        <f>+'Bill_EMA R3'!C42</f>
        <v>Solar Program Cost Adjustment Factor</v>
      </c>
      <c r="D42" s="339"/>
      <c r="E42" s="339"/>
      <c r="F42" s="277">
        <v>-1.2999999999999999E-4</v>
      </c>
      <c r="G42" s="277"/>
      <c r="H42" s="277">
        <v>3.0000000000000001E-5</v>
      </c>
      <c r="I42" s="354">
        <f t="shared" si="8"/>
        <v>1.5999999999999999E-4</v>
      </c>
      <c r="J42" s="339"/>
      <c r="K42" s="339"/>
      <c r="L42" s="339"/>
    </row>
    <row r="43" spans="1:12" ht="14" x14ac:dyDescent="0.3">
      <c r="A43" s="151">
        <f>IF(C43&lt;&gt;"",COUNTA($C$11:C43),"")</f>
        <v>31</v>
      </c>
      <c r="B43" s="151"/>
      <c r="C43" s="330" t="str">
        <f>+'Bill_EMA R3'!C43</f>
        <v>Solar Expansion Cost Recovery Factor</v>
      </c>
      <c r="D43" s="339"/>
      <c r="E43" s="339"/>
      <c r="F43" s="277">
        <v>0</v>
      </c>
      <c r="G43" s="277"/>
      <c r="H43" s="277">
        <v>6.0999999999999997E-4</v>
      </c>
      <c r="I43" s="354">
        <f t="shared" si="8"/>
        <v>6.0999999999999997E-4</v>
      </c>
      <c r="J43" s="339"/>
      <c r="K43" s="339"/>
      <c r="L43" s="339"/>
    </row>
    <row r="44" spans="1:12" ht="14" x14ac:dyDescent="0.3">
      <c r="A44" s="151">
        <f>IF(C44&lt;&gt;"",COUNTA($C$11:C44),"")</f>
        <v>32</v>
      </c>
      <c r="B44" s="151"/>
      <c r="C44" s="330" t="str">
        <f>+'Bill_EMA R3'!C44</f>
        <v>Vegetation Management</v>
      </c>
      <c r="D44" s="339"/>
      <c r="E44" s="339"/>
      <c r="F44" s="277">
        <v>0</v>
      </c>
      <c r="G44" s="277"/>
      <c r="H44" s="277">
        <v>1.64E-3</v>
      </c>
      <c r="I44" s="354">
        <f t="shared" si="8"/>
        <v>1.64E-3</v>
      </c>
      <c r="J44" s="339"/>
      <c r="K44" s="339"/>
      <c r="L44" s="339"/>
    </row>
    <row r="45" spans="1:12" ht="14" x14ac:dyDescent="0.3">
      <c r="A45" s="151">
        <f>IF(C45&lt;&gt;"",COUNTA($C$11:C45),"")</f>
        <v>33</v>
      </c>
      <c r="B45" s="151"/>
      <c r="C45" s="330" t="str">
        <f>+'Bill_EMA R3'!C45</f>
        <v>Solar Massachusetts Renewable Target</v>
      </c>
      <c r="D45" s="339"/>
      <c r="E45" s="339"/>
      <c r="F45" s="277">
        <v>0</v>
      </c>
      <c r="G45" s="277"/>
      <c r="H45" s="277">
        <v>7.1000000000000002E-4</v>
      </c>
      <c r="I45" s="354">
        <f t="shared" si="8"/>
        <v>7.1000000000000002E-4</v>
      </c>
      <c r="J45" s="339"/>
      <c r="K45" s="339"/>
      <c r="L45" s="339"/>
    </row>
    <row r="46" spans="1:12" ht="14" x14ac:dyDescent="0.3">
      <c r="A46" s="151">
        <f>IF(C46&lt;&gt;"",COUNTA($C$11:C46),"")</f>
        <v>34</v>
      </c>
      <c r="B46" s="151"/>
      <c r="C46" s="330" t="str">
        <f>+'Bill_EMA R3'!C46</f>
        <v>Tax Act Credit Factor</v>
      </c>
      <c r="D46" s="339"/>
      <c r="E46" s="339"/>
      <c r="F46" s="277">
        <v>0</v>
      </c>
      <c r="G46" s="277"/>
      <c r="H46" s="277">
        <v>-1.08E-3</v>
      </c>
      <c r="I46" s="354">
        <f t="shared" si="8"/>
        <v>-1.08E-3</v>
      </c>
      <c r="J46" s="339"/>
      <c r="K46" s="339"/>
      <c r="L46" s="339"/>
    </row>
    <row r="47" spans="1:12" ht="14" x14ac:dyDescent="0.3">
      <c r="A47" s="151">
        <f>IF(C47&lt;&gt;"",COUNTA($C$11:C47),"")</f>
        <v>35</v>
      </c>
      <c r="B47" s="151"/>
      <c r="C47" s="330" t="str">
        <f>+'Bill_EMA R3'!C47</f>
        <v>Transition</v>
      </c>
      <c r="D47" s="339"/>
      <c r="E47" s="339"/>
      <c r="F47" s="277">
        <v>-1.7099999999999999E-3</v>
      </c>
      <c r="G47" s="277"/>
      <c r="H47" s="277">
        <v>-5.1999999999999995E-4</v>
      </c>
      <c r="I47" s="354">
        <f t="shared" si="8"/>
        <v>1.1900000000000001E-3</v>
      </c>
      <c r="J47" s="339"/>
      <c r="K47" s="339"/>
      <c r="L47" s="339"/>
    </row>
    <row r="48" spans="1:12" ht="14" x14ac:dyDescent="0.3">
      <c r="A48" s="151">
        <f>IF(C48&lt;&gt;"",COUNTA($C$11:C48),"")</f>
        <v>36</v>
      </c>
      <c r="B48" s="151"/>
      <c r="C48" s="330" t="str">
        <f>+'Bill_EMA R3'!C48</f>
        <v>Transmission Energy</v>
      </c>
      <c r="D48" s="339"/>
      <c r="E48" s="339"/>
      <c r="F48" s="277">
        <v>2.8199999999999999E-2</v>
      </c>
      <c r="G48" s="277"/>
      <c r="H48" s="277">
        <v>2.504E-2</v>
      </c>
      <c r="I48" s="354">
        <f t="shared" si="8"/>
        <v>-3.1599999999999996E-3</v>
      </c>
      <c r="J48" s="339"/>
      <c r="K48" s="339"/>
      <c r="L48" s="339"/>
    </row>
    <row r="49" spans="1:12" ht="14" x14ac:dyDescent="0.3">
      <c r="A49" s="151">
        <f>IF(C49&lt;&gt;"",COUNTA($C$11:C49),"")</f>
        <v>37</v>
      </c>
      <c r="B49" s="151"/>
      <c r="C49" s="330" t="str">
        <f>+'Bill_EMA R3'!C49</f>
        <v>Energy Efficiency Reconciliation Factor</v>
      </c>
      <c r="D49" s="339"/>
      <c r="E49" s="339"/>
      <c r="F49" s="277">
        <v>1.4019999999999999E-2</v>
      </c>
      <c r="G49" s="277"/>
      <c r="H49" s="277">
        <v>1.4019999999999999E-2</v>
      </c>
      <c r="I49" s="354">
        <f t="shared" si="8"/>
        <v>0</v>
      </c>
      <c r="J49" s="339"/>
      <c r="K49" s="339"/>
      <c r="L49" s="339"/>
    </row>
    <row r="50" spans="1:12" ht="14" x14ac:dyDescent="0.3">
      <c r="A50" s="151">
        <f>IF(C50&lt;&gt;"",COUNTA($C$11:C50),"")</f>
        <v>38</v>
      </c>
      <c r="B50" s="151"/>
      <c r="C50" s="330" t="str">
        <f>+'Bill_EMA R3'!C50</f>
        <v>System Benefits Charge</v>
      </c>
      <c r="D50" s="339"/>
      <c r="E50" s="339"/>
      <c r="F50" s="277">
        <v>2.5000000000000001E-3</v>
      </c>
      <c r="G50" s="277"/>
      <c r="H50" s="277">
        <f>+F50</f>
        <v>2.5000000000000001E-3</v>
      </c>
      <c r="I50" s="354">
        <f t="shared" si="8"/>
        <v>0</v>
      </c>
      <c r="J50" s="339"/>
      <c r="K50" s="339"/>
      <c r="L50" s="339"/>
    </row>
    <row r="51" spans="1:12" ht="14" x14ac:dyDescent="0.3">
      <c r="A51" s="151">
        <f>IF(C51&lt;&gt;"",COUNTA($C$11:C51),"")</f>
        <v>39</v>
      </c>
      <c r="B51" s="151"/>
      <c r="C51" s="330" t="str">
        <f>+'Bill_EMA R3'!C51</f>
        <v>Renewable Energy Charge</v>
      </c>
      <c r="D51" s="339"/>
      <c r="E51" s="339"/>
      <c r="F51" s="277">
        <v>5.0000000000000001E-4</v>
      </c>
      <c r="G51" s="277"/>
      <c r="H51" s="277">
        <f>+F51</f>
        <v>5.0000000000000001E-4</v>
      </c>
      <c r="I51" s="354">
        <f t="shared" si="8"/>
        <v>0</v>
      </c>
      <c r="J51" s="339"/>
      <c r="K51" s="339"/>
      <c r="L51" s="339"/>
    </row>
    <row r="52" spans="1:12" ht="14" x14ac:dyDescent="0.3">
      <c r="A52" s="151">
        <f>IF(C52&lt;&gt;"",COUNTA($C$11:C52),"")</f>
        <v>40</v>
      </c>
      <c r="B52" s="151"/>
      <c r="C52" s="330" t="str">
        <f>+'Bill_EMA R3'!C52</f>
        <v>Basic Service Charge</v>
      </c>
      <c r="D52" s="339"/>
      <c r="E52" s="339"/>
      <c r="F52" s="277">
        <v>0.10002999999999999</v>
      </c>
      <c r="G52" s="277"/>
      <c r="H52" s="277">
        <v>0.11677999999999999</v>
      </c>
      <c r="I52" s="354">
        <f t="shared" si="8"/>
        <v>1.6750000000000001E-2</v>
      </c>
      <c r="J52" s="339"/>
      <c r="K52" s="339"/>
      <c r="L52" s="339"/>
    </row>
    <row r="53" spans="1:12" ht="14" x14ac:dyDescent="0.3">
      <c r="A53" s="151"/>
      <c r="B53" s="151"/>
      <c r="D53" s="339"/>
      <c r="E53" s="339"/>
      <c r="F53" s="277"/>
      <c r="G53" s="277"/>
      <c r="H53" s="277"/>
      <c r="I53" s="356"/>
      <c r="J53" s="339"/>
      <c r="K53" s="339"/>
      <c r="L53" s="339"/>
    </row>
    <row r="54" spans="1:12" ht="14" x14ac:dyDescent="0.3">
      <c r="A54" s="151"/>
      <c r="B54" s="151"/>
      <c r="D54" s="339"/>
      <c r="E54" s="339"/>
      <c r="F54" s="356"/>
      <c r="G54" s="356"/>
      <c r="H54" s="356"/>
      <c r="I54" s="356"/>
      <c r="J54" s="339"/>
      <c r="K54" s="339"/>
      <c r="L54" s="339"/>
    </row>
    <row r="55" spans="1:12" ht="14" x14ac:dyDescent="0.3">
      <c r="A55" s="151"/>
      <c r="B55" s="151"/>
      <c r="C55" s="335" t="s">
        <v>555</v>
      </c>
      <c r="D55" s="339"/>
      <c r="E55" s="339"/>
      <c r="F55" s="356">
        <f>SUM(F32:F51)</f>
        <v>0.10544000000000002</v>
      </c>
      <c r="G55" s="356"/>
      <c r="H55" s="356">
        <f>SUM(H32:H51)</f>
        <v>9.7400000000000014E-2</v>
      </c>
      <c r="I55" s="354">
        <f>SUM(I32:I51)</f>
        <v>-8.0399999999999985E-3</v>
      </c>
      <c r="J55" s="339"/>
      <c r="K55" s="339"/>
      <c r="L55" s="339"/>
    </row>
    <row r="56" spans="1:12" ht="14" x14ac:dyDescent="0.3">
      <c r="C56" s="335" t="str">
        <f>'Bill_EMA R1'!C56</f>
        <v>Total Basic Service</v>
      </c>
      <c r="D56" s="339"/>
      <c r="E56" s="339"/>
      <c r="F56" s="356">
        <f>F52</f>
        <v>0.10002999999999999</v>
      </c>
      <c r="G56" s="356"/>
      <c r="H56" s="356">
        <f>H52</f>
        <v>0.11677999999999999</v>
      </c>
      <c r="I56" s="354">
        <f>I52</f>
        <v>1.6750000000000001E-2</v>
      </c>
      <c r="J56" s="339"/>
      <c r="K56" s="339"/>
      <c r="L56" s="339"/>
    </row>
    <row r="57" spans="1:12" ht="14" x14ac:dyDescent="0.3">
      <c r="F57" s="335"/>
    </row>
  </sheetData>
  <mergeCells count="7">
    <mergeCell ref="A4:M4"/>
    <mergeCell ref="A5:M5"/>
    <mergeCell ref="A6:M6"/>
    <mergeCell ref="A8:M8"/>
    <mergeCell ref="D11:F11"/>
    <mergeCell ref="H11:J11"/>
    <mergeCell ref="L11:M11"/>
  </mergeCells>
  <pageMargins left="0.7" right="0.7" top="0.75" bottom="0.75" header="0.3" footer="0.3"/>
  <pageSetup scale="66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1BA6D-786B-4DFA-9F11-34A7EF3383A1}">
  <sheetPr>
    <tabColor theme="3" tint="0.59999389629810485"/>
    <pageSetUpPr fitToPage="1"/>
  </sheetPr>
  <dimension ref="A4:X57"/>
  <sheetViews>
    <sheetView zoomScaleNormal="100" workbookViewId="0"/>
  </sheetViews>
  <sheetFormatPr defaultRowHeight="12.5" x14ac:dyDescent="0.25"/>
  <cols>
    <col min="1" max="1" width="4" bestFit="1" customWidth="1"/>
    <col min="2" max="2" width="5.54296875" bestFit="1" customWidth="1"/>
    <col min="3" max="3" width="12" customWidth="1"/>
    <col min="4" max="6" width="14.7265625" customWidth="1"/>
    <col min="7" max="7" width="2" customWidth="1"/>
    <col min="8" max="10" width="14.7265625" customWidth="1"/>
    <col min="11" max="11" width="2" customWidth="1"/>
    <col min="12" max="13" width="12" customWidth="1"/>
    <col min="15" max="15" width="10.81640625" bestFit="1" customWidth="1"/>
    <col min="17" max="17" width="9.7265625" bestFit="1" customWidth="1"/>
    <col min="18" max="18" width="10.1796875" bestFit="1" customWidth="1"/>
    <col min="19" max="19" width="8.453125" bestFit="1" customWidth="1"/>
    <col min="20" max="20" width="10.81640625" bestFit="1" customWidth="1"/>
    <col min="22" max="22" width="9.7265625" bestFit="1" customWidth="1"/>
    <col min="23" max="23" width="10.1796875" bestFit="1" customWidth="1"/>
    <col min="24" max="24" width="8.453125" bestFit="1" customWidth="1"/>
  </cols>
  <sheetData>
    <row r="4" spans="1:24" ht="14" x14ac:dyDescent="0.3">
      <c r="A4" s="759" t="str">
        <f>'Bill_WMA R3'!A4:M4</f>
        <v>Western Massachusetts</v>
      </c>
      <c r="B4" s="759"/>
      <c r="C4" s="759"/>
      <c r="D4" s="759"/>
      <c r="E4" s="759"/>
      <c r="F4" s="759"/>
      <c r="G4" s="759"/>
      <c r="H4" s="759"/>
      <c r="I4" s="759"/>
      <c r="J4" s="759"/>
      <c r="K4" s="759"/>
      <c r="L4" s="759"/>
      <c r="M4" s="759"/>
    </row>
    <row r="5" spans="1:24" ht="14" x14ac:dyDescent="0.3">
      <c r="A5" s="759" t="str">
        <f>+'Bill_WMA R1'!A5</f>
        <v>Calculation of Monthly Typical Bill</v>
      </c>
      <c r="B5" s="759"/>
      <c r="C5" s="759"/>
      <c r="D5" s="759"/>
      <c r="E5" s="759"/>
      <c r="F5" s="759"/>
      <c r="G5" s="759"/>
      <c r="H5" s="759"/>
      <c r="I5" s="759"/>
      <c r="J5" s="759"/>
      <c r="K5" s="759"/>
      <c r="L5" s="759"/>
      <c r="M5" s="759"/>
      <c r="N5" s="357"/>
    </row>
    <row r="6" spans="1:24" ht="14" x14ac:dyDescent="0.3">
      <c r="A6" s="759" t="str">
        <f>'Bill_EMA R1'!A6:M6</f>
        <v>Proposed January 1, 2019</v>
      </c>
      <c r="B6" s="759"/>
      <c r="C6" s="759"/>
      <c r="D6" s="759"/>
      <c r="E6" s="759"/>
      <c r="F6" s="759"/>
      <c r="G6" s="759"/>
      <c r="H6" s="759"/>
      <c r="I6" s="759"/>
      <c r="J6" s="759"/>
      <c r="K6" s="759"/>
      <c r="L6" s="759"/>
      <c r="M6" s="759"/>
      <c r="N6" s="357"/>
    </row>
    <row r="7" spans="1:24" ht="14" x14ac:dyDescent="0.3">
      <c r="A7" s="357"/>
      <c r="B7" s="357"/>
      <c r="C7" s="357"/>
      <c r="D7" s="357"/>
      <c r="E7" s="357"/>
      <c r="F7" s="357"/>
      <c r="G7" s="357"/>
      <c r="H7" s="357"/>
      <c r="I7" s="357"/>
      <c r="J7" s="357"/>
      <c r="K7" s="357"/>
      <c r="L7" s="357"/>
      <c r="M7" s="357"/>
      <c r="N7" s="357"/>
    </row>
    <row r="8" spans="1:24" ht="14" x14ac:dyDescent="0.3">
      <c r="A8" s="759" t="s">
        <v>560</v>
      </c>
      <c r="B8" s="759"/>
      <c r="C8" s="759"/>
      <c r="D8" s="759"/>
      <c r="E8" s="759"/>
      <c r="F8" s="759"/>
      <c r="G8" s="759"/>
      <c r="H8" s="759"/>
      <c r="I8" s="759"/>
      <c r="J8" s="759"/>
      <c r="K8" s="759"/>
      <c r="L8" s="759"/>
      <c r="M8" s="759"/>
    </row>
    <row r="9" spans="1:24" ht="14" x14ac:dyDescent="0.3">
      <c r="A9" s="329"/>
      <c r="B9" s="329"/>
      <c r="C9" s="330"/>
      <c r="D9" s="330"/>
      <c r="E9" s="330"/>
      <c r="F9" s="331"/>
      <c r="G9" s="330"/>
    </row>
    <row r="10" spans="1:24" ht="14" x14ac:dyDescent="0.3">
      <c r="A10" s="329"/>
      <c r="B10" s="329"/>
      <c r="C10" s="330"/>
      <c r="D10" s="330"/>
      <c r="E10" s="330"/>
      <c r="F10" s="332"/>
      <c r="G10" s="330"/>
    </row>
    <row r="11" spans="1:24" ht="14" x14ac:dyDescent="0.3">
      <c r="A11" s="151">
        <f>IF(C11&lt;&gt;"",COUNTA($C$11:C11),"")</f>
        <v>1</v>
      </c>
      <c r="B11" s="151"/>
      <c r="C11" s="329" t="s">
        <v>528</v>
      </c>
      <c r="D11" s="758" t="str">
        <f>+'Bill_WMA R1'!D11</f>
        <v>Current Monthly Bill</v>
      </c>
      <c r="E11" s="758"/>
      <c r="F11" s="758"/>
      <c r="G11" s="330"/>
      <c r="H11" s="758" t="str">
        <f>+'Bill_WMA R1'!H11</f>
        <v>Proposed Monthly Bill</v>
      </c>
      <c r="I11" s="758"/>
      <c r="J11" s="758"/>
      <c r="L11" s="758" t="str">
        <f>+'Bill_WMA R1'!L11</f>
        <v>Total Bill Impact</v>
      </c>
      <c r="M11" s="758"/>
      <c r="O11" s="335"/>
      <c r="P11" s="335"/>
      <c r="Q11" s="335"/>
      <c r="R11" s="335"/>
      <c r="T11" s="335"/>
      <c r="U11" s="335"/>
      <c r="V11" s="335"/>
      <c r="W11" s="335"/>
    </row>
    <row r="12" spans="1:24" ht="14" x14ac:dyDescent="0.3">
      <c r="A12" s="151">
        <f>IF(C12&lt;&gt;"",COUNTA($C$11:C12),"")</f>
        <v>2</v>
      </c>
      <c r="B12" s="151"/>
      <c r="C12" s="336" t="s">
        <v>551</v>
      </c>
      <c r="D12" s="336" t="str">
        <f>+'Bill_WMA R1'!D12</f>
        <v>Delivery</v>
      </c>
      <c r="E12" s="336" t="str">
        <f>+'Bill_WMA R1'!E12</f>
        <v>Supplier</v>
      </c>
      <c r="F12" s="336" t="str">
        <f>+'Bill_WMA R1'!F12</f>
        <v>Total</v>
      </c>
      <c r="G12" s="330"/>
      <c r="H12" s="336" t="str">
        <f>+'Bill_WMA R1'!H12</f>
        <v>Delivery</v>
      </c>
      <c r="I12" s="336" t="str">
        <f>+'Bill_WMA R1'!I12</f>
        <v>Supplier</v>
      </c>
      <c r="J12" s="336" t="str">
        <f>+'Bill_WMA R1'!J12</f>
        <v>Total</v>
      </c>
      <c r="L12" s="336" t="str">
        <f>+'Bill_WMA R1'!L12</f>
        <v>Change</v>
      </c>
      <c r="M12" s="336" t="str">
        <f>+'Bill_WMA R1'!M12</f>
        <v>% Change</v>
      </c>
    </row>
    <row r="13" spans="1:24" ht="14" x14ac:dyDescent="0.3">
      <c r="A13" s="151">
        <f>IF(C13&lt;&gt;"",COUNTA($C$11:C13),"")</f>
        <v>3</v>
      </c>
      <c r="B13" s="151"/>
      <c r="C13" s="337">
        <v>100</v>
      </c>
      <c r="D13" s="338">
        <f t="shared" ref="D13:D26" si="0">ROUND(($C13*(SUM($F$32:$F$51))+$F$31)*(1-$F$53),2)</f>
        <v>10.37</v>
      </c>
      <c r="E13" s="338">
        <f t="shared" ref="E13:E26" si="1">ROUND(($F$52*C13)*(1-$F$53),2)</f>
        <v>6.4</v>
      </c>
      <c r="F13" s="338">
        <f>SUM(D13:E13)</f>
        <v>16.77</v>
      </c>
      <c r="G13" s="358"/>
      <c r="H13" s="338">
        <f t="shared" ref="H13:H26" si="2">ROUND(($C13*(SUM($H$32:$H$51))+$H$31)*(1-$H$53),2)</f>
        <v>9.86</v>
      </c>
      <c r="I13" s="338">
        <f t="shared" ref="I13:I26" si="3">ROUND(($H$52*C13)*(1-$H$53),2)</f>
        <v>7.47</v>
      </c>
      <c r="J13" s="338">
        <f>SUM(H13:I13)</f>
        <v>17.329999999999998</v>
      </c>
      <c r="K13" s="339"/>
      <c r="L13" s="340">
        <f>+J13-F13</f>
        <v>0.55999999999999872</v>
      </c>
      <c r="M13" s="341">
        <f>+L13/F13</f>
        <v>3.3392963625521688E-2</v>
      </c>
      <c r="O13" s="339"/>
      <c r="P13" s="339"/>
      <c r="Q13" s="339"/>
      <c r="R13" s="339"/>
      <c r="S13" s="339"/>
      <c r="T13" s="339"/>
      <c r="U13" s="339"/>
      <c r="V13" s="339"/>
      <c r="W13" s="339"/>
      <c r="X13" s="339"/>
    </row>
    <row r="14" spans="1:24" ht="14" x14ac:dyDescent="0.3">
      <c r="A14" s="151">
        <f>IF(C14&lt;&gt;"",COUNTA($C$11:C14),"")</f>
        <v>4</v>
      </c>
      <c r="B14" s="151"/>
      <c r="C14" s="337">
        <v>200</v>
      </c>
      <c r="D14" s="338">
        <f t="shared" si="0"/>
        <v>16.260000000000002</v>
      </c>
      <c r="E14" s="338">
        <f t="shared" si="1"/>
        <v>12.8</v>
      </c>
      <c r="F14" s="338">
        <f t="shared" ref="F14:F26" si="4">SUM(D14:E14)</f>
        <v>29.060000000000002</v>
      </c>
      <c r="G14" s="358"/>
      <c r="H14" s="338">
        <f t="shared" si="2"/>
        <v>15.24</v>
      </c>
      <c r="I14" s="338">
        <f t="shared" si="3"/>
        <v>14.95</v>
      </c>
      <c r="J14" s="338">
        <f t="shared" ref="J14:J26" si="5">SUM(H14:I14)</f>
        <v>30.189999999999998</v>
      </c>
      <c r="K14" s="339"/>
      <c r="L14" s="340">
        <f t="shared" ref="L14:L26" si="6">+J14-F14</f>
        <v>1.1299999999999955</v>
      </c>
      <c r="M14" s="341">
        <f t="shared" ref="M14:M26" si="7">+L14/F14</f>
        <v>3.8885065381968183E-2</v>
      </c>
      <c r="O14" s="339"/>
      <c r="P14" s="339"/>
      <c r="Q14" s="339"/>
      <c r="R14" s="339"/>
      <c r="S14" s="339"/>
      <c r="T14" s="339"/>
      <c r="U14" s="339"/>
      <c r="V14" s="339"/>
      <c r="W14" s="339"/>
      <c r="X14" s="339"/>
    </row>
    <row r="15" spans="1:24" ht="14" x14ac:dyDescent="0.3">
      <c r="A15" s="151">
        <f>IF(C15&lt;&gt;"",COUNTA($C$11:C15),"")</f>
        <v>5</v>
      </c>
      <c r="B15" s="151"/>
      <c r="C15" s="337">
        <v>300</v>
      </c>
      <c r="D15" s="338">
        <f t="shared" si="0"/>
        <v>22.16</v>
      </c>
      <c r="E15" s="338">
        <f t="shared" si="1"/>
        <v>19.21</v>
      </c>
      <c r="F15" s="338">
        <f t="shared" si="4"/>
        <v>41.370000000000005</v>
      </c>
      <c r="G15" s="358"/>
      <c r="H15" s="338">
        <f t="shared" si="2"/>
        <v>20.61</v>
      </c>
      <c r="I15" s="338">
        <f t="shared" si="3"/>
        <v>22.42</v>
      </c>
      <c r="J15" s="338">
        <f t="shared" si="5"/>
        <v>43.03</v>
      </c>
      <c r="K15" s="339"/>
      <c r="L15" s="340">
        <f t="shared" si="6"/>
        <v>1.6599999999999966</v>
      </c>
      <c r="M15" s="341">
        <f t="shared" si="7"/>
        <v>4.0125694948029887E-2</v>
      </c>
      <c r="O15" s="339"/>
      <c r="P15" s="339"/>
      <c r="Q15" s="339"/>
      <c r="R15" s="339"/>
      <c r="S15" s="339"/>
      <c r="T15" s="339"/>
      <c r="U15" s="339"/>
      <c r="V15" s="339"/>
      <c r="W15" s="339"/>
      <c r="X15" s="339"/>
    </row>
    <row r="16" spans="1:24" ht="14" x14ac:dyDescent="0.3">
      <c r="A16" s="151">
        <f>IF(C16&lt;&gt;"",COUNTA($C$11:C16),"")</f>
        <v>6</v>
      </c>
      <c r="B16" s="151"/>
      <c r="C16" s="337">
        <v>400</v>
      </c>
      <c r="D16" s="338">
        <f t="shared" si="0"/>
        <v>28.05</v>
      </c>
      <c r="E16" s="338">
        <f t="shared" si="1"/>
        <v>25.61</v>
      </c>
      <c r="F16" s="338">
        <f t="shared" si="4"/>
        <v>53.66</v>
      </c>
      <c r="G16" s="358"/>
      <c r="H16" s="338">
        <f t="shared" si="2"/>
        <v>25.99</v>
      </c>
      <c r="I16" s="338">
        <f t="shared" si="3"/>
        <v>29.9</v>
      </c>
      <c r="J16" s="338">
        <f t="shared" si="5"/>
        <v>55.89</v>
      </c>
      <c r="K16" s="339"/>
      <c r="L16" s="340">
        <f t="shared" si="6"/>
        <v>2.230000000000004</v>
      </c>
      <c r="M16" s="341">
        <f t="shared" si="7"/>
        <v>4.15579575102498E-2</v>
      </c>
      <c r="O16" s="339"/>
      <c r="P16" s="339"/>
      <c r="Q16" s="339"/>
      <c r="R16" s="339"/>
      <c r="S16" s="339"/>
      <c r="T16" s="339"/>
      <c r="U16" s="339"/>
      <c r="V16" s="339"/>
      <c r="W16" s="339"/>
      <c r="X16" s="339"/>
    </row>
    <row r="17" spans="1:24" ht="14" x14ac:dyDescent="0.3">
      <c r="A17" s="151">
        <f>IF(C17&lt;&gt;"",COUNTA($C$11:C17),"")</f>
        <v>7</v>
      </c>
      <c r="B17" s="151"/>
      <c r="C17" s="337">
        <v>500</v>
      </c>
      <c r="D17" s="338">
        <f t="shared" si="0"/>
        <v>33.94</v>
      </c>
      <c r="E17" s="338">
        <f t="shared" si="1"/>
        <v>32.01</v>
      </c>
      <c r="F17" s="338">
        <f t="shared" si="4"/>
        <v>65.949999999999989</v>
      </c>
      <c r="G17" s="358"/>
      <c r="H17" s="338">
        <f t="shared" si="2"/>
        <v>31.37</v>
      </c>
      <c r="I17" s="338">
        <f t="shared" si="3"/>
        <v>37.369999999999997</v>
      </c>
      <c r="J17" s="338">
        <f t="shared" si="5"/>
        <v>68.739999999999995</v>
      </c>
      <c r="K17" s="339"/>
      <c r="L17" s="340">
        <f t="shared" si="6"/>
        <v>2.7900000000000063</v>
      </c>
      <c r="M17" s="341">
        <f t="shared" si="7"/>
        <v>4.2304776345716555E-2</v>
      </c>
      <c r="O17" s="339"/>
      <c r="P17" s="339"/>
      <c r="Q17" s="339"/>
      <c r="R17" s="339"/>
      <c r="S17" s="339"/>
      <c r="T17" s="339"/>
      <c r="U17" s="339"/>
      <c r="V17" s="339"/>
      <c r="W17" s="339"/>
      <c r="X17" s="339"/>
    </row>
    <row r="18" spans="1:24" ht="14" x14ac:dyDescent="0.3">
      <c r="A18" s="151">
        <f>IF(C18&lt;&gt;"",COUNTA($C$11:C18),"")</f>
        <v>8</v>
      </c>
      <c r="B18" s="151"/>
      <c r="C18" s="337">
        <v>600</v>
      </c>
      <c r="D18" s="338">
        <f t="shared" si="0"/>
        <v>39.83</v>
      </c>
      <c r="E18" s="338">
        <f t="shared" si="1"/>
        <v>38.409999999999997</v>
      </c>
      <c r="F18" s="338">
        <f t="shared" si="4"/>
        <v>78.239999999999995</v>
      </c>
      <c r="G18" s="358"/>
      <c r="H18" s="338">
        <f t="shared" si="2"/>
        <v>36.75</v>
      </c>
      <c r="I18" s="338">
        <f t="shared" si="3"/>
        <v>44.84</v>
      </c>
      <c r="J18" s="338">
        <f t="shared" si="5"/>
        <v>81.59</v>
      </c>
      <c r="K18" s="339"/>
      <c r="L18" s="340">
        <f t="shared" si="6"/>
        <v>3.3500000000000085</v>
      </c>
      <c r="M18" s="341">
        <f t="shared" si="7"/>
        <v>4.2816973415133033E-2</v>
      </c>
      <c r="O18" s="339"/>
      <c r="P18" s="339"/>
      <c r="Q18" s="339"/>
      <c r="R18" s="339"/>
      <c r="S18" s="339"/>
      <c r="T18" s="339"/>
      <c r="U18" s="339"/>
      <c r="V18" s="339"/>
      <c r="W18" s="339"/>
      <c r="X18" s="339"/>
    </row>
    <row r="19" spans="1:24" ht="14" x14ac:dyDescent="0.3">
      <c r="A19" s="151">
        <f>IF(C19&lt;&gt;"",COUNTA($C$11:C19),"")</f>
        <v>9</v>
      </c>
      <c r="B19" s="151"/>
      <c r="C19" s="337">
        <v>700</v>
      </c>
      <c r="D19" s="338">
        <f t="shared" si="0"/>
        <v>45.73</v>
      </c>
      <c r="E19" s="338">
        <f t="shared" si="1"/>
        <v>44.81</v>
      </c>
      <c r="F19" s="338">
        <f t="shared" si="4"/>
        <v>90.539999999999992</v>
      </c>
      <c r="G19" s="358"/>
      <c r="H19" s="338">
        <f t="shared" si="2"/>
        <v>42.13</v>
      </c>
      <c r="I19" s="338">
        <f t="shared" si="3"/>
        <v>52.32</v>
      </c>
      <c r="J19" s="338">
        <f t="shared" si="5"/>
        <v>94.45</v>
      </c>
      <c r="K19" s="339"/>
      <c r="L19" s="340">
        <f t="shared" si="6"/>
        <v>3.9100000000000108</v>
      </c>
      <c r="M19" s="341">
        <f t="shared" si="7"/>
        <v>4.3185332449746094E-2</v>
      </c>
      <c r="O19" s="339"/>
      <c r="P19" s="339"/>
      <c r="Q19" s="339"/>
      <c r="R19" s="339"/>
      <c r="S19" s="339"/>
      <c r="T19" s="339"/>
      <c r="U19" s="339"/>
      <c r="V19" s="339"/>
      <c r="W19" s="339"/>
      <c r="X19" s="339"/>
    </row>
    <row r="20" spans="1:24" ht="14" x14ac:dyDescent="0.3">
      <c r="A20" s="151">
        <f>IF(C20&lt;&gt;"",COUNTA($C$11:C20),"")</f>
        <v>10</v>
      </c>
      <c r="B20" s="151"/>
      <c r="C20" s="337">
        <v>800</v>
      </c>
      <c r="D20" s="338">
        <f t="shared" si="0"/>
        <v>51.62</v>
      </c>
      <c r="E20" s="338">
        <f t="shared" si="1"/>
        <v>51.22</v>
      </c>
      <c r="F20" s="338">
        <f t="shared" si="4"/>
        <v>102.84</v>
      </c>
      <c r="G20" s="358"/>
      <c r="H20" s="338">
        <f t="shared" si="2"/>
        <v>47.5</v>
      </c>
      <c r="I20" s="338">
        <f t="shared" si="3"/>
        <v>59.79</v>
      </c>
      <c r="J20" s="338">
        <f t="shared" si="5"/>
        <v>107.28999999999999</v>
      </c>
      <c r="K20" s="339"/>
      <c r="L20" s="340">
        <f t="shared" si="6"/>
        <v>4.4499999999999886</v>
      </c>
      <c r="M20" s="341">
        <f t="shared" si="7"/>
        <v>4.3271100739011949E-2</v>
      </c>
      <c r="O20" s="339"/>
      <c r="P20" s="339"/>
      <c r="Q20" s="339"/>
      <c r="R20" s="339"/>
      <c r="S20" s="339"/>
      <c r="T20" s="339"/>
      <c r="U20" s="339"/>
      <c r="V20" s="339"/>
      <c r="W20" s="339"/>
      <c r="X20" s="339"/>
    </row>
    <row r="21" spans="1:24" ht="14" x14ac:dyDescent="0.3">
      <c r="A21" s="151">
        <f>IF(C21&lt;&gt;"",COUNTA($C$11:C21),"")</f>
        <v>11</v>
      </c>
      <c r="B21" s="151"/>
      <c r="C21" s="337">
        <v>900</v>
      </c>
      <c r="D21" s="338">
        <f t="shared" si="0"/>
        <v>57.51</v>
      </c>
      <c r="E21" s="338">
        <f t="shared" si="1"/>
        <v>57.62</v>
      </c>
      <c r="F21" s="338">
        <f t="shared" si="4"/>
        <v>115.13</v>
      </c>
      <c r="G21" s="358"/>
      <c r="H21" s="338">
        <f t="shared" si="2"/>
        <v>52.88</v>
      </c>
      <c r="I21" s="338">
        <f t="shared" si="3"/>
        <v>67.27</v>
      </c>
      <c r="J21" s="338">
        <f t="shared" si="5"/>
        <v>120.15</v>
      </c>
      <c r="K21" s="339"/>
      <c r="L21" s="340">
        <f t="shared" si="6"/>
        <v>5.0200000000000102</v>
      </c>
      <c r="M21" s="341">
        <f t="shared" si="7"/>
        <v>4.360288369669079E-2</v>
      </c>
      <c r="O21" s="339"/>
      <c r="P21" s="339"/>
      <c r="Q21" s="339"/>
      <c r="R21" s="339"/>
      <c r="S21" s="339"/>
      <c r="T21" s="339"/>
      <c r="U21" s="339"/>
      <c r="V21" s="339"/>
      <c r="W21" s="339"/>
      <c r="X21" s="339"/>
    </row>
    <row r="22" spans="1:24" ht="14" x14ac:dyDescent="0.3">
      <c r="A22" s="151">
        <f>IF(C22&lt;&gt;"",COUNTA($C$11:C22),"")</f>
        <v>12</v>
      </c>
      <c r="B22" s="151"/>
      <c r="C22" s="337">
        <v>1000</v>
      </c>
      <c r="D22" s="338">
        <f t="shared" si="0"/>
        <v>63.4</v>
      </c>
      <c r="E22" s="338">
        <f t="shared" si="1"/>
        <v>64.02</v>
      </c>
      <c r="F22" s="338">
        <f t="shared" si="4"/>
        <v>127.41999999999999</v>
      </c>
      <c r="G22" s="358"/>
      <c r="H22" s="338">
        <f t="shared" si="2"/>
        <v>58.26</v>
      </c>
      <c r="I22" s="338">
        <f t="shared" si="3"/>
        <v>74.739999999999995</v>
      </c>
      <c r="J22" s="338">
        <f t="shared" si="5"/>
        <v>133</v>
      </c>
      <c r="K22" s="339"/>
      <c r="L22" s="340">
        <f t="shared" si="6"/>
        <v>5.5800000000000125</v>
      </c>
      <c r="M22" s="341">
        <f t="shared" si="7"/>
        <v>4.3792183330717417E-2</v>
      </c>
      <c r="O22" s="339"/>
      <c r="P22" s="339"/>
      <c r="Q22" s="339"/>
      <c r="R22" s="339"/>
      <c r="S22" s="339"/>
      <c r="T22" s="339"/>
      <c r="U22" s="339"/>
      <c r="V22" s="339"/>
      <c r="W22" s="339"/>
      <c r="X22" s="339"/>
    </row>
    <row r="23" spans="1:24" ht="14" x14ac:dyDescent="0.3">
      <c r="A23" s="151">
        <f>IF(C23&lt;&gt;"",COUNTA($C$11:C23),"")</f>
        <v>13</v>
      </c>
      <c r="B23" s="151"/>
      <c r="C23" s="337">
        <v>1250</v>
      </c>
      <c r="D23" s="338">
        <f t="shared" si="0"/>
        <v>78.14</v>
      </c>
      <c r="E23" s="338">
        <f t="shared" si="1"/>
        <v>80.02</v>
      </c>
      <c r="F23" s="338">
        <f t="shared" si="4"/>
        <v>158.16</v>
      </c>
      <c r="G23" s="358"/>
      <c r="H23" s="338">
        <f t="shared" si="2"/>
        <v>71.7</v>
      </c>
      <c r="I23" s="338">
        <f t="shared" si="3"/>
        <v>93.42</v>
      </c>
      <c r="J23" s="338">
        <f t="shared" si="5"/>
        <v>165.12</v>
      </c>
      <c r="K23" s="339"/>
      <c r="L23" s="340">
        <f t="shared" si="6"/>
        <v>6.960000000000008</v>
      </c>
      <c r="M23" s="341">
        <f t="shared" si="7"/>
        <v>4.400606980273146E-2</v>
      </c>
      <c r="O23" s="339"/>
      <c r="P23" s="339"/>
      <c r="Q23" s="339"/>
      <c r="R23" s="339"/>
      <c r="S23" s="339"/>
      <c r="T23" s="339"/>
      <c r="U23" s="339"/>
      <c r="V23" s="339"/>
      <c r="W23" s="339"/>
      <c r="X23" s="339"/>
    </row>
    <row r="24" spans="1:24" ht="14" x14ac:dyDescent="0.3">
      <c r="A24" s="151">
        <f>IF(C24&lt;&gt;"",COUNTA($C$11:C24),"")</f>
        <v>14</v>
      </c>
      <c r="B24" s="151"/>
      <c r="C24" s="337">
        <v>1500</v>
      </c>
      <c r="D24" s="338">
        <f t="shared" si="0"/>
        <v>92.87</v>
      </c>
      <c r="E24" s="338">
        <f t="shared" si="1"/>
        <v>96.03</v>
      </c>
      <c r="F24" s="338">
        <f t="shared" si="4"/>
        <v>188.9</v>
      </c>
      <c r="G24" s="358"/>
      <c r="H24" s="338">
        <f t="shared" si="2"/>
        <v>85.15</v>
      </c>
      <c r="I24" s="338">
        <f t="shared" si="3"/>
        <v>112.11</v>
      </c>
      <c r="J24" s="338">
        <f t="shared" si="5"/>
        <v>197.26</v>
      </c>
      <c r="K24" s="339"/>
      <c r="L24" s="340">
        <f t="shared" si="6"/>
        <v>8.3599999999999852</v>
      </c>
      <c r="M24" s="341">
        <f t="shared" si="7"/>
        <v>4.4256220222339784E-2</v>
      </c>
      <c r="O24" s="339"/>
      <c r="P24" s="339"/>
      <c r="Q24" s="339"/>
      <c r="R24" s="339"/>
      <c r="S24" s="339"/>
      <c r="T24" s="339"/>
      <c r="U24" s="339"/>
      <c r="V24" s="339"/>
      <c r="W24" s="339"/>
      <c r="X24" s="339"/>
    </row>
    <row r="25" spans="1:24" ht="14" x14ac:dyDescent="0.3">
      <c r="A25" s="151">
        <f>IF(C25&lt;&gt;"",COUNTA($C$11:C25),"")</f>
        <v>15</v>
      </c>
      <c r="B25" s="151"/>
      <c r="C25" s="337">
        <v>2000</v>
      </c>
      <c r="D25" s="338">
        <f t="shared" si="0"/>
        <v>122.33</v>
      </c>
      <c r="E25" s="338">
        <f t="shared" si="1"/>
        <v>128.04</v>
      </c>
      <c r="F25" s="338">
        <f t="shared" si="4"/>
        <v>250.37</v>
      </c>
      <c r="G25" s="358"/>
      <c r="H25" s="338">
        <f t="shared" si="2"/>
        <v>112.04</v>
      </c>
      <c r="I25" s="338">
        <f t="shared" si="3"/>
        <v>149.47999999999999</v>
      </c>
      <c r="J25" s="338">
        <f t="shared" si="5"/>
        <v>261.52</v>
      </c>
      <c r="K25" s="339"/>
      <c r="L25" s="340">
        <f t="shared" si="6"/>
        <v>11.149999999999977</v>
      </c>
      <c r="M25" s="341">
        <f t="shared" si="7"/>
        <v>4.4534089547469652E-2</v>
      </c>
      <c r="O25" s="339"/>
      <c r="P25" s="339"/>
      <c r="Q25" s="339"/>
      <c r="R25" s="339"/>
      <c r="S25" s="339"/>
      <c r="T25" s="339"/>
      <c r="U25" s="339"/>
      <c r="V25" s="339"/>
      <c r="W25" s="339"/>
      <c r="X25" s="339"/>
    </row>
    <row r="26" spans="1:24" ht="14" x14ac:dyDescent="0.3">
      <c r="A26" s="151">
        <f>IF(C26&lt;&gt;"",COUNTA($C$11:C26),"")</f>
        <v>16</v>
      </c>
      <c r="B26" s="151" t="s">
        <v>554</v>
      </c>
      <c r="C26" s="337">
        <v>874</v>
      </c>
      <c r="D26" s="338">
        <f t="shared" si="0"/>
        <v>55.98</v>
      </c>
      <c r="E26" s="338">
        <f t="shared" si="1"/>
        <v>55.95</v>
      </c>
      <c r="F26" s="338">
        <f t="shared" si="4"/>
        <v>111.93</v>
      </c>
      <c r="G26" s="358"/>
      <c r="H26" s="338">
        <f t="shared" si="2"/>
        <v>51.48</v>
      </c>
      <c r="I26" s="338">
        <f t="shared" si="3"/>
        <v>65.319999999999993</v>
      </c>
      <c r="J26" s="338">
        <f t="shared" si="5"/>
        <v>116.79999999999998</v>
      </c>
      <c r="K26" s="339"/>
      <c r="L26" s="340">
        <f t="shared" si="6"/>
        <v>4.8699999999999761</v>
      </c>
      <c r="M26" s="341">
        <f t="shared" si="7"/>
        <v>4.3509336192262806E-2</v>
      </c>
      <c r="O26" s="339"/>
      <c r="P26" s="339"/>
      <c r="Q26" s="339"/>
      <c r="R26" s="339"/>
      <c r="S26" s="339"/>
      <c r="T26" s="339"/>
      <c r="U26" s="339"/>
      <c r="V26" s="339"/>
      <c r="W26" s="339"/>
      <c r="X26" s="339"/>
    </row>
    <row r="27" spans="1:24" ht="14" x14ac:dyDescent="0.3">
      <c r="A27" s="151" t="str">
        <f>IF(C27&lt;&gt;"",COUNTA($C$11:C27),"")</f>
        <v/>
      </c>
      <c r="B27" s="151"/>
      <c r="C27" s="343"/>
      <c r="D27" s="344"/>
      <c r="E27" s="344"/>
      <c r="F27" s="344"/>
      <c r="G27" s="359"/>
      <c r="H27" s="344"/>
      <c r="I27" s="344"/>
      <c r="J27" s="344"/>
      <c r="K27" s="345"/>
      <c r="L27" s="345"/>
    </row>
    <row r="28" spans="1:24" ht="14" x14ac:dyDescent="0.3">
      <c r="A28" s="151" t="str">
        <f>IF(C28&lt;&gt;"",COUNTA($C$11:C28),"")</f>
        <v/>
      </c>
      <c r="B28" s="151"/>
      <c r="C28" s="343"/>
      <c r="D28" s="344"/>
      <c r="E28" s="344"/>
      <c r="F28" s="344"/>
      <c r="G28" s="359"/>
      <c r="H28" s="344"/>
      <c r="I28" s="344"/>
      <c r="J28" s="344"/>
      <c r="K28" s="345"/>
      <c r="L28" s="345"/>
    </row>
    <row r="29" spans="1:24" ht="14" x14ac:dyDescent="0.3">
      <c r="A29" s="151">
        <f>IF(C29&lt;&gt;"",COUNTA($C$11:C29),"")</f>
        <v>17</v>
      </c>
      <c r="B29" s="151"/>
      <c r="C29" s="293" t="s">
        <v>46</v>
      </c>
      <c r="D29" s="339"/>
      <c r="E29" s="339"/>
      <c r="F29" s="347" t="str">
        <f>+'Bill_WMA R1'!F29</f>
        <v>Current</v>
      </c>
      <c r="G29" s="360"/>
      <c r="H29" s="347" t="str">
        <f>+'Bill_WMA R1'!H29</f>
        <v>Proposed</v>
      </c>
      <c r="I29" s="348"/>
      <c r="J29" s="339"/>
      <c r="K29" s="339"/>
      <c r="L29" s="339"/>
    </row>
    <row r="30" spans="1:24" ht="14" x14ac:dyDescent="0.3">
      <c r="A30" s="151">
        <f>IF(C30&lt;&gt;"",COUNTA($C$11:C30),"")</f>
        <v>18</v>
      </c>
      <c r="B30" s="151"/>
      <c r="C30" s="293" t="s">
        <v>46</v>
      </c>
      <c r="D30" s="339"/>
      <c r="E30" s="339"/>
      <c r="F30" s="349" t="s">
        <v>239</v>
      </c>
      <c r="G30" s="360"/>
      <c r="H30" s="349" t="s">
        <v>239</v>
      </c>
      <c r="I30" s="349" t="s">
        <v>65</v>
      </c>
      <c r="J30" s="339"/>
      <c r="K30" s="339"/>
      <c r="L30" s="339"/>
    </row>
    <row r="31" spans="1:24" ht="14" x14ac:dyDescent="0.3">
      <c r="A31" s="151">
        <f>IF(C31&lt;&gt;"",COUNTA($C$11:C31),"")</f>
        <v>19</v>
      </c>
      <c r="B31" s="151"/>
      <c r="C31" s="330" t="str">
        <f>+'Bill_EMA R4'!C31</f>
        <v>Customer Charge</v>
      </c>
      <c r="D31" s="339"/>
      <c r="E31" s="339"/>
      <c r="F31" s="350">
        <v>7</v>
      </c>
      <c r="G31" s="350"/>
      <c r="H31" s="350">
        <f>+F31</f>
        <v>7</v>
      </c>
      <c r="I31" s="351">
        <f>+H31-F31</f>
        <v>0</v>
      </c>
      <c r="J31" s="339"/>
      <c r="K31" s="339"/>
      <c r="L31" s="339"/>
    </row>
    <row r="32" spans="1:24" ht="14" x14ac:dyDescent="0.3">
      <c r="A32" s="151">
        <f>IF(C32&lt;&gt;"",COUNTA($C$11:C32),"")</f>
        <v>20</v>
      </c>
      <c r="B32" s="151"/>
      <c r="C32" s="330" t="str">
        <f>+'Bill_EMA R4'!C32</f>
        <v>Distribution Energy</v>
      </c>
      <c r="D32" s="339"/>
      <c r="E32" s="339"/>
      <c r="F32" s="277">
        <v>3.8350000000000002E-2</v>
      </c>
      <c r="G32" s="277"/>
      <c r="H32" s="277">
        <v>3.9940000000000003E-2</v>
      </c>
      <c r="I32" s="354">
        <f t="shared" ref="I32:I53" si="8">+H32-F32</f>
        <v>1.5900000000000011E-3</v>
      </c>
      <c r="J32" s="339"/>
      <c r="K32" s="339"/>
      <c r="L32" s="339"/>
    </row>
    <row r="33" spans="1:12" ht="14" x14ac:dyDescent="0.3">
      <c r="A33" s="151">
        <f>IF(C33&lt;&gt;"",COUNTA($C$11:C33),"")</f>
        <v>21</v>
      </c>
      <c r="B33" s="151"/>
      <c r="C33" s="330" t="str">
        <f>+'Bill_EMA R4'!C33</f>
        <v>Revenue Decoupling</v>
      </c>
      <c r="D33" s="339"/>
      <c r="E33" s="339"/>
      <c r="F33" s="277">
        <v>6.4000000000000005E-4</v>
      </c>
      <c r="G33" s="277"/>
      <c r="H33" s="277">
        <v>-4.6000000000000001E-4</v>
      </c>
      <c r="I33" s="354">
        <f t="shared" si="8"/>
        <v>-1.1000000000000001E-3</v>
      </c>
      <c r="J33" s="339"/>
      <c r="K33" s="339"/>
      <c r="L33" s="339"/>
    </row>
    <row r="34" spans="1:12" ht="14" x14ac:dyDescent="0.3">
      <c r="A34" s="151">
        <f>IF(C34&lt;&gt;"",COUNTA($C$11:C34),"")</f>
        <v>22</v>
      </c>
      <c r="B34" s="151"/>
      <c r="C34" s="330" t="str">
        <f>+'Bill_EMA R4'!C34</f>
        <v>Residential Assistance Adjustment Factor</v>
      </c>
      <c r="D34" s="339"/>
      <c r="E34" s="339"/>
      <c r="F34" s="277">
        <v>1.086E-2</v>
      </c>
      <c r="G34" s="277"/>
      <c r="H34" s="277">
        <v>3.9199999999999999E-3</v>
      </c>
      <c r="I34" s="354">
        <f t="shared" si="8"/>
        <v>-6.94E-3</v>
      </c>
      <c r="J34" s="339"/>
      <c r="K34" s="339"/>
      <c r="L34" s="339"/>
    </row>
    <row r="35" spans="1:12" ht="14" x14ac:dyDescent="0.3">
      <c r="A35" s="151">
        <f>IF(C35&lt;&gt;"",COUNTA($C$11:C35),"")</f>
        <v>23</v>
      </c>
      <c r="B35" s="151"/>
      <c r="C35" s="330" t="str">
        <f>+'Bill_EMA R4'!C35</f>
        <v>Pension Adjustment Factor</v>
      </c>
      <c r="D35" s="339"/>
      <c r="E35" s="339"/>
      <c r="F35" s="277">
        <v>1.4E-3</v>
      </c>
      <c r="G35" s="277"/>
      <c r="H35" s="277">
        <v>9.2000000000000003E-4</v>
      </c>
      <c r="I35" s="354">
        <f t="shared" si="8"/>
        <v>-4.7999999999999996E-4</v>
      </c>
      <c r="J35" s="339"/>
      <c r="K35" s="339"/>
      <c r="L35" s="339"/>
    </row>
    <row r="36" spans="1:12" ht="14" x14ac:dyDescent="0.3">
      <c r="A36" s="151">
        <f>IF(C36&lt;&gt;"",COUNTA($C$11:C36),"")</f>
        <v>24</v>
      </c>
      <c r="B36" s="151"/>
      <c r="C36" s="330" t="str">
        <f>+'Bill_EMA R4'!C36</f>
        <v>Net Metering Recovery Surcharge</v>
      </c>
      <c r="D36" s="339"/>
      <c r="E36" s="339"/>
      <c r="F36" s="277">
        <v>4.7200000000000002E-3</v>
      </c>
      <c r="G36" s="277"/>
      <c r="H36" s="277">
        <v>5.11E-3</v>
      </c>
      <c r="I36" s="354">
        <f t="shared" si="8"/>
        <v>3.8999999999999972E-4</v>
      </c>
      <c r="J36" s="339"/>
      <c r="K36" s="339"/>
      <c r="L36" s="339"/>
    </row>
    <row r="37" spans="1:12" ht="14" x14ac:dyDescent="0.3">
      <c r="A37" s="151">
        <f>IF(C37&lt;&gt;"",COUNTA($C$11:C37),"")</f>
        <v>25</v>
      </c>
      <c r="B37" s="151"/>
      <c r="C37" s="330" t="str">
        <f>+'Bill_EMA R4'!C37</f>
        <v>Long Term Renewable Contract Adjustment</v>
      </c>
      <c r="D37" s="339"/>
      <c r="E37" s="339"/>
      <c r="F37" s="277">
        <v>3.31E-3</v>
      </c>
      <c r="G37" s="277"/>
      <c r="H37" s="277">
        <v>1.74E-3</v>
      </c>
      <c r="I37" s="354">
        <f t="shared" si="8"/>
        <v>-1.57E-3</v>
      </c>
      <c r="J37" s="339"/>
      <c r="K37" s="339"/>
      <c r="L37" s="339"/>
    </row>
    <row r="38" spans="1:12" ht="14" x14ac:dyDescent="0.3">
      <c r="A38" s="151">
        <f>IF(C38&lt;&gt;"",COUNTA($C$11:C38),"")</f>
        <v>26</v>
      </c>
      <c r="B38" s="151"/>
      <c r="C38" s="330" t="str">
        <f>+'Bill_EMA R4'!C38</f>
        <v>AG Consulting Expense</v>
      </c>
      <c r="D38" s="339"/>
      <c r="E38" s="339"/>
      <c r="F38" s="277">
        <v>3.0000000000000001E-5</v>
      </c>
      <c r="G38" s="277"/>
      <c r="H38" s="277">
        <v>1.0000000000000001E-5</v>
      </c>
      <c r="I38" s="354">
        <f t="shared" si="8"/>
        <v>-1.9999999999999998E-5</v>
      </c>
      <c r="J38" s="339"/>
      <c r="K38" s="339"/>
      <c r="L38" s="339"/>
    </row>
    <row r="39" spans="1:12" ht="14" x14ac:dyDescent="0.3">
      <c r="A39" s="151">
        <f>IF(C39&lt;&gt;"",COUNTA($C$11:C39),"")</f>
        <v>27</v>
      </c>
      <c r="B39" s="151"/>
      <c r="C39" s="330" t="str">
        <f>+'Bill_EMA R4'!C39</f>
        <v>Storm Cost Recovery Adjustment Factor</v>
      </c>
      <c r="D39" s="339"/>
      <c r="E39" s="339"/>
      <c r="F39" s="277">
        <v>2.5200000000000001E-3</v>
      </c>
      <c r="G39" s="277"/>
      <c r="H39" s="277">
        <v>2.96E-3</v>
      </c>
      <c r="I39" s="354">
        <f t="shared" si="8"/>
        <v>4.3999999999999985E-4</v>
      </c>
      <c r="J39" s="339"/>
      <c r="K39" s="339"/>
      <c r="L39" s="339"/>
    </row>
    <row r="40" spans="1:12" ht="14" x14ac:dyDescent="0.3">
      <c r="A40" s="151">
        <f>IF(C40&lt;&gt;"",COUNTA($C$11:C40),"")</f>
        <v>28</v>
      </c>
      <c r="B40" s="151"/>
      <c r="C40" s="330" t="str">
        <f>+'Bill_EMA R4'!C40</f>
        <v>Storm Reserve Adjustment</v>
      </c>
      <c r="D40" s="339"/>
      <c r="E40" s="339"/>
      <c r="F40" s="277">
        <v>0</v>
      </c>
      <c r="G40" s="277"/>
      <c r="H40" s="277">
        <v>0</v>
      </c>
      <c r="I40" s="354">
        <f t="shared" si="8"/>
        <v>0</v>
      </c>
      <c r="J40" s="339"/>
      <c r="K40" s="339"/>
      <c r="L40" s="339"/>
    </row>
    <row r="41" spans="1:12" ht="14" x14ac:dyDescent="0.3">
      <c r="A41" s="151">
        <f>IF(C41&lt;&gt;"",COUNTA($C$11:C41),"")</f>
        <v>29</v>
      </c>
      <c r="B41" s="151"/>
      <c r="C41" s="330" t="str">
        <f>+'Bill_EMA R4'!C41</f>
        <v>Basic Service Cost True Up Factor</v>
      </c>
      <c r="D41" s="339"/>
      <c r="E41" s="339"/>
      <c r="F41" s="277">
        <v>2.3000000000000001E-4</v>
      </c>
      <c r="G41" s="277"/>
      <c r="H41" s="277">
        <v>-1.9000000000000001E-4</v>
      </c>
      <c r="I41" s="354">
        <f t="shared" si="8"/>
        <v>-4.2000000000000002E-4</v>
      </c>
      <c r="J41" s="339"/>
      <c r="K41" s="339"/>
      <c r="L41" s="339"/>
    </row>
    <row r="42" spans="1:12" ht="14" x14ac:dyDescent="0.3">
      <c r="A42" s="151">
        <f>IF(C42&lt;&gt;"",COUNTA($C$11:C42),"")</f>
        <v>30</v>
      </c>
      <c r="B42" s="151"/>
      <c r="C42" s="330" t="str">
        <f>+'Bill_EMA R4'!C42</f>
        <v>Solar Program Cost Adjustment Factor</v>
      </c>
      <c r="D42" s="339"/>
      <c r="E42" s="339"/>
      <c r="F42" s="277">
        <v>-1.2999999999999999E-4</v>
      </c>
      <c r="G42" s="277"/>
      <c r="H42" s="277">
        <v>3.0000000000000001E-5</v>
      </c>
      <c r="I42" s="354">
        <f t="shared" si="8"/>
        <v>1.5999999999999999E-4</v>
      </c>
      <c r="J42" s="339"/>
      <c r="K42" s="339"/>
      <c r="L42" s="339"/>
    </row>
    <row r="43" spans="1:12" ht="14" x14ac:dyDescent="0.3">
      <c r="A43" s="151">
        <f>IF(C43&lt;&gt;"",COUNTA($C$11:C43),"")</f>
        <v>31</v>
      </c>
      <c r="B43" s="151"/>
      <c r="C43" s="330" t="str">
        <f>+'Bill_EMA R4'!C43</f>
        <v>Solar Expansion Cost Recovery Factor</v>
      </c>
      <c r="D43" s="339"/>
      <c r="E43" s="339"/>
      <c r="F43" s="277">
        <v>0</v>
      </c>
      <c r="G43" s="277"/>
      <c r="H43" s="277">
        <v>6.0999999999999997E-4</v>
      </c>
      <c r="I43" s="354">
        <f t="shared" si="8"/>
        <v>6.0999999999999997E-4</v>
      </c>
      <c r="J43" s="339"/>
      <c r="K43" s="339"/>
      <c r="L43" s="339"/>
    </row>
    <row r="44" spans="1:12" ht="14" x14ac:dyDescent="0.3">
      <c r="A44" s="151">
        <f>IF(C44&lt;&gt;"",COUNTA($C$11:C44),"")</f>
        <v>32</v>
      </c>
      <c r="B44" s="151"/>
      <c r="C44" s="330" t="str">
        <f>+'Bill_EMA R4'!C44</f>
        <v>Vegetation Management</v>
      </c>
      <c r="D44" s="339"/>
      <c r="E44" s="339"/>
      <c r="F44" s="277">
        <v>0</v>
      </c>
      <c r="G44" s="277"/>
      <c r="H44" s="277">
        <v>1.64E-3</v>
      </c>
      <c r="I44" s="354">
        <f t="shared" si="8"/>
        <v>1.64E-3</v>
      </c>
      <c r="J44" s="339"/>
      <c r="K44" s="339"/>
      <c r="L44" s="339"/>
    </row>
    <row r="45" spans="1:12" ht="14" x14ac:dyDescent="0.3">
      <c r="A45" s="151">
        <f>IF(C45&lt;&gt;"",COUNTA($C$11:C45),"")</f>
        <v>33</v>
      </c>
      <c r="B45" s="151"/>
      <c r="C45" s="330" t="str">
        <f>+'Bill_EMA R4'!C45</f>
        <v>Solar Massachusetts Renewable Target</v>
      </c>
      <c r="D45" s="339"/>
      <c r="E45" s="339"/>
      <c r="F45" s="277">
        <v>0</v>
      </c>
      <c r="G45" s="277"/>
      <c r="H45" s="277">
        <v>7.1000000000000002E-4</v>
      </c>
      <c r="I45" s="354">
        <f t="shared" si="8"/>
        <v>7.1000000000000002E-4</v>
      </c>
      <c r="J45" s="339"/>
      <c r="K45" s="339"/>
      <c r="L45" s="339"/>
    </row>
    <row r="46" spans="1:12" ht="14" x14ac:dyDescent="0.3">
      <c r="A46" s="151">
        <f>IF(C46&lt;&gt;"",COUNTA($C$11:C46),"")</f>
        <v>34</v>
      </c>
      <c r="B46" s="151"/>
      <c r="C46" s="330" t="str">
        <f>+'Bill_EMA R4'!C46</f>
        <v>Tax Act Credit Factor</v>
      </c>
      <c r="D46" s="339"/>
      <c r="E46" s="339"/>
      <c r="F46" s="277">
        <v>0</v>
      </c>
      <c r="G46" s="277"/>
      <c r="H46" s="277">
        <v>-1.08E-3</v>
      </c>
      <c r="I46" s="354">
        <f t="shared" si="8"/>
        <v>-1.08E-3</v>
      </c>
      <c r="J46" s="339"/>
      <c r="K46" s="339"/>
      <c r="L46" s="339"/>
    </row>
    <row r="47" spans="1:12" ht="14" x14ac:dyDescent="0.3">
      <c r="A47" s="151">
        <f>IF(C47&lt;&gt;"",COUNTA($C$11:C47),"")</f>
        <v>35</v>
      </c>
      <c r="B47" s="151"/>
      <c r="C47" s="330" t="str">
        <f>+'Bill_EMA R4'!C47</f>
        <v>Transition</v>
      </c>
      <c r="D47" s="339"/>
      <c r="E47" s="339"/>
      <c r="F47" s="277">
        <v>-1.7099999999999999E-3</v>
      </c>
      <c r="G47" s="277"/>
      <c r="H47" s="277">
        <v>-5.1999999999999995E-4</v>
      </c>
      <c r="I47" s="354">
        <f t="shared" si="8"/>
        <v>1.1900000000000001E-3</v>
      </c>
      <c r="J47" s="339"/>
      <c r="K47" s="339"/>
      <c r="L47" s="339"/>
    </row>
    <row r="48" spans="1:12" ht="14" x14ac:dyDescent="0.3">
      <c r="A48" s="151">
        <f>IF(C48&lt;&gt;"",COUNTA($C$11:C48),"")</f>
        <v>36</v>
      </c>
      <c r="B48" s="151"/>
      <c r="C48" s="330" t="str">
        <f>+'Bill_EMA R4'!C48</f>
        <v>Transmission Energy</v>
      </c>
      <c r="D48" s="339"/>
      <c r="E48" s="339"/>
      <c r="F48" s="277">
        <v>2.8199999999999999E-2</v>
      </c>
      <c r="G48" s="277"/>
      <c r="H48" s="277">
        <v>2.504E-2</v>
      </c>
      <c r="I48" s="354">
        <f t="shared" si="8"/>
        <v>-3.1599999999999996E-3</v>
      </c>
      <c r="J48" s="339"/>
      <c r="K48" s="339"/>
      <c r="L48" s="339"/>
    </row>
    <row r="49" spans="1:12" ht="14" x14ac:dyDescent="0.3">
      <c r="A49" s="151">
        <f>IF(C49&lt;&gt;"",COUNTA($C$11:C49),"")</f>
        <v>37</v>
      </c>
      <c r="B49" s="151"/>
      <c r="C49" s="330" t="str">
        <f>+'Bill_EMA R4'!C49</f>
        <v>Energy Efficiency Reconciliation Factor</v>
      </c>
      <c r="D49" s="339"/>
      <c r="E49" s="339"/>
      <c r="F49" s="277">
        <v>6.4999999999999997E-4</v>
      </c>
      <c r="G49" s="277"/>
      <c r="H49" s="277">
        <v>6.4999999999999997E-4</v>
      </c>
      <c r="I49" s="354">
        <f t="shared" si="8"/>
        <v>0</v>
      </c>
      <c r="J49" s="339"/>
      <c r="K49" s="339"/>
      <c r="L49" s="339"/>
    </row>
    <row r="50" spans="1:12" ht="14" x14ac:dyDescent="0.3">
      <c r="A50" s="151">
        <f>IF(C50&lt;&gt;"",COUNTA($C$11:C50),"")</f>
        <v>38</v>
      </c>
      <c r="B50" s="151"/>
      <c r="C50" s="330" t="str">
        <f>+'Bill_EMA R4'!C50</f>
        <v>System Benefits Charge</v>
      </c>
      <c r="D50" s="339"/>
      <c r="E50" s="339"/>
      <c r="F50" s="277">
        <v>2.5000000000000001E-3</v>
      </c>
      <c r="G50" s="277"/>
      <c r="H50" s="277">
        <f>+F50</f>
        <v>2.5000000000000001E-3</v>
      </c>
      <c r="I50" s="354">
        <f t="shared" si="8"/>
        <v>0</v>
      </c>
      <c r="J50" s="339"/>
      <c r="K50" s="339"/>
      <c r="L50" s="339"/>
    </row>
    <row r="51" spans="1:12" ht="14" x14ac:dyDescent="0.3">
      <c r="A51" s="151">
        <f>IF(C51&lt;&gt;"",COUNTA($C$11:C51),"")</f>
        <v>39</v>
      </c>
      <c r="B51" s="151"/>
      <c r="C51" s="330" t="str">
        <f>+'Bill_EMA R4'!C51</f>
        <v>Renewable Energy Charge</v>
      </c>
      <c r="D51" s="339"/>
      <c r="E51" s="339"/>
      <c r="F51" s="277">
        <v>5.0000000000000001E-4</v>
      </c>
      <c r="G51" s="277"/>
      <c r="H51" s="277">
        <f>+F51</f>
        <v>5.0000000000000001E-4</v>
      </c>
      <c r="I51" s="354">
        <f t="shared" si="8"/>
        <v>0</v>
      </c>
      <c r="J51" s="339"/>
      <c r="K51" s="339"/>
      <c r="L51" s="339"/>
    </row>
    <row r="52" spans="1:12" ht="14" x14ac:dyDescent="0.3">
      <c r="A52" s="151">
        <f>IF(C52&lt;&gt;"",COUNTA($C$11:C52),"")</f>
        <v>40</v>
      </c>
      <c r="B52" s="151"/>
      <c r="C52" s="330" t="str">
        <f>+'Bill_EMA R4'!C52</f>
        <v>Basic Service Charge</v>
      </c>
      <c r="D52" s="339"/>
      <c r="E52" s="339"/>
      <c r="F52" s="277">
        <v>0.10002999999999999</v>
      </c>
      <c r="G52" s="277"/>
      <c r="H52" s="277">
        <v>0.11677999999999999</v>
      </c>
      <c r="I52" s="354">
        <f t="shared" si="8"/>
        <v>1.6750000000000001E-2</v>
      </c>
      <c r="J52" s="339"/>
      <c r="K52" s="339"/>
      <c r="L52" s="339"/>
    </row>
    <row r="53" spans="1:12" ht="14" x14ac:dyDescent="0.3">
      <c r="A53" s="151">
        <f>IF(C53&lt;&gt;"",COUNTA($C$11:C53),"")</f>
        <v>41</v>
      </c>
      <c r="B53" s="151"/>
      <c r="C53" s="330" t="str">
        <f>+'Bill_EMA R4'!C53</f>
        <v>Low Income Discount</v>
      </c>
      <c r="D53" s="339"/>
      <c r="E53" s="339"/>
      <c r="F53" s="364">
        <v>0.36</v>
      </c>
      <c r="G53" s="364"/>
      <c r="H53" s="364">
        <f>+F53</f>
        <v>0.36</v>
      </c>
      <c r="I53" s="302">
        <f t="shared" si="8"/>
        <v>0</v>
      </c>
      <c r="J53" s="339"/>
      <c r="K53" s="339"/>
      <c r="L53" s="339"/>
    </row>
    <row r="54" spans="1:12" ht="14" x14ac:dyDescent="0.3">
      <c r="A54" s="151"/>
      <c r="B54" s="151"/>
      <c r="C54" s="330"/>
      <c r="D54" s="339"/>
      <c r="E54" s="339"/>
      <c r="F54" s="356"/>
      <c r="G54" s="356"/>
      <c r="H54" s="356"/>
      <c r="I54" s="356"/>
      <c r="J54" s="339"/>
      <c r="K54" s="339"/>
      <c r="L54" s="339"/>
    </row>
    <row r="55" spans="1:12" ht="14" x14ac:dyDescent="0.3">
      <c r="A55" s="151"/>
      <c r="B55" s="151"/>
      <c r="D55" s="339"/>
      <c r="E55" s="339"/>
      <c r="F55" s="356"/>
      <c r="G55" s="356"/>
      <c r="H55" s="356"/>
      <c r="I55" s="356"/>
      <c r="J55" s="339"/>
      <c r="K55" s="339"/>
      <c r="L55" s="339"/>
    </row>
    <row r="56" spans="1:12" ht="14" x14ac:dyDescent="0.3">
      <c r="A56" s="151"/>
      <c r="B56" s="151"/>
      <c r="C56" s="335" t="str">
        <f>'Bill_EMA R1'!C55</f>
        <v>Total Energy</v>
      </c>
      <c r="D56" s="339"/>
      <c r="E56" s="339"/>
      <c r="F56" s="356">
        <f>SUM(F32:F51)</f>
        <v>9.2070000000000013E-2</v>
      </c>
      <c r="G56" s="356"/>
      <c r="H56" s="356">
        <f>SUM(H32:H51)</f>
        <v>8.4030000000000007E-2</v>
      </c>
      <c r="I56" s="354">
        <f>SUM(I32:I51)</f>
        <v>-8.0399999999999985E-3</v>
      </c>
      <c r="J56" s="339"/>
      <c r="K56" s="339"/>
      <c r="L56" s="339"/>
    </row>
    <row r="57" spans="1:12" ht="14" x14ac:dyDescent="0.3">
      <c r="C57" s="335" t="str">
        <f>'Bill_EMA R1'!C56</f>
        <v>Total Basic Service</v>
      </c>
      <c r="F57" s="363">
        <f>F52</f>
        <v>0.10002999999999999</v>
      </c>
      <c r="H57" s="363">
        <f>H52</f>
        <v>0.11677999999999999</v>
      </c>
      <c r="I57" s="354">
        <f>I52</f>
        <v>1.6750000000000001E-2</v>
      </c>
    </row>
  </sheetData>
  <mergeCells count="7">
    <mergeCell ref="A4:M4"/>
    <mergeCell ref="A5:M5"/>
    <mergeCell ref="A6:M6"/>
    <mergeCell ref="A8:M8"/>
    <mergeCell ref="D11:F11"/>
    <mergeCell ref="H11:J11"/>
    <mergeCell ref="L11:M11"/>
  </mergeCells>
  <pageMargins left="0.7" right="0.7" top="0.75" bottom="0.75" header="0.3" footer="0.3"/>
  <pageSetup scale="66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5F247-163D-464D-9F46-D56F723D0C33}">
  <sheetPr>
    <tabColor theme="3" tint="0.59999389629810485"/>
    <pageSetUpPr fitToPage="1"/>
  </sheetPr>
  <dimension ref="A4:X70"/>
  <sheetViews>
    <sheetView zoomScaleNormal="100" workbookViewId="0"/>
  </sheetViews>
  <sheetFormatPr defaultRowHeight="12.5" x14ac:dyDescent="0.25"/>
  <cols>
    <col min="1" max="1" width="4.453125" customWidth="1"/>
    <col min="2" max="2" width="4.453125" bestFit="1" customWidth="1"/>
    <col min="3" max="3" width="11.7265625" customWidth="1"/>
    <col min="4" max="6" width="14.7265625" customWidth="1"/>
    <col min="7" max="7" width="1.7265625" customWidth="1"/>
    <col min="8" max="10" width="14.7265625" customWidth="1"/>
    <col min="11" max="11" width="1.7265625" customWidth="1"/>
    <col min="12" max="13" width="11.7265625" customWidth="1"/>
    <col min="15" max="17" width="9.81640625" bestFit="1" customWidth="1"/>
    <col min="19" max="19" width="7.54296875" bestFit="1" customWidth="1"/>
    <col min="20" max="22" width="9.81640625" bestFit="1" customWidth="1"/>
    <col min="24" max="24" width="7.54296875" bestFit="1" customWidth="1"/>
  </cols>
  <sheetData>
    <row r="4" spans="1:24" ht="14" x14ac:dyDescent="0.3">
      <c r="A4" s="762" t="str">
        <f>+'Bill_EMA R1'!A4:M4</f>
        <v>Eastern Massachusetts</v>
      </c>
      <c r="B4" s="762"/>
      <c r="C4" s="762"/>
      <c r="D4" s="762"/>
      <c r="E4" s="762"/>
      <c r="F4" s="762"/>
      <c r="G4" s="762"/>
      <c r="H4" s="762"/>
      <c r="I4" s="762"/>
      <c r="J4" s="762"/>
      <c r="K4" s="762"/>
      <c r="L4" s="762"/>
      <c r="M4" s="762"/>
    </row>
    <row r="5" spans="1:24" ht="14" x14ac:dyDescent="0.3">
      <c r="A5" s="762" t="str">
        <f>+'Bill_EMA R1'!A5:M5</f>
        <v>Calculation of Monthly Typical Bill</v>
      </c>
      <c r="B5" s="762"/>
      <c r="C5" s="762"/>
      <c r="D5" s="762"/>
      <c r="E5" s="762"/>
      <c r="F5" s="762"/>
      <c r="G5" s="762"/>
      <c r="H5" s="762"/>
      <c r="I5" s="762"/>
      <c r="J5" s="762"/>
      <c r="K5" s="762"/>
      <c r="L5" s="762"/>
      <c r="M5" s="762"/>
    </row>
    <row r="6" spans="1:24" ht="14" x14ac:dyDescent="0.3">
      <c r="A6" s="762" t="str">
        <f>+'Bill_EMA R1'!A6:M6</f>
        <v>Proposed January 1, 2019</v>
      </c>
      <c r="B6" s="762"/>
      <c r="C6" s="762"/>
      <c r="D6" s="762"/>
      <c r="E6" s="762"/>
      <c r="F6" s="762"/>
      <c r="G6" s="762"/>
      <c r="H6" s="762"/>
      <c r="I6" s="762"/>
      <c r="J6" s="762"/>
      <c r="K6" s="762"/>
      <c r="L6" s="762"/>
      <c r="M6" s="762"/>
    </row>
    <row r="7" spans="1:24" ht="14" x14ac:dyDescent="0.3">
      <c r="A7" s="365"/>
      <c r="B7" s="365"/>
      <c r="C7" s="365"/>
      <c r="D7" s="365"/>
      <c r="E7" s="365"/>
      <c r="F7" s="365"/>
      <c r="G7" s="365"/>
      <c r="H7" s="365"/>
      <c r="I7" s="365"/>
      <c r="J7" s="365"/>
      <c r="K7" s="365"/>
      <c r="L7" s="365"/>
      <c r="M7" s="365"/>
    </row>
    <row r="8" spans="1:24" ht="14" x14ac:dyDescent="0.3">
      <c r="A8" s="762" t="s">
        <v>346</v>
      </c>
      <c r="B8" s="762"/>
      <c r="C8" s="762"/>
      <c r="D8" s="762"/>
      <c r="E8" s="762"/>
      <c r="F8" s="762"/>
      <c r="G8" s="762"/>
      <c r="H8" s="762"/>
      <c r="I8" s="762"/>
      <c r="J8" s="762"/>
      <c r="K8" s="762"/>
      <c r="L8" s="762"/>
      <c r="M8" s="762"/>
    </row>
    <row r="9" spans="1:24" ht="14" x14ac:dyDescent="0.3">
      <c r="A9" s="762" t="s">
        <v>561</v>
      </c>
      <c r="B9" s="762"/>
      <c r="C9" s="762"/>
      <c r="D9" s="762"/>
      <c r="E9" s="762"/>
      <c r="F9" s="762"/>
      <c r="G9" s="762"/>
      <c r="H9" s="762"/>
      <c r="I9" s="762"/>
      <c r="J9" s="762"/>
      <c r="K9" s="762"/>
      <c r="L9" s="762"/>
      <c r="M9" s="762"/>
    </row>
    <row r="10" spans="1:24" ht="14" x14ac:dyDescent="0.3">
      <c r="A10" s="366"/>
      <c r="B10" s="366"/>
      <c r="C10" s="293"/>
      <c r="D10" s="293"/>
      <c r="E10" s="293"/>
      <c r="F10" s="367"/>
      <c r="G10" s="293"/>
    </row>
    <row r="11" spans="1:24" ht="14" x14ac:dyDescent="0.3">
      <c r="A11" s="366"/>
      <c r="B11" s="366"/>
      <c r="C11" s="293"/>
      <c r="D11" s="293"/>
      <c r="E11" s="293"/>
      <c r="F11" s="368"/>
      <c r="G11" s="293"/>
    </row>
    <row r="12" spans="1:24" ht="14" x14ac:dyDescent="0.3">
      <c r="A12" s="151">
        <f>IF(C12&lt;&gt;"",COUNTA($C12:C$12),"")</f>
        <v>1</v>
      </c>
      <c r="B12" s="151"/>
      <c r="C12" s="366" t="str">
        <f>+'Bill_EMA R1'!C11</f>
        <v>Monthly</v>
      </c>
      <c r="D12" s="760" t="s">
        <v>562</v>
      </c>
      <c r="E12" s="760"/>
      <c r="F12" s="760"/>
      <c r="G12" s="293"/>
      <c r="H12" s="760" t="s">
        <v>563</v>
      </c>
      <c r="I12" s="760"/>
      <c r="J12" s="760"/>
      <c r="L12" s="760" t="str">
        <f>+'Bill_EMA R1'!L11</f>
        <v>Total Bill Impact</v>
      </c>
      <c r="M12" s="760"/>
      <c r="O12" s="369"/>
      <c r="P12" s="369"/>
      <c r="Q12" s="369"/>
      <c r="R12" s="369"/>
      <c r="S12" s="369"/>
      <c r="T12" s="369"/>
      <c r="U12" s="369"/>
      <c r="V12" s="369"/>
      <c r="W12" s="369"/>
      <c r="X12" s="369"/>
    </row>
    <row r="13" spans="1:24" ht="14" x14ac:dyDescent="0.3">
      <c r="A13" s="151">
        <f>IF(C13&lt;&gt;"",COUNTA($C$12:C13),"")</f>
        <v>2</v>
      </c>
      <c r="B13" s="151"/>
      <c r="C13" s="370" t="str">
        <f>+'Bill_EMA R1'!C12</f>
        <v xml:space="preserve">kWh </v>
      </c>
      <c r="D13" s="370" t="str">
        <f>+'Bill_EMA R1'!D12</f>
        <v>Delivery</v>
      </c>
      <c r="E13" s="370" t="str">
        <f>+'Bill_EMA R1'!E12</f>
        <v>Supplier</v>
      </c>
      <c r="F13" s="370" t="str">
        <f>+'Bill_EMA R1'!F12</f>
        <v>Total</v>
      </c>
      <c r="G13" s="293"/>
      <c r="H13" s="370" t="str">
        <f>+'Bill_EMA R1'!H12</f>
        <v>Delivery</v>
      </c>
      <c r="I13" s="370" t="str">
        <f>+'Bill_EMA R1'!I12</f>
        <v>Supplier</v>
      </c>
      <c r="J13" s="370" t="str">
        <f>+'Bill_EMA R1'!J12</f>
        <v>Total</v>
      </c>
      <c r="L13" s="370" t="str">
        <f>+'Bill_EMA R1'!L12</f>
        <v>Change</v>
      </c>
      <c r="M13" s="370" t="str">
        <f>+'Bill_EMA R1'!M12</f>
        <v>% Change</v>
      </c>
      <c r="O13" s="369"/>
      <c r="P13" s="369"/>
      <c r="Q13" s="369"/>
      <c r="R13" s="369"/>
      <c r="S13" s="369"/>
      <c r="T13" s="369"/>
      <c r="U13" s="369"/>
      <c r="V13" s="369"/>
      <c r="W13" s="369"/>
      <c r="X13" s="369"/>
    </row>
    <row r="14" spans="1:24" ht="14" x14ac:dyDescent="0.3">
      <c r="A14" s="151">
        <f>IF(C14&lt;&gt;"",COUNTA($C$12:C14),"")</f>
        <v>3</v>
      </c>
      <c r="B14" s="151"/>
      <c r="C14" s="371">
        <v>20</v>
      </c>
      <c r="D14" s="372">
        <f t="shared" ref="D14:D24" si="0">ROUND(SUM($F$44,$F$46:$F$64)*$C14+$F$43,2)</f>
        <v>9.98</v>
      </c>
      <c r="E14" s="372">
        <f t="shared" ref="E14:E24" si="1">ROUND(F$65*$C14,2)</f>
        <v>2.2799999999999998</v>
      </c>
      <c r="F14" s="372">
        <f t="shared" ref="F14:F24" si="2">SUM(D14:E14)</f>
        <v>12.26</v>
      </c>
      <c r="G14" s="373"/>
      <c r="H14" s="372">
        <f t="shared" ref="H14:H24" si="3">ROUND(SUM($H$44,$H$46:$H$64)*$C14+$H$43,2)</f>
        <v>10</v>
      </c>
      <c r="I14" s="372">
        <f t="shared" ref="I14:I24" si="4">ROUND(H$65*C14,2)</f>
        <v>2.64</v>
      </c>
      <c r="J14" s="372">
        <f t="shared" ref="J14:J24" si="5">SUM(H14:I14)</f>
        <v>12.64</v>
      </c>
      <c r="K14" s="374"/>
      <c r="L14" s="375">
        <f t="shared" ref="L14:L24" si="6">+J14-F14</f>
        <v>0.38000000000000078</v>
      </c>
      <c r="M14" s="376">
        <f t="shared" ref="M14:M24" si="7">+L14/F14</f>
        <v>3.0995106035889133E-2</v>
      </c>
      <c r="O14" s="377"/>
      <c r="P14" s="322"/>
      <c r="Q14" s="322"/>
      <c r="R14" s="377"/>
      <c r="S14" s="378"/>
      <c r="T14" s="377"/>
      <c r="U14" s="322"/>
      <c r="V14" s="322"/>
      <c r="W14" s="377"/>
      <c r="X14" s="374"/>
    </row>
    <row r="15" spans="1:24" ht="14" x14ac:dyDescent="0.3">
      <c r="A15" s="151">
        <f>IF(C15&lt;&gt;"",COUNTA($C$12:C15),"")</f>
        <v>4</v>
      </c>
      <c r="B15" s="151"/>
      <c r="C15" s="371">
        <v>50</v>
      </c>
      <c r="D15" s="372">
        <f t="shared" si="0"/>
        <v>12.96</v>
      </c>
      <c r="E15" s="372">
        <f t="shared" si="1"/>
        <v>5.7</v>
      </c>
      <c r="F15" s="372">
        <f t="shared" si="2"/>
        <v>18.66</v>
      </c>
      <c r="G15" s="373"/>
      <c r="H15" s="372">
        <f t="shared" si="3"/>
        <v>13</v>
      </c>
      <c r="I15" s="372">
        <f t="shared" si="4"/>
        <v>6.59</v>
      </c>
      <c r="J15" s="372">
        <f t="shared" si="5"/>
        <v>19.59</v>
      </c>
      <c r="K15" s="374"/>
      <c r="L15" s="375">
        <f t="shared" si="6"/>
        <v>0.92999999999999972</v>
      </c>
      <c r="M15" s="376">
        <f t="shared" si="7"/>
        <v>4.9839228295819923E-2</v>
      </c>
      <c r="O15" s="377"/>
      <c r="P15" s="322"/>
      <c r="Q15" s="322"/>
      <c r="R15" s="377"/>
      <c r="S15" s="378"/>
      <c r="T15" s="377"/>
      <c r="U15" s="322"/>
      <c r="V15" s="322"/>
      <c r="W15" s="377"/>
      <c r="X15" s="374"/>
    </row>
    <row r="16" spans="1:24" ht="14" x14ac:dyDescent="0.3">
      <c r="A16" s="151">
        <f>IF(C16&lt;&gt;"",COUNTA($C$12:C16),"")</f>
        <v>5</v>
      </c>
      <c r="B16" s="151"/>
      <c r="C16" s="371">
        <v>90</v>
      </c>
      <c r="D16" s="372">
        <f t="shared" si="0"/>
        <v>16.93</v>
      </c>
      <c r="E16" s="372">
        <f t="shared" si="1"/>
        <v>10.26</v>
      </c>
      <c r="F16" s="372">
        <f t="shared" si="2"/>
        <v>27.189999999999998</v>
      </c>
      <c r="G16" s="373"/>
      <c r="H16" s="372">
        <f t="shared" si="3"/>
        <v>17</v>
      </c>
      <c r="I16" s="372">
        <f t="shared" si="4"/>
        <v>11.87</v>
      </c>
      <c r="J16" s="372">
        <f t="shared" si="5"/>
        <v>28.869999999999997</v>
      </c>
      <c r="K16" s="374"/>
      <c r="L16" s="375">
        <f t="shared" si="6"/>
        <v>1.6799999999999997</v>
      </c>
      <c r="M16" s="376">
        <f t="shared" si="7"/>
        <v>6.1787421846267003E-2</v>
      </c>
      <c r="O16" s="377"/>
      <c r="P16" s="322"/>
      <c r="Q16" s="322"/>
      <c r="R16" s="377"/>
      <c r="S16" s="378"/>
      <c r="T16" s="377"/>
      <c r="U16" s="322"/>
      <c r="V16" s="322"/>
      <c r="W16" s="377"/>
      <c r="X16" s="374"/>
    </row>
    <row r="17" spans="1:24" ht="14" x14ac:dyDescent="0.3">
      <c r="A17" s="151">
        <f>IF(C17&lt;&gt;"",COUNTA($C$12:C17),"")</f>
        <v>6</v>
      </c>
      <c r="B17" s="151"/>
      <c r="C17" s="371">
        <v>150</v>
      </c>
      <c r="D17" s="372">
        <f t="shared" si="0"/>
        <v>22.88</v>
      </c>
      <c r="E17" s="372">
        <f t="shared" si="1"/>
        <v>17.100000000000001</v>
      </c>
      <c r="F17" s="372">
        <f t="shared" si="2"/>
        <v>39.980000000000004</v>
      </c>
      <c r="G17" s="373"/>
      <c r="H17" s="372">
        <f t="shared" si="3"/>
        <v>22.99</v>
      </c>
      <c r="I17" s="372">
        <f t="shared" si="4"/>
        <v>19.78</v>
      </c>
      <c r="J17" s="372">
        <f t="shared" si="5"/>
        <v>42.769999999999996</v>
      </c>
      <c r="K17" s="374"/>
      <c r="L17" s="375">
        <f t="shared" si="6"/>
        <v>2.789999999999992</v>
      </c>
      <c r="M17" s="376">
        <f t="shared" si="7"/>
        <v>6.9784892446222907E-2</v>
      </c>
      <c r="O17" s="377"/>
      <c r="P17" s="322"/>
      <c r="Q17" s="322"/>
      <c r="R17" s="377"/>
      <c r="S17" s="378"/>
      <c r="T17" s="377"/>
      <c r="U17" s="322"/>
      <c r="V17" s="322"/>
      <c r="W17" s="377"/>
      <c r="X17" s="374"/>
    </row>
    <row r="18" spans="1:24" ht="14" x14ac:dyDescent="0.3">
      <c r="A18" s="151">
        <f>IF(C18&lt;&gt;"",COUNTA($C$12:C18),"")</f>
        <v>7</v>
      </c>
      <c r="B18" s="151"/>
      <c r="C18" s="371">
        <v>230</v>
      </c>
      <c r="D18" s="372">
        <f t="shared" si="0"/>
        <v>30.81</v>
      </c>
      <c r="E18" s="372">
        <f t="shared" si="1"/>
        <v>26.23</v>
      </c>
      <c r="F18" s="372">
        <f t="shared" si="2"/>
        <v>57.04</v>
      </c>
      <c r="G18" s="373"/>
      <c r="H18" s="372">
        <f t="shared" si="3"/>
        <v>30.99</v>
      </c>
      <c r="I18" s="372">
        <f t="shared" si="4"/>
        <v>30.33</v>
      </c>
      <c r="J18" s="372">
        <f t="shared" si="5"/>
        <v>61.319999999999993</v>
      </c>
      <c r="K18" s="374"/>
      <c r="L18" s="375">
        <f t="shared" si="6"/>
        <v>4.279999999999994</v>
      </c>
      <c r="M18" s="376">
        <f t="shared" si="7"/>
        <v>7.5035063113604389E-2</v>
      </c>
      <c r="O18" s="377"/>
      <c r="P18" s="322"/>
      <c r="Q18" s="322"/>
      <c r="R18" s="377"/>
      <c r="S18" s="378"/>
      <c r="T18" s="377"/>
      <c r="U18" s="322"/>
      <c r="V18" s="322"/>
      <c r="W18" s="377"/>
      <c r="X18" s="374"/>
    </row>
    <row r="19" spans="1:24" ht="14" x14ac:dyDescent="0.3">
      <c r="A19" s="151">
        <f>IF(C19&lt;&gt;"",COUNTA($C$12:C19),"")</f>
        <v>8</v>
      </c>
      <c r="B19" s="151"/>
      <c r="C19" s="379">
        <v>350</v>
      </c>
      <c r="D19" s="380">
        <f t="shared" si="0"/>
        <v>42.71</v>
      </c>
      <c r="E19" s="380">
        <f t="shared" si="1"/>
        <v>39.909999999999997</v>
      </c>
      <c r="F19" s="380">
        <f t="shared" si="2"/>
        <v>82.62</v>
      </c>
      <c r="G19" s="381"/>
      <c r="H19" s="380">
        <f t="shared" si="3"/>
        <v>42.98</v>
      </c>
      <c r="I19" s="380">
        <f t="shared" si="4"/>
        <v>46.15</v>
      </c>
      <c r="J19" s="380">
        <f t="shared" si="5"/>
        <v>89.13</v>
      </c>
      <c r="K19" s="382"/>
      <c r="L19" s="383">
        <f t="shared" si="6"/>
        <v>6.5099999999999909</v>
      </c>
      <c r="M19" s="384">
        <f>+L19/F19</f>
        <v>7.8794480755264948E-2</v>
      </c>
      <c r="N19" s="385"/>
      <c r="O19" s="377"/>
      <c r="P19" s="322"/>
      <c r="Q19" s="322"/>
      <c r="R19" s="377"/>
      <c r="S19" s="378"/>
      <c r="T19" s="377"/>
      <c r="U19" s="322"/>
      <c r="V19" s="322"/>
      <c r="W19" s="377"/>
      <c r="X19" s="374"/>
    </row>
    <row r="20" spans="1:24" ht="14" x14ac:dyDescent="0.3">
      <c r="A20" s="151">
        <f>IF(C20&lt;&gt;"",COUNTA($C$12:C20),"")</f>
        <v>9</v>
      </c>
      <c r="B20" s="151"/>
      <c r="C20" s="379">
        <v>500</v>
      </c>
      <c r="D20" s="380">
        <f t="shared" si="0"/>
        <v>57.59</v>
      </c>
      <c r="E20" s="380">
        <f t="shared" si="1"/>
        <v>57.02</v>
      </c>
      <c r="F20" s="380">
        <f t="shared" si="2"/>
        <v>114.61000000000001</v>
      </c>
      <c r="G20" s="381"/>
      <c r="H20" s="380">
        <f t="shared" si="3"/>
        <v>57.98</v>
      </c>
      <c r="I20" s="380">
        <f t="shared" si="4"/>
        <v>65.930000000000007</v>
      </c>
      <c r="J20" s="380">
        <f t="shared" si="5"/>
        <v>123.91</v>
      </c>
      <c r="K20" s="382"/>
      <c r="L20" s="383">
        <f t="shared" si="6"/>
        <v>9.2999999999999829</v>
      </c>
      <c r="M20" s="384">
        <f t="shared" si="7"/>
        <v>8.1144751766861367E-2</v>
      </c>
      <c r="N20" s="385"/>
      <c r="O20" s="377"/>
      <c r="P20" s="322"/>
      <c r="Q20" s="322"/>
      <c r="R20" s="377"/>
      <c r="S20" s="378"/>
      <c r="T20" s="377"/>
      <c r="U20" s="322"/>
      <c r="V20" s="322"/>
      <c r="W20" s="377"/>
      <c r="X20" s="374"/>
    </row>
    <row r="21" spans="1:24" ht="14" x14ac:dyDescent="0.3">
      <c r="A21" s="151">
        <f>IF(C21&lt;&gt;"",COUNTA($C$12:C21),"")</f>
        <v>10</v>
      </c>
      <c r="B21" s="151"/>
      <c r="C21" s="379">
        <v>750</v>
      </c>
      <c r="D21" s="380">
        <f t="shared" si="0"/>
        <v>82.39</v>
      </c>
      <c r="E21" s="380">
        <f t="shared" si="1"/>
        <v>85.52</v>
      </c>
      <c r="F21" s="380">
        <f t="shared" si="2"/>
        <v>167.91</v>
      </c>
      <c r="G21" s="381"/>
      <c r="H21" s="380">
        <f t="shared" si="3"/>
        <v>82.96</v>
      </c>
      <c r="I21" s="380">
        <f t="shared" si="4"/>
        <v>98.89</v>
      </c>
      <c r="J21" s="380">
        <f t="shared" si="5"/>
        <v>181.85</v>
      </c>
      <c r="K21" s="382"/>
      <c r="L21" s="383">
        <f t="shared" si="6"/>
        <v>13.939999999999998</v>
      </c>
      <c r="M21" s="384">
        <f t="shared" si="7"/>
        <v>8.3020665832886656E-2</v>
      </c>
      <c r="N21" s="385"/>
      <c r="O21" s="377"/>
      <c r="P21" s="322"/>
      <c r="Q21" s="322"/>
      <c r="R21" s="377"/>
      <c r="S21" s="378"/>
      <c r="T21" s="377"/>
      <c r="U21" s="322"/>
      <c r="V21" s="322"/>
      <c r="W21" s="377"/>
      <c r="X21" s="374"/>
    </row>
    <row r="22" spans="1:24" ht="14" x14ac:dyDescent="0.3">
      <c r="A22" s="151">
        <f>IF(C22&lt;&gt;"",COUNTA($C$12:C22),"")</f>
        <v>11</v>
      </c>
      <c r="B22" s="151"/>
      <c r="C22" s="379">
        <v>1300</v>
      </c>
      <c r="D22" s="380">
        <f t="shared" si="0"/>
        <v>136.93</v>
      </c>
      <c r="E22" s="380">
        <f t="shared" si="1"/>
        <v>148.24</v>
      </c>
      <c r="F22" s="380">
        <f t="shared" si="2"/>
        <v>285.17</v>
      </c>
      <c r="G22" s="381"/>
      <c r="H22" s="380">
        <f t="shared" si="3"/>
        <v>137.94</v>
      </c>
      <c r="I22" s="380">
        <f t="shared" si="4"/>
        <v>171.41</v>
      </c>
      <c r="J22" s="380">
        <f t="shared" si="5"/>
        <v>309.35000000000002</v>
      </c>
      <c r="K22" s="382"/>
      <c r="L22" s="383">
        <f t="shared" si="6"/>
        <v>24.180000000000007</v>
      </c>
      <c r="M22" s="384">
        <f t="shared" si="7"/>
        <v>8.4791527860574409E-2</v>
      </c>
      <c r="N22" s="385"/>
      <c r="O22" s="377"/>
      <c r="P22" s="322"/>
      <c r="Q22" s="322"/>
      <c r="R22" s="377"/>
      <c r="S22" s="378"/>
      <c r="T22" s="377"/>
      <c r="U22" s="322"/>
      <c r="V22" s="322"/>
      <c r="W22" s="377"/>
      <c r="X22" s="374"/>
    </row>
    <row r="23" spans="1:24" ht="14" x14ac:dyDescent="0.3">
      <c r="A23" s="151">
        <f>IF(C23&lt;&gt;"",COUNTA($C$12:C23),"")</f>
        <v>12</v>
      </c>
      <c r="B23" s="151"/>
      <c r="C23" s="379">
        <v>2000</v>
      </c>
      <c r="D23" s="380">
        <f t="shared" si="0"/>
        <v>206.36</v>
      </c>
      <c r="E23" s="380">
        <f t="shared" si="1"/>
        <v>228.06</v>
      </c>
      <c r="F23" s="380">
        <f t="shared" si="2"/>
        <v>434.42</v>
      </c>
      <c r="G23" s="381"/>
      <c r="H23" s="380">
        <f t="shared" si="3"/>
        <v>207.9</v>
      </c>
      <c r="I23" s="380">
        <f t="shared" si="4"/>
        <v>263.7</v>
      </c>
      <c r="J23" s="380">
        <f t="shared" si="5"/>
        <v>471.6</v>
      </c>
      <c r="K23" s="382"/>
      <c r="L23" s="383">
        <f t="shared" si="6"/>
        <v>37.180000000000007</v>
      </c>
      <c r="M23" s="384">
        <f t="shared" si="7"/>
        <v>8.5585378205423335E-2</v>
      </c>
      <c r="N23" s="385"/>
      <c r="O23" s="377"/>
      <c r="P23" s="322"/>
      <c r="Q23" s="322"/>
      <c r="R23" s="377"/>
      <c r="S23" s="378"/>
      <c r="T23" s="377"/>
      <c r="U23" s="322"/>
      <c r="V23" s="322"/>
      <c r="W23" s="377"/>
      <c r="X23" s="374"/>
    </row>
    <row r="24" spans="1:24" ht="14" x14ac:dyDescent="0.3">
      <c r="A24" s="151">
        <f>IF(C24&lt;&gt;"",COUNTA($C$12:C24),"")</f>
        <v>13</v>
      </c>
      <c r="B24" s="151" t="s">
        <v>554</v>
      </c>
      <c r="C24" s="379">
        <v>493</v>
      </c>
      <c r="D24" s="380">
        <f t="shared" si="0"/>
        <v>56.9</v>
      </c>
      <c r="E24" s="380">
        <f t="shared" si="1"/>
        <v>56.22</v>
      </c>
      <c r="F24" s="380">
        <f t="shared" si="2"/>
        <v>113.12</v>
      </c>
      <c r="G24" s="381"/>
      <c r="H24" s="380">
        <f t="shared" si="3"/>
        <v>57.28</v>
      </c>
      <c r="I24" s="380">
        <f t="shared" si="4"/>
        <v>65</v>
      </c>
      <c r="J24" s="380">
        <f t="shared" si="5"/>
        <v>122.28</v>
      </c>
      <c r="K24" s="382"/>
      <c r="L24" s="383">
        <f t="shared" si="6"/>
        <v>9.1599999999999966</v>
      </c>
      <c r="M24" s="384">
        <f t="shared" si="7"/>
        <v>8.0975954738330941E-2</v>
      </c>
      <c r="N24" s="385"/>
      <c r="O24" s="377"/>
      <c r="P24" s="322"/>
      <c r="Q24" s="322"/>
      <c r="R24" s="377"/>
      <c r="S24" s="378"/>
      <c r="T24" s="377"/>
      <c r="U24" s="322"/>
      <c r="V24" s="322"/>
      <c r="W24" s="377"/>
      <c r="X24" s="374"/>
    </row>
    <row r="25" spans="1:24" ht="14" x14ac:dyDescent="0.3">
      <c r="A25" s="151" t="str">
        <f>IF(C25&lt;&gt;"",COUNTA($C$12:C25),"")</f>
        <v/>
      </c>
      <c r="B25" s="151"/>
      <c r="C25" s="379"/>
      <c r="D25" s="380"/>
      <c r="E25" s="380"/>
      <c r="F25" s="380"/>
      <c r="G25" s="381"/>
      <c r="H25" s="382"/>
      <c r="I25" s="382"/>
      <c r="J25" s="382"/>
      <c r="K25" s="382"/>
      <c r="L25" s="382"/>
      <c r="M25" s="385"/>
      <c r="N25" s="385"/>
      <c r="O25" s="377"/>
      <c r="P25" s="322"/>
      <c r="Q25" s="322"/>
      <c r="R25" s="377"/>
      <c r="S25" s="378"/>
      <c r="T25" s="377"/>
      <c r="U25" s="322"/>
      <c r="V25" s="322"/>
      <c r="W25" s="377"/>
      <c r="X25" s="374"/>
    </row>
    <row r="26" spans="1:24" ht="14" x14ac:dyDescent="0.3">
      <c r="A26" s="151">
        <f>IF(C26&lt;&gt;"",COUNTA($C$12:C26),"")</f>
        <v>14</v>
      </c>
      <c r="B26" s="151"/>
      <c r="C26" s="366" t="str">
        <f>+C12</f>
        <v>Monthly</v>
      </c>
      <c r="D26" s="760" t="s">
        <v>564</v>
      </c>
      <c r="E26" s="760"/>
      <c r="F26" s="760"/>
      <c r="G26" s="386"/>
      <c r="H26" s="760" t="s">
        <v>565</v>
      </c>
      <c r="I26" s="760"/>
      <c r="J26" s="760"/>
      <c r="K26" s="382"/>
      <c r="L26" s="761" t="str">
        <f>+L12</f>
        <v>Total Bill Impact</v>
      </c>
      <c r="M26" s="761"/>
      <c r="N26" s="385"/>
      <c r="U26" s="322"/>
      <c r="V26" s="322"/>
    </row>
    <row r="27" spans="1:24" ht="14" x14ac:dyDescent="0.3">
      <c r="A27" s="151">
        <f>IF(C27&lt;&gt;"",COUNTA($C$12:C27),"")</f>
        <v>15</v>
      </c>
      <c r="B27" s="151"/>
      <c r="C27" s="387" t="str">
        <f>+C13</f>
        <v xml:space="preserve">kWh </v>
      </c>
      <c r="D27" s="388" t="str">
        <f t="shared" ref="D27:M27" si="8">+D13</f>
        <v>Delivery</v>
      </c>
      <c r="E27" s="388" t="str">
        <f t="shared" si="8"/>
        <v>Supplier</v>
      </c>
      <c r="F27" s="388" t="str">
        <f t="shared" si="8"/>
        <v>Total</v>
      </c>
      <c r="G27" s="386"/>
      <c r="H27" s="388" t="str">
        <f t="shared" si="8"/>
        <v>Delivery</v>
      </c>
      <c r="I27" s="388" t="str">
        <f t="shared" si="8"/>
        <v>Supplier</v>
      </c>
      <c r="J27" s="388" t="str">
        <f t="shared" si="8"/>
        <v>Total</v>
      </c>
      <c r="K27" s="382"/>
      <c r="L27" s="388" t="str">
        <f t="shared" si="8"/>
        <v>Change</v>
      </c>
      <c r="M27" s="387" t="str">
        <f t="shared" si="8"/>
        <v>% Change</v>
      </c>
      <c r="N27" s="385"/>
      <c r="U27" s="322"/>
      <c r="V27" s="322"/>
    </row>
    <row r="28" spans="1:24" ht="14" x14ac:dyDescent="0.3">
      <c r="A28" s="151">
        <f>IF(C28&lt;&gt;"",COUNTA($C$12:C28),"")</f>
        <v>16</v>
      </c>
      <c r="B28" s="151"/>
      <c r="C28" s="389">
        <f>+C14</f>
        <v>20</v>
      </c>
      <c r="D28" s="380">
        <f t="shared" ref="D28:D38" si="9">ROUND(SUM($F$45,$F$46:$F$64)*$C28+$F$43,2)</f>
        <v>10.51</v>
      </c>
      <c r="E28" s="380">
        <f t="shared" ref="E28:E38" si="10">ROUND($F$65*$C28,2)</f>
        <v>2.2799999999999998</v>
      </c>
      <c r="F28" s="380">
        <f t="shared" ref="F28:F36" si="11">SUM(D28:E28)</f>
        <v>12.79</v>
      </c>
      <c r="G28" s="381"/>
      <c r="H28" s="380">
        <f t="shared" ref="H28:H38" si="12">ROUND(SUM($H$45,$H$46:$H$64)*$C28+$H$43,2)</f>
        <v>10.55</v>
      </c>
      <c r="I28" s="380">
        <f t="shared" ref="I28:I38" si="13">ROUND($H$65*$C28,2)</f>
        <v>2.64</v>
      </c>
      <c r="J28" s="380">
        <f t="shared" ref="J28:J35" si="14">SUM(H28:I28)</f>
        <v>13.190000000000001</v>
      </c>
      <c r="K28" s="382"/>
      <c r="L28" s="383">
        <f t="shared" ref="L28:L38" si="15">+J28-F28</f>
        <v>0.40000000000000213</v>
      </c>
      <c r="M28" s="384">
        <f t="shared" ref="M28:M38" si="16">+L28/F28</f>
        <v>3.1274433150899311E-2</v>
      </c>
      <c r="N28" s="385"/>
      <c r="O28" s="377"/>
      <c r="P28" s="322"/>
      <c r="Q28" s="322"/>
      <c r="R28" s="377"/>
      <c r="S28" s="378"/>
      <c r="T28" s="377"/>
      <c r="U28" s="322"/>
      <c r="V28" s="322"/>
      <c r="W28" s="377"/>
      <c r="X28" s="374"/>
    </row>
    <row r="29" spans="1:24" ht="14" x14ac:dyDescent="0.3">
      <c r="A29" s="151">
        <f>IF(C29&lt;&gt;"",COUNTA($C$12:C29),"")</f>
        <v>17</v>
      </c>
      <c r="B29" s="151"/>
      <c r="C29" s="389">
        <f t="shared" ref="C29:C37" si="17">+C15</f>
        <v>50</v>
      </c>
      <c r="D29" s="380">
        <f t="shared" si="9"/>
        <v>14.28</v>
      </c>
      <c r="E29" s="380">
        <f t="shared" si="10"/>
        <v>5.7</v>
      </c>
      <c r="F29" s="380">
        <f t="shared" si="11"/>
        <v>19.98</v>
      </c>
      <c r="G29" s="381"/>
      <c r="H29" s="380">
        <f t="shared" si="12"/>
        <v>14.38</v>
      </c>
      <c r="I29" s="380">
        <f t="shared" si="13"/>
        <v>6.59</v>
      </c>
      <c r="J29" s="380">
        <f t="shared" si="14"/>
        <v>20.97</v>
      </c>
      <c r="K29" s="382"/>
      <c r="L29" s="383">
        <f t="shared" si="15"/>
        <v>0.98999999999999844</v>
      </c>
      <c r="M29" s="384">
        <f t="shared" si="16"/>
        <v>4.9549549549549474E-2</v>
      </c>
      <c r="N29" s="385"/>
      <c r="O29" s="377"/>
      <c r="P29" s="322"/>
      <c r="Q29" s="322"/>
      <c r="R29" s="377"/>
      <c r="S29" s="378"/>
      <c r="T29" s="377"/>
      <c r="U29" s="322"/>
      <c r="V29" s="322"/>
      <c r="W29" s="377"/>
      <c r="X29" s="374"/>
    </row>
    <row r="30" spans="1:24" ht="14" x14ac:dyDescent="0.3">
      <c r="A30" s="151">
        <f>IF(C30&lt;&gt;"",COUNTA($C$12:C30),"")</f>
        <v>18</v>
      </c>
      <c r="B30" s="151"/>
      <c r="C30" s="389">
        <f t="shared" si="17"/>
        <v>90</v>
      </c>
      <c r="D30" s="380">
        <f t="shared" si="9"/>
        <v>19.309999999999999</v>
      </c>
      <c r="E30" s="380">
        <f t="shared" si="10"/>
        <v>10.26</v>
      </c>
      <c r="F30" s="380">
        <f t="shared" si="11"/>
        <v>29.57</v>
      </c>
      <c r="G30" s="381"/>
      <c r="H30" s="380">
        <f t="shared" si="12"/>
        <v>19.489999999999998</v>
      </c>
      <c r="I30" s="380">
        <f t="shared" si="13"/>
        <v>11.87</v>
      </c>
      <c r="J30" s="380">
        <f t="shared" si="14"/>
        <v>31.36</v>
      </c>
      <c r="K30" s="382"/>
      <c r="L30" s="383">
        <f t="shared" si="15"/>
        <v>1.7899999999999991</v>
      </c>
      <c r="M30" s="384">
        <f t="shared" si="16"/>
        <v>6.0534325329726045E-2</v>
      </c>
      <c r="O30" s="377"/>
      <c r="P30" s="322"/>
      <c r="Q30" s="322"/>
      <c r="R30" s="377"/>
      <c r="S30" s="378"/>
      <c r="T30" s="377"/>
      <c r="U30" s="322"/>
      <c r="V30" s="322"/>
      <c r="W30" s="377"/>
      <c r="X30" s="374"/>
    </row>
    <row r="31" spans="1:24" ht="14" x14ac:dyDescent="0.3">
      <c r="A31" s="151">
        <f>IF(C31&lt;&gt;"",COUNTA($C$12:C31),"")</f>
        <v>19</v>
      </c>
      <c r="B31" s="151"/>
      <c r="C31" s="389">
        <f t="shared" si="17"/>
        <v>150</v>
      </c>
      <c r="D31" s="380">
        <f t="shared" si="9"/>
        <v>26.85</v>
      </c>
      <c r="E31" s="380">
        <f t="shared" si="10"/>
        <v>17.100000000000001</v>
      </c>
      <c r="F31" s="380">
        <f t="shared" si="11"/>
        <v>43.95</v>
      </c>
      <c r="G31" s="381"/>
      <c r="H31" s="380">
        <f t="shared" si="12"/>
        <v>27.14</v>
      </c>
      <c r="I31" s="380">
        <f t="shared" si="13"/>
        <v>19.78</v>
      </c>
      <c r="J31" s="380">
        <f t="shared" si="14"/>
        <v>46.92</v>
      </c>
      <c r="K31" s="382"/>
      <c r="L31" s="383">
        <f t="shared" si="15"/>
        <v>2.9699999999999989</v>
      </c>
      <c r="M31" s="384">
        <f t="shared" si="16"/>
        <v>6.7576791808873687E-2</v>
      </c>
      <c r="O31" s="377"/>
      <c r="P31" s="322"/>
      <c r="Q31" s="322"/>
      <c r="R31" s="377"/>
      <c r="S31" s="378"/>
      <c r="T31" s="377"/>
      <c r="U31" s="322"/>
      <c r="V31" s="322"/>
      <c r="W31" s="377"/>
      <c r="X31" s="374"/>
    </row>
    <row r="32" spans="1:24" ht="14" x14ac:dyDescent="0.3">
      <c r="A32" s="151">
        <f>IF(C32&lt;&gt;"",COUNTA($C$12:C32),"")</f>
        <v>20</v>
      </c>
      <c r="B32" s="151"/>
      <c r="C32" s="389">
        <f t="shared" si="17"/>
        <v>230</v>
      </c>
      <c r="D32" s="380">
        <f t="shared" si="9"/>
        <v>36.909999999999997</v>
      </c>
      <c r="E32" s="380">
        <f t="shared" si="10"/>
        <v>26.23</v>
      </c>
      <c r="F32" s="380">
        <f t="shared" si="11"/>
        <v>63.14</v>
      </c>
      <c r="G32" s="381"/>
      <c r="H32" s="380">
        <f t="shared" si="12"/>
        <v>37.35</v>
      </c>
      <c r="I32" s="380">
        <f t="shared" si="13"/>
        <v>30.33</v>
      </c>
      <c r="J32" s="380">
        <f t="shared" si="14"/>
        <v>67.680000000000007</v>
      </c>
      <c r="K32" s="382"/>
      <c r="L32" s="383">
        <f t="shared" si="15"/>
        <v>4.5400000000000063</v>
      </c>
      <c r="M32" s="384">
        <f t="shared" si="16"/>
        <v>7.1903706050047617E-2</v>
      </c>
      <c r="O32" s="377"/>
      <c r="P32" s="322"/>
      <c r="Q32" s="322"/>
      <c r="R32" s="377"/>
      <c r="S32" s="378"/>
      <c r="T32" s="377"/>
      <c r="U32" s="322"/>
      <c r="V32" s="322"/>
      <c r="W32" s="377"/>
      <c r="X32" s="374"/>
    </row>
    <row r="33" spans="1:24" ht="14" x14ac:dyDescent="0.3">
      <c r="A33" s="151">
        <f>IF(C33&lt;&gt;"",COUNTA($C$12:C33),"")</f>
        <v>21</v>
      </c>
      <c r="B33" s="151"/>
      <c r="C33" s="389">
        <f t="shared" si="17"/>
        <v>350</v>
      </c>
      <c r="D33" s="380">
        <f t="shared" si="9"/>
        <v>51.99</v>
      </c>
      <c r="E33" s="380">
        <f t="shared" si="10"/>
        <v>39.909999999999997</v>
      </c>
      <c r="F33" s="380">
        <f t="shared" si="11"/>
        <v>91.9</v>
      </c>
      <c r="G33" s="381"/>
      <c r="H33" s="380">
        <f t="shared" si="12"/>
        <v>52.67</v>
      </c>
      <c r="I33" s="380">
        <f t="shared" si="13"/>
        <v>46.15</v>
      </c>
      <c r="J33" s="380">
        <f t="shared" si="14"/>
        <v>98.82</v>
      </c>
      <c r="K33" s="382"/>
      <c r="L33" s="383">
        <f t="shared" si="15"/>
        <v>6.9199999999999875</v>
      </c>
      <c r="M33" s="384">
        <f t="shared" si="16"/>
        <v>7.5299238302502583E-2</v>
      </c>
      <c r="O33" s="377"/>
      <c r="P33" s="322"/>
      <c r="Q33" s="322"/>
      <c r="R33" s="377"/>
      <c r="S33" s="378"/>
      <c r="T33" s="377"/>
      <c r="U33" s="322"/>
      <c r="V33" s="322"/>
      <c r="W33" s="377"/>
      <c r="X33" s="374"/>
    </row>
    <row r="34" spans="1:24" ht="14" x14ac:dyDescent="0.3">
      <c r="A34" s="151">
        <f>IF(C34&lt;&gt;"",COUNTA($C$12:C34),"")</f>
        <v>22</v>
      </c>
      <c r="B34" s="151"/>
      <c r="C34" s="389">
        <f t="shared" si="17"/>
        <v>500</v>
      </c>
      <c r="D34" s="380">
        <f t="shared" si="9"/>
        <v>70.84</v>
      </c>
      <c r="E34" s="380">
        <f t="shared" si="10"/>
        <v>57.02</v>
      </c>
      <c r="F34" s="380">
        <f t="shared" si="11"/>
        <v>127.86000000000001</v>
      </c>
      <c r="G34" s="381"/>
      <c r="H34" s="380">
        <f t="shared" si="12"/>
        <v>71.81</v>
      </c>
      <c r="I34" s="380">
        <f t="shared" si="13"/>
        <v>65.930000000000007</v>
      </c>
      <c r="J34" s="380">
        <f t="shared" si="14"/>
        <v>137.74</v>
      </c>
      <c r="K34" s="382"/>
      <c r="L34" s="383">
        <f t="shared" si="15"/>
        <v>9.8799999999999955</v>
      </c>
      <c r="M34" s="384">
        <f t="shared" si="16"/>
        <v>7.7272016267792856E-2</v>
      </c>
      <c r="O34" s="377"/>
      <c r="P34" s="322"/>
      <c r="Q34" s="322"/>
      <c r="R34" s="377"/>
      <c r="S34" s="378"/>
      <c r="T34" s="377"/>
      <c r="U34" s="322"/>
      <c r="V34" s="322"/>
      <c r="W34" s="377"/>
      <c r="X34" s="374"/>
    </row>
    <row r="35" spans="1:24" ht="14" x14ac:dyDescent="0.3">
      <c r="A35" s="151">
        <f>IF(C35&lt;&gt;"",COUNTA($C$12:C35),"")</f>
        <v>23</v>
      </c>
      <c r="B35" s="151"/>
      <c r="C35" s="389">
        <f t="shared" si="17"/>
        <v>750</v>
      </c>
      <c r="D35" s="380">
        <f t="shared" si="9"/>
        <v>102.26</v>
      </c>
      <c r="E35" s="380">
        <f t="shared" si="10"/>
        <v>85.52</v>
      </c>
      <c r="F35" s="380">
        <f t="shared" si="11"/>
        <v>187.78</v>
      </c>
      <c r="G35" s="381"/>
      <c r="H35" s="380">
        <f t="shared" si="12"/>
        <v>103.72</v>
      </c>
      <c r="I35" s="380">
        <f t="shared" si="13"/>
        <v>98.89</v>
      </c>
      <c r="J35" s="380">
        <f t="shared" si="14"/>
        <v>202.61</v>
      </c>
      <c r="K35" s="382"/>
      <c r="L35" s="383">
        <f t="shared" si="15"/>
        <v>14.830000000000013</v>
      </c>
      <c r="M35" s="384">
        <f t="shared" si="16"/>
        <v>7.8975396740867038E-2</v>
      </c>
      <c r="O35" s="377"/>
      <c r="P35" s="322"/>
      <c r="Q35" s="322"/>
      <c r="R35" s="377"/>
      <c r="S35" s="378"/>
      <c r="T35" s="377"/>
      <c r="U35" s="322"/>
      <c r="V35" s="322"/>
      <c r="W35" s="377"/>
      <c r="X35" s="374"/>
    </row>
    <row r="36" spans="1:24" ht="14" x14ac:dyDescent="0.3">
      <c r="A36" s="151">
        <f>IF(C36&lt;&gt;"",COUNTA($C$12:C36),"")</f>
        <v>24</v>
      </c>
      <c r="B36" s="151"/>
      <c r="C36" s="389">
        <f t="shared" si="17"/>
        <v>1300</v>
      </c>
      <c r="D36" s="380">
        <f t="shared" si="9"/>
        <v>171.38</v>
      </c>
      <c r="E36" s="380">
        <f t="shared" si="10"/>
        <v>148.24</v>
      </c>
      <c r="F36" s="380">
        <f t="shared" si="11"/>
        <v>319.62</v>
      </c>
      <c r="G36" s="381"/>
      <c r="H36" s="380">
        <f t="shared" si="12"/>
        <v>173.91</v>
      </c>
      <c r="I36" s="380">
        <f t="shared" si="13"/>
        <v>171.41</v>
      </c>
      <c r="J36" s="380">
        <f>SUM(H36:I36)</f>
        <v>345.32</v>
      </c>
      <c r="K36" s="382"/>
      <c r="L36" s="383">
        <f t="shared" si="15"/>
        <v>25.699999999999989</v>
      </c>
      <c r="M36" s="384">
        <f t="shared" si="16"/>
        <v>8.0407984481571826E-2</v>
      </c>
      <c r="O36" s="377"/>
      <c r="P36" s="322"/>
      <c r="Q36" s="322"/>
      <c r="R36" s="377"/>
      <c r="S36" s="378"/>
      <c r="T36" s="377"/>
      <c r="U36" s="322"/>
      <c r="V36" s="322"/>
      <c r="W36" s="377"/>
      <c r="X36" s="374"/>
    </row>
    <row r="37" spans="1:24" ht="14" x14ac:dyDescent="0.3">
      <c r="A37" s="151">
        <f>IF(C37&lt;&gt;"",COUNTA($C$12:C37),"")</f>
        <v>25</v>
      </c>
      <c r="B37" s="151"/>
      <c r="C37" s="389">
        <f t="shared" si="17"/>
        <v>2000</v>
      </c>
      <c r="D37" s="380">
        <f t="shared" si="9"/>
        <v>259.36</v>
      </c>
      <c r="E37" s="380">
        <f t="shared" si="10"/>
        <v>228.06</v>
      </c>
      <c r="F37" s="380">
        <f t="shared" ref="F37:F38" si="18">SUM(D37:E37)</f>
        <v>487.42</v>
      </c>
      <c r="G37" s="381"/>
      <c r="H37" s="380">
        <f t="shared" si="12"/>
        <v>263.24</v>
      </c>
      <c r="I37" s="380">
        <f t="shared" si="13"/>
        <v>263.7</v>
      </c>
      <c r="J37" s="380">
        <f t="shared" ref="J37:J38" si="19">SUM(H37:I37)</f>
        <v>526.94000000000005</v>
      </c>
      <c r="K37" s="382"/>
      <c r="L37" s="383">
        <f t="shared" si="15"/>
        <v>39.520000000000039</v>
      </c>
      <c r="M37" s="384">
        <f t="shared" si="16"/>
        <v>8.1079972097985384E-2</v>
      </c>
      <c r="O37" s="377"/>
      <c r="P37" s="322"/>
      <c r="Q37" s="322"/>
      <c r="R37" s="377"/>
      <c r="S37" s="378"/>
      <c r="T37" s="377"/>
      <c r="U37" s="322"/>
      <c r="V37" s="322"/>
      <c r="W37" s="377"/>
      <c r="X37" s="374"/>
    </row>
    <row r="38" spans="1:24" ht="14" x14ac:dyDescent="0.3">
      <c r="A38" s="151">
        <f>IF(C38&lt;&gt;"",COUNTA($C$12:C38),"")</f>
        <v>26</v>
      </c>
      <c r="B38" s="151" t="s">
        <v>554</v>
      </c>
      <c r="C38" s="379">
        <v>464</v>
      </c>
      <c r="D38" s="380">
        <f t="shared" si="9"/>
        <v>66.319999999999993</v>
      </c>
      <c r="E38" s="380">
        <f t="shared" si="10"/>
        <v>52.91</v>
      </c>
      <c r="F38" s="380">
        <f t="shared" si="18"/>
        <v>119.22999999999999</v>
      </c>
      <c r="G38" s="381"/>
      <c r="H38" s="380">
        <f t="shared" si="12"/>
        <v>67.22</v>
      </c>
      <c r="I38" s="380">
        <f t="shared" si="13"/>
        <v>61.18</v>
      </c>
      <c r="J38" s="380">
        <f t="shared" si="19"/>
        <v>128.4</v>
      </c>
      <c r="K38" s="382"/>
      <c r="L38" s="383">
        <f t="shared" si="15"/>
        <v>9.1700000000000159</v>
      </c>
      <c r="M38" s="384">
        <f t="shared" si="16"/>
        <v>7.6910173614023455E-2</v>
      </c>
      <c r="O38" s="377"/>
      <c r="P38" s="322"/>
      <c r="Q38" s="322"/>
      <c r="R38" s="377"/>
      <c r="S38" s="378"/>
      <c r="T38" s="377"/>
      <c r="U38" s="322"/>
      <c r="V38" s="322"/>
      <c r="W38" s="377"/>
      <c r="X38" s="374"/>
    </row>
    <row r="39" spans="1:24" ht="14" x14ac:dyDescent="0.3">
      <c r="A39" s="151"/>
      <c r="B39" s="151"/>
      <c r="C39" s="379"/>
      <c r="D39" s="380"/>
      <c r="E39" s="380"/>
      <c r="F39" s="390"/>
      <c r="G39" s="391"/>
      <c r="H39" s="380"/>
      <c r="I39" s="380"/>
      <c r="J39" s="380"/>
      <c r="K39" s="385"/>
      <c r="L39" s="392"/>
      <c r="M39" s="384"/>
      <c r="P39" s="378"/>
    </row>
    <row r="40" spans="1:24" ht="14" x14ac:dyDescent="0.3">
      <c r="A40" s="151" t="str">
        <f>IF(C40&lt;&gt;"",COUNTA($C$12:C40),"")</f>
        <v/>
      </c>
      <c r="B40" s="151"/>
      <c r="C40" s="293"/>
      <c r="D40" s="293"/>
      <c r="E40" s="293"/>
      <c r="F40" s="393"/>
      <c r="G40" s="394"/>
      <c r="P40" s="378"/>
      <c r="Q40" s="378"/>
    </row>
    <row r="41" spans="1:24" ht="14" x14ac:dyDescent="0.3">
      <c r="A41" s="151">
        <f>IF(C41&lt;&gt;"",COUNTA($C$12:C41),"")</f>
        <v>27</v>
      </c>
      <c r="B41" s="151"/>
      <c r="C41" s="293" t="s">
        <v>46</v>
      </c>
      <c r="F41" s="395" t="str">
        <f>+'Bill_EMA R1'!F29</f>
        <v>Current</v>
      </c>
      <c r="G41" s="293"/>
      <c r="H41" s="395" t="str">
        <f>+'Bill_EMA R1'!H29</f>
        <v>Proposed</v>
      </c>
      <c r="P41" s="378"/>
      <c r="Q41" s="378"/>
    </row>
    <row r="42" spans="1:24" ht="17" x14ac:dyDescent="0.6">
      <c r="A42" s="151">
        <f>IF(C42&lt;&gt;"",COUNTA($C$12:C42),"")</f>
        <v>28</v>
      </c>
      <c r="B42" s="151"/>
      <c r="C42" s="293" t="s">
        <v>46</v>
      </c>
      <c r="F42" s="396" t="str">
        <f>+'Bill_EMA R1'!F30</f>
        <v>Rates</v>
      </c>
      <c r="G42" s="293"/>
      <c r="H42" s="396" t="str">
        <f>+'Bill_EMA R1'!H30</f>
        <v>Rates</v>
      </c>
      <c r="I42" s="396" t="str">
        <f>+'Bill_EMA R1'!I30</f>
        <v>Change</v>
      </c>
      <c r="M42" s="232"/>
      <c r="P42" s="378"/>
      <c r="Q42" s="378"/>
    </row>
    <row r="43" spans="1:24" ht="14" x14ac:dyDescent="0.3">
      <c r="A43" s="151">
        <f>IF(C43&lt;&gt;"",COUNTA($C$12:C43),"")</f>
        <v>29</v>
      </c>
      <c r="B43" s="151"/>
      <c r="C43" s="293" t="str">
        <f>+'Bill_EMA R1'!C31</f>
        <v>Customer Charge</v>
      </c>
      <c r="F43" s="397">
        <v>8</v>
      </c>
      <c r="G43" s="398"/>
      <c r="H43" s="399">
        <f>+F43</f>
        <v>8</v>
      </c>
      <c r="I43" s="351">
        <f>+H43-F43</f>
        <v>0</v>
      </c>
      <c r="M43" s="232"/>
      <c r="P43" s="378"/>
    </row>
    <row r="44" spans="1:24" ht="14" x14ac:dyDescent="0.3">
      <c r="A44" s="151">
        <f>IF(C44&lt;&gt;"",COUNTA($C$12:C44),"")</f>
        <v>30</v>
      </c>
      <c r="B44" s="151"/>
      <c r="C44" s="293" t="s">
        <v>348</v>
      </c>
      <c r="F44" s="308">
        <v>4.3400000000000001E-2</v>
      </c>
      <c r="G44" s="400"/>
      <c r="H44" s="401">
        <v>4.5310000000000003E-2</v>
      </c>
      <c r="I44" s="354">
        <f t="shared" ref="I44:I65" si="20">+H44-F44</f>
        <v>1.910000000000002E-3</v>
      </c>
      <c r="M44" s="232"/>
    </row>
    <row r="45" spans="1:24" ht="14" x14ac:dyDescent="0.3">
      <c r="A45" s="151">
        <f>IF(C45&lt;&gt;"",COUNTA($C$12:C45),"")</f>
        <v>31</v>
      </c>
      <c r="B45" s="151"/>
      <c r="C45" s="293" t="s">
        <v>350</v>
      </c>
      <c r="F45" s="308">
        <v>6.9900000000000004E-2</v>
      </c>
      <c r="G45" s="400"/>
      <c r="H45" s="401">
        <v>7.2980000000000003E-2</v>
      </c>
      <c r="I45" s="354">
        <f t="shared" si="20"/>
        <v>3.0799999999999994E-3</v>
      </c>
      <c r="M45" s="232"/>
    </row>
    <row r="46" spans="1:24" ht="14" x14ac:dyDescent="0.3">
      <c r="A46" s="151">
        <f>IF(C46&lt;&gt;"",COUNTA($C$12:C46),"")</f>
        <v>32</v>
      </c>
      <c r="B46" s="151"/>
      <c r="C46" s="293" t="str">
        <f>+'Bill_EMA R1'!C33</f>
        <v>Revenue Decoupling</v>
      </c>
      <c r="F46" s="308">
        <v>0</v>
      </c>
      <c r="G46" s="277"/>
      <c r="H46" s="277">
        <v>-6.6E-4</v>
      </c>
      <c r="I46" s="354">
        <f t="shared" si="20"/>
        <v>-6.6E-4</v>
      </c>
      <c r="M46" s="232"/>
    </row>
    <row r="47" spans="1:24" ht="14" x14ac:dyDescent="0.3">
      <c r="A47" s="151">
        <f>IF(C47&lt;&gt;"",COUNTA($C$12:C47),"")</f>
        <v>33</v>
      </c>
      <c r="B47" s="151"/>
      <c r="C47" s="293" t="str">
        <f>+'Bill_EMA R1'!C34</f>
        <v>Residential Assistance Adjustment Factor</v>
      </c>
      <c r="F47" s="277">
        <v>4.0699999999999998E-3</v>
      </c>
      <c r="G47" s="277"/>
      <c r="H47" s="277">
        <v>5.5599999999999998E-3</v>
      </c>
      <c r="I47" s="354">
        <f t="shared" si="20"/>
        <v>1.49E-3</v>
      </c>
      <c r="M47" s="274"/>
    </row>
    <row r="48" spans="1:24" ht="14" x14ac:dyDescent="0.3">
      <c r="A48" s="151">
        <f>IF(C48&lt;&gt;"",COUNTA($C$12:C48),"")</f>
        <v>34</v>
      </c>
      <c r="B48" s="151"/>
      <c r="C48" s="293" t="str">
        <f>+'Bill_EMA R1'!C35</f>
        <v>Pension Adjustment Factor</v>
      </c>
      <c r="F48" s="277">
        <v>-1.1E-4</v>
      </c>
      <c r="G48" s="277"/>
      <c r="H48" s="277">
        <v>9.7000000000000005E-4</v>
      </c>
      <c r="I48" s="354">
        <f t="shared" si="20"/>
        <v>1.08E-3</v>
      </c>
      <c r="M48" s="274"/>
    </row>
    <row r="49" spans="1:13" ht="14" x14ac:dyDescent="0.3">
      <c r="A49" s="151">
        <f>IF(C49&lt;&gt;"",COUNTA($C$12:C49),"")</f>
        <v>35</v>
      </c>
      <c r="B49" s="151"/>
      <c r="C49" s="293" t="str">
        <f>+'Bill_EMA R1'!C36</f>
        <v>Net Metering Recovery Surcharge</v>
      </c>
      <c r="F49" s="277">
        <v>8.0300000000000007E-3</v>
      </c>
      <c r="G49" s="277"/>
      <c r="H49" s="277">
        <v>7.2500000000000004E-3</v>
      </c>
      <c r="I49" s="354">
        <f t="shared" si="20"/>
        <v>-7.8000000000000031E-4</v>
      </c>
      <c r="M49" s="274"/>
    </row>
    <row r="50" spans="1:13" ht="14" x14ac:dyDescent="0.3">
      <c r="A50" s="151">
        <f>IF(C50&lt;&gt;"",COUNTA($C$12:C50),"")</f>
        <v>36</v>
      </c>
      <c r="B50" s="151"/>
      <c r="C50" s="293" t="str">
        <f>+'Bill_EMA R1'!C37</f>
        <v>Long Term Renewable Contract Adjustment</v>
      </c>
      <c r="F50" s="277">
        <v>2.3600000000000001E-3</v>
      </c>
      <c r="G50" s="277"/>
      <c r="H50" s="277">
        <v>1.74E-3</v>
      </c>
      <c r="I50" s="354">
        <f t="shared" si="20"/>
        <v>-6.2000000000000011E-4</v>
      </c>
      <c r="M50" s="274"/>
    </row>
    <row r="51" spans="1:13" ht="14" x14ac:dyDescent="0.3">
      <c r="A51" s="151">
        <f>IF(C51&lt;&gt;"",COUNTA($C$12:C51),"")</f>
        <v>37</v>
      </c>
      <c r="B51" s="151"/>
      <c r="C51" s="293" t="str">
        <f>+'Bill_EMA R1'!C38</f>
        <v>AG Consulting Expense</v>
      </c>
      <c r="F51" s="277">
        <v>4.0000000000000003E-5</v>
      </c>
      <c r="G51" s="277"/>
      <c r="H51" s="277">
        <v>1.0000000000000001E-5</v>
      </c>
      <c r="I51" s="354">
        <f t="shared" si="20"/>
        <v>-3.0000000000000004E-5</v>
      </c>
      <c r="M51" s="274"/>
    </row>
    <row r="52" spans="1:13" ht="14" x14ac:dyDescent="0.3">
      <c r="A52" s="151">
        <f>IF(C52&lt;&gt;"",COUNTA($C$12:C52),"")</f>
        <v>38</v>
      </c>
      <c r="B52" s="151"/>
      <c r="C52" s="293" t="str">
        <f>+'Bill_EMA R1'!C39</f>
        <v>Storm Cost Recovery Adjustment Factor</v>
      </c>
      <c r="F52" s="277">
        <v>2.5100000000000001E-3</v>
      </c>
      <c r="G52" s="277"/>
      <c r="H52" s="277">
        <v>4.2100000000000002E-3</v>
      </c>
      <c r="I52" s="354">
        <f t="shared" si="20"/>
        <v>1.7000000000000001E-3</v>
      </c>
      <c r="M52" s="274"/>
    </row>
    <row r="53" spans="1:13" ht="14" x14ac:dyDescent="0.3">
      <c r="A53" s="151">
        <f>IF(C53&lt;&gt;"",COUNTA($C$12:C53),"")</f>
        <v>39</v>
      </c>
      <c r="B53" s="151"/>
      <c r="C53" s="293" t="str">
        <f>+'Bill_EMA R1'!C40</f>
        <v>Storm Reserve Adjustment</v>
      </c>
      <c r="F53" s="277">
        <v>0</v>
      </c>
      <c r="G53" s="277"/>
      <c r="H53" s="277">
        <v>0</v>
      </c>
      <c r="I53" s="354">
        <f t="shared" si="20"/>
        <v>0</v>
      </c>
      <c r="M53" s="274"/>
    </row>
    <row r="54" spans="1:13" ht="14" x14ac:dyDescent="0.3">
      <c r="A54" s="151">
        <f>IF(C54&lt;&gt;"",COUNTA($C$12:C54),"")</f>
        <v>40</v>
      </c>
      <c r="B54" s="151"/>
      <c r="C54" s="293" t="str">
        <f>+'Bill_EMA R1'!C41</f>
        <v>Basic Service Cost True Up Factor</v>
      </c>
      <c r="F54" s="277">
        <v>2.1700000000000001E-3</v>
      </c>
      <c r="G54" s="277"/>
      <c r="H54" s="277">
        <v>-2.7999999999999998E-4</v>
      </c>
      <c r="I54" s="354">
        <f t="shared" si="20"/>
        <v>-2.4499999999999999E-3</v>
      </c>
      <c r="M54" s="232"/>
    </row>
    <row r="55" spans="1:13" ht="14" x14ac:dyDescent="0.3">
      <c r="A55" s="151">
        <f>IF(C55&lt;&gt;"",COUNTA($C$12:C55),"")</f>
        <v>41</v>
      </c>
      <c r="B55" s="151"/>
      <c r="C55" s="293" t="str">
        <f>+'Bill_EMA R1'!C42</f>
        <v>Solar Program Cost Adjustment Factor</v>
      </c>
      <c r="F55" s="277">
        <v>0</v>
      </c>
      <c r="G55" s="277"/>
      <c r="H55" s="277">
        <v>5.0000000000000002E-5</v>
      </c>
      <c r="I55" s="354">
        <f t="shared" si="20"/>
        <v>5.0000000000000002E-5</v>
      </c>
      <c r="M55" s="232"/>
    </row>
    <row r="56" spans="1:13" ht="14" x14ac:dyDescent="0.3">
      <c r="A56" s="151">
        <f>IF(C56&lt;&gt;"",COUNTA($C$12:C56),"")</f>
        <v>42</v>
      </c>
      <c r="B56" s="151"/>
      <c r="C56" s="293" t="str">
        <f>+'Bill_EMA R1'!C43</f>
        <v>Solar Expansion Cost Recovery Factor</v>
      </c>
      <c r="F56" s="277">
        <v>0</v>
      </c>
      <c r="G56" s="277"/>
      <c r="H56" s="277">
        <v>8.7000000000000001E-4</v>
      </c>
      <c r="I56" s="354">
        <f t="shared" si="20"/>
        <v>8.7000000000000001E-4</v>
      </c>
      <c r="M56" s="232"/>
    </row>
    <row r="57" spans="1:13" ht="14" x14ac:dyDescent="0.3">
      <c r="A57" s="151">
        <f>IF(C57&lt;&gt;"",COUNTA($C$12:C57),"")</f>
        <v>43</v>
      </c>
      <c r="B57" s="151"/>
      <c r="C57" s="293" t="str">
        <f>+'Bill_EMA R1'!C44</f>
        <v>Vegetation Management</v>
      </c>
      <c r="F57" s="277">
        <v>0</v>
      </c>
      <c r="G57" s="277"/>
      <c r="H57" s="277">
        <v>1.73E-3</v>
      </c>
      <c r="I57" s="354">
        <f t="shared" si="20"/>
        <v>1.73E-3</v>
      </c>
      <c r="M57" s="232"/>
    </row>
    <row r="58" spans="1:13" ht="14" x14ac:dyDescent="0.3">
      <c r="A58" s="151">
        <f>IF(C58&lt;&gt;"",COUNTA($C$12:C58),"")</f>
        <v>44</v>
      </c>
      <c r="B58" s="151"/>
      <c r="C58" s="293" t="str">
        <f>+'Bill_EMA R1'!C45</f>
        <v>Solar Massachusetts Renewable Target</v>
      </c>
      <c r="D58" s="339"/>
      <c r="E58" s="339"/>
      <c r="F58" s="277">
        <v>0</v>
      </c>
      <c r="G58" s="277"/>
      <c r="H58" s="277">
        <v>1.01E-3</v>
      </c>
      <c r="I58" s="354">
        <f t="shared" si="20"/>
        <v>1.01E-3</v>
      </c>
      <c r="J58" s="339"/>
      <c r="K58" s="339"/>
      <c r="L58" s="339"/>
    </row>
    <row r="59" spans="1:13" ht="14" x14ac:dyDescent="0.3">
      <c r="A59" s="151">
        <f>IF(C59&lt;&gt;"",COUNTA($C$12:C59),"")</f>
        <v>45</v>
      </c>
      <c r="B59" s="151"/>
      <c r="C59" s="293" t="str">
        <f>+'Bill_EMA R1'!C46</f>
        <v>Tax Act Credit Factor</v>
      </c>
      <c r="D59" s="339"/>
      <c r="E59" s="339"/>
      <c r="F59" s="277">
        <v>0</v>
      </c>
      <c r="G59" s="277"/>
      <c r="H59" s="277">
        <v>-1.5399999999999999E-3</v>
      </c>
      <c r="I59" s="354">
        <f t="shared" si="20"/>
        <v>-1.5399999999999999E-3</v>
      </c>
      <c r="J59" s="339"/>
      <c r="K59" s="339"/>
      <c r="L59" s="339"/>
    </row>
    <row r="60" spans="1:13" ht="14" x14ac:dyDescent="0.3">
      <c r="A60" s="151">
        <f>IF(C60&lt;&gt;"",COUNTA($C$12:C60),"")</f>
        <v>46</v>
      </c>
      <c r="B60" s="151"/>
      <c r="C60" s="293" t="str">
        <f>+'Bill_EMA R1'!C47</f>
        <v>Transition</v>
      </c>
      <c r="F60" s="308">
        <v>-6.0999999999999997E-4</v>
      </c>
      <c r="G60" s="277"/>
      <c r="H60" s="277">
        <v>-5.1999999999999995E-4</v>
      </c>
      <c r="I60" s="354">
        <f t="shared" si="20"/>
        <v>9.0000000000000019E-5</v>
      </c>
      <c r="M60" s="232"/>
    </row>
    <row r="61" spans="1:13" ht="14" x14ac:dyDescent="0.3">
      <c r="A61" s="151">
        <f>IF(C61&lt;&gt;"",COUNTA($C$12:C61),"")</f>
        <v>47</v>
      </c>
      <c r="B61" s="151"/>
      <c r="C61" s="293" t="str">
        <f>+'Bill_EMA R1'!C48</f>
        <v>Transmission Energy</v>
      </c>
      <c r="F61" s="308">
        <v>2.5860000000000001E-2</v>
      </c>
      <c r="G61" s="277"/>
      <c r="H61" s="277">
        <v>2.2780000000000002E-2</v>
      </c>
      <c r="I61" s="354">
        <f t="shared" si="20"/>
        <v>-3.0799999999999994E-3</v>
      </c>
      <c r="M61" s="232"/>
    </row>
    <row r="62" spans="1:13" ht="14" x14ac:dyDescent="0.3">
      <c r="A62" s="151">
        <f>IF(C62&lt;&gt;"",COUNTA($C$12:C62),"")</f>
        <v>48</v>
      </c>
      <c r="B62" s="151"/>
      <c r="C62" s="293" t="str">
        <f>+'Bill_EMA R1'!C49</f>
        <v>Energy Efficiency Reconciliation Factor</v>
      </c>
      <c r="F62" s="308">
        <v>8.4600000000000005E-3</v>
      </c>
      <c r="G62" s="400"/>
      <c r="H62" s="308">
        <v>8.4600000000000005E-3</v>
      </c>
      <c r="I62" s="354">
        <f t="shared" si="20"/>
        <v>0</v>
      </c>
      <c r="M62" s="232"/>
    </row>
    <row r="63" spans="1:13" ht="14" x14ac:dyDescent="0.3">
      <c r="A63" s="151">
        <f>IF(C63&lt;&gt;"",COUNTA($C$12:C63),"")</f>
        <v>49</v>
      </c>
      <c r="B63" s="151"/>
      <c r="C63" s="293" t="str">
        <f>+'Bill_EMA R1'!C50</f>
        <v>System Benefits Charge</v>
      </c>
      <c r="F63" s="308">
        <v>2.5000000000000001E-3</v>
      </c>
      <c r="G63" s="400"/>
      <c r="H63" s="308">
        <f>+F63</f>
        <v>2.5000000000000001E-3</v>
      </c>
      <c r="I63" s="354">
        <f t="shared" si="20"/>
        <v>0</v>
      </c>
      <c r="M63" s="232"/>
    </row>
    <row r="64" spans="1:13" ht="14" x14ac:dyDescent="0.3">
      <c r="A64" s="151">
        <f>IF(C64&lt;&gt;"",COUNTA($C$12:C64),"")</f>
        <v>50</v>
      </c>
      <c r="B64" s="151"/>
      <c r="C64" s="293" t="str">
        <f>+'Bill_EMA R1'!C51</f>
        <v>Renewable Energy Charge</v>
      </c>
      <c r="F64" s="308">
        <v>5.0000000000000001E-4</v>
      </c>
      <c r="G64" s="400"/>
      <c r="H64" s="308">
        <f>+F64</f>
        <v>5.0000000000000001E-4</v>
      </c>
      <c r="I64" s="354">
        <f t="shared" si="20"/>
        <v>0</v>
      </c>
      <c r="M64" s="232"/>
    </row>
    <row r="65" spans="1:14" ht="14" x14ac:dyDescent="0.3">
      <c r="A65" s="151">
        <f>IF(C65&lt;&gt;"",COUNTA($C$12:C65),"")</f>
        <v>51</v>
      </c>
      <c r="B65" s="151"/>
      <c r="C65" s="293" t="str">
        <f>+'Bill_EMA R1'!C52</f>
        <v>Basic Service Charge</v>
      </c>
      <c r="F65" s="308">
        <v>0.11403000000000001</v>
      </c>
      <c r="G65" s="400"/>
      <c r="H65" s="308">
        <v>0.13185000000000002</v>
      </c>
      <c r="I65" s="354">
        <f t="shared" si="20"/>
        <v>1.7820000000000016E-2</v>
      </c>
      <c r="M65" s="232"/>
    </row>
    <row r="66" spans="1:14" ht="14" x14ac:dyDescent="0.3">
      <c r="A66" s="151" t="str">
        <f>IF(C66&lt;&gt;"",COUNTA($C$12:C66),"")</f>
        <v/>
      </c>
      <c r="B66" s="151"/>
      <c r="C66" s="274"/>
      <c r="D66" s="402"/>
      <c r="F66" s="403"/>
      <c r="G66" s="400"/>
      <c r="H66" s="404"/>
      <c r="I66" s="404"/>
      <c r="M66" s="274"/>
      <c r="N66" s="274"/>
    </row>
    <row r="67" spans="1:14" ht="14" x14ac:dyDescent="0.3">
      <c r="A67" s="151" t="str">
        <f>IF(C67&lt;&gt;"",COUNTA($C$12:C67),"")</f>
        <v/>
      </c>
      <c r="B67" s="151"/>
      <c r="F67" s="403"/>
      <c r="G67" s="400"/>
      <c r="H67" s="404"/>
      <c r="I67" s="404"/>
      <c r="M67" s="274"/>
      <c r="N67" s="274"/>
    </row>
    <row r="68" spans="1:14" ht="14" x14ac:dyDescent="0.3">
      <c r="A68" s="366"/>
      <c r="B68" s="366"/>
      <c r="C68" s="293" t="s">
        <v>566</v>
      </c>
      <c r="F68" s="403">
        <f>SUM(F44,F46:F64)</f>
        <v>9.917999999999999E-2</v>
      </c>
      <c r="G68" s="400"/>
      <c r="H68" s="403">
        <f>SUM(H44,H46:H64)</f>
        <v>9.9949999999999983E-2</v>
      </c>
      <c r="I68" s="354">
        <f>SUM(I44:I64)</f>
        <v>3.8500000000000027E-3</v>
      </c>
      <c r="M68" s="274"/>
      <c r="N68" s="274"/>
    </row>
    <row r="69" spans="1:14" ht="14" x14ac:dyDescent="0.3">
      <c r="A69" s="366"/>
      <c r="B69" s="366"/>
      <c r="C69" s="293" t="s">
        <v>567</v>
      </c>
      <c r="F69" s="403">
        <f>SUM(F45,F46:F64)</f>
        <v>0.12568000000000001</v>
      </c>
      <c r="G69" s="400"/>
      <c r="H69" s="403">
        <f>SUM(H45,H46:H64)</f>
        <v>0.12761999999999998</v>
      </c>
      <c r="I69" s="354">
        <f>SUM(I45:I65)</f>
        <v>1.9760000000000017E-2</v>
      </c>
      <c r="M69" s="274"/>
      <c r="N69" s="274"/>
    </row>
    <row r="70" spans="1:14" ht="14" x14ac:dyDescent="0.3">
      <c r="C70" s="293" t="str">
        <f>+'Bill_EMA R1'!C56</f>
        <v>Total Basic Service</v>
      </c>
      <c r="F70" s="403">
        <f>F65</f>
        <v>0.11403000000000001</v>
      </c>
      <c r="G70" s="400"/>
      <c r="H70" s="403">
        <f>H65</f>
        <v>0.13185000000000002</v>
      </c>
      <c r="I70" s="354">
        <f>I65</f>
        <v>1.7820000000000016E-2</v>
      </c>
      <c r="M70" s="274"/>
      <c r="N70" s="274"/>
    </row>
  </sheetData>
  <mergeCells count="11">
    <mergeCell ref="D26:F26"/>
    <mergeCell ref="H26:J26"/>
    <mergeCell ref="L26:M26"/>
    <mergeCell ref="A4:M4"/>
    <mergeCell ref="A5:M5"/>
    <mergeCell ref="A6:M6"/>
    <mergeCell ref="A8:M8"/>
    <mergeCell ref="A9:M9"/>
    <mergeCell ref="D12:F12"/>
    <mergeCell ref="H12:J12"/>
    <mergeCell ref="L12:M12"/>
  </mergeCells>
  <pageMargins left="0.7" right="0.7" top="0.75" bottom="0.75" header="0.3" footer="0.3"/>
  <pageSetup scale="68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4D2B8-238A-4F67-9A5C-9A77447955F6}">
  <sheetPr>
    <tabColor theme="9" tint="0.59999389629810485"/>
    <pageSetUpPr fitToPage="1"/>
  </sheetPr>
  <dimension ref="A4:N73"/>
  <sheetViews>
    <sheetView workbookViewId="0"/>
  </sheetViews>
  <sheetFormatPr defaultRowHeight="12.5" x14ac:dyDescent="0.25"/>
  <cols>
    <col min="1" max="1" width="3.26953125" bestFit="1" customWidth="1"/>
    <col min="2" max="2" width="41.7265625" customWidth="1"/>
    <col min="3" max="3" width="8.7265625" customWidth="1"/>
    <col min="4" max="4" width="1.26953125" customWidth="1"/>
    <col min="5" max="5" width="15.7265625" customWidth="1"/>
    <col min="6" max="6" width="1.26953125" customWidth="1"/>
    <col min="7" max="7" width="13.7265625" customWidth="1"/>
    <col min="8" max="8" width="1.26953125" customWidth="1"/>
    <col min="9" max="9" width="15.7265625" customWidth="1"/>
    <col min="10" max="10" width="11" bestFit="1" customWidth="1"/>
    <col min="11" max="11" width="1.26953125" customWidth="1"/>
    <col min="12" max="12" width="14.81640625" customWidth="1"/>
    <col min="13" max="13" width="1.26953125" customWidth="1"/>
    <col min="14" max="14" width="15.7265625" customWidth="1"/>
  </cols>
  <sheetData>
    <row r="4" spans="1:14" ht="14" x14ac:dyDescent="0.3">
      <c r="A4" s="748" t="s">
        <v>290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4" ht="14" x14ac:dyDescent="0.3">
      <c r="A5" s="748" t="s">
        <v>291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4" ht="14" x14ac:dyDescent="0.3">
      <c r="A6" s="205"/>
      <c r="C6" s="205"/>
      <c r="D6" s="205"/>
      <c r="E6" s="206"/>
      <c r="F6" s="207"/>
      <c r="G6" s="208"/>
      <c r="H6" s="209"/>
      <c r="I6" s="210"/>
      <c r="J6" s="210"/>
      <c r="K6" s="210"/>
      <c r="L6" s="211"/>
      <c r="M6" s="211"/>
      <c r="N6" s="212"/>
    </row>
    <row r="7" spans="1:14" ht="14" x14ac:dyDescent="0.3">
      <c r="A7" s="748" t="s">
        <v>292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4" ht="14" x14ac:dyDescent="0.3">
      <c r="B8" s="207"/>
      <c r="C8" s="207"/>
      <c r="D8" s="207"/>
      <c r="E8" s="213"/>
      <c r="F8" s="207"/>
      <c r="I8" s="210"/>
      <c r="J8" s="210"/>
      <c r="K8" s="210"/>
      <c r="L8" s="214"/>
      <c r="M8" s="214"/>
      <c r="N8" s="215"/>
    </row>
    <row r="9" spans="1:14" ht="14.5" thickBot="1" x14ac:dyDescent="0.35">
      <c r="A9" s="151"/>
      <c r="B9" s="216" t="s">
        <v>46</v>
      </c>
      <c r="C9" s="216"/>
      <c r="D9" s="216"/>
      <c r="E9" s="217" t="s">
        <v>144</v>
      </c>
      <c r="F9" s="216"/>
      <c r="G9" s="749" t="s">
        <v>63</v>
      </c>
      <c r="H9" s="749"/>
      <c r="I9" s="749"/>
      <c r="J9" s="218"/>
      <c r="K9" s="216"/>
      <c r="L9" s="750" t="s">
        <v>64</v>
      </c>
      <c r="M9" s="750"/>
      <c r="N9" s="750"/>
    </row>
    <row r="10" spans="1:14" ht="14" x14ac:dyDescent="0.3">
      <c r="A10" s="151"/>
      <c r="B10" s="219" t="s">
        <v>293</v>
      </c>
      <c r="C10" s="220" t="s">
        <v>294</v>
      </c>
      <c r="D10" s="220"/>
      <c r="E10" s="221" t="s">
        <v>295</v>
      </c>
      <c r="F10" s="222"/>
      <c r="G10" s="223" t="s">
        <v>211</v>
      </c>
      <c r="H10" s="223"/>
      <c r="I10" s="223" t="s">
        <v>148</v>
      </c>
      <c r="J10" s="224"/>
      <c r="K10" s="222"/>
      <c r="L10" s="225" t="s">
        <v>211</v>
      </c>
      <c r="M10" s="226"/>
      <c r="N10" s="227" t="s">
        <v>148</v>
      </c>
    </row>
    <row r="11" spans="1:14" ht="14" x14ac:dyDescent="0.3">
      <c r="A11" s="151" t="str">
        <f>IF(B11&lt;&gt;"",COUNTA($B$9:B11),"")</f>
        <v/>
      </c>
      <c r="B11" s="228"/>
      <c r="C11" s="220"/>
      <c r="D11" s="220"/>
      <c r="E11" s="213" t="s">
        <v>66</v>
      </c>
      <c r="F11" s="222"/>
      <c r="G11" s="229" t="s">
        <v>67</v>
      </c>
      <c r="H11" s="230"/>
      <c r="I11" s="231" t="s">
        <v>68</v>
      </c>
      <c r="J11" s="231" t="s">
        <v>69</v>
      </c>
      <c r="K11" s="222"/>
      <c r="L11" s="226" t="s">
        <v>70</v>
      </c>
      <c r="M11" s="230"/>
      <c r="N11" s="231" t="s">
        <v>71</v>
      </c>
    </row>
    <row r="12" spans="1:14" ht="14" x14ac:dyDescent="0.3">
      <c r="A12" s="151">
        <f>IF(B12&lt;&gt;"",COUNTA($B$12:B12),"")</f>
        <v>1</v>
      </c>
      <c r="B12" s="232" t="s">
        <v>296</v>
      </c>
      <c r="C12" s="233" t="s">
        <v>297</v>
      </c>
      <c r="D12" s="233"/>
      <c r="E12" s="234">
        <v>10477239.708063301</v>
      </c>
      <c r="F12" s="207"/>
      <c r="G12" s="209">
        <v>7</v>
      </c>
      <c r="H12" s="209"/>
      <c r="I12" s="210">
        <f>G12*E12</f>
        <v>73340677.956443101</v>
      </c>
      <c r="J12" s="235"/>
      <c r="K12" s="210"/>
      <c r="L12" s="209">
        <v>7</v>
      </c>
      <c r="M12" s="211"/>
      <c r="N12" s="210">
        <f>L12*(E12)</f>
        <v>73340677.956443101</v>
      </c>
    </row>
    <row r="13" spans="1:14" ht="14" x14ac:dyDescent="0.3">
      <c r="A13" s="151">
        <f>IF(B13&lt;&gt;"",COUNTA($B$12:B13),"")</f>
        <v>2</v>
      </c>
      <c r="B13" s="207" t="s">
        <v>298</v>
      </c>
      <c r="C13" s="233" t="s">
        <v>299</v>
      </c>
      <c r="D13" s="233"/>
      <c r="E13" s="234">
        <v>5272185510.2580376</v>
      </c>
      <c r="F13" s="207"/>
      <c r="G13" s="236">
        <v>4.3720000000000002E-2</v>
      </c>
      <c r="H13" s="209"/>
      <c r="I13" s="237">
        <f>G13*E13</f>
        <v>230499950.50848141</v>
      </c>
      <c r="J13" s="235"/>
      <c r="K13" s="210"/>
      <c r="L13" s="236">
        <v>4.5629999999999997E-2</v>
      </c>
      <c r="M13" s="211"/>
      <c r="N13" s="237">
        <f t="shared" ref="N13" si="0">L13*E13</f>
        <v>240569824.83307424</v>
      </c>
    </row>
    <row r="14" spans="1:14" ht="14" x14ac:dyDescent="0.3">
      <c r="A14" s="151">
        <f>IF(B14&lt;&gt;"",COUNTA($B$12:B14),"")</f>
        <v>3</v>
      </c>
      <c r="B14" s="207" t="s">
        <v>300</v>
      </c>
      <c r="C14" s="233" t="s">
        <v>301</v>
      </c>
      <c r="D14" s="233"/>
      <c r="E14" s="234"/>
      <c r="F14" s="207"/>
      <c r="G14" s="236"/>
      <c r="H14" s="209"/>
      <c r="I14" s="210">
        <f>SUM(I12:I13)</f>
        <v>303840628.46492451</v>
      </c>
      <c r="J14" s="235"/>
      <c r="K14" s="210"/>
      <c r="L14" s="238"/>
      <c r="M14" s="211"/>
      <c r="N14" s="210">
        <f>SUM(N12:N13)</f>
        <v>313910502.78951734</v>
      </c>
    </row>
    <row r="15" spans="1:14" ht="14" x14ac:dyDescent="0.3">
      <c r="A15" s="151" t="str">
        <f>IF(B15&lt;&gt;"",COUNTA($B$12:B15),"")</f>
        <v/>
      </c>
      <c r="B15" s="207"/>
      <c r="C15" s="233"/>
      <c r="D15" s="233"/>
      <c r="E15" s="234"/>
      <c r="F15" s="207"/>
      <c r="G15" s="236"/>
      <c r="H15" s="209"/>
      <c r="I15" s="210"/>
      <c r="J15" s="235"/>
      <c r="K15" s="210"/>
      <c r="L15" s="238"/>
      <c r="M15" s="211"/>
      <c r="N15" s="210"/>
    </row>
    <row r="16" spans="1:14" ht="14" x14ac:dyDescent="0.3">
      <c r="A16" s="151">
        <f>IF(B16&lt;&gt;"",COUNTA($B$12:B16),"")</f>
        <v>4</v>
      </c>
      <c r="B16" s="228" t="s">
        <v>302</v>
      </c>
      <c r="F16" s="239"/>
      <c r="G16" s="240"/>
      <c r="H16" s="211"/>
      <c r="I16" s="210"/>
      <c r="K16" s="210"/>
      <c r="L16" s="241"/>
      <c r="M16" s="211"/>
      <c r="N16" s="210"/>
    </row>
    <row r="17" spans="1:14" ht="14" x14ac:dyDescent="0.3">
      <c r="A17" s="151">
        <f>IF(B17&lt;&gt;"",COUNTA($B$12:B17),"")</f>
        <v>5</v>
      </c>
      <c r="B17" s="207" t="s">
        <v>36</v>
      </c>
      <c r="C17" s="233" t="s">
        <v>155</v>
      </c>
      <c r="D17" s="233"/>
      <c r="E17" s="242"/>
      <c r="F17" s="239"/>
      <c r="G17" s="236">
        <v>0</v>
      </c>
      <c r="H17" s="211"/>
      <c r="I17" s="210">
        <f>G17*$E$13</f>
        <v>0</v>
      </c>
      <c r="K17" s="210"/>
      <c r="L17" s="236">
        <v>-5.7076909658183481E-4</v>
      </c>
      <c r="M17" s="211"/>
      <c r="N17" s="210">
        <f>$E$13*L17</f>
        <v>-3009200.5607018201</v>
      </c>
    </row>
    <row r="18" spans="1:14" ht="14" x14ac:dyDescent="0.3">
      <c r="A18" s="151">
        <f>IF(B18&lt;&gt;"",COUNTA($B$12:B18),"")</f>
        <v>6</v>
      </c>
      <c r="B18" s="207" t="s">
        <v>303</v>
      </c>
      <c r="C18" s="233" t="s">
        <v>149</v>
      </c>
      <c r="D18" s="243"/>
      <c r="E18" s="206"/>
      <c r="F18" s="239"/>
      <c r="G18" s="236">
        <v>3.7499999999999999E-3</v>
      </c>
      <c r="H18" s="211"/>
      <c r="I18" s="210">
        <f t="shared" ref="I18:I36" si="1">G18*$E$13</f>
        <v>19770695.663467642</v>
      </c>
      <c r="K18" s="210"/>
      <c r="L18" s="236">
        <v>4.8220108323451796E-3</v>
      </c>
      <c r="M18" s="211"/>
      <c r="N18" s="210">
        <f t="shared" ref="N18:N36" si="2">$E$13*L18</f>
        <v>25422535.640597556</v>
      </c>
    </row>
    <row r="19" spans="1:14" ht="14" x14ac:dyDescent="0.3">
      <c r="A19" s="151">
        <f>IF(B19&lt;&gt;"",COUNTA($B$12:B19),"")</f>
        <v>7</v>
      </c>
      <c r="B19" s="188" t="s">
        <v>304</v>
      </c>
      <c r="C19" s="233" t="s">
        <v>156</v>
      </c>
      <c r="D19" s="243"/>
      <c r="E19" s="206"/>
      <c r="F19" s="239"/>
      <c r="G19" s="236">
        <v>-1.1E-4</v>
      </c>
      <c r="H19" s="211"/>
      <c r="I19" s="210">
        <f t="shared" si="1"/>
        <v>-579940.40612838417</v>
      </c>
      <c r="K19" s="210"/>
      <c r="L19" s="236">
        <v>9.3055115118339735E-4</v>
      </c>
      <c r="M19" s="211"/>
      <c r="N19" s="210">
        <f t="shared" si="2"/>
        <v>4906038.2958230441</v>
      </c>
    </row>
    <row r="20" spans="1:14" ht="14" x14ac:dyDescent="0.3">
      <c r="A20" s="151">
        <f>IF(B20&lt;&gt;"",COUNTA($B$12:B20),"")</f>
        <v>8</v>
      </c>
      <c r="B20" s="188" t="s">
        <v>305</v>
      </c>
      <c r="C20" s="233" t="s">
        <v>150</v>
      </c>
      <c r="D20" s="243"/>
      <c r="E20" s="206"/>
      <c r="F20" s="239"/>
      <c r="G20" s="236">
        <v>7.3800000000000003E-3</v>
      </c>
      <c r="H20" s="211"/>
      <c r="I20" s="210">
        <f t="shared" si="1"/>
        <v>38908729.065704316</v>
      </c>
      <c r="K20" s="210"/>
      <c r="L20" s="236">
        <v>6.2875153330074329E-3</v>
      </c>
      <c r="M20" s="211"/>
      <c r="N20" s="210">
        <f t="shared" si="2"/>
        <v>33148947.234207027</v>
      </c>
    </row>
    <row r="21" spans="1:14" ht="14" x14ac:dyDescent="0.3">
      <c r="A21" s="151">
        <f>IF(B21&lt;&gt;"",COUNTA($B$12:B21),"")</f>
        <v>9</v>
      </c>
      <c r="B21" s="188" t="s">
        <v>306</v>
      </c>
      <c r="C21" s="233" t="s">
        <v>151</v>
      </c>
      <c r="D21" s="243"/>
      <c r="E21" s="206"/>
      <c r="F21" s="239"/>
      <c r="G21" s="236">
        <v>2.3600000000000001E-3</v>
      </c>
      <c r="H21" s="211"/>
      <c r="I21" s="210">
        <f t="shared" si="1"/>
        <v>12442357.80420897</v>
      </c>
      <c r="K21" s="210"/>
      <c r="L21" s="236">
        <v>1.7357128782064517E-3</v>
      </c>
      <c r="M21" s="211"/>
      <c r="N21" s="210">
        <f t="shared" si="2"/>
        <v>9151000.2864483278</v>
      </c>
    </row>
    <row r="22" spans="1:14" ht="14" x14ac:dyDescent="0.3">
      <c r="A22" s="151">
        <f>IF(B22&lt;&gt;"",COUNTA($B$12:B22),"")</f>
        <v>10</v>
      </c>
      <c r="B22" s="188" t="s">
        <v>307</v>
      </c>
      <c r="C22" s="233" t="s">
        <v>152</v>
      </c>
      <c r="D22" s="243"/>
      <c r="E22" s="206"/>
      <c r="F22" s="239"/>
      <c r="G22" s="236">
        <v>4.0000000000000003E-5</v>
      </c>
      <c r="H22" s="211"/>
      <c r="I22" s="210">
        <f t="shared" si="1"/>
        <v>210887.42041032153</v>
      </c>
      <c r="K22" s="210"/>
      <c r="L22" s="236">
        <v>1.0124423986742032E-5</v>
      </c>
      <c r="M22" s="211"/>
      <c r="N22" s="210">
        <f t="shared" si="2"/>
        <v>53377.841442610254</v>
      </c>
    </row>
    <row r="23" spans="1:14" ht="14" x14ac:dyDescent="0.3">
      <c r="A23" s="151">
        <f>IF(B23&lt;&gt;"",COUNTA($B$12:B23),"")</f>
        <v>11</v>
      </c>
      <c r="B23" s="188" t="s">
        <v>308</v>
      </c>
      <c r="C23" s="233" t="s">
        <v>212</v>
      </c>
      <c r="D23" s="243"/>
      <c r="E23" s="206"/>
      <c r="F23" s="239"/>
      <c r="G23" s="236">
        <v>2.31E-3</v>
      </c>
      <c r="H23" s="211"/>
      <c r="I23" s="210">
        <f t="shared" si="1"/>
        <v>12178748.528696068</v>
      </c>
      <c r="K23" s="210"/>
      <c r="L23" s="236">
        <v>3.6454007574825073E-3</v>
      </c>
      <c r="M23" s="211"/>
      <c r="N23" s="210">
        <f t="shared" si="2"/>
        <v>19219229.052682951</v>
      </c>
    </row>
    <row r="24" spans="1:14" ht="14" x14ac:dyDescent="0.3">
      <c r="A24" s="151">
        <f>IF(B24&lt;&gt;"",COUNTA($B$12:B24),"")</f>
        <v>12</v>
      </c>
      <c r="B24" s="188" t="s">
        <v>309</v>
      </c>
      <c r="C24" s="233" t="s">
        <v>157</v>
      </c>
      <c r="D24" s="243"/>
      <c r="E24" s="206"/>
      <c r="F24" s="239"/>
      <c r="G24" s="236">
        <v>0</v>
      </c>
      <c r="H24" s="211"/>
      <c r="I24" s="210">
        <f t="shared" si="1"/>
        <v>0</v>
      </c>
      <c r="K24" s="210"/>
      <c r="L24" s="236">
        <v>0</v>
      </c>
      <c r="M24" s="211"/>
      <c r="N24" s="210">
        <f t="shared" si="2"/>
        <v>0</v>
      </c>
    </row>
    <row r="25" spans="1:14" ht="14" x14ac:dyDescent="0.3">
      <c r="A25" s="151">
        <f>IF(B25&lt;&gt;"",COUNTA($B$12:B25),"")</f>
        <v>13</v>
      </c>
      <c r="B25" s="207" t="s">
        <v>310</v>
      </c>
      <c r="C25" s="233" t="s">
        <v>153</v>
      </c>
      <c r="D25" s="233"/>
      <c r="E25" s="206"/>
      <c r="F25" s="239"/>
      <c r="G25" s="236">
        <v>2E-3</v>
      </c>
      <c r="H25" s="211"/>
      <c r="I25" s="210">
        <f>G25*$E$13</f>
        <v>10544371.020516075</v>
      </c>
      <c r="K25" s="210"/>
      <c r="L25" s="236">
        <v>-2.3927999362629402E-4</v>
      </c>
      <c r="M25" s="211"/>
      <c r="N25" s="210">
        <f t="shared" si="2"/>
        <v>-1261528.515291183</v>
      </c>
    </row>
    <row r="26" spans="1:14" ht="14" x14ac:dyDescent="0.3">
      <c r="A26" s="151">
        <f>IF(B26&lt;&gt;"",COUNTA($B$12:B26),"")</f>
        <v>14</v>
      </c>
      <c r="B26" s="188" t="s">
        <v>311</v>
      </c>
      <c r="C26" s="233" t="s">
        <v>158</v>
      </c>
      <c r="D26" s="243"/>
      <c r="E26" s="206"/>
      <c r="F26" s="239"/>
      <c r="G26" s="236">
        <v>0</v>
      </c>
      <c r="H26" s="211"/>
      <c r="I26" s="210">
        <f t="shared" si="1"/>
        <v>0</v>
      </c>
      <c r="K26" s="210"/>
      <c r="L26" s="236">
        <v>4.2583348640532346E-5</v>
      </c>
      <c r="M26" s="211"/>
      <c r="N26" s="210">
        <f t="shared" si="2"/>
        <v>224507.31368088094</v>
      </c>
    </row>
    <row r="27" spans="1:14" ht="14" x14ac:dyDescent="0.3">
      <c r="A27" s="151">
        <f>IF(B27&lt;&gt;"",COUNTA($B$12:B27),"")</f>
        <v>15</v>
      </c>
      <c r="B27" s="188" t="s">
        <v>312</v>
      </c>
      <c r="C27" s="233" t="s">
        <v>159</v>
      </c>
      <c r="D27" s="243"/>
      <c r="E27" s="206"/>
      <c r="F27" s="239"/>
      <c r="G27" s="236">
        <v>0</v>
      </c>
      <c r="H27" s="211"/>
      <c r="I27" s="210">
        <f t="shared" si="1"/>
        <v>0</v>
      </c>
      <c r="K27" s="210"/>
      <c r="L27" s="236">
        <v>7.5107285098997844E-4</v>
      </c>
      <c r="M27" s="211"/>
      <c r="N27" s="210">
        <f t="shared" si="2"/>
        <v>3959795.4021375584</v>
      </c>
    </row>
    <row r="28" spans="1:14" ht="14" x14ac:dyDescent="0.3">
      <c r="A28" s="151">
        <f>IF(B28&lt;&gt;"",COUNTA($B$12:B28),"")</f>
        <v>16</v>
      </c>
      <c r="B28" s="188" t="s">
        <v>313</v>
      </c>
      <c r="C28" s="233" t="s">
        <v>160</v>
      </c>
      <c r="D28" s="243"/>
      <c r="E28" s="206"/>
      <c r="F28" s="239"/>
      <c r="G28" s="236">
        <v>0</v>
      </c>
      <c r="H28" s="211"/>
      <c r="I28" s="210">
        <f t="shared" si="1"/>
        <v>0</v>
      </c>
      <c r="K28" s="210"/>
      <c r="L28" s="236">
        <v>1.6660010722404932E-3</v>
      </c>
      <c r="M28" s="211"/>
      <c r="N28" s="210">
        <f t="shared" si="2"/>
        <v>8783466.7131406814</v>
      </c>
    </row>
    <row r="29" spans="1:14" ht="14" x14ac:dyDescent="0.3">
      <c r="A29" s="151">
        <f>IF(B29&lt;&gt;"",COUNTA($B$12:B29),"")</f>
        <v>17</v>
      </c>
      <c r="B29" s="168" t="s">
        <v>314</v>
      </c>
      <c r="C29" s="233" t="s">
        <v>161</v>
      </c>
      <c r="D29" s="243"/>
      <c r="E29" s="206"/>
      <c r="F29" s="239"/>
      <c r="G29" s="236">
        <v>0</v>
      </c>
      <c r="H29" s="211"/>
      <c r="I29" s="210">
        <f t="shared" si="1"/>
        <v>0</v>
      </c>
      <c r="K29" s="210"/>
      <c r="L29" s="236">
        <v>8.7998724183282182E-4</v>
      </c>
      <c r="M29" s="211"/>
      <c r="N29" s="210">
        <f t="shared" si="2"/>
        <v>4639455.9856029386</v>
      </c>
    </row>
    <row r="30" spans="1:14" ht="14" x14ac:dyDescent="0.3">
      <c r="A30" s="151">
        <f>IF(B30&lt;&gt;"",COUNTA($B$12:B30),"")</f>
        <v>18</v>
      </c>
      <c r="B30" s="168" t="s">
        <v>59</v>
      </c>
      <c r="C30" s="233" t="s">
        <v>162</v>
      </c>
      <c r="D30" s="243"/>
      <c r="E30" s="206"/>
      <c r="F30" s="239"/>
      <c r="G30" s="236">
        <v>0</v>
      </c>
      <c r="H30" s="211"/>
      <c r="I30" s="210">
        <f t="shared" si="1"/>
        <v>0</v>
      </c>
      <c r="K30" s="210"/>
      <c r="L30" s="236">
        <v>-1.3321536749540959E-3</v>
      </c>
      <c r="M30" s="211"/>
      <c r="N30" s="210">
        <f t="shared" si="2"/>
        <v>-7023361.3025299795</v>
      </c>
    </row>
    <row r="31" spans="1:14" ht="14" x14ac:dyDescent="0.3">
      <c r="A31" s="151">
        <f>IF(B31&lt;&gt;"",COUNTA($B$12:B31),"")</f>
        <v>19</v>
      </c>
      <c r="B31" s="207" t="s">
        <v>53</v>
      </c>
      <c r="C31" s="233" t="s">
        <v>154</v>
      </c>
      <c r="D31" s="233"/>
      <c r="E31" s="206"/>
      <c r="F31" s="239"/>
      <c r="G31" s="236">
        <v>-6.0999999999999997E-4</v>
      </c>
      <c r="H31" s="211"/>
      <c r="I31" s="210">
        <f>G31*$E$13</f>
        <v>-3216033.161257403</v>
      </c>
      <c r="K31" s="210"/>
      <c r="L31" s="236">
        <v>-5.210932140356871E-4</v>
      </c>
      <c r="M31" s="211"/>
      <c r="N31" s="210">
        <f t="shared" si="2"/>
        <v>-2747300.09253274</v>
      </c>
    </row>
    <row r="32" spans="1:14" ht="14" x14ac:dyDescent="0.3">
      <c r="A32" s="151">
        <f>IF(B32&lt;&gt;"",COUNTA($B$12:B32),"")</f>
        <v>20</v>
      </c>
      <c r="B32" s="207" t="s">
        <v>315</v>
      </c>
      <c r="C32" s="233" t="s">
        <v>316</v>
      </c>
      <c r="D32" s="233"/>
      <c r="E32" s="206"/>
      <c r="F32" s="239"/>
      <c r="G32" s="236">
        <v>3.058E-2</v>
      </c>
      <c r="H32" s="211"/>
      <c r="I32" s="210">
        <f t="shared" si="1"/>
        <v>161223432.90369079</v>
      </c>
      <c r="K32" s="210"/>
      <c r="L32" s="236">
        <v>2.5850370762662271E-2</v>
      </c>
      <c r="M32" s="211"/>
      <c r="N32" s="210">
        <f t="shared" si="2"/>
        <v>136287950.16970605</v>
      </c>
    </row>
    <row r="33" spans="1:14" ht="14" x14ac:dyDescent="0.3">
      <c r="A33" s="151">
        <f>IF(B33&lt;&gt;"",COUNTA($B$12:B33),"")</f>
        <v>21</v>
      </c>
      <c r="B33" s="207" t="s">
        <v>317</v>
      </c>
      <c r="C33" s="233" t="s">
        <v>233</v>
      </c>
      <c r="D33" s="233"/>
      <c r="E33" s="206"/>
      <c r="F33" s="239"/>
      <c r="G33" s="236">
        <v>1.4749999999999999E-2</v>
      </c>
      <c r="H33" s="211"/>
      <c r="I33" s="210">
        <f t="shared" si="1"/>
        <v>77764736.276306048</v>
      </c>
      <c r="K33" s="210"/>
      <c r="L33" s="236">
        <v>1.4749999999999999E-2</v>
      </c>
      <c r="M33" s="211"/>
      <c r="N33" s="210">
        <f t="shared" si="2"/>
        <v>77764736.276306048</v>
      </c>
    </row>
    <row r="34" spans="1:14" ht="14" x14ac:dyDescent="0.3">
      <c r="A34" s="151">
        <f>IF(B34&lt;&gt;"",COUNTA($B$12:B34),"")</f>
        <v>22</v>
      </c>
      <c r="B34" s="207" t="s">
        <v>318</v>
      </c>
      <c r="C34" s="233" t="s">
        <v>319</v>
      </c>
      <c r="D34" s="233"/>
      <c r="E34" s="206"/>
      <c r="F34" s="239"/>
      <c r="G34" s="236">
        <v>2.5000000000000001E-3</v>
      </c>
      <c r="H34" s="211"/>
      <c r="I34" s="210">
        <f t="shared" si="1"/>
        <v>13180463.775645094</v>
      </c>
      <c r="K34" s="210"/>
      <c r="L34" s="236">
        <f>+G34</f>
        <v>2.5000000000000001E-3</v>
      </c>
      <c r="M34" s="211"/>
      <c r="N34" s="210">
        <f t="shared" si="2"/>
        <v>13180463.775645094</v>
      </c>
    </row>
    <row r="35" spans="1:14" ht="14" x14ac:dyDescent="0.3">
      <c r="A35" s="151">
        <f>IF(B35&lt;&gt;"",COUNTA($B$12:B35),"")</f>
        <v>23</v>
      </c>
      <c r="B35" s="207" t="s">
        <v>320</v>
      </c>
      <c r="C35" s="233" t="s">
        <v>321</v>
      </c>
      <c r="D35" s="233"/>
      <c r="E35" s="206"/>
      <c r="F35" s="239"/>
      <c r="G35" s="236">
        <v>5.0000000000000001E-4</v>
      </c>
      <c r="H35" s="211"/>
      <c r="I35" s="210">
        <f t="shared" si="1"/>
        <v>2636092.7551290188</v>
      </c>
      <c r="K35" s="210"/>
      <c r="L35" s="236">
        <f>+G35</f>
        <v>5.0000000000000001E-4</v>
      </c>
      <c r="M35" s="211"/>
      <c r="N35" s="210">
        <f t="shared" si="2"/>
        <v>2636092.7551290188</v>
      </c>
    </row>
    <row r="36" spans="1:14" ht="14" x14ac:dyDescent="0.3">
      <c r="A36" s="151">
        <f>IF(B36&lt;&gt;"",COUNTA($B$12:B36),"")</f>
        <v>24</v>
      </c>
      <c r="B36" s="207" t="s">
        <v>322</v>
      </c>
      <c r="C36" s="233" t="s">
        <v>323</v>
      </c>
      <c r="D36" s="233"/>
      <c r="E36" s="206"/>
      <c r="F36" s="239"/>
      <c r="G36" s="236">
        <v>0.11397</v>
      </c>
      <c r="H36" s="211"/>
      <c r="I36" s="237">
        <f t="shared" si="1"/>
        <v>600870982.60410857</v>
      </c>
      <c r="K36" s="210"/>
      <c r="L36" s="236">
        <v>0.13588</v>
      </c>
      <c r="M36" s="211"/>
      <c r="N36" s="237">
        <f t="shared" si="2"/>
        <v>716384567.13386214</v>
      </c>
    </row>
    <row r="37" spans="1:14" ht="14" x14ac:dyDescent="0.3">
      <c r="A37" s="151" t="str">
        <f>IF(B37&lt;&gt;"",COUNTA($B$12:B37),"")</f>
        <v/>
      </c>
      <c r="B37" s="207"/>
      <c r="E37" s="206"/>
      <c r="F37" s="239"/>
      <c r="G37" s="241"/>
      <c r="H37" s="211"/>
      <c r="I37" s="244"/>
      <c r="K37" s="210"/>
      <c r="L37" s="241"/>
      <c r="M37" s="211"/>
      <c r="N37" s="244"/>
    </row>
    <row r="38" spans="1:14" ht="14" x14ac:dyDescent="0.3">
      <c r="A38" s="151">
        <f>IF(B38&lt;&gt;"",COUNTA($B$12:B38),"")</f>
        <v>25</v>
      </c>
      <c r="B38" s="188" t="s">
        <v>46</v>
      </c>
      <c r="E38" s="188"/>
      <c r="G38" s="245" t="s">
        <v>324</v>
      </c>
      <c r="H38" s="246"/>
      <c r="I38" s="154">
        <f>SUM(I14:I37)</f>
        <v>1249776152.7154217</v>
      </c>
      <c r="K38" s="247"/>
      <c r="L38" s="245"/>
      <c r="N38" s="154">
        <f>SUM(N14:N37)</f>
        <v>1355631276.1948733</v>
      </c>
    </row>
    <row r="39" spans="1:14" ht="14" x14ac:dyDescent="0.3">
      <c r="A39" s="151" t="str">
        <f>IF(B39&lt;&gt;"",COUNTA($B$12:B39),"")</f>
        <v/>
      </c>
      <c r="E39" s="188"/>
      <c r="H39" s="188"/>
      <c r="I39" s="154"/>
      <c r="L39" s="248"/>
      <c r="N39" s="154"/>
    </row>
    <row r="40" spans="1:14" ht="14" x14ac:dyDescent="0.3">
      <c r="A40" s="151">
        <f>IF(B40&lt;&gt;"",COUNTA($B$12:B40),"")</f>
        <v>26</v>
      </c>
      <c r="B40" s="188" t="s">
        <v>46</v>
      </c>
      <c r="E40" s="188"/>
      <c r="G40" s="188"/>
      <c r="H40" s="188"/>
      <c r="I40" s="188"/>
      <c r="J40" s="188"/>
      <c r="L40" s="248" t="s">
        <v>325</v>
      </c>
      <c r="N40" s="160">
        <f>+N38/I38-1</f>
        <v>8.4699266544218776E-2</v>
      </c>
    </row>
    <row r="41" spans="1:14" ht="14" x14ac:dyDescent="0.3">
      <c r="A41" s="151" t="str">
        <f>IF(B41&lt;&gt;"",COUNTA($B$12:B41),"")</f>
        <v/>
      </c>
      <c r="E41" s="188"/>
      <c r="G41" s="188"/>
      <c r="H41" s="188"/>
      <c r="I41" s="188"/>
      <c r="J41" s="188"/>
      <c r="L41" s="248"/>
      <c r="N41" s="160"/>
    </row>
    <row r="42" spans="1:14" ht="14" x14ac:dyDescent="0.3">
      <c r="A42" s="151" t="str">
        <f>IF(B42&lt;&gt;"",COUNTA($B$12:B42),"")</f>
        <v/>
      </c>
      <c r="E42" s="188"/>
      <c r="G42" s="186"/>
      <c r="H42" s="188"/>
      <c r="I42" s="188"/>
      <c r="L42" s="248"/>
      <c r="N42" s="160"/>
    </row>
    <row r="43" spans="1:14" ht="14.5" thickBot="1" x14ac:dyDescent="0.35">
      <c r="A43" s="151">
        <f>IF(B43&lt;&gt;"",COUNTA($B$12:B43),"")</f>
        <v>27</v>
      </c>
      <c r="B43" s="188" t="s">
        <v>46</v>
      </c>
      <c r="E43" s="747" t="s">
        <v>326</v>
      </c>
      <c r="F43" s="747"/>
      <c r="G43" s="747"/>
      <c r="I43" s="747" t="s">
        <v>327</v>
      </c>
      <c r="J43" s="747"/>
      <c r="L43" s="747" t="s">
        <v>328</v>
      </c>
      <c r="M43" s="747"/>
      <c r="N43" s="747"/>
    </row>
    <row r="44" spans="1:14" ht="14" x14ac:dyDescent="0.3">
      <c r="A44" s="151">
        <f>IF(B44&lt;&gt;"",COUNTA($B$12:B44),"")</f>
        <v>28</v>
      </c>
      <c r="B44" s="144" t="s">
        <v>329</v>
      </c>
      <c r="C44" s="144"/>
      <c r="D44" s="144"/>
      <c r="E44" s="249" t="s">
        <v>148</v>
      </c>
      <c r="F44" s="250"/>
      <c r="G44" s="251" t="s">
        <v>330</v>
      </c>
      <c r="I44" s="249" t="s">
        <v>148</v>
      </c>
      <c r="J44" s="251" t="s">
        <v>330</v>
      </c>
      <c r="K44" s="212"/>
      <c r="L44" s="249" t="s">
        <v>148</v>
      </c>
      <c r="M44" s="252"/>
      <c r="N44" s="251" t="s">
        <v>330</v>
      </c>
    </row>
    <row r="45" spans="1:14" ht="14" x14ac:dyDescent="0.3">
      <c r="A45" s="151">
        <f>IF(B45&lt;&gt;"",COUNTA($B$12:B45),"")</f>
        <v>29</v>
      </c>
      <c r="B45" s="130" t="s">
        <v>142</v>
      </c>
      <c r="C45" s="253" t="s">
        <v>301</v>
      </c>
      <c r="D45" s="253"/>
      <c r="E45" s="154">
        <f t="shared" ref="E45:E59" si="3">SUMIF($C$12:$C$36,$C45,$I$12:$I$36)</f>
        <v>303840628.46492451</v>
      </c>
      <c r="G45" s="254">
        <f>+E45/$E$13*100</f>
        <v>5.7630868237421629</v>
      </c>
      <c r="I45" s="154">
        <f t="shared" ref="I45:I59" si="4">SUMIF($C$12:$C$36,$C45,$N$12:$N$36)</f>
        <v>313910502.78951734</v>
      </c>
      <c r="J45" s="254">
        <f>+I45/$E$13*100</f>
        <v>5.9540868237421627</v>
      </c>
      <c r="L45" s="154">
        <f t="shared" ref="L45:L65" si="5">I45-E45</f>
        <v>10069874.324592829</v>
      </c>
      <c r="N45" s="254">
        <f>+L45/$E$13*100</f>
        <v>0.19099999999999956</v>
      </c>
    </row>
    <row r="46" spans="1:14" ht="14" x14ac:dyDescent="0.3">
      <c r="A46" s="151">
        <f>IF(B46&lt;&gt;"",COUNTA($B$12:B46),"")</f>
        <v>30</v>
      </c>
      <c r="B46" s="130" t="str">
        <f t="shared" ref="B46:C60" si="6">+B17</f>
        <v>Revenue Decoupling</v>
      </c>
      <c r="C46" s="253" t="str">
        <f t="shared" si="6"/>
        <v>RDAF</v>
      </c>
      <c r="D46" s="253"/>
      <c r="E46" s="154">
        <f t="shared" si="3"/>
        <v>0</v>
      </c>
      <c r="G46" s="254">
        <f t="shared" ref="G46:G66" si="7">+E46/$E$13*100</f>
        <v>0</v>
      </c>
      <c r="I46" s="154">
        <f t="shared" si="4"/>
        <v>-3009200.5607018201</v>
      </c>
      <c r="J46" s="254">
        <f t="shared" ref="J46:J66" si="8">+I46/$E$13*100</f>
        <v>-5.7076909658183482E-2</v>
      </c>
      <c r="L46" s="154">
        <f>I46-E46</f>
        <v>-3009200.5607018201</v>
      </c>
      <c r="N46" s="254">
        <f t="shared" ref="N46:N66" si="9">+L46/$E$13*100</f>
        <v>-5.7076909658183482E-2</v>
      </c>
    </row>
    <row r="47" spans="1:14" ht="14" x14ac:dyDescent="0.3">
      <c r="A47" s="151">
        <f>IF(B47&lt;&gt;"",COUNTA($B$12:B47),"")</f>
        <v>31</v>
      </c>
      <c r="B47" s="130" t="str">
        <f t="shared" si="6"/>
        <v>Residential Assistance Adjustment Factor</v>
      </c>
      <c r="C47" s="253" t="str">
        <f t="shared" si="6"/>
        <v>RAAF</v>
      </c>
      <c r="D47" s="253"/>
      <c r="E47" s="154">
        <f t="shared" si="3"/>
        <v>19770695.663467642</v>
      </c>
      <c r="G47" s="254">
        <f t="shared" si="7"/>
        <v>0.37500000000000006</v>
      </c>
      <c r="I47" s="154">
        <f t="shared" si="4"/>
        <v>25422535.640597556</v>
      </c>
      <c r="J47" s="254">
        <f t="shared" si="8"/>
        <v>0.48220108323451794</v>
      </c>
      <c r="L47" s="154">
        <f t="shared" si="5"/>
        <v>5651839.9771299139</v>
      </c>
      <c r="N47" s="254">
        <f t="shared" si="9"/>
        <v>0.10720108323451795</v>
      </c>
    </row>
    <row r="48" spans="1:14" ht="14" x14ac:dyDescent="0.3">
      <c r="A48" s="151">
        <f>IF(B48&lt;&gt;"",COUNTA($B$12:B48),"")</f>
        <v>32</v>
      </c>
      <c r="B48" s="130" t="str">
        <f t="shared" si="6"/>
        <v>Pension Adjustment Factor</v>
      </c>
      <c r="C48" s="253" t="str">
        <f t="shared" si="6"/>
        <v>PAF</v>
      </c>
      <c r="D48" s="253"/>
      <c r="E48" s="154">
        <f t="shared" si="3"/>
        <v>-579940.40612838417</v>
      </c>
      <c r="G48" s="254">
        <f t="shared" si="7"/>
        <v>-1.1000000000000001E-2</v>
      </c>
      <c r="I48" s="154">
        <f t="shared" si="4"/>
        <v>4906038.2958230441</v>
      </c>
      <c r="J48" s="254">
        <f t="shared" si="8"/>
        <v>9.3055115118339735E-2</v>
      </c>
      <c r="L48" s="154">
        <f t="shared" si="5"/>
        <v>5485978.7019514283</v>
      </c>
      <c r="N48" s="254">
        <f t="shared" si="9"/>
        <v>0.10405511511833974</v>
      </c>
    </row>
    <row r="49" spans="1:14" ht="14" x14ac:dyDescent="0.3">
      <c r="A49" s="151">
        <f>IF(B49&lt;&gt;"",COUNTA($B$12:B49),"")</f>
        <v>33</v>
      </c>
      <c r="B49" s="130" t="str">
        <f t="shared" si="6"/>
        <v>Net Metering Recovery Surcharge</v>
      </c>
      <c r="C49" s="253" t="str">
        <f t="shared" si="6"/>
        <v>NMRS</v>
      </c>
      <c r="D49" s="253"/>
      <c r="E49" s="154">
        <f t="shared" si="3"/>
        <v>38908729.065704316</v>
      </c>
      <c r="G49" s="254">
        <f t="shared" si="7"/>
        <v>0.73799999999999999</v>
      </c>
      <c r="I49" s="154">
        <f t="shared" si="4"/>
        <v>33148947.234207027</v>
      </c>
      <c r="J49" s="254">
        <f t="shared" si="8"/>
        <v>0.62875153330074329</v>
      </c>
      <c r="L49" s="154">
        <f t="shared" si="5"/>
        <v>-5759781.8314972892</v>
      </c>
      <c r="N49" s="254">
        <f t="shared" si="9"/>
        <v>-0.1092484666992567</v>
      </c>
    </row>
    <row r="50" spans="1:14" ht="14" x14ac:dyDescent="0.3">
      <c r="A50" s="151">
        <f>IF(B50&lt;&gt;"",COUNTA($B$12:B50),"")</f>
        <v>34</v>
      </c>
      <c r="B50" s="130" t="str">
        <f t="shared" si="6"/>
        <v>Long Term Renewable Contract Adjustment</v>
      </c>
      <c r="C50" s="253" t="str">
        <f t="shared" si="6"/>
        <v>LTRCA</v>
      </c>
      <c r="D50" s="253"/>
      <c r="E50" s="154">
        <f t="shared" si="3"/>
        <v>12442357.80420897</v>
      </c>
      <c r="G50" s="254">
        <f t="shared" si="7"/>
        <v>0.23600000000000002</v>
      </c>
      <c r="I50" s="154">
        <f t="shared" si="4"/>
        <v>9151000.2864483278</v>
      </c>
      <c r="J50" s="254">
        <f t="shared" si="8"/>
        <v>0.17357128782064515</v>
      </c>
      <c r="L50" s="154">
        <f t="shared" si="5"/>
        <v>-3291357.5177606419</v>
      </c>
      <c r="N50" s="254">
        <f t="shared" si="9"/>
        <v>-6.2428712179354862E-2</v>
      </c>
    </row>
    <row r="51" spans="1:14" ht="14" x14ac:dyDescent="0.3">
      <c r="A51" s="151">
        <f>IF(B51&lt;&gt;"",COUNTA($B$12:B51),"")</f>
        <v>35</v>
      </c>
      <c r="B51" s="130" t="str">
        <f t="shared" si="6"/>
        <v>AG Consulting Expense</v>
      </c>
      <c r="C51" s="253" t="str">
        <f t="shared" si="6"/>
        <v>AGCE</v>
      </c>
      <c r="D51" s="253"/>
      <c r="E51" s="154">
        <f t="shared" si="3"/>
        <v>210887.42041032153</v>
      </c>
      <c r="G51" s="254">
        <f t="shared" si="7"/>
        <v>4.0000000000000001E-3</v>
      </c>
      <c r="I51" s="154">
        <f t="shared" si="4"/>
        <v>53377.841442610254</v>
      </c>
      <c r="J51" s="254">
        <f t="shared" si="8"/>
        <v>1.0124423986742031E-3</v>
      </c>
      <c r="L51" s="154">
        <f t="shared" si="5"/>
        <v>-157509.57896771128</v>
      </c>
      <c r="N51" s="254">
        <f t="shared" si="9"/>
        <v>-2.9875576013257974E-3</v>
      </c>
    </row>
    <row r="52" spans="1:14" ht="14" x14ac:dyDescent="0.3">
      <c r="A52" s="151">
        <f>IF(B52&lt;&gt;"",COUNTA($B$12:B52),"")</f>
        <v>36</v>
      </c>
      <c r="B52" s="130" t="str">
        <f t="shared" si="6"/>
        <v>Storm Cost Recovery Adjustment Factor</v>
      </c>
      <c r="C52" s="253" t="str">
        <f t="shared" si="6"/>
        <v>SCRA</v>
      </c>
      <c r="D52" s="253"/>
      <c r="E52" s="154">
        <f t="shared" si="3"/>
        <v>12178748.528696068</v>
      </c>
      <c r="G52" s="254">
        <f t="shared" si="7"/>
        <v>0.23100000000000001</v>
      </c>
      <c r="I52" s="154">
        <f t="shared" si="4"/>
        <v>19219229.052682951</v>
      </c>
      <c r="J52" s="254">
        <f t="shared" si="8"/>
        <v>0.36454007574825076</v>
      </c>
      <c r="L52" s="154">
        <f>I52-E52</f>
        <v>7040480.5239868835</v>
      </c>
      <c r="N52" s="254">
        <f t="shared" si="9"/>
        <v>0.13354007574825075</v>
      </c>
    </row>
    <row r="53" spans="1:14" ht="14" x14ac:dyDescent="0.3">
      <c r="A53" s="151">
        <f>IF(B53&lt;&gt;"",COUNTA($B$12:B53),"")</f>
        <v>37</v>
      </c>
      <c r="B53" s="130" t="str">
        <f t="shared" si="6"/>
        <v>Storm Reserve Adjustment</v>
      </c>
      <c r="C53" s="253" t="str">
        <f t="shared" si="6"/>
        <v>SRA</v>
      </c>
      <c r="D53" s="253"/>
      <c r="E53" s="154">
        <f t="shared" si="3"/>
        <v>0</v>
      </c>
      <c r="G53" s="254">
        <f t="shared" si="7"/>
        <v>0</v>
      </c>
      <c r="I53" s="154">
        <f t="shared" si="4"/>
        <v>0</v>
      </c>
      <c r="J53" s="254">
        <f t="shared" si="8"/>
        <v>0</v>
      </c>
      <c r="L53" s="154">
        <f>I53-E53</f>
        <v>0</v>
      </c>
      <c r="N53" s="254">
        <f t="shared" si="9"/>
        <v>0</v>
      </c>
    </row>
    <row r="54" spans="1:14" ht="14" x14ac:dyDescent="0.3">
      <c r="A54" s="151">
        <f>IF(B54&lt;&gt;"",COUNTA($B$12:B54),"")</f>
        <v>38</v>
      </c>
      <c r="B54" s="130" t="str">
        <f t="shared" si="6"/>
        <v>Basic Service Cost True Up Factor</v>
      </c>
      <c r="C54" s="253" t="str">
        <f t="shared" si="6"/>
        <v>BSTF</v>
      </c>
      <c r="D54" s="253"/>
      <c r="E54" s="154">
        <f t="shared" si="3"/>
        <v>10544371.020516075</v>
      </c>
      <c r="G54" s="254">
        <f>+E54/$E$13*100</f>
        <v>0.2</v>
      </c>
      <c r="I54" s="154">
        <f t="shared" si="4"/>
        <v>-1261528.515291183</v>
      </c>
      <c r="J54" s="254">
        <f>+I54/$E$13*100</f>
        <v>-2.3927999362629404E-2</v>
      </c>
      <c r="L54" s="154">
        <f>I54-E54</f>
        <v>-11805899.535807258</v>
      </c>
      <c r="N54" s="254">
        <f>+L54/$E$13*100</f>
        <v>-0.22392799936262939</v>
      </c>
    </row>
    <row r="55" spans="1:14" ht="14" x14ac:dyDescent="0.3">
      <c r="A55" s="151">
        <f>IF(B55&lt;&gt;"",COUNTA($B$12:B55),"")</f>
        <v>39</v>
      </c>
      <c r="B55" s="130" t="str">
        <f t="shared" si="6"/>
        <v>Solar Program Cost Adjustment Factor</v>
      </c>
      <c r="C55" s="253" t="str">
        <f t="shared" si="6"/>
        <v>SPCA</v>
      </c>
      <c r="D55" s="253"/>
      <c r="E55" s="154">
        <f t="shared" si="3"/>
        <v>0</v>
      </c>
      <c r="G55" s="254">
        <f t="shared" si="7"/>
        <v>0</v>
      </c>
      <c r="I55" s="154">
        <f t="shared" si="4"/>
        <v>224507.31368088094</v>
      </c>
      <c r="J55" s="254">
        <f t="shared" si="8"/>
        <v>4.2583348640532342E-3</v>
      </c>
      <c r="L55" s="154">
        <f>I55-E55</f>
        <v>224507.31368088094</v>
      </c>
      <c r="N55" s="254">
        <f t="shared" si="9"/>
        <v>4.2583348640532342E-3</v>
      </c>
    </row>
    <row r="56" spans="1:14" ht="14" x14ac:dyDescent="0.3">
      <c r="A56" s="151">
        <f>IF(B56&lt;&gt;"",COUNTA($B$12:B56),"")</f>
        <v>40</v>
      </c>
      <c r="B56" s="130" t="str">
        <f t="shared" si="6"/>
        <v>Solar Expansion Cost Recovery Factor</v>
      </c>
      <c r="C56" s="233" t="str">
        <f t="shared" si="6"/>
        <v>SECRF</v>
      </c>
      <c r="D56" s="253"/>
      <c r="E56" s="154">
        <f t="shared" si="3"/>
        <v>0</v>
      </c>
      <c r="G56" s="254">
        <f t="shared" si="7"/>
        <v>0</v>
      </c>
      <c r="I56" s="154">
        <f t="shared" si="4"/>
        <v>3959795.4021375584</v>
      </c>
      <c r="J56" s="254">
        <f t="shared" si="8"/>
        <v>7.5107285098997847E-2</v>
      </c>
      <c r="L56" s="154">
        <f t="shared" ref="L56:L59" si="10">I56-E56</f>
        <v>3959795.4021375584</v>
      </c>
      <c r="N56" s="254">
        <f t="shared" si="9"/>
        <v>7.5107285098997847E-2</v>
      </c>
    </row>
    <row r="57" spans="1:14" ht="14" x14ac:dyDescent="0.3">
      <c r="A57" s="151">
        <f>IF(B57&lt;&gt;"",COUNTA($B$12:B57),"")</f>
        <v>41</v>
      </c>
      <c r="B57" s="130" t="str">
        <f t="shared" si="6"/>
        <v>Vegetation Management</v>
      </c>
      <c r="C57" s="233" t="str">
        <f t="shared" si="6"/>
        <v>RTWF</v>
      </c>
      <c r="D57" s="253"/>
      <c r="E57" s="154">
        <f t="shared" si="3"/>
        <v>0</v>
      </c>
      <c r="G57" s="254">
        <f t="shared" si="7"/>
        <v>0</v>
      </c>
      <c r="I57" s="154">
        <f t="shared" si="4"/>
        <v>8783466.7131406814</v>
      </c>
      <c r="J57" s="254">
        <f t="shared" si="8"/>
        <v>0.1666001072240493</v>
      </c>
      <c r="L57" s="154">
        <f t="shared" si="10"/>
        <v>8783466.7131406814</v>
      </c>
      <c r="N57" s="254">
        <f t="shared" si="9"/>
        <v>0.1666001072240493</v>
      </c>
    </row>
    <row r="58" spans="1:14" ht="14" x14ac:dyDescent="0.3">
      <c r="A58" s="151">
        <f>IF(B58&lt;&gt;"",COUNTA($B$12:B58),"")</f>
        <v>42</v>
      </c>
      <c r="B58" s="130" t="str">
        <f t="shared" si="6"/>
        <v>Solar Massachusetts Renewable Target</v>
      </c>
      <c r="C58" s="233" t="str">
        <f t="shared" si="6"/>
        <v>SMART</v>
      </c>
      <c r="D58" s="253"/>
      <c r="E58" s="154">
        <f t="shared" si="3"/>
        <v>0</v>
      </c>
      <c r="G58" s="254">
        <f t="shared" si="7"/>
        <v>0</v>
      </c>
      <c r="I58" s="154">
        <f t="shared" si="4"/>
        <v>4639455.9856029386</v>
      </c>
      <c r="J58" s="254">
        <f t="shared" si="8"/>
        <v>8.7998724183282181E-2</v>
      </c>
      <c r="L58" s="154">
        <f t="shared" si="10"/>
        <v>4639455.9856029386</v>
      </c>
      <c r="N58" s="254">
        <f t="shared" si="9"/>
        <v>8.7998724183282181E-2</v>
      </c>
    </row>
    <row r="59" spans="1:14" ht="14" x14ac:dyDescent="0.3">
      <c r="A59" s="151">
        <f>IF(B59&lt;&gt;"",COUNTA($B$12:B59),"")</f>
        <v>43</v>
      </c>
      <c r="B59" s="130" t="str">
        <f t="shared" si="6"/>
        <v>Tax Act Credit Factor</v>
      </c>
      <c r="C59" s="233" t="str">
        <f t="shared" si="6"/>
        <v>TACF</v>
      </c>
      <c r="D59" s="253"/>
      <c r="E59" s="154">
        <f t="shared" si="3"/>
        <v>0</v>
      </c>
      <c r="G59" s="254">
        <f t="shared" si="7"/>
        <v>0</v>
      </c>
      <c r="I59" s="154">
        <f t="shared" si="4"/>
        <v>-7023361.3025299795</v>
      </c>
      <c r="J59" s="254">
        <f t="shared" si="8"/>
        <v>-0.13321536749540958</v>
      </c>
      <c r="L59" s="154">
        <f t="shared" si="10"/>
        <v>-7023361.3025299795</v>
      </c>
      <c r="N59" s="254">
        <f t="shared" si="9"/>
        <v>-0.13321536749540958</v>
      </c>
    </row>
    <row r="60" spans="1:14" ht="14" x14ac:dyDescent="0.3">
      <c r="A60" s="151">
        <f>IF(B60&lt;&gt;"",COUNTA($B$12:B60),"")</f>
        <v>44</v>
      </c>
      <c r="B60" s="130" t="str">
        <f t="shared" si="6"/>
        <v>Transition</v>
      </c>
      <c r="C60" s="233" t="str">
        <f>+C31</f>
        <v>TRNSN</v>
      </c>
      <c r="D60" s="253"/>
      <c r="E60" s="154">
        <f>SUM(SUMIF($C$12:$C$36,{"TRNSN"},$I$12:$I$36))</f>
        <v>-3216033.161257403</v>
      </c>
      <c r="G60" s="254">
        <f>+E60/$E$13*100</f>
        <v>-6.0999999999999999E-2</v>
      </c>
      <c r="I60" s="154">
        <f>SUM(SUMIF($C$12:$C$36,{"TRNSN"},$N$12:$N$36))</f>
        <v>-2747300.09253274</v>
      </c>
      <c r="J60" s="254">
        <f>+I60/$E$13*100</f>
        <v>-5.2109321403568713E-2</v>
      </c>
      <c r="L60" s="154">
        <f>I60-E60</f>
        <v>468733.068724663</v>
      </c>
      <c r="N60" s="254">
        <f>+L60/$E$13*100</f>
        <v>8.8906785964312871E-3</v>
      </c>
    </row>
    <row r="61" spans="1:14" ht="14" x14ac:dyDescent="0.3">
      <c r="A61" s="151">
        <f>IF(B61&lt;&gt;"",COUNTA($B$12:B61),"")</f>
        <v>45</v>
      </c>
      <c r="B61" s="130" t="s">
        <v>236</v>
      </c>
      <c r="C61" s="253" t="s">
        <v>331</v>
      </c>
      <c r="D61" s="253"/>
      <c r="E61" s="154">
        <f>SUM(SUMIF($C$12:$C$36,{"TMKW","TMKWH"},$I$12:$I$36))</f>
        <v>161223432.90369079</v>
      </c>
      <c r="G61" s="254">
        <f t="shared" si="7"/>
        <v>3.0579999999999998</v>
      </c>
      <c r="I61" s="154">
        <f>SUM(SUMIF($C$12:$C$36,{"TMKW","TMKWH"},$N$12:$N$36))</f>
        <v>136287950.16970605</v>
      </c>
      <c r="J61" s="254">
        <f t="shared" si="8"/>
        <v>2.5850370762662269</v>
      </c>
      <c r="L61" s="154">
        <f t="shared" si="5"/>
        <v>-24935482.733984739</v>
      </c>
      <c r="N61" s="254">
        <f t="shared" si="9"/>
        <v>-0.47296292373377274</v>
      </c>
    </row>
    <row r="62" spans="1:14" ht="14" x14ac:dyDescent="0.3">
      <c r="A62" s="151">
        <f>IF(B62&lt;&gt;"",COUNTA($B$12:B62),"")</f>
        <v>46</v>
      </c>
      <c r="B62" s="130" t="str">
        <f t="shared" ref="B62:C65" si="11">+B33</f>
        <v>Energy Efficiency Reconciliation Factor</v>
      </c>
      <c r="C62" s="253" t="str">
        <f t="shared" si="11"/>
        <v>EERF</v>
      </c>
      <c r="D62" s="253"/>
      <c r="E62" s="154">
        <f>SUMIF($C$12:$C$36,$C62,$I$12:$I$36)</f>
        <v>77764736.276306048</v>
      </c>
      <c r="G62" s="254">
        <f t="shared" si="7"/>
        <v>1.4749999999999999</v>
      </c>
      <c r="I62" s="154">
        <f>SUMIF($C$12:$C$36,$C62,$N$12:$N$36)</f>
        <v>77764736.276306048</v>
      </c>
      <c r="J62" s="254">
        <f t="shared" si="8"/>
        <v>1.4749999999999999</v>
      </c>
      <c r="L62" s="154">
        <f t="shared" si="5"/>
        <v>0</v>
      </c>
      <c r="N62" s="254">
        <f t="shared" si="9"/>
        <v>0</v>
      </c>
    </row>
    <row r="63" spans="1:14" ht="14" x14ac:dyDescent="0.3">
      <c r="A63" s="151">
        <f>IF(B63&lt;&gt;"",COUNTA($B$12:B63),"")</f>
        <v>47</v>
      </c>
      <c r="B63" s="130" t="str">
        <f t="shared" si="11"/>
        <v>System Benefits Charge</v>
      </c>
      <c r="C63" s="253" t="str">
        <f t="shared" si="11"/>
        <v>SBC</v>
      </c>
      <c r="D63" s="253"/>
      <c r="E63" s="154">
        <f>SUMIF($C$12:$C$36,$C63,$I$12:$I$36)</f>
        <v>13180463.775645094</v>
      </c>
      <c r="G63" s="254">
        <f t="shared" si="7"/>
        <v>0.25</v>
      </c>
      <c r="I63" s="154">
        <f>SUMIF($C$12:$C$36,$C63,$N$12:$N$36)</f>
        <v>13180463.775645094</v>
      </c>
      <c r="J63" s="254">
        <f t="shared" si="8"/>
        <v>0.25</v>
      </c>
      <c r="L63" s="154">
        <f t="shared" si="5"/>
        <v>0</v>
      </c>
      <c r="N63" s="254">
        <f t="shared" si="9"/>
        <v>0</v>
      </c>
    </row>
    <row r="64" spans="1:14" ht="14" x14ac:dyDescent="0.3">
      <c r="A64" s="151">
        <f>IF(B64&lt;&gt;"",COUNTA($B$12:B64),"")</f>
        <v>48</v>
      </c>
      <c r="B64" s="130" t="str">
        <f t="shared" si="11"/>
        <v>Renewable Energy Charge</v>
      </c>
      <c r="C64" s="253" t="str">
        <f t="shared" si="11"/>
        <v>RNEW</v>
      </c>
      <c r="D64" s="253"/>
      <c r="E64" s="154">
        <f>SUMIF($C$12:$C$36,$C64,$I$12:$I$36)</f>
        <v>2636092.7551290188</v>
      </c>
      <c r="G64" s="254">
        <f t="shared" si="7"/>
        <v>0.05</v>
      </c>
      <c r="I64" s="154">
        <f>SUMIF($C$12:$C$36,$C64,$N$12:$N$36)</f>
        <v>2636092.7551290188</v>
      </c>
      <c r="J64" s="254">
        <f t="shared" si="8"/>
        <v>0.05</v>
      </c>
      <c r="L64" s="154">
        <f>I64-E64</f>
        <v>0</v>
      </c>
      <c r="N64" s="254">
        <f t="shared" si="9"/>
        <v>0</v>
      </c>
    </row>
    <row r="65" spans="1:14" ht="14" x14ac:dyDescent="0.3">
      <c r="A65" s="151">
        <f>IF(B65&lt;&gt;"",COUNTA($B$12:B65),"")</f>
        <v>49</v>
      </c>
      <c r="B65" s="130" t="str">
        <f t="shared" si="11"/>
        <v>Basic Service Charge</v>
      </c>
      <c r="C65" s="253" t="str">
        <f t="shared" si="11"/>
        <v>BS</v>
      </c>
      <c r="D65" s="253"/>
      <c r="E65" s="255">
        <f>SUMIF($C$12:$C$36,$C65,$I$12:$I$36)</f>
        <v>600870982.60410857</v>
      </c>
      <c r="F65" s="256"/>
      <c r="G65" s="257">
        <f t="shared" si="7"/>
        <v>11.397</v>
      </c>
      <c r="H65" s="258"/>
      <c r="I65" s="255">
        <f>SUMIF($C$12:$C$36,$C65,$N$12:$N$36)</f>
        <v>716384567.13386214</v>
      </c>
      <c r="J65" s="257">
        <f t="shared" si="8"/>
        <v>13.588000000000001</v>
      </c>
      <c r="K65" s="255"/>
      <c r="L65" s="255">
        <f t="shared" si="5"/>
        <v>115513584.52975357</v>
      </c>
      <c r="M65" s="259"/>
      <c r="N65" s="257">
        <f t="shared" si="9"/>
        <v>2.1909999999999994</v>
      </c>
    </row>
    <row r="66" spans="1:14" ht="14" x14ac:dyDescent="0.3">
      <c r="A66" s="151">
        <f>IF(B66&lt;&gt;"",COUNTA($B$12:B66),"")</f>
        <v>50</v>
      </c>
      <c r="B66" s="130" t="s">
        <v>47</v>
      </c>
      <c r="C66" s="130"/>
      <c r="D66" s="130"/>
      <c r="E66" s="154">
        <f>SUM(E45:E65)</f>
        <v>1249776152.7154217</v>
      </c>
      <c r="G66" s="254">
        <f t="shared" si="7"/>
        <v>23.705086823742164</v>
      </c>
      <c r="I66" s="154">
        <f>SUM(I45:I65)</f>
        <v>1355631276.1948733</v>
      </c>
      <c r="J66" s="254">
        <f t="shared" si="8"/>
        <v>25.71289029108015</v>
      </c>
      <c r="L66" s="154">
        <f>SUM(L45:L65)</f>
        <v>105855123.47945189</v>
      </c>
      <c r="N66" s="254">
        <f t="shared" si="9"/>
        <v>2.0078034673379883</v>
      </c>
    </row>
    <row r="67" spans="1:14" ht="14" x14ac:dyDescent="0.3">
      <c r="A67" s="151" t="str">
        <f>IF(B67&lt;&gt;"",COUNTA($B$9:B67),"")</f>
        <v/>
      </c>
    </row>
    <row r="68" spans="1:14" ht="14" x14ac:dyDescent="0.3">
      <c r="A68" s="151"/>
      <c r="B68" s="256" t="s">
        <v>164</v>
      </c>
      <c r="E68" s="188"/>
      <c r="G68" s="188"/>
      <c r="H68" s="188"/>
      <c r="I68" s="188"/>
      <c r="J68" s="188"/>
      <c r="K68" s="188"/>
      <c r="L68" s="188"/>
      <c r="M68" s="188"/>
      <c r="N68" s="188"/>
    </row>
    <row r="69" spans="1:14" ht="14" x14ac:dyDescent="0.3">
      <c r="A69" s="151"/>
      <c r="B69" s="188" t="s">
        <v>215</v>
      </c>
    </row>
    <row r="70" spans="1:14" ht="14" x14ac:dyDescent="0.3">
      <c r="A70" s="151"/>
      <c r="B70" s="188" t="s">
        <v>332</v>
      </c>
    </row>
    <row r="71" spans="1:14" ht="14" x14ac:dyDescent="0.3">
      <c r="A71" s="151"/>
      <c r="B71" s="188" t="s">
        <v>333</v>
      </c>
    </row>
    <row r="72" spans="1:14" ht="14" x14ac:dyDescent="0.3">
      <c r="A72" s="151"/>
      <c r="B72" s="188" t="s">
        <v>334</v>
      </c>
    </row>
    <row r="73" spans="1:14" ht="14" x14ac:dyDescent="0.3">
      <c r="A73" s="151"/>
      <c r="B73" s="188" t="s">
        <v>335</v>
      </c>
    </row>
  </sheetData>
  <mergeCells count="8">
    <mergeCell ref="E43:G43"/>
    <mergeCell ref="I43:J43"/>
    <mergeCell ref="L43:N43"/>
    <mergeCell ref="A4:N4"/>
    <mergeCell ref="A5:N5"/>
    <mergeCell ref="A7:N7"/>
    <mergeCell ref="G9:I9"/>
    <mergeCell ref="L9:N9"/>
  </mergeCells>
  <pageMargins left="0.7" right="0.7" top="0.75" bottom="0.75" header="0.3" footer="0.3"/>
  <pageSetup scale="62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DEAE9-1F59-425F-BB7D-168C1DD5416D}">
  <sheetPr>
    <tabColor theme="3" tint="0.59999389629810485"/>
    <pageSetUpPr fitToPage="1"/>
  </sheetPr>
  <dimension ref="A3:AF93"/>
  <sheetViews>
    <sheetView zoomScaleNormal="100" workbookViewId="0"/>
  </sheetViews>
  <sheetFormatPr defaultRowHeight="12.5" x14ac:dyDescent="0.25"/>
  <cols>
    <col min="1" max="1" width="4" customWidth="1"/>
    <col min="2" max="2" width="4.453125" bestFit="1" customWidth="1"/>
    <col min="3" max="4" width="9.7265625" customWidth="1"/>
    <col min="5" max="7" width="14.7265625" customWidth="1"/>
    <col min="8" max="8" width="1.7265625" customWidth="1"/>
    <col min="9" max="11" width="14.7265625" customWidth="1"/>
    <col min="12" max="12" width="1.7265625" customWidth="1"/>
    <col min="13" max="14" width="11.7265625" customWidth="1"/>
    <col min="15" max="15" width="10.81640625" bestFit="1" customWidth="1"/>
    <col min="16" max="16" width="11.54296875" bestFit="1" customWidth="1"/>
    <col min="17" max="17" width="9.81640625" bestFit="1" customWidth="1"/>
    <col min="18" max="18" width="10.1796875" bestFit="1" customWidth="1"/>
    <col min="19" max="19" width="9.81640625" bestFit="1" customWidth="1"/>
    <col min="20" max="20" width="9.7265625" bestFit="1" customWidth="1"/>
    <col min="21" max="21" width="10.453125" bestFit="1" customWidth="1"/>
    <col min="22" max="22" width="10.1796875" bestFit="1" customWidth="1"/>
    <col min="23" max="23" width="8.453125" bestFit="1" customWidth="1"/>
    <col min="24" max="24" width="10.81640625" bestFit="1" customWidth="1"/>
    <col min="25" max="25" width="11.54296875" bestFit="1" customWidth="1"/>
    <col min="26" max="26" width="9.81640625" bestFit="1" customWidth="1"/>
    <col min="27" max="27" width="10.1796875" bestFit="1" customWidth="1"/>
    <col min="28" max="28" width="9.81640625" bestFit="1" customWidth="1"/>
    <col min="29" max="29" width="9.7265625" bestFit="1" customWidth="1"/>
    <col min="30" max="30" width="10.453125" bestFit="1" customWidth="1"/>
    <col min="31" max="31" width="10.1796875" bestFit="1" customWidth="1"/>
    <col min="32" max="32" width="8.453125" bestFit="1" customWidth="1"/>
  </cols>
  <sheetData>
    <row r="3" spans="1:32" ht="14" x14ac:dyDescent="0.3">
      <c r="A3" s="365"/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</row>
    <row r="4" spans="1:32" ht="14" x14ac:dyDescent="0.3">
      <c r="A4" s="762" t="str">
        <f>'Bill_Bos G1 nonDem'!A4:M4</f>
        <v>Eastern Massachusetts</v>
      </c>
      <c r="B4" s="762"/>
      <c r="C4" s="762"/>
      <c r="D4" s="762"/>
      <c r="E4" s="762"/>
      <c r="F4" s="762"/>
      <c r="G4" s="762"/>
      <c r="H4" s="762"/>
      <c r="I4" s="762"/>
      <c r="J4" s="762"/>
      <c r="K4" s="762"/>
      <c r="L4" s="762"/>
      <c r="M4" s="762"/>
      <c r="N4" s="762"/>
    </row>
    <row r="5" spans="1:32" ht="14" x14ac:dyDescent="0.3">
      <c r="A5" s="762" t="str">
        <f>+'Bill_Bos G1 nonDem'!A5</f>
        <v>Calculation of Monthly Typical Bill</v>
      </c>
      <c r="B5" s="762"/>
      <c r="C5" s="762"/>
      <c r="D5" s="762"/>
      <c r="E5" s="762"/>
      <c r="F5" s="762"/>
      <c r="G5" s="762"/>
      <c r="H5" s="762"/>
      <c r="I5" s="762"/>
      <c r="J5" s="762"/>
      <c r="K5" s="762"/>
      <c r="L5" s="762"/>
      <c r="M5" s="762"/>
      <c r="N5" s="762"/>
    </row>
    <row r="6" spans="1:32" ht="14" x14ac:dyDescent="0.3">
      <c r="A6" s="762" t="str">
        <f>+'Bill_Bos G1 nonDem'!A6</f>
        <v>Proposed January 1, 2019</v>
      </c>
      <c r="B6" s="762"/>
      <c r="C6" s="762"/>
      <c r="D6" s="762"/>
      <c r="E6" s="762"/>
      <c r="F6" s="762"/>
      <c r="G6" s="762"/>
      <c r="H6" s="762"/>
      <c r="I6" s="762"/>
      <c r="J6" s="762"/>
      <c r="K6" s="762"/>
      <c r="L6" s="762"/>
      <c r="M6" s="762"/>
      <c r="N6" s="762"/>
    </row>
    <row r="7" spans="1:32" ht="14" x14ac:dyDescent="0.3">
      <c r="A7" s="365"/>
      <c r="B7" s="365"/>
      <c r="C7" s="365"/>
      <c r="D7" s="365"/>
      <c r="E7" s="365"/>
      <c r="F7" s="365"/>
      <c r="G7" s="365"/>
      <c r="H7" s="365"/>
      <c r="I7" s="365"/>
      <c r="J7" s="365"/>
      <c r="K7" s="365"/>
      <c r="L7" s="365"/>
      <c r="M7" s="365"/>
      <c r="N7" s="365"/>
    </row>
    <row r="8" spans="1:32" ht="14" x14ac:dyDescent="0.3">
      <c r="A8" s="762" t="str">
        <f>+'Bill_Bos G1 nonDem'!A8</f>
        <v>Greater Boston Service Area</v>
      </c>
      <c r="B8" s="762"/>
      <c r="C8" s="762"/>
      <c r="D8" s="762"/>
      <c r="E8" s="762"/>
      <c r="F8" s="762"/>
      <c r="G8" s="762"/>
      <c r="H8" s="762"/>
      <c r="I8" s="762"/>
      <c r="J8" s="762"/>
      <c r="K8" s="762"/>
      <c r="L8" s="762"/>
      <c r="M8" s="762"/>
      <c r="N8" s="762"/>
    </row>
    <row r="9" spans="1:32" ht="14" x14ac:dyDescent="0.3">
      <c r="A9" s="762" t="s">
        <v>354</v>
      </c>
      <c r="B9" s="762"/>
      <c r="C9" s="762"/>
      <c r="D9" s="762"/>
      <c r="E9" s="762"/>
      <c r="F9" s="762"/>
      <c r="G9" s="762"/>
      <c r="H9" s="762"/>
      <c r="I9" s="762"/>
      <c r="J9" s="762"/>
      <c r="K9" s="762"/>
      <c r="L9" s="762"/>
      <c r="M9" s="762"/>
      <c r="N9" s="762"/>
    </row>
    <row r="10" spans="1:32" ht="14" x14ac:dyDescent="0.3">
      <c r="A10" s="366"/>
      <c r="B10" s="366"/>
      <c r="D10" s="293"/>
      <c r="E10" s="293"/>
      <c r="F10" s="293"/>
      <c r="G10" s="367"/>
      <c r="H10" s="367"/>
    </row>
    <row r="11" spans="1:32" ht="14" x14ac:dyDescent="0.3">
      <c r="A11" s="366"/>
      <c r="B11" s="366"/>
      <c r="C11" s="293"/>
      <c r="D11" s="293"/>
      <c r="E11" s="293"/>
      <c r="F11" s="293"/>
      <c r="G11" s="368"/>
      <c r="H11" s="368"/>
    </row>
    <row r="12" spans="1:32" ht="14" x14ac:dyDescent="0.3">
      <c r="A12" s="151">
        <f>IF(C12&lt;&gt;"",COUNTA($C$12:C12),"")</f>
        <v>1</v>
      </c>
      <c r="B12" s="151"/>
      <c r="C12" s="405" t="s">
        <v>568</v>
      </c>
      <c r="D12" s="293"/>
      <c r="E12" s="293"/>
      <c r="F12" s="293"/>
      <c r="G12" s="368"/>
      <c r="H12" s="368"/>
    </row>
    <row r="13" spans="1:32" ht="14" x14ac:dyDescent="0.3">
      <c r="A13" s="151">
        <f>IF(C13&lt;&gt;"",COUNTA($C$12:C13),"")</f>
        <v>2</v>
      </c>
      <c r="B13" s="151"/>
      <c r="C13" s="406" t="str">
        <f>+'Bill_Bos G1 nonDem'!C12</f>
        <v>Monthly</v>
      </c>
      <c r="D13" s="366" t="str">
        <f>+C13</f>
        <v>Monthly</v>
      </c>
      <c r="E13" s="760" t="str">
        <f>+'Bill_Bos G1 nonDem'!D12</f>
        <v>Current Monthly Bill (Winter)</v>
      </c>
      <c r="F13" s="760"/>
      <c r="G13" s="760"/>
      <c r="H13" s="407"/>
      <c r="I13" s="760" t="str">
        <f>+'Bill_Bos G1 nonDem'!H12</f>
        <v>Proposed Monthly Bill (Winter)</v>
      </c>
      <c r="J13" s="760"/>
      <c r="K13" s="760"/>
      <c r="M13" s="760" t="s">
        <v>550</v>
      </c>
      <c r="N13" s="760"/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  <c r="AA13" s="369"/>
      <c r="AB13" s="369"/>
      <c r="AC13" s="369"/>
      <c r="AD13" s="369"/>
      <c r="AE13" s="369"/>
      <c r="AF13" s="369"/>
    </row>
    <row r="14" spans="1:32" ht="14" x14ac:dyDescent="0.3">
      <c r="A14" s="151">
        <f>IF(C14&lt;&gt;"",COUNTA($C$12:C14),"")</f>
        <v>3</v>
      </c>
      <c r="B14" s="151"/>
      <c r="C14" s="408" t="s">
        <v>534</v>
      </c>
      <c r="D14" s="370" t="s">
        <v>551</v>
      </c>
      <c r="E14" s="370" t="s">
        <v>552</v>
      </c>
      <c r="F14" s="370" t="s">
        <v>553</v>
      </c>
      <c r="G14" s="370" t="s">
        <v>47</v>
      </c>
      <c r="H14" s="370"/>
      <c r="I14" s="370" t="s">
        <v>552</v>
      </c>
      <c r="J14" s="370" t="s">
        <v>553</v>
      </c>
      <c r="K14" s="370" t="s">
        <v>47</v>
      </c>
      <c r="M14" s="370" t="s">
        <v>65</v>
      </c>
      <c r="N14" s="370" t="s">
        <v>325</v>
      </c>
      <c r="O14" s="369"/>
      <c r="Q14" s="369"/>
      <c r="R14" s="369"/>
      <c r="S14" s="369"/>
      <c r="U14" s="369"/>
      <c r="V14" s="369"/>
      <c r="W14" s="369"/>
      <c r="X14" s="369"/>
      <c r="Y14" s="369"/>
      <c r="Z14" s="369"/>
      <c r="AA14" s="369"/>
      <c r="AB14" s="369"/>
      <c r="AC14" s="369"/>
      <c r="AD14" s="369"/>
      <c r="AE14" s="369"/>
      <c r="AF14" s="369"/>
    </row>
    <row r="15" spans="1:32" ht="14" x14ac:dyDescent="0.3">
      <c r="A15" s="151">
        <f>IF(C15&lt;&gt;"",COUNTA($C$12:C15),"")</f>
        <v>4</v>
      </c>
      <c r="B15" s="151"/>
      <c r="C15" s="371">
        <v>1</v>
      </c>
      <c r="D15" s="409">
        <f>+C15*100</f>
        <v>100</v>
      </c>
      <c r="E15" s="372">
        <f t="shared" ref="E15:E25" si="0">ROUND($G$44+IF($C15&lt;=10,0,($C15-10)*SUM($G$46,$G$47)),2)+ROUND(IF($D15&gt;(2000+150*$C15),($D15-(2000+150*$C15))*($G$53+$G$74)+150*$C15*($G$52+$G$73)+2000*($G$51+$G$72),IF($D15&gt;2000,($D15-2000)*($G$52+$G$73)+2000*($G$51+$G$72),$D15*($G$51+$G$72))),2)+ROUND($D15*SUM($G$57:$G$71,$G$75:$G$77),2)</f>
        <v>19.990000000000002</v>
      </c>
      <c r="F15" s="372">
        <f>ROUND($G$78*D15,2)</f>
        <v>11.4</v>
      </c>
      <c r="G15" s="372">
        <f t="shared" ref="G15:G25" si="1">SUM(E15:F15)</f>
        <v>31.39</v>
      </c>
      <c r="H15" s="372"/>
      <c r="I15" s="372">
        <f t="shared" ref="I15:I25" si="2">ROUND($I$44+IF($C15&lt;=10,0,($C15-10)*SUM($I$46,$I$47)),2)+ROUND(IF($D15&gt;(2000+150*$C15),($D15-(2000+150*$C15))*($I$53+$I$74)+150*$C15*($I$52+$I$73)+2000*($I$51+$I$72),IF($D15&gt;2000,($D15-2000)*($I$52+$I$73)+2000*($I$51+$I$72),$D15*($I$51+$I$72))),2)+ROUND($D15*SUM($I$57:$I$71,$I$75:$I$77),2)</f>
        <v>20.130000000000003</v>
      </c>
      <c r="J15" s="372">
        <f t="shared" ref="J15:J25" si="3">ROUND($I$78*D15,2)</f>
        <v>13.19</v>
      </c>
      <c r="K15" s="372">
        <f t="shared" ref="K15:K25" si="4">SUM(I15:J15)</f>
        <v>33.32</v>
      </c>
      <c r="L15" s="374"/>
      <c r="M15" s="375">
        <f t="shared" ref="M15:M25" si="5">+K15-G15</f>
        <v>1.9299999999999997</v>
      </c>
      <c r="N15" s="376">
        <f t="shared" ref="N15:N25" si="6">+M15/G15</f>
        <v>6.1484549219496643E-2</v>
      </c>
      <c r="O15" s="377"/>
      <c r="P15" s="322"/>
      <c r="Q15" s="322"/>
      <c r="R15" s="322"/>
      <c r="S15" s="322"/>
      <c r="T15" s="322"/>
      <c r="U15" s="322"/>
      <c r="V15" s="377"/>
      <c r="W15" s="378"/>
      <c r="X15" s="377"/>
      <c r="Y15" s="322"/>
      <c r="Z15" s="322"/>
      <c r="AA15" s="322"/>
      <c r="AB15" s="322"/>
      <c r="AC15" s="322"/>
      <c r="AD15" s="322"/>
      <c r="AE15" s="377"/>
      <c r="AF15" s="378">
        <f t="shared" ref="AF15:AF25" si="7">AE15-K15</f>
        <v>-33.32</v>
      </c>
    </row>
    <row r="16" spans="1:32" ht="14" x14ac:dyDescent="0.3">
      <c r="A16" s="151">
        <f>IF(C16&lt;&gt;"",COUNTA($C$12:C16),"")</f>
        <v>5</v>
      </c>
      <c r="B16" s="151"/>
      <c r="C16" s="371">
        <v>2</v>
      </c>
      <c r="D16" s="409">
        <f t="shared" ref="D16:D25" si="8">+C16*100</f>
        <v>200</v>
      </c>
      <c r="E16" s="372">
        <f t="shared" si="0"/>
        <v>28.970000000000002</v>
      </c>
      <c r="F16" s="372">
        <f t="shared" ref="F16:F25" si="9">ROUND(G$78*D16,2)</f>
        <v>22.81</v>
      </c>
      <c r="G16" s="372">
        <f t="shared" si="1"/>
        <v>51.78</v>
      </c>
      <c r="H16" s="372"/>
      <c r="I16" s="372">
        <f t="shared" si="2"/>
        <v>29.250000000000004</v>
      </c>
      <c r="J16" s="372">
        <f t="shared" si="3"/>
        <v>26.37</v>
      </c>
      <c r="K16" s="372">
        <f t="shared" si="4"/>
        <v>55.620000000000005</v>
      </c>
      <c r="L16" s="374"/>
      <c r="M16" s="375">
        <f t="shared" si="5"/>
        <v>3.8400000000000034</v>
      </c>
      <c r="N16" s="376">
        <f t="shared" si="6"/>
        <v>7.4159907300115943E-2</v>
      </c>
      <c r="O16" s="377"/>
      <c r="P16" s="322"/>
      <c r="Q16" s="322"/>
      <c r="R16" s="322"/>
      <c r="S16" s="322"/>
      <c r="T16" s="322"/>
      <c r="U16" s="322"/>
      <c r="V16" s="377"/>
      <c r="W16" s="378"/>
      <c r="X16" s="377"/>
      <c r="Y16" s="322"/>
      <c r="Z16" s="322"/>
      <c r="AA16" s="322"/>
      <c r="AB16" s="322"/>
      <c r="AC16" s="322"/>
      <c r="AD16" s="322"/>
      <c r="AE16" s="377"/>
      <c r="AF16" s="378">
        <f t="shared" si="7"/>
        <v>-55.620000000000005</v>
      </c>
    </row>
    <row r="17" spans="1:32" ht="14" x14ac:dyDescent="0.3">
      <c r="A17" s="151">
        <f>IF(C17&lt;&gt;"",COUNTA($C$12:C17),"")</f>
        <v>6</v>
      </c>
      <c r="B17" s="151"/>
      <c r="C17" s="371">
        <v>3</v>
      </c>
      <c r="D17" s="409">
        <f t="shared" si="8"/>
        <v>300</v>
      </c>
      <c r="E17" s="372">
        <f t="shared" si="0"/>
        <v>37.97</v>
      </c>
      <c r="F17" s="372">
        <f t="shared" si="9"/>
        <v>34.21</v>
      </c>
      <c r="G17" s="372">
        <f t="shared" si="1"/>
        <v>72.180000000000007</v>
      </c>
      <c r="H17" s="372"/>
      <c r="I17" s="372">
        <f t="shared" si="2"/>
        <v>38.369999999999997</v>
      </c>
      <c r="J17" s="372">
        <f t="shared" si="3"/>
        <v>39.56</v>
      </c>
      <c r="K17" s="372">
        <f t="shared" si="4"/>
        <v>77.930000000000007</v>
      </c>
      <c r="L17" s="374"/>
      <c r="M17" s="375">
        <f t="shared" si="5"/>
        <v>5.75</v>
      </c>
      <c r="N17" s="376">
        <f t="shared" si="6"/>
        <v>7.9661956220559701E-2</v>
      </c>
      <c r="O17" s="377"/>
      <c r="P17" s="322"/>
      <c r="Q17" s="322"/>
      <c r="R17" s="322"/>
      <c r="S17" s="322"/>
      <c r="T17" s="322"/>
      <c r="U17" s="322"/>
      <c r="V17" s="377"/>
      <c r="W17" s="378"/>
      <c r="X17" s="377"/>
      <c r="Y17" s="322"/>
      <c r="Z17" s="322"/>
      <c r="AA17" s="322"/>
      <c r="AB17" s="322"/>
      <c r="AC17" s="322"/>
      <c r="AD17" s="322"/>
      <c r="AE17" s="377"/>
      <c r="AF17" s="378">
        <f t="shared" si="7"/>
        <v>-77.930000000000007</v>
      </c>
    </row>
    <row r="18" spans="1:32" ht="14" x14ac:dyDescent="0.3">
      <c r="A18" s="151">
        <f>IF(C18&lt;&gt;"",COUNTA($C$12:C18),"")</f>
        <v>7</v>
      </c>
      <c r="B18" s="151"/>
      <c r="C18" s="379">
        <v>4</v>
      </c>
      <c r="D18" s="409">
        <f t="shared" si="8"/>
        <v>400</v>
      </c>
      <c r="E18" s="372">
        <f t="shared" si="0"/>
        <v>46.959999999999994</v>
      </c>
      <c r="F18" s="380">
        <f t="shared" si="9"/>
        <v>45.61</v>
      </c>
      <c r="G18" s="380">
        <f t="shared" si="1"/>
        <v>92.57</v>
      </c>
      <c r="H18" s="380"/>
      <c r="I18" s="372">
        <f t="shared" si="2"/>
        <v>47.49</v>
      </c>
      <c r="J18" s="380">
        <f t="shared" si="3"/>
        <v>52.74</v>
      </c>
      <c r="K18" s="380">
        <f t="shared" si="4"/>
        <v>100.23</v>
      </c>
      <c r="L18" s="382"/>
      <c r="M18" s="383">
        <f t="shared" si="5"/>
        <v>7.6600000000000108</v>
      </c>
      <c r="N18" s="384">
        <f t="shared" si="6"/>
        <v>8.2748190558496401E-2</v>
      </c>
      <c r="O18" s="377"/>
      <c r="P18" s="322"/>
      <c r="Q18" s="322"/>
      <c r="R18" s="322"/>
      <c r="S18" s="322"/>
      <c r="T18" s="322"/>
      <c r="U18" s="322"/>
      <c r="V18" s="377"/>
      <c r="W18" s="378"/>
      <c r="X18" s="377"/>
      <c r="Y18" s="322"/>
      <c r="Z18" s="322"/>
      <c r="AA18" s="322"/>
      <c r="AB18" s="322"/>
      <c r="AC18" s="322"/>
      <c r="AD18" s="322"/>
      <c r="AE18" s="377"/>
      <c r="AF18" s="378">
        <f t="shared" si="7"/>
        <v>-100.23</v>
      </c>
    </row>
    <row r="19" spans="1:32" ht="14" x14ac:dyDescent="0.3">
      <c r="A19" s="151">
        <f>IF(C19&lt;&gt;"",COUNTA($C$12:C19),"")</f>
        <v>8</v>
      </c>
      <c r="B19" s="151"/>
      <c r="C19" s="379">
        <v>5</v>
      </c>
      <c r="D19" s="409">
        <f t="shared" si="8"/>
        <v>500</v>
      </c>
      <c r="E19" s="372">
        <f t="shared" si="0"/>
        <v>55.949999999999996</v>
      </c>
      <c r="F19" s="380">
        <f t="shared" si="9"/>
        <v>57.02</v>
      </c>
      <c r="G19" s="380">
        <f t="shared" si="1"/>
        <v>112.97</v>
      </c>
      <c r="H19" s="380"/>
      <c r="I19" s="372">
        <f t="shared" si="2"/>
        <v>56.62</v>
      </c>
      <c r="J19" s="380">
        <f t="shared" si="3"/>
        <v>65.930000000000007</v>
      </c>
      <c r="K19" s="380">
        <f t="shared" si="4"/>
        <v>122.55000000000001</v>
      </c>
      <c r="L19" s="382"/>
      <c r="M19" s="383">
        <f t="shared" si="5"/>
        <v>9.5800000000000125</v>
      </c>
      <c r="N19" s="384">
        <f t="shared" si="6"/>
        <v>8.4801274674692506E-2</v>
      </c>
      <c r="O19" s="377"/>
      <c r="P19" s="322"/>
      <c r="Q19" s="322"/>
      <c r="R19" s="322"/>
      <c r="S19" s="322"/>
      <c r="T19" s="322"/>
      <c r="U19" s="322"/>
      <c r="V19" s="377"/>
      <c r="W19" s="378"/>
      <c r="X19" s="377"/>
      <c r="Y19" s="322"/>
      <c r="Z19" s="322"/>
      <c r="AA19" s="322"/>
      <c r="AB19" s="322"/>
      <c r="AC19" s="322"/>
      <c r="AD19" s="322"/>
      <c r="AE19" s="377"/>
      <c r="AF19" s="378">
        <f t="shared" si="7"/>
        <v>-122.55000000000001</v>
      </c>
    </row>
    <row r="20" spans="1:32" ht="14" x14ac:dyDescent="0.3">
      <c r="A20" s="151">
        <f>IF(C20&lt;&gt;"",COUNTA($C$12:C20),"")</f>
        <v>9</v>
      </c>
      <c r="B20" s="151"/>
      <c r="C20" s="379">
        <v>6</v>
      </c>
      <c r="D20" s="409">
        <f t="shared" si="8"/>
        <v>600</v>
      </c>
      <c r="E20" s="372">
        <f t="shared" si="0"/>
        <v>64.929999999999993</v>
      </c>
      <c r="F20" s="380">
        <f t="shared" si="9"/>
        <v>68.42</v>
      </c>
      <c r="G20" s="380">
        <f t="shared" si="1"/>
        <v>133.35</v>
      </c>
      <c r="H20" s="380"/>
      <c r="I20" s="372">
        <f t="shared" si="2"/>
        <v>65.75</v>
      </c>
      <c r="J20" s="380">
        <f t="shared" si="3"/>
        <v>79.11</v>
      </c>
      <c r="K20" s="380">
        <f t="shared" si="4"/>
        <v>144.86000000000001</v>
      </c>
      <c r="L20" s="382"/>
      <c r="M20" s="383">
        <f t="shared" si="5"/>
        <v>11.510000000000019</v>
      </c>
      <c r="N20" s="384">
        <f t="shared" si="6"/>
        <v>8.631421072365969E-2</v>
      </c>
      <c r="O20" s="377"/>
      <c r="P20" s="322"/>
      <c r="Q20" s="322"/>
      <c r="R20" s="322"/>
      <c r="S20" s="322"/>
      <c r="T20" s="322"/>
      <c r="U20" s="322"/>
      <c r="V20" s="377"/>
      <c r="W20" s="378"/>
      <c r="X20" s="377"/>
      <c r="Y20" s="322"/>
      <c r="Z20" s="322"/>
      <c r="AA20" s="322"/>
      <c r="AB20" s="322"/>
      <c r="AC20" s="322"/>
      <c r="AD20" s="322"/>
      <c r="AE20" s="377"/>
      <c r="AF20" s="378">
        <f t="shared" si="7"/>
        <v>-144.86000000000001</v>
      </c>
    </row>
    <row r="21" spans="1:32" ht="14" x14ac:dyDescent="0.3">
      <c r="A21" s="151">
        <f>IF(C21&lt;&gt;"",COUNTA($C$12:C21),"")</f>
        <v>10</v>
      </c>
      <c r="B21" s="151"/>
      <c r="C21" s="379">
        <v>7</v>
      </c>
      <c r="D21" s="409">
        <f t="shared" si="8"/>
        <v>700</v>
      </c>
      <c r="E21" s="372">
        <f t="shared" si="0"/>
        <v>73.92</v>
      </c>
      <c r="F21" s="380">
        <f t="shared" si="9"/>
        <v>79.819999999999993</v>
      </c>
      <c r="G21" s="380">
        <f t="shared" si="1"/>
        <v>153.74</v>
      </c>
      <c r="H21" s="380"/>
      <c r="I21" s="372">
        <f t="shared" si="2"/>
        <v>74.86</v>
      </c>
      <c r="J21" s="380">
        <f t="shared" si="3"/>
        <v>92.3</v>
      </c>
      <c r="K21" s="380">
        <f t="shared" si="4"/>
        <v>167.16</v>
      </c>
      <c r="L21" s="382"/>
      <c r="M21" s="383">
        <f t="shared" si="5"/>
        <v>13.419999999999987</v>
      </c>
      <c r="N21" s="384">
        <f t="shared" si="6"/>
        <v>8.729023025887854E-2</v>
      </c>
      <c r="O21" s="377"/>
      <c r="P21" s="322"/>
      <c r="Q21" s="322"/>
      <c r="R21" s="322"/>
      <c r="S21" s="322"/>
      <c r="T21" s="322"/>
      <c r="U21" s="322"/>
      <c r="V21" s="377"/>
      <c r="W21" s="378"/>
      <c r="X21" s="377"/>
      <c r="Y21" s="322"/>
      <c r="Z21" s="322"/>
      <c r="AA21" s="322"/>
      <c r="AB21" s="322"/>
      <c r="AC21" s="322"/>
      <c r="AD21" s="322"/>
      <c r="AE21" s="377"/>
      <c r="AF21" s="378">
        <f t="shared" si="7"/>
        <v>-167.16</v>
      </c>
    </row>
    <row r="22" spans="1:32" ht="14" x14ac:dyDescent="0.3">
      <c r="A22" s="151">
        <f>IF(C22&lt;&gt;"",COUNTA($C$12:C22),"")</f>
        <v>11</v>
      </c>
      <c r="B22" s="151"/>
      <c r="C22" s="379">
        <v>8</v>
      </c>
      <c r="D22" s="409">
        <f t="shared" si="8"/>
        <v>800</v>
      </c>
      <c r="E22" s="372">
        <f t="shared" si="0"/>
        <v>82.92</v>
      </c>
      <c r="F22" s="380">
        <f t="shared" si="9"/>
        <v>91.22</v>
      </c>
      <c r="G22" s="380">
        <f t="shared" si="1"/>
        <v>174.14</v>
      </c>
      <c r="H22" s="380"/>
      <c r="I22" s="372">
        <f t="shared" si="2"/>
        <v>83.99</v>
      </c>
      <c r="J22" s="380">
        <f t="shared" si="3"/>
        <v>105.48</v>
      </c>
      <c r="K22" s="380">
        <f t="shared" si="4"/>
        <v>189.47</v>
      </c>
      <c r="L22" s="382"/>
      <c r="M22" s="383">
        <f t="shared" si="5"/>
        <v>15.330000000000013</v>
      </c>
      <c r="N22" s="384">
        <f t="shared" si="6"/>
        <v>8.8032617434248381E-2</v>
      </c>
      <c r="O22" s="377"/>
      <c r="P22" s="322"/>
      <c r="Q22" s="322"/>
      <c r="R22" s="322"/>
      <c r="S22" s="322"/>
      <c r="T22" s="322"/>
      <c r="U22" s="322"/>
      <c r="V22" s="377"/>
      <c r="W22" s="378"/>
      <c r="X22" s="377"/>
      <c r="Y22" s="322"/>
      <c r="Z22" s="322"/>
      <c r="AA22" s="322"/>
      <c r="AB22" s="322"/>
      <c r="AC22" s="322"/>
      <c r="AD22" s="322"/>
      <c r="AE22" s="377"/>
      <c r="AF22" s="378">
        <f t="shared" si="7"/>
        <v>-189.47</v>
      </c>
    </row>
    <row r="23" spans="1:32" ht="14" x14ac:dyDescent="0.3">
      <c r="A23" s="151">
        <f>IF(C23&lt;&gt;"",COUNTA($C$12:C23),"")</f>
        <v>12</v>
      </c>
      <c r="B23" s="151"/>
      <c r="C23" s="389">
        <v>10</v>
      </c>
      <c r="D23" s="409">
        <f t="shared" si="8"/>
        <v>1000</v>
      </c>
      <c r="E23" s="372">
        <f t="shared" si="0"/>
        <v>100.89</v>
      </c>
      <c r="F23" s="380">
        <f t="shared" si="9"/>
        <v>114.03</v>
      </c>
      <c r="G23" s="380">
        <f t="shared" si="1"/>
        <v>214.92000000000002</v>
      </c>
      <c r="H23" s="380"/>
      <c r="I23" s="372">
        <f t="shared" si="2"/>
        <v>102.24</v>
      </c>
      <c r="J23" s="380">
        <f t="shared" si="3"/>
        <v>131.85</v>
      </c>
      <c r="K23" s="380">
        <f t="shared" si="4"/>
        <v>234.08999999999997</v>
      </c>
      <c r="L23" s="382"/>
      <c r="M23" s="383">
        <f t="shared" si="5"/>
        <v>19.169999999999959</v>
      </c>
      <c r="N23" s="384">
        <f t="shared" si="6"/>
        <v>8.9195979899497291E-2</v>
      </c>
      <c r="O23" s="377"/>
      <c r="P23" s="322"/>
      <c r="Q23" s="322"/>
      <c r="R23" s="322"/>
      <c r="S23" s="322"/>
      <c r="T23" s="322"/>
      <c r="U23" s="322"/>
      <c r="V23" s="377"/>
      <c r="W23" s="378"/>
      <c r="X23" s="377"/>
      <c r="Y23" s="322"/>
      <c r="Z23" s="322"/>
      <c r="AA23" s="322"/>
      <c r="AB23" s="322"/>
      <c r="AC23" s="322"/>
      <c r="AD23" s="322"/>
      <c r="AE23" s="377"/>
      <c r="AF23" s="378">
        <f t="shared" si="7"/>
        <v>-234.08999999999997</v>
      </c>
    </row>
    <row r="24" spans="1:32" ht="14" x14ac:dyDescent="0.3">
      <c r="A24" s="151">
        <f>IF(C24&lt;&gt;"",COUNTA($C$12:C24),"")</f>
        <v>13</v>
      </c>
      <c r="B24" s="151"/>
      <c r="C24" s="389">
        <v>12</v>
      </c>
      <c r="D24" s="409">
        <f t="shared" si="8"/>
        <v>1200</v>
      </c>
      <c r="E24" s="372">
        <f t="shared" si="0"/>
        <v>155.78</v>
      </c>
      <c r="F24" s="380">
        <f t="shared" si="9"/>
        <v>136.84</v>
      </c>
      <c r="G24" s="380">
        <f t="shared" si="1"/>
        <v>292.62</v>
      </c>
      <c r="H24" s="380"/>
      <c r="I24" s="372">
        <f t="shared" si="2"/>
        <v>152.94</v>
      </c>
      <c r="J24" s="380">
        <f t="shared" si="3"/>
        <v>158.22</v>
      </c>
      <c r="K24" s="380">
        <f t="shared" si="4"/>
        <v>311.15999999999997</v>
      </c>
      <c r="L24" s="382"/>
      <c r="M24" s="383">
        <f t="shared" si="5"/>
        <v>18.539999999999964</v>
      </c>
      <c r="N24" s="384">
        <f t="shared" si="6"/>
        <v>6.3358622103752177E-2</v>
      </c>
      <c r="O24" s="377"/>
      <c r="P24" s="322"/>
      <c r="Q24" s="322"/>
      <c r="R24" s="322"/>
      <c r="S24" s="322"/>
      <c r="T24" s="322"/>
      <c r="U24" s="322"/>
      <c r="V24" s="377"/>
      <c r="W24" s="378"/>
      <c r="X24" s="377"/>
      <c r="Y24" s="322"/>
      <c r="Z24" s="322"/>
      <c r="AA24" s="322"/>
      <c r="AB24" s="322"/>
      <c r="AC24" s="322"/>
      <c r="AD24" s="322"/>
      <c r="AE24" s="377"/>
      <c r="AF24" s="378">
        <f t="shared" si="7"/>
        <v>-311.15999999999997</v>
      </c>
    </row>
    <row r="25" spans="1:32" ht="14" x14ac:dyDescent="0.3">
      <c r="A25" s="151">
        <f>IF(C25&lt;&gt;"",COUNTA($C$12:C25),"")</f>
        <v>14</v>
      </c>
      <c r="B25" s="151" t="s">
        <v>554</v>
      </c>
      <c r="C25" s="389">
        <v>3</v>
      </c>
      <c r="D25" s="409">
        <f t="shared" si="8"/>
        <v>300</v>
      </c>
      <c r="E25" s="372">
        <f t="shared" si="0"/>
        <v>37.97</v>
      </c>
      <c r="F25" s="380">
        <f t="shared" si="9"/>
        <v>34.21</v>
      </c>
      <c r="G25" s="380">
        <f t="shared" si="1"/>
        <v>72.180000000000007</v>
      </c>
      <c r="H25" s="380"/>
      <c r="I25" s="372">
        <f t="shared" si="2"/>
        <v>38.369999999999997</v>
      </c>
      <c r="J25" s="380">
        <f t="shared" si="3"/>
        <v>39.56</v>
      </c>
      <c r="K25" s="380">
        <f t="shared" si="4"/>
        <v>77.930000000000007</v>
      </c>
      <c r="L25" s="382"/>
      <c r="M25" s="383">
        <f t="shared" si="5"/>
        <v>5.75</v>
      </c>
      <c r="N25" s="384">
        <f t="shared" si="6"/>
        <v>7.9661956220559701E-2</v>
      </c>
      <c r="O25" s="377"/>
      <c r="P25" s="322"/>
      <c r="Q25" s="322"/>
      <c r="R25" s="322"/>
      <c r="S25" s="322"/>
      <c r="T25" s="322"/>
      <c r="U25" s="322"/>
      <c r="V25" s="377"/>
      <c r="W25" s="378"/>
      <c r="X25" s="377"/>
      <c r="Y25" s="322"/>
      <c r="Z25" s="322"/>
      <c r="AA25" s="322"/>
      <c r="AB25" s="322"/>
      <c r="AC25" s="322"/>
      <c r="AD25" s="322"/>
      <c r="AE25" s="377"/>
      <c r="AF25" s="378">
        <f t="shared" si="7"/>
        <v>-77.930000000000007</v>
      </c>
    </row>
    <row r="26" spans="1:32" ht="14" x14ac:dyDescent="0.3">
      <c r="A26" s="151" t="str">
        <f>IF(C26&lt;&gt;"",COUNTA($C$12:C26),"")</f>
        <v/>
      </c>
      <c r="B26" s="151"/>
      <c r="C26" s="410"/>
      <c r="D26" s="411"/>
      <c r="E26" s="412"/>
      <c r="F26" s="412"/>
      <c r="G26" s="412"/>
      <c r="H26" s="412"/>
      <c r="I26" s="412"/>
      <c r="J26" s="412"/>
      <c r="K26" s="412"/>
      <c r="L26" s="413"/>
      <c r="M26" s="413"/>
      <c r="N26" s="414"/>
      <c r="O26" s="415"/>
      <c r="P26" s="415"/>
      <c r="Q26" s="416"/>
      <c r="R26" s="369"/>
      <c r="S26" s="369"/>
      <c r="U26" s="369"/>
      <c r="V26" s="369"/>
      <c r="W26" s="378"/>
      <c r="X26" s="415"/>
      <c r="Y26" s="415"/>
      <c r="Z26" s="416"/>
      <c r="AA26" s="369"/>
      <c r="AB26" s="369"/>
      <c r="AC26" s="322"/>
      <c r="AD26" s="322"/>
      <c r="AE26" s="369"/>
      <c r="AF26" s="369"/>
    </row>
    <row r="27" spans="1:32" ht="14" x14ac:dyDescent="0.3">
      <c r="A27" s="151">
        <f>IF(C27&lt;&gt;"",COUNTA($C$12:C27),"")</f>
        <v>15</v>
      </c>
      <c r="B27" s="151"/>
      <c r="C27" s="417" t="str">
        <f>+C13</f>
        <v>Monthly</v>
      </c>
      <c r="D27" s="417" t="str">
        <f>+D13</f>
        <v>Monthly</v>
      </c>
      <c r="E27" s="760" t="str">
        <f>+'Bill_Bos G1 nonDem'!D26</f>
        <v>Current Monthly Bill (Summer)</v>
      </c>
      <c r="F27" s="760"/>
      <c r="G27" s="760"/>
      <c r="H27" s="418"/>
      <c r="I27" s="760" t="str">
        <f>+'Bill_Bos G1 nonDem'!H26</f>
        <v>Proposed Monthly Bill (Summer)</v>
      </c>
      <c r="J27" s="760"/>
      <c r="K27" s="760"/>
      <c r="L27" s="382"/>
      <c r="M27" s="760" t="s">
        <v>550</v>
      </c>
      <c r="N27" s="760"/>
      <c r="O27" s="378"/>
      <c r="Q27" s="369"/>
      <c r="R27" s="369"/>
      <c r="S27" s="369"/>
      <c r="U27" s="369"/>
      <c r="V27" s="369"/>
      <c r="W27" s="369"/>
      <c r="X27" s="378"/>
      <c r="Y27" s="369"/>
      <c r="Z27" s="369"/>
      <c r="AA27" s="369"/>
      <c r="AB27" s="369"/>
      <c r="AC27" s="322"/>
      <c r="AD27" s="322"/>
      <c r="AE27" s="369"/>
      <c r="AF27" s="369"/>
    </row>
    <row r="28" spans="1:32" ht="14" x14ac:dyDescent="0.3">
      <c r="A28" s="151">
        <f>IF(C28&lt;&gt;"",COUNTA($C$12:C28),"")</f>
        <v>16</v>
      </c>
      <c r="B28" s="151"/>
      <c r="C28" s="387" t="s">
        <v>534</v>
      </c>
      <c r="D28" s="387" t="s">
        <v>551</v>
      </c>
      <c r="E28" s="388" t="s">
        <v>552</v>
      </c>
      <c r="F28" s="388" t="s">
        <v>553</v>
      </c>
      <c r="G28" s="388" t="s">
        <v>47</v>
      </c>
      <c r="H28" s="388"/>
      <c r="I28" s="388" t="s">
        <v>552</v>
      </c>
      <c r="J28" s="388" t="s">
        <v>553</v>
      </c>
      <c r="K28" s="388" t="s">
        <v>47</v>
      </c>
      <c r="L28" s="382"/>
      <c r="M28" s="388" t="s">
        <v>65</v>
      </c>
      <c r="N28" s="387" t="s">
        <v>325</v>
      </c>
      <c r="O28" s="378"/>
      <c r="Q28" s="369"/>
      <c r="R28" s="369"/>
      <c r="S28" s="369"/>
      <c r="U28" s="369"/>
      <c r="V28" s="369"/>
      <c r="W28" s="369"/>
      <c r="X28" s="378"/>
      <c r="Y28" s="369"/>
      <c r="Z28" s="369"/>
      <c r="AA28" s="369"/>
      <c r="AB28" s="369"/>
      <c r="AC28" s="322"/>
      <c r="AD28" s="322"/>
      <c r="AE28" s="369"/>
      <c r="AF28" s="369"/>
    </row>
    <row r="29" spans="1:32" ht="14" x14ac:dyDescent="0.3">
      <c r="A29" s="151">
        <f>IF(C29&lt;&gt;"",COUNTA($C$12:C29),"")</f>
        <v>17</v>
      </c>
      <c r="B29" s="151"/>
      <c r="C29" s="389">
        <f t="shared" ref="C29:D39" si="10">+C15</f>
        <v>1</v>
      </c>
      <c r="D29" s="389">
        <f t="shared" si="10"/>
        <v>100</v>
      </c>
      <c r="E29" s="380">
        <f t="shared" ref="E29:E39" si="11">ROUND($G$44+IF($C29&lt;=10,0,($C29-10)*SUM($G$49,$G$50)),2)+ROUND(IF($D29&gt;(2000+150*$C29),($D29-(2000+150*$C29))*($G$56+$G$74)+150*$C29*($G$55+$G$73)+2000*($G$54+$G$72),IF($D29&gt;2000,($D29-2000)*($G$54+$G$73)+2000*($G$54+$G$72),$D29*($G$54+$G$72))),2)+ROUND($D29*SUM($G$57:$G$71,$G$75:$G$77),2)</f>
        <v>22.46</v>
      </c>
      <c r="F29" s="380">
        <f t="shared" ref="F29:F39" si="12">ROUND(G$78*D29,2)</f>
        <v>11.4</v>
      </c>
      <c r="G29" s="380">
        <f t="shared" ref="G29:G39" si="13">SUM(E29:F29)</f>
        <v>33.86</v>
      </c>
      <c r="H29" s="380"/>
      <c r="I29" s="380">
        <f t="shared" ref="I29:I39" si="14">ROUND($I$44+IF($C29&lt;=10,0,($C29-10)*SUM($I$49,$I$50)),2)+ROUND(IF($D29&gt;(2000+150*$C29),($D29-(2000+150*$C29))*($I$56+$I$74)+150*$C29*($I$55+$I$73)+2000*($I$54+$I$72),IF($D29&gt;2000,($D29-2000)*($I$54+$I$73)+2000*($I$54+$I$72),$D29*($I$54+$I$72))),2)+ROUND($D29*SUM($I$57:$I$71,$I$75:$I$77),2)</f>
        <v>22.7</v>
      </c>
      <c r="J29" s="380">
        <f t="shared" ref="J29:J39" si="15">ROUND($I$78*D29,2)</f>
        <v>13.19</v>
      </c>
      <c r="K29" s="380">
        <f t="shared" ref="K29:K39" si="16">SUM(I29:J29)</f>
        <v>35.89</v>
      </c>
      <c r="L29" s="382"/>
      <c r="M29" s="383">
        <f t="shared" ref="M29:M39" si="17">+K29-G29</f>
        <v>2.0300000000000011</v>
      </c>
      <c r="N29" s="384">
        <f t="shared" ref="N29:N39" si="18">+M29/G29</f>
        <v>5.995274660366217E-2</v>
      </c>
      <c r="O29" s="377"/>
      <c r="P29" s="322"/>
      <c r="Q29" s="322"/>
      <c r="R29" s="322"/>
      <c r="S29" s="322"/>
      <c r="T29" s="322"/>
      <c r="U29" s="322"/>
      <c r="V29" s="377"/>
      <c r="W29" s="378"/>
      <c r="X29" s="377"/>
      <c r="Y29" s="322"/>
      <c r="Z29" s="322"/>
      <c r="AA29" s="322"/>
      <c r="AB29" s="322"/>
      <c r="AC29" s="322"/>
      <c r="AD29" s="322"/>
      <c r="AE29" s="377"/>
      <c r="AF29" s="378">
        <f t="shared" ref="AF29:AF39" si="19">AE29-K29</f>
        <v>-35.89</v>
      </c>
    </row>
    <row r="30" spans="1:32" ht="14" x14ac:dyDescent="0.3">
      <c r="A30" s="151">
        <f>IF(C30&lt;&gt;"",COUNTA($C$12:C30),"")</f>
        <v>18</v>
      </c>
      <c r="B30" s="151"/>
      <c r="C30" s="389">
        <f t="shared" si="10"/>
        <v>2</v>
      </c>
      <c r="D30" s="389">
        <f t="shared" si="10"/>
        <v>200</v>
      </c>
      <c r="E30" s="380">
        <f t="shared" si="11"/>
        <v>33.909999999999997</v>
      </c>
      <c r="F30" s="380">
        <f t="shared" si="12"/>
        <v>22.81</v>
      </c>
      <c r="G30" s="380">
        <f t="shared" si="13"/>
        <v>56.72</v>
      </c>
      <c r="H30" s="380"/>
      <c r="I30" s="380">
        <f t="shared" si="14"/>
        <v>34.39</v>
      </c>
      <c r="J30" s="380">
        <f t="shared" si="15"/>
        <v>26.37</v>
      </c>
      <c r="K30" s="380">
        <f t="shared" si="16"/>
        <v>60.760000000000005</v>
      </c>
      <c r="L30" s="382"/>
      <c r="M30" s="383">
        <f t="shared" si="17"/>
        <v>4.0400000000000063</v>
      </c>
      <c r="N30" s="384">
        <f t="shared" si="18"/>
        <v>7.1227080394922537E-2</v>
      </c>
      <c r="O30" s="377"/>
      <c r="P30" s="322"/>
      <c r="Q30" s="322"/>
      <c r="R30" s="322"/>
      <c r="S30" s="322"/>
      <c r="T30" s="322"/>
      <c r="U30" s="322"/>
      <c r="V30" s="377"/>
      <c r="W30" s="378"/>
      <c r="X30" s="377"/>
      <c r="Y30" s="322"/>
      <c r="Z30" s="322"/>
      <c r="AA30" s="322"/>
      <c r="AB30" s="322"/>
      <c r="AC30" s="322"/>
      <c r="AD30" s="322"/>
      <c r="AE30" s="377"/>
      <c r="AF30" s="378">
        <f t="shared" si="19"/>
        <v>-60.760000000000005</v>
      </c>
    </row>
    <row r="31" spans="1:32" ht="14" x14ac:dyDescent="0.3">
      <c r="A31" s="151">
        <f>IF(C31&lt;&gt;"",COUNTA($C$12:C31),"")</f>
        <v>19</v>
      </c>
      <c r="B31" s="151"/>
      <c r="C31" s="389">
        <f t="shared" si="10"/>
        <v>3</v>
      </c>
      <c r="D31" s="389">
        <f t="shared" si="10"/>
        <v>300</v>
      </c>
      <c r="E31" s="380">
        <f t="shared" si="11"/>
        <v>45.379999999999995</v>
      </c>
      <c r="F31" s="380">
        <f t="shared" si="12"/>
        <v>34.21</v>
      </c>
      <c r="G31" s="380">
        <f t="shared" si="13"/>
        <v>79.59</v>
      </c>
      <c r="H31" s="380"/>
      <c r="I31" s="380">
        <f t="shared" si="14"/>
        <v>46.09</v>
      </c>
      <c r="J31" s="380">
        <f t="shared" si="15"/>
        <v>39.56</v>
      </c>
      <c r="K31" s="380">
        <f t="shared" si="16"/>
        <v>85.65</v>
      </c>
      <c r="L31" s="382"/>
      <c r="M31" s="383">
        <f t="shared" si="17"/>
        <v>6.0600000000000023</v>
      </c>
      <c r="N31" s="384">
        <f t="shared" si="18"/>
        <v>7.6140218620429731E-2</v>
      </c>
      <c r="O31" s="377"/>
      <c r="P31" s="322"/>
      <c r="Q31" s="322"/>
      <c r="R31" s="322"/>
      <c r="S31" s="322"/>
      <c r="T31" s="322"/>
      <c r="U31" s="322"/>
      <c r="V31" s="377"/>
      <c r="W31" s="378"/>
      <c r="X31" s="377"/>
      <c r="Y31" s="322"/>
      <c r="Z31" s="322"/>
      <c r="AA31" s="322"/>
      <c r="AB31" s="322"/>
      <c r="AC31" s="322"/>
      <c r="AD31" s="322"/>
      <c r="AE31" s="377"/>
      <c r="AF31" s="378">
        <f t="shared" si="19"/>
        <v>-85.65</v>
      </c>
    </row>
    <row r="32" spans="1:32" ht="14" x14ac:dyDescent="0.3">
      <c r="A32" s="151">
        <f>IF(C32&lt;&gt;"",COUNTA($C$12:C32),"")</f>
        <v>20</v>
      </c>
      <c r="B32" s="151"/>
      <c r="C32" s="389">
        <f t="shared" si="10"/>
        <v>4</v>
      </c>
      <c r="D32" s="389">
        <f t="shared" si="10"/>
        <v>400</v>
      </c>
      <c r="E32" s="380">
        <f t="shared" si="11"/>
        <v>56.839999999999996</v>
      </c>
      <c r="F32" s="380">
        <f t="shared" si="12"/>
        <v>45.61</v>
      </c>
      <c r="G32" s="380">
        <f t="shared" si="13"/>
        <v>102.44999999999999</v>
      </c>
      <c r="H32" s="380"/>
      <c r="I32" s="380">
        <f t="shared" si="14"/>
        <v>57.78</v>
      </c>
      <c r="J32" s="380">
        <f t="shared" si="15"/>
        <v>52.74</v>
      </c>
      <c r="K32" s="380">
        <f t="shared" si="16"/>
        <v>110.52000000000001</v>
      </c>
      <c r="L32" s="382"/>
      <c r="M32" s="383">
        <f t="shared" si="17"/>
        <v>8.0700000000000216</v>
      </c>
      <c r="N32" s="384">
        <f t="shared" si="18"/>
        <v>7.8770131771596114E-2</v>
      </c>
      <c r="O32" s="377"/>
      <c r="P32" s="322"/>
      <c r="Q32" s="322"/>
      <c r="R32" s="322"/>
      <c r="S32" s="322"/>
      <c r="T32" s="322"/>
      <c r="U32" s="322"/>
      <c r="V32" s="377"/>
      <c r="W32" s="378"/>
      <c r="X32" s="377"/>
      <c r="Y32" s="322"/>
      <c r="Z32" s="322"/>
      <c r="AA32" s="322"/>
      <c r="AB32" s="322"/>
      <c r="AC32" s="322"/>
      <c r="AD32" s="322"/>
      <c r="AE32" s="377"/>
      <c r="AF32" s="378">
        <f t="shared" si="19"/>
        <v>-110.52000000000001</v>
      </c>
    </row>
    <row r="33" spans="1:32" ht="14" x14ac:dyDescent="0.3">
      <c r="A33" s="151">
        <f>IF(C33&lt;&gt;"",COUNTA($C$12:C33),"")</f>
        <v>21</v>
      </c>
      <c r="B33" s="151"/>
      <c r="C33" s="389">
        <f t="shared" si="10"/>
        <v>5</v>
      </c>
      <c r="D33" s="389">
        <f t="shared" si="10"/>
        <v>500</v>
      </c>
      <c r="E33" s="380">
        <f t="shared" si="11"/>
        <v>68.300000000000011</v>
      </c>
      <c r="F33" s="380">
        <f t="shared" si="12"/>
        <v>57.02</v>
      </c>
      <c r="G33" s="380">
        <f t="shared" si="13"/>
        <v>125.32000000000002</v>
      </c>
      <c r="H33" s="380"/>
      <c r="I33" s="380">
        <f t="shared" si="14"/>
        <v>69.47999999999999</v>
      </c>
      <c r="J33" s="380">
        <f t="shared" si="15"/>
        <v>65.930000000000007</v>
      </c>
      <c r="K33" s="380">
        <f t="shared" si="16"/>
        <v>135.41</v>
      </c>
      <c r="L33" s="382"/>
      <c r="M33" s="383">
        <f t="shared" si="17"/>
        <v>10.089999999999975</v>
      </c>
      <c r="N33" s="384">
        <f t="shared" si="18"/>
        <v>8.0513884455792953E-2</v>
      </c>
      <c r="O33" s="377"/>
      <c r="P33" s="322"/>
      <c r="Q33" s="322"/>
      <c r="R33" s="322"/>
      <c r="S33" s="322"/>
      <c r="T33" s="322"/>
      <c r="U33" s="322"/>
      <c r="V33" s="377"/>
      <c r="W33" s="378"/>
      <c r="X33" s="377"/>
      <c r="Y33" s="322"/>
      <c r="Z33" s="322"/>
      <c r="AA33" s="322"/>
      <c r="AB33" s="322"/>
      <c r="AC33" s="322"/>
      <c r="AD33" s="322"/>
      <c r="AE33" s="377"/>
      <c r="AF33" s="378">
        <f t="shared" si="19"/>
        <v>-135.41</v>
      </c>
    </row>
    <row r="34" spans="1:32" ht="14" x14ac:dyDescent="0.3">
      <c r="A34" s="151">
        <f>IF(C34&lt;&gt;"",COUNTA($C$12:C34),"")</f>
        <v>22</v>
      </c>
      <c r="B34" s="151"/>
      <c r="C34" s="389">
        <f t="shared" si="10"/>
        <v>6</v>
      </c>
      <c r="D34" s="389">
        <f t="shared" si="10"/>
        <v>600</v>
      </c>
      <c r="E34" s="380">
        <f t="shared" si="11"/>
        <v>79.75</v>
      </c>
      <c r="F34" s="380">
        <f t="shared" si="12"/>
        <v>68.42</v>
      </c>
      <c r="G34" s="380">
        <f t="shared" si="13"/>
        <v>148.17000000000002</v>
      </c>
      <c r="H34" s="380"/>
      <c r="I34" s="380">
        <f t="shared" si="14"/>
        <v>81.180000000000007</v>
      </c>
      <c r="J34" s="380">
        <f t="shared" si="15"/>
        <v>79.11</v>
      </c>
      <c r="K34" s="380">
        <f t="shared" si="16"/>
        <v>160.29000000000002</v>
      </c>
      <c r="L34" s="382"/>
      <c r="M34" s="383">
        <f t="shared" si="17"/>
        <v>12.120000000000005</v>
      </c>
      <c r="N34" s="384">
        <f t="shared" si="18"/>
        <v>8.1797934804616335E-2</v>
      </c>
      <c r="O34" s="377"/>
      <c r="P34" s="322"/>
      <c r="Q34" s="322"/>
      <c r="R34" s="322"/>
      <c r="S34" s="322"/>
      <c r="T34" s="322"/>
      <c r="U34" s="322"/>
      <c r="V34" s="377"/>
      <c r="W34" s="378"/>
      <c r="X34" s="377"/>
      <c r="Y34" s="322"/>
      <c r="Z34" s="322"/>
      <c r="AA34" s="322"/>
      <c r="AB34" s="322"/>
      <c r="AC34" s="322"/>
      <c r="AD34" s="322"/>
      <c r="AE34" s="377"/>
      <c r="AF34" s="378">
        <f t="shared" si="19"/>
        <v>-160.29000000000002</v>
      </c>
    </row>
    <row r="35" spans="1:32" ht="14" x14ac:dyDescent="0.3">
      <c r="A35" s="151">
        <f>IF(C35&lt;&gt;"",COUNTA($C$12:C35),"")</f>
        <v>23</v>
      </c>
      <c r="B35" s="151"/>
      <c r="C35" s="389">
        <f t="shared" si="10"/>
        <v>7</v>
      </c>
      <c r="D35" s="389">
        <f t="shared" si="10"/>
        <v>700</v>
      </c>
      <c r="E35" s="380">
        <f t="shared" si="11"/>
        <v>91.210000000000008</v>
      </c>
      <c r="F35" s="380">
        <f t="shared" si="12"/>
        <v>79.819999999999993</v>
      </c>
      <c r="G35" s="380">
        <f t="shared" si="13"/>
        <v>171.03</v>
      </c>
      <c r="H35" s="380"/>
      <c r="I35" s="380">
        <f t="shared" si="14"/>
        <v>92.86999999999999</v>
      </c>
      <c r="J35" s="380">
        <f t="shared" si="15"/>
        <v>92.3</v>
      </c>
      <c r="K35" s="380">
        <f t="shared" si="16"/>
        <v>185.17</v>
      </c>
      <c r="L35" s="382"/>
      <c r="M35" s="383">
        <f t="shared" si="17"/>
        <v>14.139999999999986</v>
      </c>
      <c r="N35" s="384">
        <f t="shared" si="18"/>
        <v>8.2675553996374829E-2</v>
      </c>
      <c r="O35" s="377"/>
      <c r="P35" s="322"/>
      <c r="Q35" s="322"/>
      <c r="R35" s="322"/>
      <c r="S35" s="322"/>
      <c r="T35" s="322"/>
      <c r="U35" s="322"/>
      <c r="V35" s="377"/>
      <c r="W35" s="378"/>
      <c r="X35" s="377"/>
      <c r="Y35" s="322"/>
      <c r="Z35" s="322"/>
      <c r="AA35" s="322"/>
      <c r="AB35" s="322"/>
      <c r="AC35" s="322"/>
      <c r="AD35" s="322"/>
      <c r="AE35" s="377"/>
      <c r="AF35" s="378">
        <f t="shared" si="19"/>
        <v>-185.17</v>
      </c>
    </row>
    <row r="36" spans="1:32" ht="14" x14ac:dyDescent="0.3">
      <c r="A36" s="151">
        <f>IF(C36&lt;&gt;"",COUNTA($C$12:C36),"")</f>
        <v>24</v>
      </c>
      <c r="B36" s="151"/>
      <c r="C36" s="389">
        <f t="shared" si="10"/>
        <v>8</v>
      </c>
      <c r="D36" s="389">
        <f t="shared" si="10"/>
        <v>800</v>
      </c>
      <c r="E36" s="380">
        <f t="shared" si="11"/>
        <v>102.67999999999999</v>
      </c>
      <c r="F36" s="380">
        <f t="shared" si="12"/>
        <v>91.22</v>
      </c>
      <c r="G36" s="380">
        <f t="shared" si="13"/>
        <v>193.89999999999998</v>
      </c>
      <c r="H36" s="380"/>
      <c r="I36" s="380">
        <f t="shared" si="14"/>
        <v>104.57</v>
      </c>
      <c r="J36" s="380">
        <f t="shared" si="15"/>
        <v>105.48</v>
      </c>
      <c r="K36" s="380">
        <f t="shared" si="16"/>
        <v>210.05</v>
      </c>
      <c r="L36" s="382"/>
      <c r="M36" s="383">
        <f t="shared" si="17"/>
        <v>16.150000000000034</v>
      </c>
      <c r="N36" s="384">
        <f t="shared" si="18"/>
        <v>8.3290355853532935E-2</v>
      </c>
      <c r="O36" s="377"/>
      <c r="P36" s="322"/>
      <c r="Q36" s="322"/>
      <c r="R36" s="322"/>
      <c r="S36" s="322"/>
      <c r="T36" s="322"/>
      <c r="U36" s="322"/>
      <c r="V36" s="377"/>
      <c r="W36" s="378"/>
      <c r="X36" s="377"/>
      <c r="Y36" s="322"/>
      <c r="Z36" s="322"/>
      <c r="AA36" s="322"/>
      <c r="AB36" s="322"/>
      <c r="AC36" s="322"/>
      <c r="AD36" s="322"/>
      <c r="AE36" s="377"/>
      <c r="AF36" s="378">
        <f t="shared" si="19"/>
        <v>-210.05</v>
      </c>
    </row>
    <row r="37" spans="1:32" ht="14" x14ac:dyDescent="0.3">
      <c r="A37" s="151">
        <f>IF(C37&lt;&gt;"",COUNTA($C$12:C37),"")</f>
        <v>25</v>
      </c>
      <c r="B37" s="151"/>
      <c r="C37" s="389">
        <f t="shared" si="10"/>
        <v>10</v>
      </c>
      <c r="D37" s="389">
        <f t="shared" si="10"/>
        <v>1000</v>
      </c>
      <c r="E37" s="380">
        <f t="shared" si="11"/>
        <v>125.59</v>
      </c>
      <c r="F37" s="380">
        <f t="shared" si="12"/>
        <v>114.03</v>
      </c>
      <c r="G37" s="380">
        <f t="shared" si="13"/>
        <v>239.62</v>
      </c>
      <c r="H37" s="380"/>
      <c r="I37" s="380">
        <f t="shared" si="14"/>
        <v>127.97</v>
      </c>
      <c r="J37" s="380">
        <f t="shared" si="15"/>
        <v>131.85</v>
      </c>
      <c r="K37" s="380">
        <f t="shared" si="16"/>
        <v>259.82</v>
      </c>
      <c r="L37" s="382"/>
      <c r="M37" s="383">
        <f t="shared" si="17"/>
        <v>20.199999999999989</v>
      </c>
      <c r="N37" s="384">
        <f t="shared" si="18"/>
        <v>8.4300141891327882E-2</v>
      </c>
      <c r="O37" s="377"/>
      <c r="P37" s="322"/>
      <c r="Q37" s="322"/>
      <c r="R37" s="322"/>
      <c r="S37" s="322"/>
      <c r="T37" s="322"/>
      <c r="U37" s="322"/>
      <c r="V37" s="377"/>
      <c r="W37" s="378"/>
      <c r="X37" s="377"/>
      <c r="Y37" s="322"/>
      <c r="Z37" s="322"/>
      <c r="AA37" s="322"/>
      <c r="AB37" s="322"/>
      <c r="AC37" s="322"/>
      <c r="AD37" s="322"/>
      <c r="AE37" s="377"/>
      <c r="AF37" s="378">
        <f t="shared" si="19"/>
        <v>-259.82</v>
      </c>
    </row>
    <row r="38" spans="1:32" ht="14" x14ac:dyDescent="0.3">
      <c r="A38" s="151">
        <f>IF(C38&lt;&gt;"",COUNTA($C$12:C38),"")</f>
        <v>26</v>
      </c>
      <c r="B38" s="151"/>
      <c r="C38" s="389">
        <f t="shared" si="10"/>
        <v>12</v>
      </c>
      <c r="D38" s="389">
        <f t="shared" si="10"/>
        <v>1200</v>
      </c>
      <c r="E38" s="380">
        <f t="shared" si="11"/>
        <v>263.14</v>
      </c>
      <c r="F38" s="380">
        <f t="shared" si="12"/>
        <v>136.84</v>
      </c>
      <c r="G38" s="380">
        <f t="shared" si="13"/>
        <v>399.98</v>
      </c>
      <c r="H38" s="380"/>
      <c r="I38" s="380">
        <f t="shared" si="14"/>
        <v>246.6</v>
      </c>
      <c r="J38" s="380">
        <f t="shared" si="15"/>
        <v>158.22</v>
      </c>
      <c r="K38" s="380">
        <f t="shared" si="16"/>
        <v>404.82</v>
      </c>
      <c r="L38" s="382"/>
      <c r="M38" s="383">
        <f t="shared" si="17"/>
        <v>4.839999999999975</v>
      </c>
      <c r="N38" s="384">
        <f t="shared" si="18"/>
        <v>1.2100605030251449E-2</v>
      </c>
      <c r="O38" s="377"/>
      <c r="P38" s="322"/>
      <c r="Q38" s="322"/>
      <c r="R38" s="322"/>
      <c r="S38" s="322"/>
      <c r="T38" s="322"/>
      <c r="U38" s="322"/>
      <c r="V38" s="377"/>
      <c r="W38" s="378"/>
      <c r="X38" s="377"/>
      <c r="Y38" s="322"/>
      <c r="Z38" s="322"/>
      <c r="AA38" s="322"/>
      <c r="AB38" s="322"/>
      <c r="AC38" s="322"/>
      <c r="AD38" s="322"/>
      <c r="AE38" s="377"/>
      <c r="AF38" s="378">
        <f t="shared" si="19"/>
        <v>-404.82</v>
      </c>
    </row>
    <row r="39" spans="1:32" ht="14" x14ac:dyDescent="0.3">
      <c r="A39" s="151">
        <f>IF(C39&lt;&gt;"",COUNTA($C$12:C39),"")</f>
        <v>27</v>
      </c>
      <c r="B39" s="151" t="s">
        <v>554</v>
      </c>
      <c r="C39" s="379">
        <v>3</v>
      </c>
      <c r="D39" s="389">
        <f t="shared" si="10"/>
        <v>300</v>
      </c>
      <c r="E39" s="380">
        <f t="shared" si="11"/>
        <v>45.379999999999995</v>
      </c>
      <c r="F39" s="380">
        <f t="shared" si="12"/>
        <v>34.21</v>
      </c>
      <c r="G39" s="380">
        <f t="shared" si="13"/>
        <v>79.59</v>
      </c>
      <c r="H39" s="380"/>
      <c r="I39" s="380">
        <f t="shared" si="14"/>
        <v>46.09</v>
      </c>
      <c r="J39" s="380">
        <f t="shared" si="15"/>
        <v>39.56</v>
      </c>
      <c r="K39" s="380">
        <f t="shared" si="16"/>
        <v>85.65</v>
      </c>
      <c r="L39" s="382"/>
      <c r="M39" s="383">
        <f t="shared" si="17"/>
        <v>6.0600000000000023</v>
      </c>
      <c r="N39" s="384">
        <f t="shared" si="18"/>
        <v>7.6140218620429731E-2</v>
      </c>
      <c r="O39" s="377"/>
      <c r="P39" s="322"/>
      <c r="Q39" s="322"/>
      <c r="R39" s="322"/>
      <c r="S39" s="322"/>
      <c r="T39" s="322"/>
      <c r="U39" s="322"/>
      <c r="V39" s="377"/>
      <c r="W39" s="378"/>
      <c r="X39" s="377"/>
      <c r="Y39" s="322"/>
      <c r="Z39" s="322"/>
      <c r="AA39" s="322"/>
      <c r="AB39" s="322"/>
      <c r="AC39" s="322"/>
      <c r="AD39" s="322"/>
      <c r="AE39" s="377"/>
      <c r="AF39" s="378">
        <f t="shared" si="19"/>
        <v>-85.65</v>
      </c>
    </row>
    <row r="40" spans="1:32" ht="14" x14ac:dyDescent="0.3">
      <c r="A40" s="151" t="str">
        <f>IF(C40&lt;&gt;"",COUNTA($C$12:C40),"")</f>
        <v/>
      </c>
      <c r="B40" s="151"/>
      <c r="C40" s="385"/>
      <c r="D40" s="419"/>
      <c r="E40" s="380"/>
      <c r="F40" s="380"/>
      <c r="G40" s="390"/>
      <c r="H40" s="390"/>
      <c r="I40" s="385"/>
      <c r="J40" s="385"/>
      <c r="K40" s="385"/>
      <c r="L40" s="385"/>
      <c r="M40" s="385"/>
      <c r="N40" s="385"/>
    </row>
    <row r="41" spans="1:32" ht="14" x14ac:dyDescent="0.3">
      <c r="A41" s="151" t="str">
        <f>IF(C41&lt;&gt;"",COUNTA($C$12:C41),"")</f>
        <v/>
      </c>
      <c r="B41" s="151"/>
      <c r="C41" s="293"/>
      <c r="D41" s="293"/>
      <c r="E41" s="293"/>
      <c r="F41" s="293"/>
      <c r="G41" s="393"/>
      <c r="H41" s="393"/>
    </row>
    <row r="42" spans="1:32" ht="14" x14ac:dyDescent="0.3">
      <c r="A42" s="151">
        <f>IF(C42&lt;&gt;"",COUNTA($C$12:C42),"")</f>
        <v>28</v>
      </c>
      <c r="B42" s="151"/>
      <c r="C42" s="293" t="s">
        <v>46</v>
      </c>
      <c r="D42" s="293"/>
      <c r="E42" s="293"/>
      <c r="G42" s="395" t="str">
        <f>+'Bill_Bos G1 nonDem'!F41</f>
        <v>Current</v>
      </c>
      <c r="H42" s="395"/>
      <c r="I42" s="395" t="str">
        <f>+'Bill_Bos G1 nonDem'!H41</f>
        <v>Proposed</v>
      </c>
      <c r="J42" s="420"/>
    </row>
    <row r="43" spans="1:32" ht="17" x14ac:dyDescent="0.6">
      <c r="A43" s="151">
        <f>IF(C43&lt;&gt;"",COUNTA($C$12:C43),"")</f>
        <v>29</v>
      </c>
      <c r="B43" s="151"/>
      <c r="C43" s="274" t="s">
        <v>46</v>
      </c>
      <c r="D43" s="274"/>
      <c r="E43" s="293"/>
      <c r="G43" s="396" t="str">
        <f>+'Bill_Bos G1 nonDem'!F42</f>
        <v>Rates</v>
      </c>
      <c r="H43" s="396"/>
      <c r="I43" s="396" t="str">
        <f>+'Bill_Bos G1 nonDem'!H42</f>
        <v>Rates</v>
      </c>
      <c r="J43" s="396" t="str">
        <f>+'Bill_Bos G1 nonDem'!I42</f>
        <v>Change</v>
      </c>
    </row>
    <row r="44" spans="1:32" ht="14" x14ac:dyDescent="0.3">
      <c r="A44" s="151">
        <f>IF(C44&lt;&gt;"",COUNTA($C$12:C44),"")</f>
        <v>30</v>
      </c>
      <c r="B44" s="151"/>
      <c r="C44" s="293" t="s">
        <v>296</v>
      </c>
      <c r="D44" s="293"/>
      <c r="E44" s="274"/>
      <c r="G44" s="397">
        <v>11</v>
      </c>
      <c r="H44" s="397"/>
      <c r="I44" s="397">
        <f>+G44</f>
        <v>11</v>
      </c>
      <c r="J44" s="421">
        <f>+I44-G44</f>
        <v>0</v>
      </c>
      <c r="O44" s="422"/>
      <c r="P44" s="423"/>
      <c r="S44" s="378"/>
      <c r="T44" s="378"/>
    </row>
    <row r="45" spans="1:32" ht="14" x14ac:dyDescent="0.3">
      <c r="A45" s="151">
        <f>IF(C45&lt;&gt;"",COUNTA($C$12:C45),"")</f>
        <v>31</v>
      </c>
      <c r="B45" s="151"/>
      <c r="C45" s="293" t="s">
        <v>355</v>
      </c>
      <c r="D45" s="293"/>
      <c r="E45" s="274"/>
      <c r="G45" s="397">
        <v>0</v>
      </c>
      <c r="H45" s="397"/>
      <c r="I45" s="397">
        <f>-G45</f>
        <v>0</v>
      </c>
      <c r="J45" s="421">
        <f t="shared" ref="J45:J78" si="20">+I45-G45</f>
        <v>0</v>
      </c>
      <c r="O45" s="422"/>
      <c r="P45" s="423"/>
      <c r="U45" s="378"/>
    </row>
    <row r="46" spans="1:32" ht="14" x14ac:dyDescent="0.3">
      <c r="A46" s="151">
        <f>IF(C46&lt;&gt;"",COUNTA($C$12:C46),"")</f>
        <v>32</v>
      </c>
      <c r="B46" s="151"/>
      <c r="C46" s="293" t="s">
        <v>569</v>
      </c>
      <c r="D46" s="293"/>
      <c r="E46" s="274"/>
      <c r="G46" s="397">
        <v>0.27</v>
      </c>
      <c r="H46" s="397"/>
      <c r="I46" s="397">
        <v>0.28000000000000003</v>
      </c>
      <c r="J46" s="421">
        <f t="shared" si="20"/>
        <v>1.0000000000000009E-2</v>
      </c>
      <c r="O46" s="422"/>
      <c r="P46" s="423"/>
    </row>
    <row r="47" spans="1:32" ht="14" x14ac:dyDescent="0.3">
      <c r="A47" s="151">
        <f>IF(C47&lt;&gt;"",COUNTA($C$12:C47),"")</f>
        <v>33</v>
      </c>
      <c r="B47" s="151"/>
      <c r="C47" s="293" t="s">
        <v>381</v>
      </c>
      <c r="D47" s="293"/>
      <c r="E47" s="274"/>
      <c r="G47" s="397">
        <v>18.190000000000001</v>
      </c>
      <c r="H47" s="397"/>
      <c r="I47" s="397">
        <v>15.95</v>
      </c>
      <c r="J47" s="421">
        <f>+I47-G47</f>
        <v>-2.240000000000002</v>
      </c>
      <c r="O47" s="422"/>
      <c r="P47" s="423"/>
    </row>
    <row r="48" spans="1:32" ht="14" x14ac:dyDescent="0.3">
      <c r="A48" s="151">
        <f>IF(C48&lt;&gt;"",COUNTA($C$12:C48),"")</f>
        <v>34</v>
      </c>
      <c r="B48" s="151"/>
      <c r="C48" s="293" t="s">
        <v>359</v>
      </c>
      <c r="D48" s="293"/>
      <c r="E48" s="274"/>
      <c r="G48" s="397">
        <v>0</v>
      </c>
      <c r="H48" s="397"/>
      <c r="I48" s="399">
        <f>+G48</f>
        <v>0</v>
      </c>
      <c r="J48" s="421">
        <f t="shared" si="20"/>
        <v>0</v>
      </c>
      <c r="O48" s="422"/>
      <c r="P48" s="423"/>
      <c r="U48" s="378"/>
    </row>
    <row r="49" spans="1:22" ht="14" x14ac:dyDescent="0.3">
      <c r="A49" s="151">
        <f>IF(C49&lt;&gt;"",COUNTA($C$12:C49),"")</f>
        <v>35</v>
      </c>
      <c r="B49" s="151"/>
      <c r="C49" s="293" t="s">
        <v>361</v>
      </c>
      <c r="D49" s="293"/>
      <c r="E49" s="274"/>
      <c r="G49" s="397">
        <v>0.83</v>
      </c>
      <c r="H49" s="397"/>
      <c r="I49" s="397">
        <v>0.86</v>
      </c>
      <c r="J49" s="421">
        <f t="shared" si="20"/>
        <v>3.0000000000000027E-2</v>
      </c>
      <c r="O49" s="424"/>
      <c r="P49" s="424"/>
    </row>
    <row r="50" spans="1:22" ht="14" x14ac:dyDescent="0.3">
      <c r="A50" s="151">
        <f>IF(C50&lt;&gt;"",COUNTA($C$12:C50),"")</f>
        <v>36</v>
      </c>
      <c r="B50" s="151"/>
      <c r="C50" s="293" t="s">
        <v>383</v>
      </c>
      <c r="D50" s="293"/>
      <c r="E50" s="274"/>
      <c r="G50" s="397">
        <v>56.49</v>
      </c>
      <c r="H50" s="397"/>
      <c r="I50" s="397">
        <v>46.76</v>
      </c>
      <c r="J50" s="421">
        <f>+I50-G50</f>
        <v>-9.730000000000004</v>
      </c>
      <c r="O50" s="424"/>
      <c r="P50" s="424"/>
    </row>
    <row r="51" spans="1:22" ht="14" x14ac:dyDescent="0.3">
      <c r="A51" s="151">
        <f>IF(C51&lt;&gt;"",COUNTA($C$12:C51),"")</f>
        <v>37</v>
      </c>
      <c r="B51" s="151"/>
      <c r="C51" s="293" t="s">
        <v>365</v>
      </c>
      <c r="D51" s="293"/>
      <c r="E51" s="274"/>
      <c r="G51" s="308">
        <v>4.0660000000000002E-2</v>
      </c>
      <c r="H51" s="308"/>
      <c r="I51" s="401">
        <v>4.2380000000000001E-2</v>
      </c>
      <c r="J51" s="354">
        <f t="shared" si="20"/>
        <v>1.7199999999999993E-3</v>
      </c>
      <c r="O51" s="424"/>
      <c r="P51" s="424"/>
    </row>
    <row r="52" spans="1:22" ht="14" x14ac:dyDescent="0.3">
      <c r="A52" s="151">
        <f>IF(C52&lt;&gt;"",COUNTA($C$12:C52),"")</f>
        <v>38</v>
      </c>
      <c r="B52" s="151"/>
      <c r="C52" s="293" t="s">
        <v>367</v>
      </c>
      <c r="D52" s="293"/>
      <c r="E52" s="274"/>
      <c r="G52" s="308">
        <v>3.5360000000000003E-2</v>
      </c>
      <c r="H52" s="308"/>
      <c r="I52" s="401">
        <v>3.6850000000000001E-2</v>
      </c>
      <c r="J52" s="354">
        <f t="shared" si="20"/>
        <v>1.4899999999999983E-3</v>
      </c>
      <c r="O52" s="424"/>
      <c r="P52" s="424"/>
    </row>
    <row r="53" spans="1:22" ht="14" x14ac:dyDescent="0.3">
      <c r="A53" s="151">
        <f>IF(C53&lt;&gt;"",COUNTA($C$12:C53),"")</f>
        <v>39</v>
      </c>
      <c r="B53" s="151"/>
      <c r="C53" s="293" t="s">
        <v>369</v>
      </c>
      <c r="D53" s="293"/>
      <c r="E53" s="274"/>
      <c r="G53" s="308">
        <v>2.3470000000000001E-2</v>
      </c>
      <c r="H53" s="308"/>
      <c r="I53" s="401">
        <v>2.4459999999999999E-2</v>
      </c>
      <c r="J53" s="354">
        <f t="shared" si="20"/>
        <v>9.8999999999999783E-4</v>
      </c>
      <c r="O53" s="424"/>
      <c r="P53" s="424"/>
      <c r="V53" s="378"/>
    </row>
    <row r="54" spans="1:22" ht="14" x14ac:dyDescent="0.3">
      <c r="A54" s="151">
        <f>IF(C54&lt;&gt;"",COUNTA($C$12:C54),"")</f>
        <v>40</v>
      </c>
      <c r="B54" s="151"/>
      <c r="C54" s="293" t="s">
        <v>371</v>
      </c>
      <c r="D54" s="293"/>
      <c r="E54" s="274"/>
      <c r="G54" s="308">
        <v>6.5360000000000001E-2</v>
      </c>
      <c r="H54" s="308"/>
      <c r="I54" s="401">
        <v>6.8110000000000004E-2</v>
      </c>
      <c r="J54" s="354">
        <f t="shared" si="20"/>
        <v>2.7500000000000024E-3</v>
      </c>
      <c r="O54" s="424"/>
      <c r="P54" s="424"/>
      <c r="V54" s="378"/>
    </row>
    <row r="55" spans="1:22" ht="14" x14ac:dyDescent="0.3">
      <c r="A55" s="151">
        <f>IF(C55&lt;&gt;"",COUNTA($C$12:C55),"")</f>
        <v>41</v>
      </c>
      <c r="B55" s="151"/>
      <c r="C55" s="293" t="s">
        <v>373</v>
      </c>
      <c r="D55" s="293"/>
      <c r="E55" s="274"/>
      <c r="G55" s="308">
        <v>3.9669999999999997E-2</v>
      </c>
      <c r="H55" s="308"/>
      <c r="I55" s="401">
        <v>4.1340000000000002E-2</v>
      </c>
      <c r="J55" s="354">
        <f t="shared" si="20"/>
        <v>1.6700000000000048E-3</v>
      </c>
      <c r="O55" s="424"/>
      <c r="P55" s="424"/>
    </row>
    <row r="56" spans="1:22" ht="14" x14ac:dyDescent="0.3">
      <c r="A56" s="151">
        <f>IF(C56&lt;&gt;"",COUNTA($C$12:C56),"")</f>
        <v>42</v>
      </c>
      <c r="B56" s="151"/>
      <c r="C56" s="293" t="s">
        <v>375</v>
      </c>
      <c r="D56" s="293"/>
      <c r="E56" s="274"/>
      <c r="G56" s="308">
        <v>2.4670000000000001E-2</v>
      </c>
      <c r="H56" s="308"/>
      <c r="I56" s="401">
        <v>2.571E-2</v>
      </c>
      <c r="J56" s="354">
        <f t="shared" si="20"/>
        <v>1.0399999999999993E-3</v>
      </c>
      <c r="O56" s="425"/>
      <c r="P56" s="422"/>
    </row>
    <row r="57" spans="1:22" ht="14" x14ac:dyDescent="0.3">
      <c r="A57" s="151">
        <f>IF(C57&lt;&gt;"",COUNTA($C$12:C57),"")</f>
        <v>43</v>
      </c>
      <c r="B57" s="151"/>
      <c r="C57" s="293" t="str">
        <f>+'Bill_Bos G1 nonDem'!C46</f>
        <v>Revenue Decoupling</v>
      </c>
      <c r="D57" s="293"/>
      <c r="E57" s="274"/>
      <c r="G57" s="277">
        <v>0</v>
      </c>
      <c r="H57" s="277"/>
      <c r="I57" s="401">
        <v>-6.6E-4</v>
      </c>
      <c r="J57" s="354">
        <f t="shared" si="20"/>
        <v>-6.6E-4</v>
      </c>
      <c r="O57" s="426"/>
      <c r="P57" s="426"/>
    </row>
    <row r="58" spans="1:22" ht="14" x14ac:dyDescent="0.3">
      <c r="A58" s="151">
        <f>IF(C58&lt;&gt;"",COUNTA($C$12:C58),"")</f>
        <v>44</v>
      </c>
      <c r="B58" s="151"/>
      <c r="C58" s="293" t="str">
        <f>+'Bill_Bos G1 nonDem'!C47</f>
        <v>Residential Assistance Adjustment Factor</v>
      </c>
      <c r="D58" s="293"/>
      <c r="E58" s="274"/>
      <c r="G58" s="277">
        <v>4.0699999999999998E-3</v>
      </c>
      <c r="H58" s="277"/>
      <c r="I58" s="401">
        <v>5.5599999999999998E-3</v>
      </c>
      <c r="J58" s="354">
        <f t="shared" si="20"/>
        <v>1.49E-3</v>
      </c>
      <c r="O58" s="426"/>
      <c r="P58" s="426"/>
    </row>
    <row r="59" spans="1:22" ht="14" x14ac:dyDescent="0.3">
      <c r="A59" s="151">
        <f>IF(C59&lt;&gt;"",COUNTA($C$12:C59),"")</f>
        <v>45</v>
      </c>
      <c r="B59" s="151"/>
      <c r="C59" s="293" t="str">
        <f>+'Bill_Bos G1 nonDem'!C48</f>
        <v>Pension Adjustment Factor</v>
      </c>
      <c r="D59" s="293"/>
      <c r="E59" s="274"/>
      <c r="G59" s="277">
        <v>-1.1E-4</v>
      </c>
      <c r="H59" s="277"/>
      <c r="I59" s="401">
        <v>9.7000000000000005E-4</v>
      </c>
      <c r="J59" s="354">
        <f t="shared" si="20"/>
        <v>1.08E-3</v>
      </c>
      <c r="O59" s="426"/>
      <c r="P59" s="426"/>
    </row>
    <row r="60" spans="1:22" ht="14" x14ac:dyDescent="0.3">
      <c r="A60" s="151">
        <f>IF(C60&lt;&gt;"",COUNTA($C$12:C60),"")</f>
        <v>46</v>
      </c>
      <c r="B60" s="151"/>
      <c r="C60" s="293" t="str">
        <f>+'Bill_Bos G1 nonDem'!C49</f>
        <v>Net Metering Recovery Surcharge</v>
      </c>
      <c r="D60" s="293"/>
      <c r="E60" s="274"/>
      <c r="G60" s="277">
        <v>8.0300000000000007E-3</v>
      </c>
      <c r="H60" s="277"/>
      <c r="I60" s="401">
        <v>7.2500000000000004E-3</v>
      </c>
      <c r="J60" s="354">
        <f t="shared" si="20"/>
        <v>-7.8000000000000031E-4</v>
      </c>
      <c r="O60" s="426"/>
      <c r="P60" s="426"/>
    </row>
    <row r="61" spans="1:22" ht="14" x14ac:dyDescent="0.3">
      <c r="A61" s="151">
        <f>IF(C61&lt;&gt;"",COUNTA($C$12:C61),"")</f>
        <v>47</v>
      </c>
      <c r="B61" s="151"/>
      <c r="C61" s="293" t="str">
        <f>+'Bill_Bos G1 nonDem'!C50</f>
        <v>Long Term Renewable Contract Adjustment</v>
      </c>
      <c r="D61" s="293"/>
      <c r="E61" s="274"/>
      <c r="G61" s="277">
        <v>2.3600000000000001E-3</v>
      </c>
      <c r="H61" s="277"/>
      <c r="I61" s="401">
        <v>1.74E-3</v>
      </c>
      <c r="J61" s="354">
        <f t="shared" si="20"/>
        <v>-6.2000000000000011E-4</v>
      </c>
      <c r="O61" s="426"/>
      <c r="P61" s="426"/>
    </row>
    <row r="62" spans="1:22" ht="14" x14ac:dyDescent="0.3">
      <c r="A62" s="151">
        <f>IF(C62&lt;&gt;"",COUNTA($C$12:C62),"")</f>
        <v>48</v>
      </c>
      <c r="B62" s="151"/>
      <c r="C62" s="293" t="str">
        <f>+'Bill_Bos G1 nonDem'!C51</f>
        <v>AG Consulting Expense</v>
      </c>
      <c r="D62" s="293"/>
      <c r="E62" s="274"/>
      <c r="G62" s="277">
        <v>4.0000000000000003E-5</v>
      </c>
      <c r="H62" s="277"/>
      <c r="I62" s="401">
        <v>1.0000000000000001E-5</v>
      </c>
      <c r="J62" s="354">
        <f t="shared" si="20"/>
        <v>-3.0000000000000004E-5</v>
      </c>
      <c r="O62" s="426"/>
      <c r="P62" s="426"/>
    </row>
    <row r="63" spans="1:22" ht="14" x14ac:dyDescent="0.3">
      <c r="A63" s="151">
        <f>IF(C63&lt;&gt;"",COUNTA($C$12:C63),"")</f>
        <v>49</v>
      </c>
      <c r="B63" s="151"/>
      <c r="C63" s="293" t="str">
        <f>+'Bill_Bos G1 nonDem'!C52</f>
        <v>Storm Cost Recovery Adjustment Factor</v>
      </c>
      <c r="D63" s="293"/>
      <c r="E63" s="274"/>
      <c r="G63" s="277">
        <v>2.5100000000000001E-3</v>
      </c>
      <c r="H63" s="277"/>
      <c r="I63" s="401">
        <v>4.2100000000000002E-3</v>
      </c>
      <c r="J63" s="354">
        <f t="shared" si="20"/>
        <v>1.7000000000000001E-3</v>
      </c>
      <c r="O63" s="426"/>
      <c r="P63" s="426"/>
      <c r="U63" s="427"/>
    </row>
    <row r="64" spans="1:22" ht="14" x14ac:dyDescent="0.3">
      <c r="A64" s="151">
        <f>IF(C64&lt;&gt;"",COUNTA($C$12:C64),"")</f>
        <v>50</v>
      </c>
      <c r="B64" s="151"/>
      <c r="C64" s="293" t="str">
        <f>+'Bill_Bos G1 nonDem'!C53</f>
        <v>Storm Reserve Adjustment</v>
      </c>
      <c r="D64" s="293"/>
      <c r="E64" s="274"/>
      <c r="G64" s="277">
        <v>0</v>
      </c>
      <c r="H64" s="277"/>
      <c r="I64" s="401">
        <v>0</v>
      </c>
      <c r="J64" s="354">
        <f t="shared" si="20"/>
        <v>0</v>
      </c>
      <c r="O64" s="426"/>
      <c r="P64" s="426"/>
      <c r="U64" s="427"/>
    </row>
    <row r="65" spans="1:16" ht="14" x14ac:dyDescent="0.3">
      <c r="A65" s="151">
        <f>IF(C65&lt;&gt;"",COUNTA($C$12:C65),"")</f>
        <v>51</v>
      </c>
      <c r="B65" s="151"/>
      <c r="C65" s="293" t="str">
        <f>+'Bill_Bos G1 nonDem'!C54</f>
        <v>Basic Service Cost True Up Factor</v>
      </c>
      <c r="D65" s="293"/>
      <c r="G65" s="277">
        <v>2.1700000000000001E-3</v>
      </c>
      <c r="H65" s="277"/>
      <c r="I65" s="401">
        <v>-2.7999999999999998E-4</v>
      </c>
      <c r="J65" s="354">
        <f t="shared" si="20"/>
        <v>-2.4499999999999999E-3</v>
      </c>
      <c r="O65" s="426"/>
      <c r="P65" s="426"/>
    </row>
    <row r="66" spans="1:16" ht="14" x14ac:dyDescent="0.3">
      <c r="A66" s="151">
        <f>IF(C66&lt;&gt;"",COUNTA($C$12:C66),"")</f>
        <v>52</v>
      </c>
      <c r="B66" s="151"/>
      <c r="C66" s="293" t="str">
        <f>+'Bill_Bos G1 nonDem'!C55</f>
        <v>Solar Program Cost Adjustment Factor</v>
      </c>
      <c r="D66" s="293"/>
      <c r="E66" s="274"/>
      <c r="G66" s="277">
        <v>0</v>
      </c>
      <c r="H66" s="277"/>
      <c r="I66" s="401">
        <v>5.0000000000000002E-5</v>
      </c>
      <c r="J66" s="354">
        <f t="shared" si="20"/>
        <v>5.0000000000000002E-5</v>
      </c>
      <c r="O66" s="426"/>
      <c r="P66" s="426"/>
    </row>
    <row r="67" spans="1:16" ht="14" x14ac:dyDescent="0.3">
      <c r="A67" s="151">
        <f>IF(C67&lt;&gt;"",COUNTA($C$12:C67),"")</f>
        <v>53</v>
      </c>
      <c r="B67" s="151"/>
      <c r="C67" s="293" t="str">
        <f>+'Bill_Bos G1 nonDem'!C56</f>
        <v>Solar Expansion Cost Recovery Factor</v>
      </c>
      <c r="D67" s="293"/>
      <c r="E67" s="274"/>
      <c r="G67" s="277">
        <v>0</v>
      </c>
      <c r="H67" s="277"/>
      <c r="I67" s="401">
        <v>8.7000000000000001E-4</v>
      </c>
      <c r="J67" s="354">
        <f t="shared" si="20"/>
        <v>8.7000000000000001E-4</v>
      </c>
      <c r="O67" s="426"/>
      <c r="P67" s="426"/>
    </row>
    <row r="68" spans="1:16" ht="14" x14ac:dyDescent="0.3">
      <c r="A68" s="151">
        <f>IF(C68&lt;&gt;"",COUNTA($C$12:C68),"")</f>
        <v>54</v>
      </c>
      <c r="B68" s="151"/>
      <c r="C68" s="293" t="str">
        <f>+'Bill_Bos G1 nonDem'!C57</f>
        <v>Vegetation Management</v>
      </c>
      <c r="D68" s="293"/>
      <c r="E68" s="274"/>
      <c r="G68" s="277">
        <v>0</v>
      </c>
      <c r="H68" s="277"/>
      <c r="I68" s="401">
        <v>1.73E-3</v>
      </c>
      <c r="J68" s="354">
        <f t="shared" si="20"/>
        <v>1.73E-3</v>
      </c>
      <c r="O68" s="426"/>
      <c r="P68" s="426"/>
    </row>
    <row r="69" spans="1:16" ht="14" x14ac:dyDescent="0.3">
      <c r="A69" s="151">
        <f>IF(C69&lt;&gt;"",COUNTA($C$12:C69),"")</f>
        <v>55</v>
      </c>
      <c r="B69" s="151"/>
      <c r="C69" s="293" t="str">
        <f>+'Bill_Bos G1 nonDem'!C58</f>
        <v>Solar Massachusetts Renewable Target</v>
      </c>
      <c r="D69" s="339"/>
      <c r="E69" s="339"/>
      <c r="F69" s="277"/>
      <c r="G69" s="277">
        <v>0</v>
      </c>
      <c r="H69" s="277"/>
      <c r="I69" s="401">
        <v>1.01E-3</v>
      </c>
      <c r="J69" s="354">
        <f t="shared" si="20"/>
        <v>1.01E-3</v>
      </c>
      <c r="K69" s="339"/>
      <c r="L69" s="339"/>
      <c r="O69" s="426"/>
      <c r="P69" s="426"/>
    </row>
    <row r="70" spans="1:16" ht="14" x14ac:dyDescent="0.3">
      <c r="A70" s="151">
        <f>IF(C70&lt;&gt;"",COUNTA($C$12:C70),"")</f>
        <v>56</v>
      </c>
      <c r="B70" s="151"/>
      <c r="C70" s="293" t="str">
        <f>+'Bill_Bos G1 nonDem'!C59</f>
        <v>Tax Act Credit Factor</v>
      </c>
      <c r="D70" s="339"/>
      <c r="E70" s="339"/>
      <c r="F70" s="277"/>
      <c r="G70" s="277">
        <v>0</v>
      </c>
      <c r="H70" s="277"/>
      <c r="I70" s="401">
        <v>-1.5399999999999999E-3</v>
      </c>
      <c r="J70" s="354">
        <f t="shared" si="20"/>
        <v>-1.5399999999999999E-3</v>
      </c>
      <c r="K70" s="339"/>
      <c r="L70" s="339"/>
      <c r="O70" s="426"/>
      <c r="P70" s="426"/>
    </row>
    <row r="71" spans="1:16" ht="14" x14ac:dyDescent="0.3">
      <c r="A71" s="151">
        <f>IF(C71&lt;&gt;"",COUNTA($C$12:C71),"")</f>
        <v>57</v>
      </c>
      <c r="B71" s="151"/>
      <c r="C71" s="293" t="str">
        <f>+'Bill_Bos G1 nonDem'!C60</f>
        <v>Transition</v>
      </c>
      <c r="D71" s="293"/>
      <c r="E71" s="274"/>
      <c r="G71" s="277">
        <v>-6.0999999999999997E-4</v>
      </c>
      <c r="H71" s="277"/>
      <c r="I71" s="401">
        <v>-5.1999999999999995E-4</v>
      </c>
      <c r="J71" s="354">
        <f t="shared" si="20"/>
        <v>9.0000000000000019E-5</v>
      </c>
      <c r="O71" s="426"/>
      <c r="P71" s="426"/>
    </row>
    <row r="72" spans="1:16" ht="14" x14ac:dyDescent="0.3">
      <c r="A72" s="151">
        <f>IF(C72&lt;&gt;"",COUNTA($C$13:C72),"")</f>
        <v>57</v>
      </c>
      <c r="B72" s="151"/>
      <c r="C72" s="293" t="s">
        <v>384</v>
      </c>
      <c r="D72" s="293"/>
      <c r="E72" s="274"/>
      <c r="G72" s="277">
        <v>1.9310000000000001E-2</v>
      </c>
      <c r="H72" s="308"/>
      <c r="I72" s="308">
        <v>1.6995477135063837E-2</v>
      </c>
      <c r="J72" s="354">
        <f t="shared" si="20"/>
        <v>-2.3145228649361638E-3</v>
      </c>
      <c r="O72" s="426"/>
      <c r="P72" s="428"/>
    </row>
    <row r="73" spans="1:16" ht="14" x14ac:dyDescent="0.3">
      <c r="A73" s="151">
        <f>IF(C73&lt;&gt;"",COUNTA($C$13:C73),"")</f>
        <v>58</v>
      </c>
      <c r="B73" s="151"/>
      <c r="C73" s="293" t="s">
        <v>385</v>
      </c>
      <c r="D73" s="293"/>
      <c r="E73" s="274"/>
      <c r="G73" s="277">
        <v>1.9310000000000001E-2</v>
      </c>
      <c r="H73" s="308"/>
      <c r="I73" s="308">
        <v>1.6995477135063837E-2</v>
      </c>
      <c r="J73" s="354">
        <f t="shared" si="20"/>
        <v>-2.3145228649361638E-3</v>
      </c>
      <c r="O73" s="426"/>
      <c r="P73" s="428"/>
    </row>
    <row r="74" spans="1:16" ht="14" x14ac:dyDescent="0.3">
      <c r="A74" s="151">
        <f>IF(C74&lt;&gt;"",COUNTA($C$13:C74),"")</f>
        <v>59</v>
      </c>
      <c r="B74" s="151"/>
      <c r="C74" s="293" t="s">
        <v>386</v>
      </c>
      <c r="D74" s="293"/>
      <c r="E74" s="274"/>
      <c r="G74" s="277">
        <v>0</v>
      </c>
      <c r="H74" s="308"/>
      <c r="I74" s="308">
        <v>0</v>
      </c>
      <c r="J74" s="354">
        <f t="shared" si="20"/>
        <v>0</v>
      </c>
      <c r="O74" s="426"/>
      <c r="P74" s="428"/>
    </row>
    <row r="75" spans="1:16" ht="14" x14ac:dyDescent="0.3">
      <c r="A75" s="151">
        <f>IF(C75&lt;&gt;"",COUNTA($C$13:C75),"")</f>
        <v>60</v>
      </c>
      <c r="B75" s="151"/>
      <c r="C75" s="293" t="str">
        <f>+'Bill_Bos G1 nonDem'!C62</f>
        <v>Energy Efficiency Reconciliation Factor</v>
      </c>
      <c r="D75" s="293"/>
      <c r="E75" s="274"/>
      <c r="G75" s="277">
        <v>8.4600000000000005E-3</v>
      </c>
      <c r="H75" s="308"/>
      <c r="I75" s="308">
        <v>8.4600000000000005E-3</v>
      </c>
      <c r="J75" s="354">
        <f t="shared" si="20"/>
        <v>0</v>
      </c>
      <c r="O75" s="426"/>
      <c r="P75" s="426"/>
    </row>
    <row r="76" spans="1:16" ht="14" x14ac:dyDescent="0.3">
      <c r="A76" s="151">
        <f>IF(C76&lt;&gt;"",COUNTA($C$13:C76),"")</f>
        <v>61</v>
      </c>
      <c r="B76" s="151"/>
      <c r="C76" s="293" t="str">
        <f>+'Bill_Bos G1 nonDem'!C63</f>
        <v>System Benefits Charge</v>
      </c>
      <c r="D76" s="293"/>
      <c r="E76" s="274"/>
      <c r="G76" s="277">
        <v>2.5000000000000001E-3</v>
      </c>
      <c r="H76" s="308"/>
      <c r="I76" s="308">
        <f>+G76</f>
        <v>2.5000000000000001E-3</v>
      </c>
      <c r="J76" s="354">
        <f t="shared" si="20"/>
        <v>0</v>
      </c>
      <c r="O76" s="426"/>
      <c r="P76" s="426"/>
    </row>
    <row r="77" spans="1:16" ht="14" x14ac:dyDescent="0.3">
      <c r="A77" s="151">
        <f>IF(C77&lt;&gt;"",COUNTA($C$13:C77),"")</f>
        <v>62</v>
      </c>
      <c r="B77" s="151"/>
      <c r="C77" s="293" t="str">
        <f>+'Bill_Bos G1 nonDem'!C64</f>
        <v>Renewable Energy Charge</v>
      </c>
      <c r="D77" s="293"/>
      <c r="E77" s="274"/>
      <c r="G77" s="277">
        <v>5.0000000000000001E-4</v>
      </c>
      <c r="H77" s="308"/>
      <c r="I77" s="308">
        <f>+G77</f>
        <v>5.0000000000000001E-4</v>
      </c>
      <c r="J77" s="354">
        <f t="shared" si="20"/>
        <v>0</v>
      </c>
      <c r="O77" s="426"/>
      <c r="P77" s="426"/>
    </row>
    <row r="78" spans="1:16" ht="14" x14ac:dyDescent="0.3">
      <c r="A78" s="151">
        <f>IF(C78&lt;&gt;"",COUNTA($C$13:C78),"")</f>
        <v>63</v>
      </c>
      <c r="B78" s="151"/>
      <c r="C78" s="293" t="str">
        <f>+'Bill_Bos G1 nonDem'!C65</f>
        <v>Basic Service Charge</v>
      </c>
      <c r="D78" s="293"/>
      <c r="E78" s="274"/>
      <c r="G78" s="308">
        <v>0.11402999999999999</v>
      </c>
      <c r="H78" s="308"/>
      <c r="I78" s="308">
        <v>0.13185000000000002</v>
      </c>
      <c r="J78" s="354">
        <f t="shared" si="20"/>
        <v>1.782000000000003E-2</v>
      </c>
      <c r="O78" s="426"/>
      <c r="P78" s="426"/>
    </row>
    <row r="81" spans="3:10" ht="14" x14ac:dyDescent="0.3">
      <c r="C81" s="369" t="s">
        <v>537</v>
      </c>
    </row>
    <row r="82" spans="3:10" ht="14" x14ac:dyDescent="0.3">
      <c r="C82" s="369" t="s">
        <v>570</v>
      </c>
      <c r="G82" s="378">
        <f>G46+G47</f>
        <v>18.46</v>
      </c>
      <c r="I82" s="378">
        <f>I46+I47</f>
        <v>16.23</v>
      </c>
      <c r="J82" s="421">
        <f t="shared" ref="J82:J85" si="21">+I82-G82</f>
        <v>-2.2300000000000004</v>
      </c>
    </row>
    <row r="83" spans="3:10" ht="14" x14ac:dyDescent="0.3">
      <c r="C83" s="293" t="s">
        <v>571</v>
      </c>
      <c r="G83" s="403">
        <f>SUM(G51,G$57:G$71,G72,G$75:G$77)</f>
        <v>8.9889999999999998E-2</v>
      </c>
      <c r="I83" s="403">
        <f>SUM(I51,I$57:I$71,I72,I$75:I$77)</f>
        <v>9.1235477135063831E-2</v>
      </c>
      <c r="J83" s="354">
        <f t="shared" si="21"/>
        <v>1.3454771350638328E-3</v>
      </c>
    </row>
    <row r="84" spans="3:10" ht="14" x14ac:dyDescent="0.3">
      <c r="C84" s="293" t="s">
        <v>572</v>
      </c>
      <c r="G84" s="403">
        <f>SUM(G52,G$57:G$71,G73,G$75:G$77)</f>
        <v>8.4589999999999999E-2</v>
      </c>
      <c r="I84" s="403">
        <f>SUM(I52,I$57:I$71,I73,I$75:I$77)</f>
        <v>8.5705477135063837E-2</v>
      </c>
      <c r="J84" s="354">
        <f t="shared" si="21"/>
        <v>1.1154771350638387E-3</v>
      </c>
    </row>
    <row r="85" spans="3:10" ht="14" x14ac:dyDescent="0.3">
      <c r="C85" s="293" t="s">
        <v>573</v>
      </c>
      <c r="G85" s="403">
        <f>SUM(G53,G$57:G$71,G74,G$75:G$77)</f>
        <v>5.3390000000000007E-2</v>
      </c>
      <c r="I85" s="403">
        <f>SUM(I53,I$57:I$71,I74,I$75:I$77)</f>
        <v>5.6320000000000002E-2</v>
      </c>
      <c r="J85" s="354">
        <f t="shared" si="21"/>
        <v>2.9299999999999951E-3</v>
      </c>
    </row>
    <row r="86" spans="3:10" ht="14" x14ac:dyDescent="0.3">
      <c r="I86" s="429"/>
      <c r="J86" s="374"/>
    </row>
    <row r="87" spans="3:10" ht="14" x14ac:dyDescent="0.3">
      <c r="C87" s="369" t="s">
        <v>538</v>
      </c>
      <c r="I87" s="429"/>
      <c r="J87" s="374"/>
    </row>
    <row r="88" spans="3:10" ht="14" x14ac:dyDescent="0.3">
      <c r="C88" s="369" t="str">
        <f>C82</f>
        <v>Total Demand &gt;10 kW</v>
      </c>
      <c r="G88" s="378">
        <f>G49+G50</f>
        <v>57.32</v>
      </c>
      <c r="I88" s="378">
        <f>I49+I50</f>
        <v>47.62</v>
      </c>
      <c r="J88" s="421">
        <f t="shared" ref="J88:J91" si="22">+I88-G88</f>
        <v>-9.7000000000000028</v>
      </c>
    </row>
    <row r="89" spans="3:10" ht="14" x14ac:dyDescent="0.3">
      <c r="C89" s="369" t="str">
        <f t="shared" ref="C89:C91" si="23">C83</f>
        <v>Total Energy - 1st 2000 kWh</v>
      </c>
      <c r="G89" s="403">
        <f>SUM(G54,G$57:G$71,G72,G$75:G$77)</f>
        <v>0.11459</v>
      </c>
      <c r="I89" s="403">
        <f>SUM(I54,I$57:I$71,I72,I$75:I$77)</f>
        <v>0.11696547713506383</v>
      </c>
      <c r="J89" s="354">
        <f t="shared" si="22"/>
        <v>2.375477135063836E-3</v>
      </c>
    </row>
    <row r="90" spans="3:10" ht="14" x14ac:dyDescent="0.3">
      <c r="C90" s="369" t="str">
        <f t="shared" si="23"/>
        <v>Total Energy - next 150 hrs*kW</v>
      </c>
      <c r="G90" s="403">
        <f>SUM(G55,G$57:G$71,G73,G$75:G$77)</f>
        <v>8.8899999999999993E-2</v>
      </c>
      <c r="I90" s="403">
        <f>SUM(I55,I$57:I$71,I73,I$75:I$77)</f>
        <v>9.0195477135063831E-2</v>
      </c>
      <c r="J90" s="354">
        <f t="shared" si="22"/>
        <v>1.2954771350638383E-3</v>
      </c>
    </row>
    <row r="91" spans="3:10" ht="14" x14ac:dyDescent="0.3">
      <c r="C91" s="369" t="str">
        <f t="shared" si="23"/>
        <v>Total Energy - remainder kWh</v>
      </c>
      <c r="G91" s="403">
        <f>SUM(G56,G$57:G$71,G74,G$75:G$77)</f>
        <v>5.4590000000000007E-2</v>
      </c>
      <c r="I91" s="403">
        <f>SUM(I56,I$57:I$71,I74,I$75:I$77)</f>
        <v>5.7570000000000003E-2</v>
      </c>
      <c r="J91" s="354">
        <f t="shared" si="22"/>
        <v>2.9799999999999965E-3</v>
      </c>
    </row>
    <row r="92" spans="3:10" ht="14" x14ac:dyDescent="0.3">
      <c r="G92" s="403"/>
      <c r="I92" s="403"/>
      <c r="J92" s="403"/>
    </row>
    <row r="93" spans="3:10" ht="14" x14ac:dyDescent="0.3">
      <c r="C93" s="369" t="str">
        <f>'Bill_Bos G1 nonDem'!C70</f>
        <v>Total Basic Service</v>
      </c>
      <c r="G93" s="403">
        <f>G78</f>
        <v>0.11402999999999999</v>
      </c>
      <c r="I93" s="403">
        <f>I78</f>
        <v>0.13185000000000002</v>
      </c>
      <c r="J93" s="354">
        <f t="shared" ref="J93" si="24">+I93-G93</f>
        <v>1.782000000000003E-2</v>
      </c>
    </row>
  </sheetData>
  <mergeCells count="11">
    <mergeCell ref="E27:G27"/>
    <mergeCell ref="I27:K27"/>
    <mergeCell ref="M27:N27"/>
    <mergeCell ref="A4:N4"/>
    <mergeCell ref="A5:N5"/>
    <mergeCell ref="A6:N6"/>
    <mergeCell ref="A8:N8"/>
    <mergeCell ref="A9:N9"/>
    <mergeCell ref="E13:G13"/>
    <mergeCell ref="I13:K13"/>
    <mergeCell ref="M13:N13"/>
  </mergeCells>
  <pageMargins left="0.7" right="0.7" top="0.75" bottom="0.75" header="0.3" footer="0.3"/>
  <pageSetup scale="63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F6A43-B3ED-4DCD-AD8C-2522BC647E32}">
  <sheetPr>
    <tabColor theme="3" tint="0.59999389629810485"/>
    <pageSetUpPr fitToPage="1"/>
  </sheetPr>
  <dimension ref="A3:AF93"/>
  <sheetViews>
    <sheetView zoomScaleNormal="100" workbookViewId="0"/>
  </sheetViews>
  <sheetFormatPr defaultRowHeight="12.5" x14ac:dyDescent="0.25"/>
  <cols>
    <col min="1" max="1" width="4" customWidth="1"/>
    <col min="2" max="2" width="4.453125" bestFit="1" customWidth="1"/>
    <col min="3" max="4" width="9.7265625" customWidth="1"/>
    <col min="5" max="7" width="14.7265625" customWidth="1"/>
    <col min="8" max="8" width="1.7265625" customWidth="1"/>
    <col min="9" max="11" width="14.7265625" customWidth="1"/>
    <col min="12" max="12" width="1.7265625" customWidth="1"/>
    <col min="13" max="14" width="11.7265625" customWidth="1"/>
    <col min="15" max="15" width="10.81640625" bestFit="1" customWidth="1"/>
    <col min="16" max="16" width="11.54296875" bestFit="1" customWidth="1"/>
    <col min="17" max="17" width="10.453125" bestFit="1" customWidth="1"/>
    <col min="18" max="18" width="10.1796875" bestFit="1" customWidth="1"/>
    <col min="19" max="19" width="9.81640625" bestFit="1" customWidth="1"/>
    <col min="20" max="20" width="9.7265625" bestFit="1" customWidth="1"/>
    <col min="21" max="21" width="10.81640625" bestFit="1" customWidth="1"/>
    <col min="22" max="22" width="10.1796875" bestFit="1" customWidth="1"/>
    <col min="23" max="23" width="8.453125" bestFit="1" customWidth="1"/>
    <col min="24" max="24" width="10.81640625" bestFit="1" customWidth="1"/>
    <col min="25" max="25" width="11.54296875" bestFit="1" customWidth="1"/>
    <col min="26" max="26" width="10.453125" bestFit="1" customWidth="1"/>
    <col min="27" max="27" width="10.1796875" bestFit="1" customWidth="1"/>
    <col min="28" max="28" width="9.81640625" bestFit="1" customWidth="1"/>
    <col min="29" max="29" width="9.7265625" bestFit="1" customWidth="1"/>
    <col min="30" max="30" width="10.81640625" bestFit="1" customWidth="1"/>
    <col min="31" max="31" width="10.1796875" bestFit="1" customWidth="1"/>
    <col min="32" max="32" width="8.453125" bestFit="1" customWidth="1"/>
  </cols>
  <sheetData>
    <row r="3" spans="1:32" ht="14" x14ac:dyDescent="0.3">
      <c r="A3" s="365"/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</row>
    <row r="4" spans="1:32" ht="14" x14ac:dyDescent="0.3">
      <c r="A4" s="762" t="str">
        <f>'Bill_Bos G1 Dmd p1'!A4:N4</f>
        <v>Eastern Massachusetts</v>
      </c>
      <c r="B4" s="762"/>
      <c r="C4" s="762"/>
      <c r="D4" s="762"/>
      <c r="E4" s="762"/>
      <c r="F4" s="762"/>
      <c r="G4" s="762"/>
      <c r="H4" s="762"/>
      <c r="I4" s="762"/>
      <c r="J4" s="762"/>
      <c r="K4" s="762"/>
      <c r="L4" s="762"/>
      <c r="M4" s="762"/>
      <c r="N4" s="762"/>
    </row>
    <row r="5" spans="1:32" ht="14" x14ac:dyDescent="0.3">
      <c r="A5" s="762" t="str">
        <f>+'Bill_Bos G1 nonDem'!A5</f>
        <v>Calculation of Monthly Typical Bill</v>
      </c>
      <c r="B5" s="762"/>
      <c r="C5" s="762"/>
      <c r="D5" s="762"/>
      <c r="E5" s="762"/>
      <c r="F5" s="762"/>
      <c r="G5" s="762"/>
      <c r="H5" s="762"/>
      <c r="I5" s="762"/>
      <c r="J5" s="762"/>
      <c r="K5" s="762"/>
      <c r="L5" s="762"/>
      <c r="M5" s="762"/>
      <c r="N5" s="762"/>
    </row>
    <row r="6" spans="1:32" ht="14" x14ac:dyDescent="0.3">
      <c r="A6" s="762" t="str">
        <f>+'Bill_Bos G1 nonDem'!A6</f>
        <v>Proposed January 1, 2019</v>
      </c>
      <c r="B6" s="762"/>
      <c r="C6" s="762"/>
      <c r="D6" s="762"/>
      <c r="E6" s="762"/>
      <c r="F6" s="762"/>
      <c r="G6" s="762"/>
      <c r="H6" s="762"/>
      <c r="I6" s="762"/>
      <c r="J6" s="762"/>
      <c r="K6" s="762"/>
      <c r="L6" s="762"/>
      <c r="M6" s="762"/>
      <c r="N6" s="762"/>
    </row>
    <row r="7" spans="1:32" ht="14" x14ac:dyDescent="0.3">
      <c r="A7" s="365"/>
      <c r="B7" s="365"/>
      <c r="C7" s="365"/>
      <c r="D7" s="365"/>
      <c r="E7" s="365"/>
      <c r="F7" s="365"/>
      <c r="G7" s="365"/>
      <c r="H7" s="365"/>
      <c r="I7" s="365"/>
      <c r="J7" s="365"/>
      <c r="K7" s="365"/>
      <c r="L7" s="365"/>
      <c r="M7" s="365"/>
      <c r="N7" s="365"/>
    </row>
    <row r="8" spans="1:32" ht="14" x14ac:dyDescent="0.3">
      <c r="A8" s="762" t="str">
        <f>+'Bill_Bos G1 nonDem'!A8</f>
        <v>Greater Boston Service Area</v>
      </c>
      <c r="B8" s="762"/>
      <c r="C8" s="762"/>
      <c r="D8" s="762"/>
      <c r="E8" s="762"/>
      <c r="F8" s="762"/>
      <c r="G8" s="762"/>
      <c r="H8" s="762"/>
      <c r="I8" s="762"/>
      <c r="J8" s="762"/>
      <c r="K8" s="762"/>
      <c r="L8" s="762"/>
      <c r="M8" s="762"/>
      <c r="N8" s="762"/>
    </row>
    <row r="9" spans="1:32" ht="14" x14ac:dyDescent="0.3">
      <c r="A9" s="762" t="s">
        <v>354</v>
      </c>
      <c r="B9" s="762"/>
      <c r="C9" s="762"/>
      <c r="D9" s="762"/>
      <c r="E9" s="762"/>
      <c r="F9" s="762"/>
      <c r="G9" s="762"/>
      <c r="H9" s="762"/>
      <c r="I9" s="762"/>
      <c r="J9" s="762"/>
      <c r="K9" s="762"/>
      <c r="L9" s="762"/>
      <c r="M9" s="762"/>
      <c r="N9" s="762"/>
    </row>
    <row r="10" spans="1:32" ht="14" x14ac:dyDescent="0.3">
      <c r="A10" s="430"/>
      <c r="B10" s="430"/>
      <c r="C10" s="430"/>
      <c r="D10" s="430"/>
      <c r="E10" s="430"/>
      <c r="F10" s="430"/>
      <c r="G10" s="430"/>
      <c r="H10" s="430"/>
      <c r="I10" s="430"/>
      <c r="J10" s="430"/>
      <c r="K10" s="430"/>
      <c r="L10" s="430"/>
      <c r="M10" s="430"/>
      <c r="N10" s="430"/>
    </row>
    <row r="11" spans="1:32" ht="14" x14ac:dyDescent="0.3">
      <c r="A11" s="430"/>
      <c r="B11" s="430"/>
      <c r="C11" s="430"/>
      <c r="D11" s="430"/>
      <c r="E11" s="430"/>
      <c r="F11" s="430"/>
      <c r="G11" s="430"/>
      <c r="H11" s="430"/>
      <c r="I11" s="430"/>
      <c r="J11" s="430"/>
      <c r="K11" s="430"/>
      <c r="L11" s="430"/>
      <c r="M11" s="430"/>
      <c r="N11" s="430"/>
    </row>
    <row r="12" spans="1:32" ht="14" x14ac:dyDescent="0.3">
      <c r="A12" s="151">
        <f>IF(C12&lt;&gt;"",COUNTA($C12:C$12),"")</f>
        <v>1</v>
      </c>
      <c r="B12" s="151"/>
      <c r="C12" s="405" t="s">
        <v>574</v>
      </c>
      <c r="D12" s="366"/>
      <c r="E12" s="366"/>
      <c r="F12" s="366"/>
      <c r="G12" s="366"/>
      <c r="H12" s="366"/>
      <c r="I12" s="366"/>
      <c r="J12" s="366"/>
      <c r="K12" s="366"/>
      <c r="L12" s="366"/>
      <c r="M12" s="366"/>
      <c r="N12" s="366"/>
    </row>
    <row r="13" spans="1:32" ht="14" x14ac:dyDescent="0.3">
      <c r="A13" s="151">
        <f>IF(C13&lt;&gt;"",COUNTA($C$12:C13),"")</f>
        <v>2</v>
      </c>
      <c r="B13" s="151"/>
      <c r="C13" s="406" t="str">
        <f>+'Bill_Bos G1 nonDem'!C12</f>
        <v>Monthly</v>
      </c>
      <c r="D13" s="366" t="str">
        <f>+C13</f>
        <v>Monthly</v>
      </c>
      <c r="E13" s="760" t="str">
        <f>+'Bill_Bos G1 nonDem'!D12</f>
        <v>Current Monthly Bill (Winter)</v>
      </c>
      <c r="F13" s="760"/>
      <c r="G13" s="760"/>
      <c r="H13" s="293"/>
      <c r="I13" s="760" t="str">
        <f>+'Bill_Bos G1 nonDem'!H12</f>
        <v>Proposed Monthly Bill (Winter)</v>
      </c>
      <c r="J13" s="760"/>
      <c r="K13" s="760"/>
      <c r="M13" s="760" t="s">
        <v>550</v>
      </c>
      <c r="N13" s="760"/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  <c r="AA13" s="369"/>
      <c r="AB13" s="369"/>
      <c r="AC13" s="369"/>
      <c r="AD13" s="369"/>
      <c r="AE13" s="369"/>
      <c r="AF13" s="369"/>
    </row>
    <row r="14" spans="1:32" ht="14" x14ac:dyDescent="0.3">
      <c r="A14" s="151">
        <f>IF(C14&lt;&gt;"",COUNTA($C$12:C14),"")</f>
        <v>3</v>
      </c>
      <c r="B14" s="151"/>
      <c r="C14" s="408" t="s">
        <v>534</v>
      </c>
      <c r="D14" s="370" t="s">
        <v>551</v>
      </c>
      <c r="E14" s="370" t="s">
        <v>552</v>
      </c>
      <c r="F14" s="370" t="s">
        <v>553</v>
      </c>
      <c r="G14" s="370" t="s">
        <v>47</v>
      </c>
      <c r="H14" s="293"/>
      <c r="I14" s="370" t="s">
        <v>552</v>
      </c>
      <c r="J14" s="370" t="s">
        <v>553</v>
      </c>
      <c r="K14" s="370" t="s">
        <v>47</v>
      </c>
      <c r="M14" s="370" t="s">
        <v>65</v>
      </c>
      <c r="N14" s="370" t="s">
        <v>325</v>
      </c>
      <c r="O14" s="369"/>
      <c r="P14" s="369"/>
      <c r="Q14" s="369"/>
      <c r="R14" s="369"/>
      <c r="S14" s="369"/>
      <c r="T14" s="369"/>
      <c r="U14" s="369"/>
      <c r="V14" s="369"/>
      <c r="W14" s="369"/>
      <c r="X14" s="369"/>
      <c r="Y14" s="369"/>
      <c r="Z14" s="369"/>
      <c r="AA14" s="369"/>
      <c r="AB14" s="369"/>
      <c r="AC14" s="369"/>
      <c r="AD14" s="369"/>
      <c r="AE14" s="369"/>
      <c r="AF14" s="369"/>
    </row>
    <row r="15" spans="1:32" ht="14" x14ac:dyDescent="0.3">
      <c r="A15" s="151">
        <f>IF(C15&lt;&gt;"",COUNTA($C$12:C15),"")</f>
        <v>4</v>
      </c>
      <c r="B15" s="151"/>
      <c r="C15" s="409">
        <f>+'Bill_Bos G1 Dmd p1'!C15</f>
        <v>1</v>
      </c>
      <c r="D15" s="409">
        <f>+C15*250</f>
        <v>250</v>
      </c>
      <c r="E15" s="372">
        <f t="shared" ref="E15:E25" si="0">ROUND($G$44+IF($C15&lt;=10,0,($C15-10)*SUM($G$46,$G$47)),2)+ROUND(IF($D15&gt;(2000+150*$C15),($D15-(2000+150*$C15))*($G$53+$G$74)+150*$C15*($G$52+$G$73)+2000*($G$51+$G$72),IF($D15&gt;2000,($D15-2000)*($G$52+$G$73)+2000*($G$51+$G$72),$D15*($G$51+$G$72))),2)+ROUND($D15*SUM($G$57:$G$71,$G$75:$G$77),2)</f>
        <v>33.47</v>
      </c>
      <c r="F15" s="372">
        <f>ROUND($G$78*D15,2)</f>
        <v>28.51</v>
      </c>
      <c r="G15" s="372">
        <f t="shared" ref="G15:G25" si="1">SUM(E15:F15)</f>
        <v>61.980000000000004</v>
      </c>
      <c r="H15" s="373"/>
      <c r="I15" s="372">
        <f t="shared" ref="I15:I25" si="2">ROUND($I$44+IF($C15&lt;=10,0,($C15-10)*SUM($I$46,$I$47)),2)+ROUND(IF($D15&gt;(2000+150*$C15),($D15-(2000+150*$C15))*($I$53+$I$74)+150*$C15*($I$52+$I$73)+2000*($I$51+$I$72),IF($D15&gt;2000,($D15-2000)*($I$52+$I$73)+2000*($I$51+$I$72),$D15*($I$51+$I$72))),2)+ROUND($D15*SUM($I$57:$I$71,$I$75:$I$77),2)</f>
        <v>33.81</v>
      </c>
      <c r="J15" s="372">
        <f t="shared" ref="J15:J25" si="3">ROUND($I$78*D15,2)</f>
        <v>32.96</v>
      </c>
      <c r="K15" s="372">
        <f t="shared" ref="K15:K25" si="4">SUM(I15:J15)</f>
        <v>66.77000000000001</v>
      </c>
      <c r="L15" s="374"/>
      <c r="M15" s="375">
        <f t="shared" ref="M15:M25" si="5">+K15-G15</f>
        <v>4.7900000000000063</v>
      </c>
      <c r="N15" s="376">
        <f t="shared" ref="N15:N25" si="6">+M15/G15</f>
        <v>7.7282994514359563E-2</v>
      </c>
      <c r="O15" s="377"/>
      <c r="P15" s="322"/>
      <c r="Q15" s="322"/>
      <c r="R15" s="322"/>
      <c r="S15" s="322"/>
      <c r="T15" s="322"/>
      <c r="U15" s="322"/>
      <c r="V15" s="377"/>
      <c r="W15" s="378"/>
      <c r="X15" s="377"/>
      <c r="Y15" s="322"/>
      <c r="Z15" s="322"/>
      <c r="AA15" s="322"/>
      <c r="AB15" s="322"/>
      <c r="AC15" s="322"/>
      <c r="AD15" s="322"/>
      <c r="AE15" s="377"/>
      <c r="AF15" s="378">
        <f t="shared" ref="AF15:AF25" si="7">AE15-K15</f>
        <v>-66.77000000000001</v>
      </c>
    </row>
    <row r="16" spans="1:32" ht="14" x14ac:dyDescent="0.3">
      <c r="A16" s="151">
        <f>IF(C16&lt;&gt;"",COUNTA($C$12:C16),"")</f>
        <v>5</v>
      </c>
      <c r="B16" s="151"/>
      <c r="C16" s="409">
        <f>+'Bill_Bos G1 Dmd p1'!C16</f>
        <v>2</v>
      </c>
      <c r="D16" s="409">
        <f t="shared" ref="D16:D25" si="8">+C16*250</f>
        <v>500</v>
      </c>
      <c r="E16" s="372">
        <f t="shared" si="0"/>
        <v>55.949999999999996</v>
      </c>
      <c r="F16" s="372">
        <f t="shared" ref="F16:F25" si="9">ROUND(G$78*D16,2)</f>
        <v>57.02</v>
      </c>
      <c r="G16" s="372">
        <f t="shared" si="1"/>
        <v>112.97</v>
      </c>
      <c r="H16" s="373"/>
      <c r="I16" s="372">
        <f t="shared" si="2"/>
        <v>56.62</v>
      </c>
      <c r="J16" s="372">
        <f t="shared" si="3"/>
        <v>65.930000000000007</v>
      </c>
      <c r="K16" s="372">
        <f t="shared" si="4"/>
        <v>122.55000000000001</v>
      </c>
      <c r="L16" s="374"/>
      <c r="M16" s="375">
        <f t="shared" si="5"/>
        <v>9.5800000000000125</v>
      </c>
      <c r="N16" s="376">
        <f t="shared" si="6"/>
        <v>8.4801274674692506E-2</v>
      </c>
      <c r="O16" s="377"/>
      <c r="P16" s="322"/>
      <c r="Q16" s="322"/>
      <c r="R16" s="322"/>
      <c r="S16" s="322"/>
      <c r="T16" s="322"/>
      <c r="U16" s="322"/>
      <c r="V16" s="377"/>
      <c r="W16" s="378"/>
      <c r="X16" s="377"/>
      <c r="Y16" s="322"/>
      <c r="Z16" s="322"/>
      <c r="AA16" s="322"/>
      <c r="AB16" s="322"/>
      <c r="AC16" s="322"/>
      <c r="AD16" s="322"/>
      <c r="AE16" s="377"/>
      <c r="AF16" s="378">
        <f t="shared" si="7"/>
        <v>-122.55000000000001</v>
      </c>
    </row>
    <row r="17" spans="1:32" ht="14" x14ac:dyDescent="0.3">
      <c r="A17" s="151">
        <f>IF(C17&lt;&gt;"",COUNTA($C$12:C17),"")</f>
        <v>6</v>
      </c>
      <c r="B17" s="151"/>
      <c r="C17" s="409">
        <f>+'Bill_Bos G1 Dmd p1'!C17</f>
        <v>3</v>
      </c>
      <c r="D17" s="409">
        <f t="shared" si="8"/>
        <v>750</v>
      </c>
      <c r="E17" s="372">
        <f t="shared" si="0"/>
        <v>78.42</v>
      </c>
      <c r="F17" s="372">
        <f t="shared" si="9"/>
        <v>85.52</v>
      </c>
      <c r="G17" s="372">
        <f t="shared" si="1"/>
        <v>163.94</v>
      </c>
      <c r="H17" s="373"/>
      <c r="I17" s="372">
        <f t="shared" si="2"/>
        <v>79.430000000000007</v>
      </c>
      <c r="J17" s="372">
        <f t="shared" si="3"/>
        <v>98.89</v>
      </c>
      <c r="K17" s="372">
        <f t="shared" si="4"/>
        <v>178.32</v>
      </c>
      <c r="L17" s="374"/>
      <c r="M17" s="375">
        <f t="shared" si="5"/>
        <v>14.379999999999995</v>
      </c>
      <c r="N17" s="376">
        <f t="shared" si="6"/>
        <v>8.7715017689398531E-2</v>
      </c>
      <c r="O17" s="377"/>
      <c r="P17" s="322"/>
      <c r="Q17" s="322"/>
      <c r="R17" s="322"/>
      <c r="S17" s="322"/>
      <c r="T17" s="322"/>
      <c r="U17" s="322"/>
      <c r="V17" s="377"/>
      <c r="W17" s="378"/>
      <c r="X17" s="377"/>
      <c r="Y17" s="322"/>
      <c r="Z17" s="322"/>
      <c r="AA17" s="322"/>
      <c r="AB17" s="322"/>
      <c r="AC17" s="322"/>
      <c r="AD17" s="322"/>
      <c r="AE17" s="377"/>
      <c r="AF17" s="378">
        <f t="shared" si="7"/>
        <v>-178.32</v>
      </c>
    </row>
    <row r="18" spans="1:32" ht="14" x14ac:dyDescent="0.3">
      <c r="A18" s="151">
        <f>IF(C18&lt;&gt;"",COUNTA($C$12:C18),"")</f>
        <v>7</v>
      </c>
      <c r="B18" s="151"/>
      <c r="C18" s="409">
        <f>+'Bill_Bos G1 Dmd p1'!C18</f>
        <v>4</v>
      </c>
      <c r="D18" s="409">
        <f t="shared" si="8"/>
        <v>1000</v>
      </c>
      <c r="E18" s="372">
        <f t="shared" si="0"/>
        <v>100.89</v>
      </c>
      <c r="F18" s="372">
        <f t="shared" si="9"/>
        <v>114.03</v>
      </c>
      <c r="G18" s="372">
        <f t="shared" si="1"/>
        <v>214.92000000000002</v>
      </c>
      <c r="H18" s="373"/>
      <c r="I18" s="372">
        <f t="shared" si="2"/>
        <v>102.24</v>
      </c>
      <c r="J18" s="372">
        <f t="shared" si="3"/>
        <v>131.85</v>
      </c>
      <c r="K18" s="372">
        <f t="shared" si="4"/>
        <v>234.08999999999997</v>
      </c>
      <c r="L18" s="374"/>
      <c r="M18" s="375">
        <f t="shared" si="5"/>
        <v>19.169999999999959</v>
      </c>
      <c r="N18" s="376">
        <f t="shared" si="6"/>
        <v>8.9195979899497291E-2</v>
      </c>
      <c r="O18" s="377"/>
      <c r="P18" s="322"/>
      <c r="Q18" s="322"/>
      <c r="R18" s="322"/>
      <c r="S18" s="322"/>
      <c r="T18" s="322"/>
      <c r="U18" s="322"/>
      <c r="V18" s="377"/>
      <c r="W18" s="378"/>
      <c r="X18" s="377"/>
      <c r="Y18" s="322"/>
      <c r="Z18" s="322"/>
      <c r="AA18" s="322"/>
      <c r="AB18" s="322"/>
      <c r="AC18" s="322"/>
      <c r="AD18" s="322"/>
      <c r="AE18" s="377"/>
      <c r="AF18" s="378">
        <f t="shared" si="7"/>
        <v>-234.08999999999997</v>
      </c>
    </row>
    <row r="19" spans="1:32" ht="14" x14ac:dyDescent="0.3">
      <c r="A19" s="151">
        <f>IF(C19&lt;&gt;"",COUNTA($C$12:C19),"")</f>
        <v>8</v>
      </c>
      <c r="B19" s="151"/>
      <c r="C19" s="409">
        <f>+'Bill_Bos G1 Dmd p1'!C19</f>
        <v>5</v>
      </c>
      <c r="D19" s="409">
        <f t="shared" si="8"/>
        <v>1250</v>
      </c>
      <c r="E19" s="372">
        <f t="shared" si="0"/>
        <v>123.35999999999999</v>
      </c>
      <c r="F19" s="372">
        <f t="shared" si="9"/>
        <v>142.54</v>
      </c>
      <c r="G19" s="372">
        <f t="shared" si="1"/>
        <v>265.89999999999998</v>
      </c>
      <c r="H19" s="373"/>
      <c r="I19" s="372">
        <f t="shared" si="2"/>
        <v>125.05</v>
      </c>
      <c r="J19" s="372">
        <f t="shared" si="3"/>
        <v>164.81</v>
      </c>
      <c r="K19" s="372">
        <f t="shared" si="4"/>
        <v>289.86</v>
      </c>
      <c r="L19" s="374"/>
      <c r="M19" s="375">
        <f t="shared" si="5"/>
        <v>23.960000000000036</v>
      </c>
      <c r="N19" s="376">
        <f t="shared" si="6"/>
        <v>9.0109063557728616E-2</v>
      </c>
      <c r="O19" s="377"/>
      <c r="P19" s="322"/>
      <c r="Q19" s="322"/>
      <c r="R19" s="322"/>
      <c r="S19" s="322"/>
      <c r="T19" s="322"/>
      <c r="U19" s="322"/>
      <c r="V19" s="377"/>
      <c r="W19" s="378"/>
      <c r="X19" s="377"/>
      <c r="Y19" s="322"/>
      <c r="Z19" s="322"/>
      <c r="AA19" s="322"/>
      <c r="AB19" s="322"/>
      <c r="AC19" s="322"/>
      <c r="AD19" s="322"/>
      <c r="AE19" s="377"/>
      <c r="AF19" s="378">
        <f t="shared" si="7"/>
        <v>-289.86</v>
      </c>
    </row>
    <row r="20" spans="1:32" ht="14" x14ac:dyDescent="0.3">
      <c r="A20" s="151">
        <f>IF(C20&lt;&gt;"",COUNTA($C$12:C20),"")</f>
        <v>9</v>
      </c>
      <c r="B20" s="151"/>
      <c r="C20" s="409">
        <f>+'Bill_Bos G1 Dmd p1'!C20</f>
        <v>6</v>
      </c>
      <c r="D20" s="409">
        <f t="shared" si="8"/>
        <v>1500</v>
      </c>
      <c r="E20" s="372">
        <f t="shared" si="0"/>
        <v>145.84</v>
      </c>
      <c r="F20" s="372">
        <f t="shared" si="9"/>
        <v>171.05</v>
      </c>
      <c r="G20" s="372">
        <f t="shared" si="1"/>
        <v>316.89</v>
      </c>
      <c r="H20" s="373"/>
      <c r="I20" s="372">
        <f t="shared" si="2"/>
        <v>147.85</v>
      </c>
      <c r="J20" s="372">
        <f t="shared" si="3"/>
        <v>197.78</v>
      </c>
      <c r="K20" s="372">
        <f t="shared" si="4"/>
        <v>345.63</v>
      </c>
      <c r="L20" s="374"/>
      <c r="M20" s="375">
        <f t="shared" si="5"/>
        <v>28.740000000000009</v>
      </c>
      <c r="N20" s="376">
        <f t="shared" si="6"/>
        <v>9.0693931648206036E-2</v>
      </c>
      <c r="O20" s="377"/>
      <c r="P20" s="322"/>
      <c r="Q20" s="322"/>
      <c r="R20" s="322"/>
      <c r="S20" s="322"/>
      <c r="T20" s="322"/>
      <c r="U20" s="322"/>
      <c r="V20" s="377"/>
      <c r="W20" s="378"/>
      <c r="X20" s="377"/>
      <c r="Y20" s="322"/>
      <c r="Z20" s="322"/>
      <c r="AA20" s="322"/>
      <c r="AB20" s="322"/>
      <c r="AC20" s="322"/>
      <c r="AD20" s="322"/>
      <c r="AE20" s="377"/>
      <c r="AF20" s="378">
        <f t="shared" si="7"/>
        <v>-345.63</v>
      </c>
    </row>
    <row r="21" spans="1:32" ht="14" x14ac:dyDescent="0.3">
      <c r="A21" s="151">
        <f>IF(C21&lt;&gt;"",COUNTA($C$12:C21),"")</f>
        <v>10</v>
      </c>
      <c r="B21" s="151"/>
      <c r="C21" s="409">
        <f>+'Bill_Bos G1 Dmd p1'!C21</f>
        <v>7</v>
      </c>
      <c r="D21" s="409">
        <f t="shared" si="8"/>
        <v>1750</v>
      </c>
      <c r="E21" s="372">
        <f t="shared" si="0"/>
        <v>168.31</v>
      </c>
      <c r="F21" s="372">
        <f t="shared" si="9"/>
        <v>199.55</v>
      </c>
      <c r="G21" s="372">
        <f t="shared" si="1"/>
        <v>367.86</v>
      </c>
      <c r="H21" s="373"/>
      <c r="I21" s="372">
        <f t="shared" si="2"/>
        <v>170.67</v>
      </c>
      <c r="J21" s="372">
        <f t="shared" si="3"/>
        <v>230.74</v>
      </c>
      <c r="K21" s="372">
        <f t="shared" si="4"/>
        <v>401.40999999999997</v>
      </c>
      <c r="L21" s="374"/>
      <c r="M21" s="375">
        <f t="shared" si="5"/>
        <v>33.549999999999955</v>
      </c>
      <c r="N21" s="376">
        <f t="shared" si="6"/>
        <v>9.1203175120969801E-2</v>
      </c>
      <c r="O21" s="377"/>
      <c r="P21" s="322"/>
      <c r="Q21" s="322"/>
      <c r="R21" s="322"/>
      <c r="S21" s="322"/>
      <c r="T21" s="322"/>
      <c r="U21" s="322"/>
      <c r="V21" s="377"/>
      <c r="W21" s="378"/>
      <c r="X21" s="377"/>
      <c r="Y21" s="322"/>
      <c r="Z21" s="322"/>
      <c r="AA21" s="322"/>
      <c r="AB21" s="322"/>
      <c r="AC21" s="322"/>
      <c r="AD21" s="322"/>
      <c r="AE21" s="377"/>
      <c r="AF21" s="378">
        <f t="shared" si="7"/>
        <v>-401.40999999999997</v>
      </c>
    </row>
    <row r="22" spans="1:32" ht="14" x14ac:dyDescent="0.3">
      <c r="A22" s="151">
        <f>IF(C22&lt;&gt;"",COUNTA($C$12:C22),"")</f>
        <v>11</v>
      </c>
      <c r="B22" s="151"/>
      <c r="C22" s="409">
        <f>+'Bill_Bos G1 Dmd p1'!C22</f>
        <v>8</v>
      </c>
      <c r="D22" s="409">
        <f t="shared" si="8"/>
        <v>2000</v>
      </c>
      <c r="E22" s="372">
        <f t="shared" si="0"/>
        <v>190.78</v>
      </c>
      <c r="F22" s="372">
        <f t="shared" si="9"/>
        <v>228.06</v>
      </c>
      <c r="G22" s="372">
        <f t="shared" si="1"/>
        <v>418.84000000000003</v>
      </c>
      <c r="H22" s="373"/>
      <c r="I22" s="372">
        <f t="shared" si="2"/>
        <v>193.47</v>
      </c>
      <c r="J22" s="372">
        <f t="shared" si="3"/>
        <v>263.7</v>
      </c>
      <c r="K22" s="372">
        <f t="shared" si="4"/>
        <v>457.16999999999996</v>
      </c>
      <c r="L22" s="374"/>
      <c r="M22" s="375">
        <f t="shared" si="5"/>
        <v>38.329999999999927</v>
      </c>
      <c r="N22" s="376">
        <f t="shared" si="6"/>
        <v>9.1514659535860771E-2</v>
      </c>
      <c r="O22" s="377"/>
      <c r="P22" s="322"/>
      <c r="Q22" s="322"/>
      <c r="R22" s="322"/>
      <c r="S22" s="322"/>
      <c r="T22" s="322"/>
      <c r="U22" s="322"/>
      <c r="V22" s="377"/>
      <c r="W22" s="378"/>
      <c r="X22" s="377"/>
      <c r="Y22" s="322"/>
      <c r="Z22" s="322"/>
      <c r="AA22" s="322"/>
      <c r="AB22" s="322"/>
      <c r="AC22" s="322"/>
      <c r="AD22" s="322"/>
      <c r="AE22" s="377"/>
      <c r="AF22" s="378">
        <f t="shared" si="7"/>
        <v>-457.16999999999996</v>
      </c>
    </row>
    <row r="23" spans="1:32" ht="14" x14ac:dyDescent="0.3">
      <c r="A23" s="151">
        <f>IF(C23&lt;&gt;"",COUNTA($C$12:C23),"")</f>
        <v>12</v>
      </c>
      <c r="B23" s="151"/>
      <c r="C23" s="409">
        <f>+'Bill_Bos G1 Dmd p1'!C23</f>
        <v>10</v>
      </c>
      <c r="D23" s="409">
        <f t="shared" si="8"/>
        <v>2500</v>
      </c>
      <c r="E23" s="372">
        <f t="shared" si="0"/>
        <v>233.07999999999998</v>
      </c>
      <c r="F23" s="380">
        <f t="shared" si="9"/>
        <v>285.08</v>
      </c>
      <c r="G23" s="380">
        <f t="shared" si="1"/>
        <v>518.16</v>
      </c>
      <c r="H23" s="381"/>
      <c r="I23" s="372">
        <f t="shared" si="2"/>
        <v>236.32</v>
      </c>
      <c r="J23" s="380">
        <f t="shared" si="3"/>
        <v>329.63</v>
      </c>
      <c r="K23" s="380">
        <f t="shared" si="4"/>
        <v>565.95000000000005</v>
      </c>
      <c r="L23" s="382"/>
      <c r="M23" s="383">
        <f t="shared" si="5"/>
        <v>47.790000000000077</v>
      </c>
      <c r="N23" s="384">
        <f t="shared" si="6"/>
        <v>9.2230199166280835E-2</v>
      </c>
      <c r="O23" s="377"/>
      <c r="P23" s="322"/>
      <c r="Q23" s="322"/>
      <c r="R23" s="322"/>
      <c r="S23" s="322"/>
      <c r="T23" s="322"/>
      <c r="U23" s="322"/>
      <c r="V23" s="377"/>
      <c r="W23" s="378"/>
      <c r="X23" s="377"/>
      <c r="Y23" s="322"/>
      <c r="Z23" s="322"/>
      <c r="AA23" s="322"/>
      <c r="AB23" s="322"/>
      <c r="AC23" s="322"/>
      <c r="AD23" s="322"/>
      <c r="AE23" s="377"/>
      <c r="AF23" s="378">
        <f t="shared" si="7"/>
        <v>-565.95000000000005</v>
      </c>
    </row>
    <row r="24" spans="1:32" ht="14" x14ac:dyDescent="0.3">
      <c r="A24" s="151">
        <f>IF(C24&lt;&gt;"",COUNTA($C$12:C24),"")</f>
        <v>13</v>
      </c>
      <c r="B24" s="151"/>
      <c r="C24" s="409">
        <v>12</v>
      </c>
      <c r="D24" s="409">
        <f t="shared" si="8"/>
        <v>3000</v>
      </c>
      <c r="E24" s="372">
        <f t="shared" si="0"/>
        <v>312.29000000000002</v>
      </c>
      <c r="F24" s="380">
        <f t="shared" si="9"/>
        <v>342.09</v>
      </c>
      <c r="G24" s="380">
        <f t="shared" si="1"/>
        <v>654.38</v>
      </c>
      <c r="H24" s="381"/>
      <c r="I24" s="372">
        <f t="shared" si="2"/>
        <v>311.64</v>
      </c>
      <c r="J24" s="380">
        <f t="shared" si="3"/>
        <v>395.55</v>
      </c>
      <c r="K24" s="380">
        <f t="shared" si="4"/>
        <v>707.19</v>
      </c>
      <c r="L24" s="382"/>
      <c r="M24" s="383">
        <f t="shared" si="5"/>
        <v>52.810000000000059</v>
      </c>
      <c r="N24" s="384">
        <f t="shared" si="6"/>
        <v>8.0702344203673795E-2</v>
      </c>
      <c r="O24" s="377"/>
      <c r="P24" s="322"/>
      <c r="Q24" s="322"/>
      <c r="R24" s="322"/>
      <c r="S24" s="322"/>
      <c r="T24" s="322"/>
      <c r="U24" s="322"/>
      <c r="V24" s="377"/>
      <c r="W24" s="378"/>
      <c r="X24" s="377"/>
      <c r="Y24" s="322"/>
      <c r="Z24" s="322"/>
      <c r="AA24" s="322"/>
      <c r="AB24" s="322"/>
      <c r="AC24" s="322"/>
      <c r="AD24" s="322"/>
      <c r="AE24" s="377"/>
      <c r="AF24" s="378">
        <f t="shared" si="7"/>
        <v>-707.19</v>
      </c>
    </row>
    <row r="25" spans="1:32" ht="14" x14ac:dyDescent="0.3">
      <c r="A25" s="151">
        <f>IF(C25&lt;&gt;"",COUNTA($C$12:C25),"")</f>
        <v>14</v>
      </c>
      <c r="B25" s="151" t="s">
        <v>554</v>
      </c>
      <c r="C25" s="409">
        <v>5</v>
      </c>
      <c r="D25" s="409">
        <f t="shared" si="8"/>
        <v>1250</v>
      </c>
      <c r="E25" s="372">
        <f t="shared" si="0"/>
        <v>123.35999999999999</v>
      </c>
      <c r="F25" s="380">
        <f t="shared" si="9"/>
        <v>142.54</v>
      </c>
      <c r="G25" s="380">
        <f t="shared" si="1"/>
        <v>265.89999999999998</v>
      </c>
      <c r="H25" s="381"/>
      <c r="I25" s="372">
        <f t="shared" si="2"/>
        <v>125.05</v>
      </c>
      <c r="J25" s="380">
        <f t="shared" si="3"/>
        <v>164.81</v>
      </c>
      <c r="K25" s="380">
        <f t="shared" si="4"/>
        <v>289.86</v>
      </c>
      <c r="L25" s="382"/>
      <c r="M25" s="383">
        <f t="shared" si="5"/>
        <v>23.960000000000036</v>
      </c>
      <c r="N25" s="384">
        <f t="shared" si="6"/>
        <v>9.0109063557728616E-2</v>
      </c>
      <c r="O25" s="377"/>
      <c r="P25" s="322"/>
      <c r="Q25" s="322"/>
      <c r="R25" s="322"/>
      <c r="S25" s="322"/>
      <c r="T25" s="322"/>
      <c r="U25" s="322"/>
      <c r="V25" s="377"/>
      <c r="W25" s="378"/>
      <c r="X25" s="377"/>
      <c r="Y25" s="322"/>
      <c r="Z25" s="322"/>
      <c r="AA25" s="322"/>
      <c r="AB25" s="322"/>
      <c r="AC25" s="322"/>
      <c r="AD25" s="322"/>
      <c r="AE25" s="377"/>
      <c r="AF25" s="378">
        <f t="shared" si="7"/>
        <v>-289.86</v>
      </c>
    </row>
    <row r="26" spans="1:32" ht="14" x14ac:dyDescent="0.3">
      <c r="A26" s="151" t="str">
        <f>IF(C26&lt;&gt;"",COUNTA($C$12:C26),"")</f>
        <v/>
      </c>
      <c r="B26" s="151"/>
      <c r="C26" s="293"/>
      <c r="D26" s="293"/>
      <c r="E26" s="380"/>
      <c r="F26" s="380"/>
      <c r="G26" s="380"/>
      <c r="H26" s="381"/>
      <c r="I26" s="382"/>
      <c r="J26" s="382"/>
      <c r="K26" s="382"/>
      <c r="L26" s="382"/>
      <c r="M26" s="382"/>
      <c r="N26" s="385"/>
      <c r="O26" s="415"/>
      <c r="P26" s="415"/>
      <c r="Q26" s="416"/>
      <c r="R26" s="369"/>
      <c r="S26" s="369"/>
      <c r="T26" s="369"/>
      <c r="U26" s="369"/>
      <c r="V26" s="369"/>
      <c r="W26" s="378"/>
      <c r="X26" s="415"/>
      <c r="Y26" s="415"/>
      <c r="Z26" s="416"/>
      <c r="AA26" s="369"/>
      <c r="AB26" s="369"/>
      <c r="AC26" s="322"/>
      <c r="AD26" s="322"/>
      <c r="AE26" s="369"/>
      <c r="AF26" s="369"/>
    </row>
    <row r="27" spans="1:32" ht="14" x14ac:dyDescent="0.3">
      <c r="A27" s="151">
        <f>IF(C27&lt;&gt;"",COUNTA($C$12:C27),"")</f>
        <v>15</v>
      </c>
      <c r="B27" s="151"/>
      <c r="C27" s="417" t="str">
        <f>+C13</f>
        <v>Monthly</v>
      </c>
      <c r="D27" s="417" t="str">
        <f>+D13</f>
        <v>Monthly</v>
      </c>
      <c r="E27" s="760" t="str">
        <f>+'Bill_Bos G1 nonDem'!D26</f>
        <v>Current Monthly Bill (Summer)</v>
      </c>
      <c r="F27" s="760"/>
      <c r="G27" s="760"/>
      <c r="H27" s="386"/>
      <c r="I27" s="760" t="str">
        <f>+'Bill_Bos G1 nonDem'!H26</f>
        <v>Proposed Monthly Bill (Summer)</v>
      </c>
      <c r="J27" s="760"/>
      <c r="K27" s="760"/>
      <c r="L27" s="382"/>
      <c r="M27" s="760" t="s">
        <v>550</v>
      </c>
      <c r="N27" s="760"/>
      <c r="O27" s="378"/>
      <c r="P27" s="369"/>
      <c r="Q27" s="369"/>
      <c r="R27" s="369"/>
      <c r="S27" s="369"/>
      <c r="T27" s="369"/>
      <c r="U27" s="369"/>
      <c r="V27" s="369"/>
      <c r="W27" s="369"/>
      <c r="X27" s="378"/>
      <c r="Y27" s="369"/>
      <c r="Z27" s="369"/>
      <c r="AA27" s="369"/>
      <c r="AB27" s="369"/>
      <c r="AC27" s="322"/>
      <c r="AD27" s="322"/>
      <c r="AE27" s="369"/>
      <c r="AF27" s="369"/>
    </row>
    <row r="28" spans="1:32" ht="14" x14ac:dyDescent="0.3">
      <c r="A28" s="151">
        <f>IF(C28&lt;&gt;"",COUNTA($C$12:C28),"")</f>
        <v>16</v>
      </c>
      <c r="B28" s="151"/>
      <c r="C28" s="387" t="s">
        <v>534</v>
      </c>
      <c r="D28" s="387" t="s">
        <v>551</v>
      </c>
      <c r="E28" s="388" t="s">
        <v>552</v>
      </c>
      <c r="F28" s="388" t="s">
        <v>553</v>
      </c>
      <c r="G28" s="388" t="s">
        <v>47</v>
      </c>
      <c r="H28" s="386"/>
      <c r="I28" s="388" t="s">
        <v>552</v>
      </c>
      <c r="J28" s="388" t="s">
        <v>553</v>
      </c>
      <c r="K28" s="388" t="s">
        <v>47</v>
      </c>
      <c r="L28" s="382"/>
      <c r="M28" s="388" t="s">
        <v>65</v>
      </c>
      <c r="N28" s="387" t="s">
        <v>325</v>
      </c>
      <c r="O28" s="378"/>
      <c r="P28" s="369"/>
      <c r="Q28" s="369"/>
      <c r="R28" s="369"/>
      <c r="S28" s="369"/>
      <c r="T28" s="369"/>
      <c r="U28" s="369"/>
      <c r="V28" s="369"/>
      <c r="W28" s="369"/>
      <c r="X28" s="378"/>
      <c r="Y28" s="369"/>
      <c r="Z28" s="369"/>
      <c r="AA28" s="369"/>
      <c r="AB28" s="369"/>
      <c r="AC28" s="322"/>
      <c r="AD28" s="322"/>
      <c r="AE28" s="369"/>
      <c r="AF28" s="369"/>
    </row>
    <row r="29" spans="1:32" ht="14" x14ac:dyDescent="0.3">
      <c r="A29" s="151">
        <f>IF(C29&lt;&gt;"",COUNTA($C$12:C29),"")</f>
        <v>17</v>
      </c>
      <c r="B29" s="151"/>
      <c r="C29" s="409">
        <f t="shared" ref="C29:C38" si="10">+C15</f>
        <v>1</v>
      </c>
      <c r="D29" s="409">
        <f>+C29*250</f>
        <v>250</v>
      </c>
      <c r="E29" s="372">
        <f t="shared" ref="E29:E36" si="11">ROUND($G$44+IF($C29&lt;=10,0,($C29-10)*SUM($G$49,$G$50)),2)+ROUND(IF($D29&gt;(2000+150*$C29),($D29-(2000+150*$C29))*($G$56+$G$74)+150*$C29*($G$55+$G$73)+2000*($G$54+$G$72),IF($D29&gt;2000,($D29-2000)*($G$55+$G$73)+2000*($G$54+$G$72),$D29*($G$54+$G$72))),2)+ROUND($D29*SUM($G$57:$G$71,$G$75:$G$77),2)</f>
        <v>39.650000000000006</v>
      </c>
      <c r="F29" s="380">
        <f t="shared" ref="F29:F39" si="12">ROUND(G$78*D29,2)</f>
        <v>28.51</v>
      </c>
      <c r="G29" s="380">
        <f t="shared" ref="G29:G39" si="13">SUM(E29:F29)</f>
        <v>68.160000000000011</v>
      </c>
      <c r="H29" s="381"/>
      <c r="I29" s="372">
        <f t="shared" ref="I29:I37" si="14">ROUND($I$44+IF($C29&lt;=10,0,($C29-10)*SUM($I$49,$I$50)),2)+ROUND(IF($D29&gt;(2000+150*$C29),($D29-(2000+150*$C29))*($I$56+$I$74)+150*$C29*($I$55+$I$73)+2000*($I$54+$I$72),IF($D29&gt;2000,($D29-2000)*($I$55+$I$73)+2000*($I$54+$I$72),$D29*($I$54+$I$72))),2)+ROUND($D29*SUM($I$57:$I$71,$I$75:$I$77),2)</f>
        <v>40.25</v>
      </c>
      <c r="J29" s="380">
        <f t="shared" ref="J29:J39" si="15">ROUND($I$78*D29,2)</f>
        <v>32.96</v>
      </c>
      <c r="K29" s="380">
        <f t="shared" ref="K29:K39" si="16">SUM(I29:J29)</f>
        <v>73.210000000000008</v>
      </c>
      <c r="L29" s="382"/>
      <c r="M29" s="383">
        <f t="shared" ref="M29:M39" si="17">+K29-G29</f>
        <v>5.0499999999999972</v>
      </c>
      <c r="N29" s="384">
        <f t="shared" ref="N29:N39" si="18">+M29/G29</f>
        <v>7.4090375586854412E-2</v>
      </c>
      <c r="O29" s="377"/>
      <c r="P29" s="322"/>
      <c r="Q29" s="322"/>
      <c r="R29" s="322"/>
      <c r="S29" s="322"/>
      <c r="T29" s="322"/>
      <c r="U29" s="322"/>
      <c r="V29" s="377"/>
      <c r="W29" s="378"/>
      <c r="X29" s="377"/>
      <c r="Y29" s="322"/>
      <c r="Z29" s="322"/>
      <c r="AA29" s="322"/>
      <c r="AB29" s="322"/>
      <c r="AC29" s="322"/>
      <c r="AD29" s="322"/>
      <c r="AE29" s="377"/>
      <c r="AF29" s="378">
        <f t="shared" ref="AF29:AF39" si="19">AE29-K29</f>
        <v>-73.210000000000008</v>
      </c>
    </row>
    <row r="30" spans="1:32" ht="14" x14ac:dyDescent="0.3">
      <c r="A30" s="151">
        <f>IF(C30&lt;&gt;"",COUNTA($C$12:C30),"")</f>
        <v>18</v>
      </c>
      <c r="B30" s="151"/>
      <c r="C30" s="409">
        <f t="shared" si="10"/>
        <v>2</v>
      </c>
      <c r="D30" s="409">
        <f t="shared" ref="D30:D39" si="20">+C30*250</f>
        <v>500</v>
      </c>
      <c r="E30" s="372">
        <f t="shared" si="11"/>
        <v>68.300000000000011</v>
      </c>
      <c r="F30" s="380">
        <f t="shared" si="12"/>
        <v>57.02</v>
      </c>
      <c r="G30" s="380">
        <f t="shared" si="13"/>
        <v>125.32000000000002</v>
      </c>
      <c r="H30" s="381"/>
      <c r="I30" s="372">
        <f t="shared" si="14"/>
        <v>69.47999999999999</v>
      </c>
      <c r="J30" s="380">
        <f t="shared" si="15"/>
        <v>65.930000000000007</v>
      </c>
      <c r="K30" s="380">
        <f t="shared" si="16"/>
        <v>135.41</v>
      </c>
      <c r="L30" s="382"/>
      <c r="M30" s="383">
        <f t="shared" si="17"/>
        <v>10.089999999999975</v>
      </c>
      <c r="N30" s="384">
        <f t="shared" si="18"/>
        <v>8.0513884455792953E-2</v>
      </c>
      <c r="O30" s="377"/>
      <c r="P30" s="322"/>
      <c r="Q30" s="322"/>
      <c r="R30" s="322"/>
      <c r="S30" s="322"/>
      <c r="T30" s="322"/>
      <c r="U30" s="322"/>
      <c r="V30" s="377"/>
      <c r="W30" s="378"/>
      <c r="X30" s="377"/>
      <c r="Y30" s="322"/>
      <c r="Z30" s="322"/>
      <c r="AA30" s="322"/>
      <c r="AB30" s="322"/>
      <c r="AC30" s="322"/>
      <c r="AD30" s="322"/>
      <c r="AE30" s="377"/>
      <c r="AF30" s="378">
        <f t="shared" si="19"/>
        <v>-135.41</v>
      </c>
    </row>
    <row r="31" spans="1:32" ht="14" x14ac:dyDescent="0.3">
      <c r="A31" s="151">
        <f>IF(C31&lt;&gt;"",COUNTA($C$12:C31),"")</f>
        <v>19</v>
      </c>
      <c r="B31" s="151"/>
      <c r="C31" s="409">
        <f t="shared" si="10"/>
        <v>3</v>
      </c>
      <c r="D31" s="409">
        <f t="shared" si="20"/>
        <v>750</v>
      </c>
      <c r="E31" s="372">
        <f t="shared" si="11"/>
        <v>96.94</v>
      </c>
      <c r="F31" s="380">
        <f t="shared" si="12"/>
        <v>85.52</v>
      </c>
      <c r="G31" s="380">
        <f t="shared" si="13"/>
        <v>182.45999999999998</v>
      </c>
      <c r="H31" s="381"/>
      <c r="I31" s="372">
        <f t="shared" si="14"/>
        <v>98.72999999999999</v>
      </c>
      <c r="J31" s="380">
        <f t="shared" si="15"/>
        <v>98.89</v>
      </c>
      <c r="K31" s="380">
        <f t="shared" si="16"/>
        <v>197.62</v>
      </c>
      <c r="L31" s="382"/>
      <c r="M31" s="383">
        <f>+K31-G31</f>
        <v>15.160000000000025</v>
      </c>
      <c r="N31" s="384">
        <f>+M31/G31</f>
        <v>8.308670393510921E-2</v>
      </c>
      <c r="O31" s="377"/>
      <c r="P31" s="322"/>
      <c r="Q31" s="322"/>
      <c r="R31" s="322"/>
      <c r="S31" s="322"/>
      <c r="T31" s="322"/>
      <c r="U31" s="322"/>
      <c r="V31" s="377"/>
      <c r="W31" s="378"/>
      <c r="X31" s="377"/>
      <c r="Y31" s="322"/>
      <c r="Z31" s="322"/>
      <c r="AA31" s="322"/>
      <c r="AB31" s="322"/>
      <c r="AC31" s="322"/>
      <c r="AD31" s="322"/>
      <c r="AE31" s="377"/>
      <c r="AF31" s="378">
        <f t="shared" si="19"/>
        <v>-197.62</v>
      </c>
    </row>
    <row r="32" spans="1:32" ht="14" x14ac:dyDescent="0.3">
      <c r="A32" s="151">
        <f>IF(C32&lt;&gt;"",COUNTA($C$12:C32),"")</f>
        <v>20</v>
      </c>
      <c r="B32" s="151"/>
      <c r="C32" s="409">
        <f t="shared" si="10"/>
        <v>4</v>
      </c>
      <c r="D32" s="409">
        <f t="shared" si="20"/>
        <v>1000</v>
      </c>
      <c r="E32" s="372">
        <f t="shared" si="11"/>
        <v>125.59</v>
      </c>
      <c r="F32" s="380">
        <f t="shared" si="12"/>
        <v>114.03</v>
      </c>
      <c r="G32" s="380">
        <f t="shared" si="13"/>
        <v>239.62</v>
      </c>
      <c r="H32" s="381"/>
      <c r="I32" s="372">
        <f t="shared" si="14"/>
        <v>127.97</v>
      </c>
      <c r="J32" s="380">
        <f t="shared" si="15"/>
        <v>131.85</v>
      </c>
      <c r="K32" s="380">
        <f t="shared" si="16"/>
        <v>259.82</v>
      </c>
      <c r="L32" s="382"/>
      <c r="M32" s="383">
        <f t="shared" si="17"/>
        <v>20.199999999999989</v>
      </c>
      <c r="N32" s="384">
        <f t="shared" si="18"/>
        <v>8.4300141891327882E-2</v>
      </c>
      <c r="O32" s="377"/>
      <c r="P32" s="322"/>
      <c r="Q32" s="322"/>
      <c r="R32" s="322"/>
      <c r="S32" s="322"/>
      <c r="T32" s="322"/>
      <c r="U32" s="322"/>
      <c r="V32" s="377"/>
      <c r="W32" s="378"/>
      <c r="X32" s="377"/>
      <c r="Y32" s="322"/>
      <c r="Z32" s="322"/>
      <c r="AA32" s="322"/>
      <c r="AB32" s="322"/>
      <c r="AC32" s="322"/>
      <c r="AD32" s="322"/>
      <c r="AE32" s="377"/>
      <c r="AF32" s="378">
        <f t="shared" si="19"/>
        <v>-259.82</v>
      </c>
    </row>
    <row r="33" spans="1:32" ht="14" x14ac:dyDescent="0.3">
      <c r="A33" s="151">
        <f>IF(C33&lt;&gt;"",COUNTA($C$12:C33),"")</f>
        <v>21</v>
      </c>
      <c r="B33" s="151"/>
      <c r="C33" s="409">
        <f t="shared" si="10"/>
        <v>5</v>
      </c>
      <c r="D33" s="409">
        <f t="shared" si="20"/>
        <v>1250</v>
      </c>
      <c r="E33" s="372">
        <f t="shared" si="11"/>
        <v>154.24</v>
      </c>
      <c r="F33" s="380">
        <f t="shared" si="12"/>
        <v>142.54</v>
      </c>
      <c r="G33" s="380">
        <f t="shared" si="13"/>
        <v>296.77999999999997</v>
      </c>
      <c r="H33" s="381"/>
      <c r="I33" s="372">
        <f t="shared" si="14"/>
        <v>157.20999999999998</v>
      </c>
      <c r="J33" s="380">
        <f t="shared" si="15"/>
        <v>164.81</v>
      </c>
      <c r="K33" s="380">
        <f t="shared" si="16"/>
        <v>322.02</v>
      </c>
      <c r="L33" s="382"/>
      <c r="M33" s="383">
        <f t="shared" si="17"/>
        <v>25.240000000000009</v>
      </c>
      <c r="N33" s="384">
        <f t="shared" si="18"/>
        <v>8.5046162140305984E-2</v>
      </c>
      <c r="O33" s="377"/>
      <c r="P33" s="322"/>
      <c r="Q33" s="322"/>
      <c r="R33" s="322"/>
      <c r="S33" s="322"/>
      <c r="T33" s="322"/>
      <c r="U33" s="322"/>
      <c r="V33" s="377"/>
      <c r="W33" s="378"/>
      <c r="X33" s="377"/>
      <c r="Y33" s="322"/>
      <c r="Z33" s="322"/>
      <c r="AA33" s="322"/>
      <c r="AB33" s="322"/>
      <c r="AC33" s="322"/>
      <c r="AD33" s="322"/>
      <c r="AE33" s="377"/>
      <c r="AF33" s="378">
        <f t="shared" si="19"/>
        <v>-322.02</v>
      </c>
    </row>
    <row r="34" spans="1:32" ht="14" x14ac:dyDescent="0.3">
      <c r="A34" s="151">
        <f>IF(C34&lt;&gt;"",COUNTA($C$12:C34),"")</f>
        <v>22</v>
      </c>
      <c r="B34" s="151"/>
      <c r="C34" s="409">
        <f t="shared" si="10"/>
        <v>6</v>
      </c>
      <c r="D34" s="409">
        <f t="shared" si="20"/>
        <v>1500</v>
      </c>
      <c r="E34" s="372">
        <f t="shared" si="11"/>
        <v>182.89</v>
      </c>
      <c r="F34" s="372">
        <f t="shared" si="12"/>
        <v>171.05</v>
      </c>
      <c r="G34" s="372">
        <f t="shared" si="13"/>
        <v>353.94</v>
      </c>
      <c r="H34" s="373"/>
      <c r="I34" s="372">
        <f t="shared" si="14"/>
        <v>186.45</v>
      </c>
      <c r="J34" s="372">
        <f t="shared" si="15"/>
        <v>197.78</v>
      </c>
      <c r="K34" s="372">
        <f t="shared" si="16"/>
        <v>384.23</v>
      </c>
      <c r="L34" s="374"/>
      <c r="M34" s="375">
        <f t="shared" si="17"/>
        <v>30.29000000000002</v>
      </c>
      <c r="N34" s="376">
        <f t="shared" si="18"/>
        <v>8.5579476747471378E-2</v>
      </c>
      <c r="O34" s="377"/>
      <c r="P34" s="322"/>
      <c r="Q34" s="322"/>
      <c r="R34" s="322"/>
      <c r="S34" s="322"/>
      <c r="T34" s="322"/>
      <c r="U34" s="322"/>
      <c r="V34" s="377"/>
      <c r="W34" s="378"/>
      <c r="X34" s="377"/>
      <c r="Y34" s="322"/>
      <c r="Z34" s="322"/>
      <c r="AA34" s="322"/>
      <c r="AB34" s="322"/>
      <c r="AC34" s="322"/>
      <c r="AD34" s="322"/>
      <c r="AE34" s="377"/>
      <c r="AF34" s="378">
        <f t="shared" si="19"/>
        <v>-384.23</v>
      </c>
    </row>
    <row r="35" spans="1:32" ht="14" x14ac:dyDescent="0.3">
      <c r="A35" s="151">
        <f>IF(C35&lt;&gt;"",COUNTA($C$12:C35),"")</f>
        <v>23</v>
      </c>
      <c r="B35" s="151"/>
      <c r="C35" s="409">
        <f t="shared" si="10"/>
        <v>7</v>
      </c>
      <c r="D35" s="409">
        <f t="shared" si="20"/>
        <v>1750</v>
      </c>
      <c r="E35" s="372">
        <f t="shared" si="11"/>
        <v>211.52999999999997</v>
      </c>
      <c r="F35" s="372">
        <f t="shared" si="12"/>
        <v>199.55</v>
      </c>
      <c r="G35" s="372">
        <f t="shared" si="13"/>
        <v>411.08</v>
      </c>
      <c r="H35" s="373"/>
      <c r="I35" s="372">
        <f t="shared" si="14"/>
        <v>215.69</v>
      </c>
      <c r="J35" s="372">
        <f t="shared" si="15"/>
        <v>230.74</v>
      </c>
      <c r="K35" s="372">
        <f t="shared" si="16"/>
        <v>446.43</v>
      </c>
      <c r="L35" s="374"/>
      <c r="M35" s="375">
        <f t="shared" si="17"/>
        <v>35.350000000000023</v>
      </c>
      <c r="N35" s="376">
        <f t="shared" si="18"/>
        <v>8.599299406441574E-2</v>
      </c>
      <c r="O35" s="377"/>
      <c r="P35" s="322"/>
      <c r="Q35" s="322"/>
      <c r="R35" s="322"/>
      <c r="S35" s="322"/>
      <c r="T35" s="322"/>
      <c r="U35" s="322"/>
      <c r="V35" s="377"/>
      <c r="W35" s="378"/>
      <c r="X35" s="377"/>
      <c r="Y35" s="322"/>
      <c r="Z35" s="322"/>
      <c r="AA35" s="322"/>
      <c r="AB35" s="322"/>
      <c r="AC35" s="322"/>
      <c r="AD35" s="322"/>
      <c r="AE35" s="377"/>
      <c r="AF35" s="378">
        <f t="shared" si="19"/>
        <v>-446.43</v>
      </c>
    </row>
    <row r="36" spans="1:32" ht="14" x14ac:dyDescent="0.3">
      <c r="A36" s="151">
        <f>IF(C36&lt;&gt;"",COUNTA($C$12:C36),"")</f>
        <v>24</v>
      </c>
      <c r="B36" s="151"/>
      <c r="C36" s="409">
        <f t="shared" si="10"/>
        <v>8</v>
      </c>
      <c r="D36" s="409">
        <f t="shared" si="20"/>
        <v>2000</v>
      </c>
      <c r="E36" s="372">
        <f t="shared" si="11"/>
        <v>240.18</v>
      </c>
      <c r="F36" s="372">
        <f t="shared" si="12"/>
        <v>228.06</v>
      </c>
      <c r="G36" s="372">
        <f t="shared" si="13"/>
        <v>468.24</v>
      </c>
      <c r="H36" s="373"/>
      <c r="I36" s="372">
        <f t="shared" si="14"/>
        <v>244.93</v>
      </c>
      <c r="J36" s="372">
        <f t="shared" si="15"/>
        <v>263.7</v>
      </c>
      <c r="K36" s="372">
        <f t="shared" si="16"/>
        <v>508.63</v>
      </c>
      <c r="L36" s="374"/>
      <c r="M36" s="375">
        <f t="shared" si="17"/>
        <v>40.389999999999986</v>
      </c>
      <c r="N36" s="376">
        <f t="shared" si="18"/>
        <v>8.625918332479067E-2</v>
      </c>
      <c r="O36" s="377"/>
      <c r="P36" s="322"/>
      <c r="Q36" s="322"/>
      <c r="R36" s="322"/>
      <c r="S36" s="322"/>
      <c r="T36" s="322"/>
      <c r="U36" s="322"/>
      <c r="V36" s="377"/>
      <c r="W36" s="378"/>
      <c r="X36" s="377"/>
      <c r="Y36" s="322"/>
      <c r="Z36" s="322"/>
      <c r="AA36" s="322"/>
      <c r="AB36" s="322"/>
      <c r="AC36" s="322"/>
      <c r="AD36" s="322"/>
      <c r="AE36" s="377"/>
      <c r="AF36" s="378">
        <f t="shared" si="19"/>
        <v>-508.63</v>
      </c>
    </row>
    <row r="37" spans="1:32" ht="14" x14ac:dyDescent="0.3">
      <c r="A37" s="151">
        <f>IF(C37&lt;&gt;"",COUNTA($C$12:C37),"")</f>
        <v>25</v>
      </c>
      <c r="B37" s="151"/>
      <c r="C37" s="409">
        <f t="shared" si="10"/>
        <v>10</v>
      </c>
      <c r="D37" s="409">
        <f t="shared" si="20"/>
        <v>2500</v>
      </c>
      <c r="E37" s="372">
        <f>ROUND($G$44+IF($C37&lt;=10,0,($C37-10)*SUM($G$49,$G$50)),2)+ROUND(IF($D37&gt;(2000+150*$C37),($D37-(2000+150*$C37))*($G$56+$G$74)+150*$C37*($G$55+$G$73)+2000*($G$54+$G$72),IF($D37&gt;2000,($D37-2000)*($G$55+$G$73)+2000*($G$54+$G$72),$D37*($G$54+$G$72))),2)+ROUND($D37*SUM($G$57:$G$71,$G$75:$G$77),2)</f>
        <v>284.63</v>
      </c>
      <c r="F37" s="372">
        <f t="shared" si="12"/>
        <v>285.08</v>
      </c>
      <c r="G37" s="372">
        <f t="shared" si="13"/>
        <v>569.71</v>
      </c>
      <c r="H37" s="373"/>
      <c r="I37" s="372">
        <f t="shared" si="14"/>
        <v>290.02999999999997</v>
      </c>
      <c r="J37" s="372">
        <f t="shared" si="15"/>
        <v>329.63</v>
      </c>
      <c r="K37" s="372">
        <f t="shared" si="16"/>
        <v>619.66</v>
      </c>
      <c r="L37" s="374"/>
      <c r="M37" s="375">
        <f t="shared" si="17"/>
        <v>49.949999999999932</v>
      </c>
      <c r="N37" s="376">
        <f t="shared" si="18"/>
        <v>8.76761861297852E-2</v>
      </c>
      <c r="O37" s="377"/>
      <c r="P37" s="322"/>
      <c r="Q37" s="322"/>
      <c r="R37" s="322"/>
      <c r="S37" s="322"/>
      <c r="T37" s="322"/>
      <c r="U37" s="322"/>
      <c r="V37" s="377"/>
      <c r="W37" s="378"/>
      <c r="X37" s="377"/>
      <c r="Y37" s="322"/>
      <c r="Z37" s="322"/>
      <c r="AA37" s="322"/>
      <c r="AB37" s="322"/>
      <c r="AC37" s="322"/>
      <c r="AD37" s="322"/>
      <c r="AE37" s="377"/>
      <c r="AF37" s="378">
        <f t="shared" si="19"/>
        <v>-619.66</v>
      </c>
    </row>
    <row r="38" spans="1:32" ht="14" x14ac:dyDescent="0.3">
      <c r="A38" s="151">
        <f>IF(C38&lt;&gt;"",COUNTA($C$12:C38),"")</f>
        <v>26</v>
      </c>
      <c r="B38" s="151"/>
      <c r="C38" s="409">
        <f t="shared" si="10"/>
        <v>12</v>
      </c>
      <c r="D38" s="409">
        <f t="shared" si="20"/>
        <v>3000</v>
      </c>
      <c r="E38" s="372">
        <f>ROUND($G$44+IF($C38&lt;=10,0,($C38-10)*SUM($G$49,$G$50)),2)+ROUND(IF($D38&gt;(2000+150*$C38),($D38-(2000+150*$C38))*($G$56+$G$74)+150*$C38*($G$55+$G$73)+2000*($G$54+$G$72),IF($D38&gt;2000,($D38-2000)*($G$55+$G$73)+2000*($G$54+$G$72),$D38*($G$54+$G$72))),2)+ROUND($D38*SUM($G$57:$G$71,$G$75:$G$77),2)</f>
        <v>443.71999999999997</v>
      </c>
      <c r="F38" s="372">
        <f t="shared" si="12"/>
        <v>342.09</v>
      </c>
      <c r="G38" s="372">
        <f t="shared" si="13"/>
        <v>785.81</v>
      </c>
      <c r="H38" s="373"/>
      <c r="I38" s="372">
        <f>ROUND($I$44+IF($C38&lt;=10,0,($C38-10)*SUM($I$49,$I$50)),2)+ROUND(IF($D38&gt;(2000+150*$C38),($D38-(2000+150*$C38))*($I$56+$I$74)+150*$C38*($I$55+$I$73)+2000*($I$54+$I$72),IF($D38&gt;2000,($D38-2000)*($I$55+$I$73)+2000*($I$54+$I$72),$D38*($I$54+$I$72))),2)+ROUND($D38*SUM($I$57:$I$71,$I$75:$I$77),2)</f>
        <v>430.37</v>
      </c>
      <c r="J38" s="372">
        <f t="shared" si="15"/>
        <v>395.55</v>
      </c>
      <c r="K38" s="372">
        <f t="shared" si="16"/>
        <v>825.92000000000007</v>
      </c>
      <c r="L38" s="374"/>
      <c r="M38" s="375">
        <f t="shared" si="17"/>
        <v>40.110000000000127</v>
      </c>
      <c r="N38" s="376">
        <f t="shared" si="18"/>
        <v>5.1042872959112418E-2</v>
      </c>
      <c r="O38" s="377"/>
      <c r="P38" s="322"/>
      <c r="Q38" s="322"/>
      <c r="R38" s="322"/>
      <c r="S38" s="322"/>
      <c r="T38" s="322"/>
      <c r="U38" s="322"/>
      <c r="V38" s="377"/>
      <c r="W38" s="378"/>
      <c r="X38" s="377"/>
      <c r="Y38" s="322"/>
      <c r="Z38" s="322"/>
      <c r="AA38" s="322"/>
      <c r="AB38" s="322"/>
      <c r="AC38" s="322"/>
      <c r="AD38" s="322"/>
      <c r="AE38" s="377"/>
      <c r="AF38" s="378">
        <f t="shared" si="19"/>
        <v>-825.92000000000007</v>
      </c>
    </row>
    <row r="39" spans="1:32" ht="14" x14ac:dyDescent="0.3">
      <c r="A39" s="151">
        <f>IF(C39&lt;&gt;"",COUNTA($C$12:C39),"")</f>
        <v>27</v>
      </c>
      <c r="B39" s="151" t="s">
        <v>554</v>
      </c>
      <c r="C39" s="409">
        <v>5</v>
      </c>
      <c r="D39" s="409">
        <f t="shared" si="20"/>
        <v>1250</v>
      </c>
      <c r="E39" s="372">
        <f t="shared" ref="E39" si="21">ROUND($G$44+IF($C39&lt;=10,0,($C39-10)*SUM($G$49,$G$50)),2)+ROUND(IF($D39&gt;(2000+150*$C39),($D39-(2000+150*$C39))*($G$56+$G$74)+150*$C39*($G$55+$G$73)+2000*($G$54+$G$72),IF($D39&gt;2000,($D39-2000)*($G$55+$G$73)+2000*($G$54+$G$72),$D39*($G$54+$G$72))),2)+ROUND($D39*SUM($G$57:$G$71,$G$75:$G$77),2)</f>
        <v>154.24</v>
      </c>
      <c r="F39" s="372">
        <f t="shared" si="12"/>
        <v>142.54</v>
      </c>
      <c r="G39" s="372">
        <f t="shared" si="13"/>
        <v>296.77999999999997</v>
      </c>
      <c r="H39" s="373"/>
      <c r="I39" s="372">
        <f>ROUND($I$44+IF($C39&lt;=10,0,($C39-10)*SUM($I$49,$I$50)),2)+ROUND(IF($D39&gt;(2000+150*$C39),($D39-(2000+150*$C39))*($I$56+$I$74)+150*$C39*($I$55+$I$73)+2000*($I$54+$I$72),IF($D39&gt;2000,($D39-2000)*($I$55+$I$73)+2000*($I$54+$I$72),$D39*($I$54+$I$72))),2)+ROUND($D39*SUM($I$57:$I$71,$I$75:$I$77),2)</f>
        <v>157.20999999999998</v>
      </c>
      <c r="J39" s="372">
        <f t="shared" si="15"/>
        <v>164.81</v>
      </c>
      <c r="K39" s="372">
        <f t="shared" si="16"/>
        <v>322.02</v>
      </c>
      <c r="L39" s="374"/>
      <c r="M39" s="375">
        <f t="shared" si="17"/>
        <v>25.240000000000009</v>
      </c>
      <c r="N39" s="376">
        <f t="shared" si="18"/>
        <v>8.5046162140305984E-2</v>
      </c>
      <c r="O39" s="377"/>
      <c r="P39" s="322"/>
      <c r="Q39" s="322"/>
      <c r="R39" s="322"/>
      <c r="S39" s="322"/>
      <c r="T39" s="322"/>
      <c r="U39" s="322"/>
      <c r="V39" s="377"/>
      <c r="W39" s="378"/>
      <c r="X39" s="377"/>
      <c r="Y39" s="322"/>
      <c r="Z39" s="322"/>
      <c r="AA39" s="322"/>
      <c r="AB39" s="322"/>
      <c r="AC39" s="322"/>
      <c r="AD39" s="322"/>
      <c r="AE39" s="377"/>
      <c r="AF39" s="378">
        <f t="shared" si="19"/>
        <v>-322.02</v>
      </c>
    </row>
    <row r="40" spans="1:32" ht="14" x14ac:dyDescent="0.3">
      <c r="A40" s="151" t="str">
        <f>IF(C40&lt;&gt;"",COUNTA($C$12:C40),"")</f>
        <v/>
      </c>
      <c r="B40" s="151"/>
      <c r="C40" s="293"/>
      <c r="D40" s="293"/>
      <c r="E40" s="293"/>
      <c r="F40" s="293"/>
      <c r="G40" s="393"/>
      <c r="H40" s="394"/>
    </row>
    <row r="41" spans="1:32" ht="14" x14ac:dyDescent="0.3">
      <c r="A41" s="151" t="str">
        <f>IF(C41&lt;&gt;"",COUNTA($C$12:C41),"")</f>
        <v/>
      </c>
      <c r="B41" s="151"/>
      <c r="C41" s="293"/>
      <c r="D41" s="293"/>
      <c r="E41" s="293"/>
      <c r="F41" s="293"/>
      <c r="G41" s="393"/>
      <c r="H41" s="394"/>
    </row>
    <row r="42" spans="1:32" ht="14" x14ac:dyDescent="0.3">
      <c r="A42" s="151">
        <f>IF(C42&lt;&gt;"",COUNTA($C$12:C42),"")</f>
        <v>28</v>
      </c>
      <c r="B42" s="151"/>
      <c r="C42" s="293" t="s">
        <v>46</v>
      </c>
      <c r="D42" s="293"/>
      <c r="E42" s="293"/>
      <c r="G42" s="395" t="str">
        <f>+'Bill_Bos G1 nonDem'!F41</f>
        <v>Current</v>
      </c>
      <c r="I42" s="395" t="str">
        <f>+'Bill_Bos G1 nonDem'!H41</f>
        <v>Proposed</v>
      </c>
      <c r="J42" s="420"/>
    </row>
    <row r="43" spans="1:32" ht="17" x14ac:dyDescent="0.6">
      <c r="A43" s="151">
        <f>IF(C43&lt;&gt;"",COUNTA($C$12:C43),"")</f>
        <v>29</v>
      </c>
      <c r="B43" s="151"/>
      <c r="C43" s="274" t="s">
        <v>46</v>
      </c>
      <c r="D43" s="274"/>
      <c r="E43" s="293"/>
      <c r="G43" s="396" t="str">
        <f>+'Bill_Bos G1 nonDem'!F42</f>
        <v>Rates</v>
      </c>
      <c r="I43" s="396" t="str">
        <f>+'Bill_Bos G1 nonDem'!H42</f>
        <v>Rates</v>
      </c>
      <c r="J43" s="396" t="str">
        <f>+'Bill_Bos G1 nonDem'!I42</f>
        <v>Change</v>
      </c>
      <c r="O43" s="233"/>
      <c r="P43" s="422"/>
      <c r="Q43" s="431"/>
      <c r="R43" s="422"/>
    </row>
    <row r="44" spans="1:32" ht="14" x14ac:dyDescent="0.3">
      <c r="A44" s="151">
        <f>IF(C44&lt;&gt;"",COUNTA($C$12:C44),"")</f>
        <v>30</v>
      </c>
      <c r="B44" s="151"/>
      <c r="C44" s="293" t="str">
        <f>+'Bill_Bos G1 Dmd p1'!C44</f>
        <v>Customer Charge</v>
      </c>
      <c r="D44" s="293"/>
      <c r="E44" s="274"/>
      <c r="G44" s="397">
        <v>11</v>
      </c>
      <c r="H44" s="397"/>
      <c r="I44" s="397">
        <f>+G44</f>
        <v>11</v>
      </c>
      <c r="J44" s="421">
        <f>+I44-G44</f>
        <v>0</v>
      </c>
      <c r="O44" s="233"/>
      <c r="P44" s="422"/>
      <c r="Q44" s="423"/>
      <c r="R44" s="422"/>
    </row>
    <row r="45" spans="1:32" ht="14" x14ac:dyDescent="0.3">
      <c r="A45" s="151">
        <f>IF(C45&lt;&gt;"",COUNTA($C$12:C45),"")</f>
        <v>31</v>
      </c>
      <c r="B45" s="151"/>
      <c r="C45" s="293" t="str">
        <f>+'Bill_Bos G1 Dmd p1'!C45</f>
        <v>Distribution Demand &lt;=10 kW - Winter</v>
      </c>
      <c r="D45" s="293"/>
      <c r="E45" s="274"/>
      <c r="G45" s="397">
        <v>0</v>
      </c>
      <c r="H45" s="397"/>
      <c r="I45" s="397">
        <f>-G45</f>
        <v>0</v>
      </c>
      <c r="J45" s="421">
        <f t="shared" ref="J45:J78" si="22">+I45-G45</f>
        <v>0</v>
      </c>
      <c r="O45" s="233"/>
      <c r="P45" s="422"/>
      <c r="Q45" s="423"/>
      <c r="R45" s="422"/>
    </row>
    <row r="46" spans="1:32" ht="14" x14ac:dyDescent="0.3">
      <c r="A46" s="151">
        <f>IF(C46&lt;&gt;"",COUNTA($C$12:C46),"")</f>
        <v>32</v>
      </c>
      <c r="B46" s="151"/>
      <c r="C46" s="293" t="str">
        <f>+'Bill_Bos G1 Dmd p1'!C46</f>
        <v>Distribution Demand &gt;10 kW - Winter</v>
      </c>
      <c r="D46" s="293"/>
      <c r="E46" s="274"/>
      <c r="G46" s="397">
        <v>0.27</v>
      </c>
      <c r="H46" s="397"/>
      <c r="I46" s="397">
        <v>0.28000000000000003</v>
      </c>
      <c r="J46" s="421">
        <f t="shared" si="22"/>
        <v>1.0000000000000009E-2</v>
      </c>
      <c r="O46" s="233"/>
      <c r="P46" s="422"/>
      <c r="Q46" s="423"/>
      <c r="R46" s="422"/>
    </row>
    <row r="47" spans="1:32" ht="14" x14ac:dyDescent="0.3">
      <c r="A47" s="151">
        <f>IF(C47&lt;&gt;"",COUNTA($C$12:C47),"")</f>
        <v>33</v>
      </c>
      <c r="B47" s="151"/>
      <c r="C47" s="293" t="str">
        <f>+'Bill_Bos G1 Dmd p1'!C47</f>
        <v>Transmission Demand &gt;10 kW - Winter</v>
      </c>
      <c r="D47" s="293"/>
      <c r="E47" s="274"/>
      <c r="G47" s="397">
        <v>18.190000000000001</v>
      </c>
      <c r="H47" s="397"/>
      <c r="I47" s="397">
        <v>15.95</v>
      </c>
      <c r="J47" s="421">
        <f>+I47-G47</f>
        <v>-2.240000000000002</v>
      </c>
      <c r="O47" s="233"/>
      <c r="P47" s="423"/>
      <c r="Q47" s="432"/>
      <c r="R47" s="424"/>
    </row>
    <row r="48" spans="1:32" ht="14" x14ac:dyDescent="0.3">
      <c r="A48" s="151">
        <f>IF(C48&lt;&gt;"",COUNTA($C$12:C48),"")</f>
        <v>34</v>
      </c>
      <c r="B48" s="151"/>
      <c r="C48" s="293" t="str">
        <f>+'Bill_Bos G1 Dmd p1'!C48</f>
        <v>Distribution Demand &lt;=10 kW - Summer</v>
      </c>
      <c r="D48" s="293"/>
      <c r="E48" s="274"/>
      <c r="G48" s="397">
        <v>0</v>
      </c>
      <c r="H48" s="397"/>
      <c r="I48" s="399">
        <f>+G48</f>
        <v>0</v>
      </c>
      <c r="J48" s="421">
        <f t="shared" si="22"/>
        <v>0</v>
      </c>
      <c r="O48" s="233"/>
      <c r="P48" s="424"/>
      <c r="Q48" s="424"/>
      <c r="R48" s="424"/>
    </row>
    <row r="49" spans="1:18" ht="14" x14ac:dyDescent="0.3">
      <c r="A49" s="151">
        <f>IF(C49&lt;&gt;"",COUNTA($C$12:C49),"")</f>
        <v>35</v>
      </c>
      <c r="B49" s="151"/>
      <c r="C49" s="293" t="str">
        <f>+'Bill_Bos G1 Dmd p1'!C49</f>
        <v>Distribution Demand &gt;10 kW - Summer</v>
      </c>
      <c r="D49" s="293"/>
      <c r="E49" s="274"/>
      <c r="G49" s="397">
        <v>0.83</v>
      </c>
      <c r="H49" s="397"/>
      <c r="I49" s="397">
        <v>0.86</v>
      </c>
      <c r="J49" s="421">
        <f t="shared" si="22"/>
        <v>3.0000000000000027E-2</v>
      </c>
      <c r="O49" s="233"/>
      <c r="P49" s="424"/>
      <c r="Q49" s="424"/>
      <c r="R49" s="424"/>
    </row>
    <row r="50" spans="1:18" ht="14" x14ac:dyDescent="0.3">
      <c r="A50" s="151">
        <f>IF(C50&lt;&gt;"",COUNTA($C$12:C50),"")</f>
        <v>36</v>
      </c>
      <c r="B50" s="151"/>
      <c r="C50" s="293" t="str">
        <f>+'Bill_Bos G1 Dmd p1'!C50</f>
        <v>Transmission Demand &gt;10 kW - Summer</v>
      </c>
      <c r="D50" s="293"/>
      <c r="E50" s="274"/>
      <c r="G50" s="397">
        <v>56.49</v>
      </c>
      <c r="H50" s="397"/>
      <c r="I50" s="397">
        <v>46.76</v>
      </c>
      <c r="J50" s="421">
        <f>+I50-G50</f>
        <v>-9.730000000000004</v>
      </c>
      <c r="O50" s="233"/>
      <c r="P50" s="426"/>
      <c r="Q50" s="428"/>
      <c r="R50" s="423"/>
    </row>
    <row r="51" spans="1:18" ht="14" x14ac:dyDescent="0.3">
      <c r="A51" s="151">
        <f>IF(C51&lt;&gt;"",COUNTA($C$12:C51),"")</f>
        <v>37</v>
      </c>
      <c r="B51" s="151"/>
      <c r="C51" s="293" t="str">
        <f>+'Bill_Bos G1 Dmd p1'!C51</f>
        <v>Distribution Energy - 1st 2000 kWh - Winter</v>
      </c>
      <c r="D51" s="293"/>
      <c r="E51" s="274"/>
      <c r="G51" s="308">
        <v>4.0660000000000002E-2</v>
      </c>
      <c r="H51" s="308"/>
      <c r="I51" s="401">
        <v>4.2380000000000001E-2</v>
      </c>
      <c r="J51" s="354">
        <f t="shared" si="22"/>
        <v>1.7199999999999993E-3</v>
      </c>
      <c r="O51" s="233"/>
      <c r="P51" s="424"/>
      <c r="Q51" s="424"/>
      <c r="R51" s="424"/>
    </row>
    <row r="52" spans="1:18" ht="14" x14ac:dyDescent="0.3">
      <c r="A52" s="151">
        <f>IF(C52&lt;&gt;"",COUNTA($C$12:C52),"")</f>
        <v>38</v>
      </c>
      <c r="B52" s="151"/>
      <c r="C52" s="293" t="str">
        <f>+'Bill_Bos G1 Dmd p1'!C52</f>
        <v>Distribution Energy - next 150 hrs*kW - Winter</v>
      </c>
      <c r="D52" s="293"/>
      <c r="E52" s="274"/>
      <c r="G52" s="308">
        <v>3.5360000000000003E-2</v>
      </c>
      <c r="H52" s="308"/>
      <c r="I52" s="401">
        <v>3.6850000000000001E-2</v>
      </c>
      <c r="J52" s="354">
        <f t="shared" si="22"/>
        <v>1.4899999999999983E-3</v>
      </c>
      <c r="O52" s="233"/>
      <c r="P52" s="424"/>
      <c r="Q52" s="424"/>
      <c r="R52" s="424"/>
    </row>
    <row r="53" spans="1:18" ht="14" x14ac:dyDescent="0.3">
      <c r="A53" s="151">
        <f>IF(C53&lt;&gt;"",COUNTA($C$12:C53),"")</f>
        <v>39</v>
      </c>
      <c r="B53" s="151"/>
      <c r="C53" s="293" t="str">
        <f>+'Bill_Bos G1 Dmd p1'!C53</f>
        <v>Distribution Energy - remainder kWh - Winter</v>
      </c>
      <c r="D53" s="293"/>
      <c r="E53" s="274"/>
      <c r="G53" s="308">
        <v>2.3470000000000001E-2</v>
      </c>
      <c r="H53" s="308"/>
      <c r="I53" s="401">
        <v>2.4459999999999999E-2</v>
      </c>
      <c r="J53" s="354">
        <f t="shared" si="22"/>
        <v>9.8999999999999783E-4</v>
      </c>
      <c r="O53" s="233"/>
      <c r="P53" s="424"/>
      <c r="Q53" s="424"/>
      <c r="R53" s="424"/>
    </row>
    <row r="54" spans="1:18" ht="14" x14ac:dyDescent="0.3">
      <c r="A54" s="151">
        <f>IF(C54&lt;&gt;"",COUNTA($C$12:C54),"")</f>
        <v>40</v>
      </c>
      <c r="B54" s="151"/>
      <c r="C54" s="293" t="str">
        <f>+'Bill_Bos G1 Dmd p1'!C54</f>
        <v>Distribution Energy - 1st 2000 kWh - Summer</v>
      </c>
      <c r="D54" s="293"/>
      <c r="E54" s="274"/>
      <c r="G54" s="308">
        <v>6.5360000000000001E-2</v>
      </c>
      <c r="H54" s="308"/>
      <c r="I54" s="401">
        <v>6.8110000000000004E-2</v>
      </c>
      <c r="J54" s="354">
        <f t="shared" si="22"/>
        <v>2.7500000000000024E-3</v>
      </c>
      <c r="O54" s="233"/>
      <c r="P54" s="424"/>
      <c r="Q54" s="424"/>
      <c r="R54" s="424"/>
    </row>
    <row r="55" spans="1:18" ht="14" x14ac:dyDescent="0.3">
      <c r="A55" s="151">
        <f>IF(C55&lt;&gt;"",COUNTA($C$12:C55),"")</f>
        <v>41</v>
      </c>
      <c r="B55" s="151"/>
      <c r="C55" s="293" t="str">
        <f>+'Bill_Bos G1 Dmd p1'!C55</f>
        <v>Distribution Energy - next 150 hrs*kW - Summer</v>
      </c>
      <c r="D55" s="293"/>
      <c r="E55" s="274"/>
      <c r="G55" s="308">
        <v>3.9669999999999997E-2</v>
      </c>
      <c r="H55" s="308"/>
      <c r="I55" s="401">
        <v>4.1340000000000002E-2</v>
      </c>
      <c r="J55" s="354">
        <f t="shared" si="22"/>
        <v>1.6700000000000048E-3</v>
      </c>
      <c r="O55" s="233"/>
      <c r="P55" s="425"/>
      <c r="Q55" s="422"/>
      <c r="R55" s="423"/>
    </row>
    <row r="56" spans="1:18" ht="14" x14ac:dyDescent="0.3">
      <c r="A56" s="151">
        <f>IF(C56&lt;&gt;"",COUNTA($C$12:C56),"")</f>
        <v>42</v>
      </c>
      <c r="B56" s="151"/>
      <c r="C56" s="293" t="str">
        <f>+'Bill_Bos G1 Dmd p1'!C56</f>
        <v>Distribution Energy - remainder kWh - Summer</v>
      </c>
      <c r="D56" s="293"/>
      <c r="E56" s="274"/>
      <c r="G56" s="308">
        <v>2.4670000000000001E-2</v>
      </c>
      <c r="H56" s="308"/>
      <c r="I56" s="401">
        <v>2.571E-2</v>
      </c>
      <c r="J56" s="354">
        <f t="shared" si="22"/>
        <v>1.0399999999999993E-3</v>
      </c>
      <c r="O56" s="233"/>
      <c r="P56" s="426"/>
      <c r="Q56" s="426"/>
      <c r="R56" s="423"/>
    </row>
    <row r="57" spans="1:18" ht="14" x14ac:dyDescent="0.3">
      <c r="A57" s="151">
        <f>IF(C57&lt;&gt;"",COUNTA($C$12:C57),"")</f>
        <v>43</v>
      </c>
      <c r="B57" s="151"/>
      <c r="C57" s="293" t="str">
        <f>+'Bill_Bos G1 nonDem'!C46</f>
        <v>Revenue Decoupling</v>
      </c>
      <c r="D57" s="293"/>
      <c r="E57" s="274"/>
      <c r="G57" s="277">
        <v>0</v>
      </c>
      <c r="H57" s="277"/>
      <c r="I57" s="401">
        <v>-6.6E-4</v>
      </c>
      <c r="J57" s="354">
        <f t="shared" si="22"/>
        <v>-6.6E-4</v>
      </c>
      <c r="O57" s="233"/>
      <c r="P57" s="426"/>
      <c r="Q57" s="426"/>
      <c r="R57" s="423"/>
    </row>
    <row r="58" spans="1:18" ht="14" x14ac:dyDescent="0.3">
      <c r="A58" s="151">
        <f>IF(C58&lt;&gt;"",COUNTA($C$12:C58),"")</f>
        <v>44</v>
      </c>
      <c r="B58" s="151"/>
      <c r="C58" s="293" t="str">
        <f>+'Bill_Bos G1 nonDem'!C47</f>
        <v>Residential Assistance Adjustment Factor</v>
      </c>
      <c r="D58" s="293"/>
      <c r="E58" s="274"/>
      <c r="G58" s="277">
        <v>4.0699999999999998E-3</v>
      </c>
      <c r="H58" s="277"/>
      <c r="I58" s="401">
        <v>5.5599999999999998E-3</v>
      </c>
      <c r="J58" s="354">
        <f t="shared" si="22"/>
        <v>1.49E-3</v>
      </c>
      <c r="O58" s="233"/>
      <c r="P58" s="426"/>
      <c r="Q58" s="426"/>
      <c r="R58" s="422"/>
    </row>
    <row r="59" spans="1:18" ht="14" x14ac:dyDescent="0.3">
      <c r="A59" s="151">
        <f>IF(C59&lt;&gt;"",COUNTA($C$12:C59),"")</f>
        <v>45</v>
      </c>
      <c r="B59" s="151"/>
      <c r="C59" s="293" t="str">
        <f>+'Bill_Bos G1 nonDem'!C48</f>
        <v>Pension Adjustment Factor</v>
      </c>
      <c r="D59" s="293"/>
      <c r="E59" s="274"/>
      <c r="G59" s="277">
        <v>-1.1E-4</v>
      </c>
      <c r="H59" s="277"/>
      <c r="I59" s="401">
        <v>9.7000000000000005E-4</v>
      </c>
      <c r="J59" s="354">
        <f t="shared" si="22"/>
        <v>1.08E-3</v>
      </c>
      <c r="O59" s="233"/>
      <c r="P59" s="426"/>
      <c r="Q59" s="426"/>
      <c r="R59" s="422"/>
    </row>
    <row r="60" spans="1:18" ht="14" x14ac:dyDescent="0.3">
      <c r="A60" s="151">
        <f>IF(C60&lt;&gt;"",COUNTA($C$12:C60),"")</f>
        <v>46</v>
      </c>
      <c r="B60" s="151"/>
      <c r="C60" s="293" t="str">
        <f>+'Bill_Bos G1 nonDem'!C49</f>
        <v>Net Metering Recovery Surcharge</v>
      </c>
      <c r="D60" s="293"/>
      <c r="E60" s="274"/>
      <c r="G60" s="277">
        <v>8.0300000000000007E-3</v>
      </c>
      <c r="H60" s="277"/>
      <c r="I60" s="401">
        <v>7.2500000000000004E-3</v>
      </c>
      <c r="J60" s="354">
        <f t="shared" si="22"/>
        <v>-7.8000000000000031E-4</v>
      </c>
      <c r="O60" s="233"/>
      <c r="P60" s="426"/>
      <c r="Q60" s="426"/>
      <c r="R60" s="422"/>
    </row>
    <row r="61" spans="1:18" ht="14" x14ac:dyDescent="0.3">
      <c r="A61" s="151">
        <f>IF(C61&lt;&gt;"",COUNTA($C$12:C61),"")</f>
        <v>47</v>
      </c>
      <c r="B61" s="151"/>
      <c r="C61" s="293" t="str">
        <f>+'Bill_Bos G1 nonDem'!C50</f>
        <v>Long Term Renewable Contract Adjustment</v>
      </c>
      <c r="D61" s="293"/>
      <c r="E61" s="274"/>
      <c r="G61" s="277">
        <v>2.3600000000000001E-3</v>
      </c>
      <c r="H61" s="277"/>
      <c r="I61" s="401">
        <v>1.74E-3</v>
      </c>
      <c r="J61" s="354">
        <f t="shared" si="22"/>
        <v>-6.2000000000000011E-4</v>
      </c>
      <c r="O61" s="233"/>
      <c r="P61" s="426"/>
      <c r="Q61" s="426"/>
      <c r="R61" s="422"/>
    </row>
    <row r="62" spans="1:18" ht="14" x14ac:dyDescent="0.3">
      <c r="A62" s="151">
        <f>IF(C62&lt;&gt;"",COUNTA($C$12:C62),"")</f>
        <v>48</v>
      </c>
      <c r="B62" s="151"/>
      <c r="C62" s="293" t="str">
        <f>+'Bill_Bos G1 nonDem'!C51</f>
        <v>AG Consulting Expense</v>
      </c>
      <c r="D62" s="293"/>
      <c r="E62" s="274"/>
      <c r="G62" s="277">
        <v>4.0000000000000003E-5</v>
      </c>
      <c r="H62" s="277"/>
      <c r="I62" s="401">
        <v>1.0000000000000001E-5</v>
      </c>
      <c r="J62" s="354">
        <f t="shared" si="22"/>
        <v>-3.0000000000000004E-5</v>
      </c>
      <c r="O62" s="233"/>
      <c r="P62" s="426"/>
      <c r="Q62" s="426"/>
      <c r="R62" s="424"/>
    </row>
    <row r="63" spans="1:18" ht="14" x14ac:dyDescent="0.3">
      <c r="A63" s="151">
        <f>IF(C63&lt;&gt;"",COUNTA($C$12:C63),"")</f>
        <v>49</v>
      </c>
      <c r="B63" s="151"/>
      <c r="C63" s="293" t="str">
        <f>+'Bill_Bos G1 nonDem'!C52</f>
        <v>Storm Cost Recovery Adjustment Factor</v>
      </c>
      <c r="D63" s="293"/>
      <c r="E63" s="274"/>
      <c r="G63" s="277">
        <v>2.5100000000000001E-3</v>
      </c>
      <c r="H63" s="277"/>
      <c r="I63" s="401">
        <v>4.2100000000000002E-3</v>
      </c>
      <c r="J63" s="354">
        <f t="shared" si="22"/>
        <v>1.7000000000000001E-3</v>
      </c>
      <c r="O63" s="233"/>
      <c r="P63" s="426"/>
      <c r="Q63" s="426"/>
      <c r="R63" s="424"/>
    </row>
    <row r="64" spans="1:18" ht="14" x14ac:dyDescent="0.3">
      <c r="A64" s="151">
        <f>IF(C64&lt;&gt;"",COUNTA($C$12:C64),"")</f>
        <v>50</v>
      </c>
      <c r="B64" s="151"/>
      <c r="C64" s="293" t="str">
        <f>+'Bill_Bos G1 nonDem'!C53</f>
        <v>Storm Reserve Adjustment</v>
      </c>
      <c r="D64" s="293"/>
      <c r="E64" s="274"/>
      <c r="G64" s="277">
        <v>0</v>
      </c>
      <c r="H64" s="277"/>
      <c r="I64" s="401">
        <v>0</v>
      </c>
      <c r="J64" s="354">
        <f t="shared" si="22"/>
        <v>0</v>
      </c>
      <c r="O64" s="233"/>
      <c r="P64" s="426"/>
      <c r="Q64" s="426"/>
      <c r="R64" s="424"/>
    </row>
    <row r="65" spans="1:18" ht="14" x14ac:dyDescent="0.3">
      <c r="A65" s="151">
        <f>IF(C65&lt;&gt;"",COUNTA($C$12:C65),"")</f>
        <v>51</v>
      </c>
      <c r="B65" s="151"/>
      <c r="C65" s="293" t="str">
        <f>+'Bill_Bos G1 nonDem'!C54</f>
        <v>Basic Service Cost True Up Factor</v>
      </c>
      <c r="G65" s="277">
        <v>2.1700000000000001E-3</v>
      </c>
      <c r="H65" s="277"/>
      <c r="I65" s="401">
        <v>-2.7999999999999998E-4</v>
      </c>
      <c r="J65" s="354">
        <f t="shared" si="22"/>
        <v>-2.4499999999999999E-3</v>
      </c>
      <c r="O65" s="233"/>
      <c r="P65" s="426"/>
      <c r="Q65" s="426"/>
      <c r="R65" s="424"/>
    </row>
    <row r="66" spans="1:18" ht="14" x14ac:dyDescent="0.3">
      <c r="A66" s="151">
        <f>IF(C66&lt;&gt;"",COUNTA($C$12:C66),"")</f>
        <v>52</v>
      </c>
      <c r="B66" s="151"/>
      <c r="C66" s="293" t="str">
        <f>+'Bill_Bos G1 nonDem'!C55</f>
        <v>Solar Program Cost Adjustment Factor</v>
      </c>
      <c r="D66" s="293"/>
      <c r="E66" s="274"/>
      <c r="G66" s="277">
        <v>0</v>
      </c>
      <c r="H66" s="277"/>
      <c r="I66" s="401">
        <v>5.0000000000000002E-5</v>
      </c>
      <c r="J66" s="354">
        <f t="shared" si="22"/>
        <v>5.0000000000000002E-5</v>
      </c>
      <c r="O66" s="233"/>
      <c r="P66" s="423"/>
      <c r="Q66" s="432"/>
      <c r="R66" s="424"/>
    </row>
    <row r="67" spans="1:18" ht="14" x14ac:dyDescent="0.3">
      <c r="A67" s="151">
        <f>IF(C67&lt;&gt;"",COUNTA($C$12:C67),"")</f>
        <v>53</v>
      </c>
      <c r="B67" s="151"/>
      <c r="C67" s="293" t="str">
        <f>+'Bill_Bos G1 nonDem'!C56</f>
        <v>Solar Expansion Cost Recovery Factor</v>
      </c>
      <c r="D67" s="293"/>
      <c r="E67" s="274"/>
      <c r="G67" s="277">
        <v>0</v>
      </c>
      <c r="H67" s="277"/>
      <c r="I67" s="401">
        <v>8.7000000000000001E-4</v>
      </c>
      <c r="J67" s="354">
        <f t="shared" si="22"/>
        <v>8.7000000000000001E-4</v>
      </c>
      <c r="O67" s="233"/>
      <c r="P67" s="423"/>
      <c r="Q67" s="432"/>
      <c r="R67" s="424"/>
    </row>
    <row r="68" spans="1:18" ht="14" x14ac:dyDescent="0.3">
      <c r="A68" s="151">
        <f>IF(C68&lt;&gt;"",COUNTA($C$12:C68),"")</f>
        <v>54</v>
      </c>
      <c r="B68" s="151"/>
      <c r="C68" s="293" t="str">
        <f>+'Bill_Bos G1 nonDem'!C57</f>
        <v>Vegetation Management</v>
      </c>
      <c r="D68" s="293"/>
      <c r="E68" s="274"/>
      <c r="G68" s="277">
        <v>0</v>
      </c>
      <c r="H68" s="277"/>
      <c r="I68" s="401">
        <v>1.73E-3</v>
      </c>
      <c r="J68" s="354">
        <f t="shared" si="22"/>
        <v>1.73E-3</v>
      </c>
      <c r="O68" s="233"/>
      <c r="P68" s="423"/>
      <c r="Q68" s="432"/>
      <c r="R68" s="424"/>
    </row>
    <row r="69" spans="1:18" ht="14" x14ac:dyDescent="0.3">
      <c r="A69" s="151">
        <f>IF(C69&lt;&gt;"",COUNTA($C$12:C69),"")</f>
        <v>55</v>
      </c>
      <c r="B69" s="151"/>
      <c r="C69" s="293" t="str">
        <f>+'Bill_Bos G1 nonDem'!C58</f>
        <v>Solar Massachusetts Renewable Target</v>
      </c>
      <c r="D69" s="339"/>
      <c r="E69" s="339"/>
      <c r="F69" s="277"/>
      <c r="G69" s="277">
        <v>0</v>
      </c>
      <c r="H69" s="277"/>
      <c r="I69" s="401">
        <v>1.01E-3</v>
      </c>
      <c r="J69" s="354">
        <f t="shared" si="22"/>
        <v>1.01E-3</v>
      </c>
      <c r="K69" s="339"/>
      <c r="L69" s="339"/>
      <c r="O69" s="233"/>
      <c r="P69" s="423"/>
      <c r="Q69" s="432"/>
      <c r="R69" s="424"/>
    </row>
    <row r="70" spans="1:18" ht="14" x14ac:dyDescent="0.3">
      <c r="A70" s="151">
        <f>IF(C70&lt;&gt;"",COUNTA($C$12:C70),"")</f>
        <v>56</v>
      </c>
      <c r="B70" s="151"/>
      <c r="C70" s="293" t="str">
        <f>+'Bill_Bos G1 nonDem'!C59</f>
        <v>Tax Act Credit Factor</v>
      </c>
      <c r="D70" s="339"/>
      <c r="E70" s="339"/>
      <c r="F70" s="277"/>
      <c r="G70" s="277">
        <v>0</v>
      </c>
      <c r="H70" s="277"/>
      <c r="I70" s="401">
        <v>-1.5399999999999999E-3</v>
      </c>
      <c r="J70" s="354">
        <f t="shared" si="22"/>
        <v>-1.5399999999999999E-3</v>
      </c>
      <c r="K70" s="339"/>
      <c r="L70" s="339"/>
      <c r="O70" s="233"/>
      <c r="P70" s="423"/>
      <c r="Q70" s="432"/>
      <c r="R70" s="424"/>
    </row>
    <row r="71" spans="1:18" ht="14" x14ac:dyDescent="0.3">
      <c r="A71" s="151">
        <f>IF(C71&lt;&gt;"",COUNTA($C$12:C71),"")</f>
        <v>57</v>
      </c>
      <c r="B71" s="151"/>
      <c r="C71" s="293" t="str">
        <f>+'Bill_Bos G1 nonDem'!C60</f>
        <v>Transition</v>
      </c>
      <c r="D71" s="293"/>
      <c r="E71" s="274"/>
      <c r="G71" s="277">
        <v>-6.0999999999999997E-4</v>
      </c>
      <c r="H71" s="277"/>
      <c r="I71" s="401">
        <v>-5.1999999999999995E-4</v>
      </c>
      <c r="J71" s="354">
        <f t="shared" si="22"/>
        <v>9.0000000000000019E-5</v>
      </c>
      <c r="O71" s="233"/>
      <c r="P71" s="426"/>
      <c r="Q71" s="426"/>
      <c r="R71" s="426"/>
    </row>
    <row r="72" spans="1:18" ht="14" x14ac:dyDescent="0.3">
      <c r="A72" s="151">
        <f>IF(C72&lt;&gt;"",COUNTA($C$12:C72),"")</f>
        <v>58</v>
      </c>
      <c r="B72" s="151"/>
      <c r="C72" s="293" t="str">
        <f>+'Bill_Bos G1 Dmd p1'!C72</f>
        <v>Transmission Energy - 1st 2000 kWh</v>
      </c>
      <c r="D72" s="293"/>
      <c r="E72" s="274"/>
      <c r="G72" s="277">
        <v>1.9310000000000001E-2</v>
      </c>
      <c r="H72" s="308"/>
      <c r="I72" s="308">
        <v>1.6995477135063837E-2</v>
      </c>
      <c r="J72" s="354">
        <f t="shared" si="22"/>
        <v>-2.3145228649361638E-3</v>
      </c>
      <c r="O72" s="233"/>
      <c r="P72" s="426"/>
      <c r="Q72" s="428"/>
      <c r="R72" s="422"/>
    </row>
    <row r="73" spans="1:18" ht="14" x14ac:dyDescent="0.3">
      <c r="A73" s="151">
        <f>IF(C73&lt;&gt;"",COUNTA($C$12:C73),"")</f>
        <v>59</v>
      </c>
      <c r="B73" s="151"/>
      <c r="C73" s="293" t="str">
        <f>+'Bill_Bos G1 Dmd p1'!C73</f>
        <v>Transmission Energy - next 150 hrs*kW</v>
      </c>
      <c r="D73" s="293"/>
      <c r="E73" s="274"/>
      <c r="G73" s="277">
        <v>1.9310000000000001E-2</v>
      </c>
      <c r="H73" s="308"/>
      <c r="I73" s="308">
        <v>1.6995477135063837E-2</v>
      </c>
      <c r="J73" s="354">
        <f t="shared" si="22"/>
        <v>-2.3145228649361638E-3</v>
      </c>
      <c r="O73" s="233"/>
      <c r="P73" s="426"/>
      <c r="Q73" s="428"/>
      <c r="R73" s="426"/>
    </row>
    <row r="74" spans="1:18" ht="14" x14ac:dyDescent="0.3">
      <c r="A74" s="151">
        <f>IF(C74&lt;&gt;"",COUNTA($C$12:C74),"")</f>
        <v>60</v>
      </c>
      <c r="B74" s="151"/>
      <c r="C74" s="293" t="str">
        <f>+'Bill_Bos G1 Dmd p1'!C74</f>
        <v>Transmission Energy - remainder kWh</v>
      </c>
      <c r="D74" s="293"/>
      <c r="E74" s="274"/>
      <c r="G74" s="277">
        <v>0</v>
      </c>
      <c r="H74" s="308"/>
      <c r="I74" s="308">
        <v>0</v>
      </c>
      <c r="J74" s="354">
        <f t="shared" si="22"/>
        <v>0</v>
      </c>
      <c r="O74" s="233"/>
      <c r="P74" s="426"/>
      <c r="Q74" s="426"/>
      <c r="R74" s="426"/>
    </row>
    <row r="75" spans="1:18" ht="14" x14ac:dyDescent="0.3">
      <c r="A75" s="151">
        <f>IF(C75&lt;&gt;"",COUNTA($C$12:C75),"")</f>
        <v>61</v>
      </c>
      <c r="B75" s="151"/>
      <c r="C75" s="293" t="str">
        <f>+'Bill_Bos G1 nonDem'!C62</f>
        <v>Energy Efficiency Reconciliation Factor</v>
      </c>
      <c r="D75" s="293"/>
      <c r="E75" s="274"/>
      <c r="G75" s="277">
        <v>8.4600000000000005E-3</v>
      </c>
      <c r="H75" s="308"/>
      <c r="I75" s="308">
        <v>8.4600000000000005E-3</v>
      </c>
      <c r="J75" s="354">
        <f t="shared" si="22"/>
        <v>0</v>
      </c>
      <c r="O75" s="233"/>
      <c r="P75" s="426"/>
      <c r="Q75" s="426"/>
      <c r="R75" s="426"/>
    </row>
    <row r="76" spans="1:18" ht="14" x14ac:dyDescent="0.3">
      <c r="A76" s="151">
        <f>IF(C76&lt;&gt;"",COUNTA($C$12:C76),"")</f>
        <v>62</v>
      </c>
      <c r="B76" s="151"/>
      <c r="C76" s="293" t="str">
        <f>+'Bill_Bos G1 nonDem'!C63</f>
        <v>System Benefits Charge</v>
      </c>
      <c r="D76" s="293"/>
      <c r="E76" s="274"/>
      <c r="G76" s="277">
        <v>2.5000000000000001E-3</v>
      </c>
      <c r="H76" s="308"/>
      <c r="I76" s="308">
        <f>+G76</f>
        <v>2.5000000000000001E-3</v>
      </c>
      <c r="J76" s="354">
        <f t="shared" si="22"/>
        <v>0</v>
      </c>
      <c r="O76" s="233"/>
      <c r="P76" s="426"/>
      <c r="Q76" s="426"/>
      <c r="R76" s="426"/>
    </row>
    <row r="77" spans="1:18" ht="14" x14ac:dyDescent="0.3">
      <c r="A77" s="151">
        <f>IF(C77&lt;&gt;"",COUNTA($C$12:C77),"")</f>
        <v>63</v>
      </c>
      <c r="B77" s="151"/>
      <c r="C77" s="293" t="str">
        <f>+'Bill_Bos G1 nonDem'!C64</f>
        <v>Renewable Energy Charge</v>
      </c>
      <c r="D77" s="293"/>
      <c r="E77" s="274"/>
      <c r="G77" s="277">
        <v>5.0000000000000001E-4</v>
      </c>
      <c r="H77" s="308"/>
      <c r="I77" s="308">
        <f>+G77</f>
        <v>5.0000000000000001E-4</v>
      </c>
      <c r="J77" s="354">
        <f t="shared" si="22"/>
        <v>0</v>
      </c>
      <c r="O77" s="233"/>
      <c r="P77" s="426"/>
      <c r="Q77" s="426"/>
      <c r="R77" s="426"/>
    </row>
    <row r="78" spans="1:18" ht="14" x14ac:dyDescent="0.3">
      <c r="A78" s="151">
        <f>IF(C78&lt;&gt;"",COUNTA($C$12:C78),"")</f>
        <v>64</v>
      </c>
      <c r="B78" s="151"/>
      <c r="C78" s="293" t="str">
        <f>+'Bill_Bos G1 nonDem'!C65</f>
        <v>Basic Service Charge</v>
      </c>
      <c r="D78" s="293"/>
      <c r="E78" s="274"/>
      <c r="G78" s="308">
        <v>0.11402999999999999</v>
      </c>
      <c r="H78" s="308"/>
      <c r="I78" s="308">
        <v>0.13185000000000002</v>
      </c>
      <c r="J78" s="354">
        <f t="shared" si="22"/>
        <v>1.782000000000003E-2</v>
      </c>
      <c r="O78" s="232"/>
      <c r="P78" s="233"/>
      <c r="Q78" s="426"/>
      <c r="R78" s="426"/>
    </row>
    <row r="79" spans="1:18" ht="14" x14ac:dyDescent="0.3">
      <c r="A79" s="151"/>
      <c r="B79" s="151"/>
      <c r="O79" s="232"/>
      <c r="P79" s="233"/>
      <c r="Q79" s="426"/>
      <c r="R79" s="426"/>
    </row>
    <row r="80" spans="1:18" ht="14" x14ac:dyDescent="0.3">
      <c r="A80" s="151"/>
      <c r="B80" s="151"/>
      <c r="O80" s="232"/>
      <c r="P80" s="233"/>
      <c r="Q80" s="426"/>
      <c r="R80" s="426"/>
    </row>
    <row r="81" spans="3:18" ht="14" x14ac:dyDescent="0.3">
      <c r="C81" s="369" t="str">
        <f>'Bill_Bos G1 Dmd p1'!C81</f>
        <v>Winter</v>
      </c>
      <c r="O81" s="232"/>
      <c r="P81" s="233"/>
      <c r="Q81" s="426"/>
      <c r="R81" s="426"/>
    </row>
    <row r="82" spans="3:18" ht="14" x14ac:dyDescent="0.3">
      <c r="C82" s="369" t="str">
        <f>'Bill_Bos G1 Dmd p1'!C82</f>
        <v>Total Demand &gt;10 kW</v>
      </c>
      <c r="G82" s="378">
        <f>G46+G47</f>
        <v>18.46</v>
      </c>
      <c r="H82" s="429"/>
      <c r="I82" s="378">
        <f>I46+I47</f>
        <v>16.23</v>
      </c>
      <c r="J82" s="421">
        <f t="shared" ref="J82:J85" si="23">+I82-G82</f>
        <v>-2.2300000000000004</v>
      </c>
      <c r="O82" s="232"/>
      <c r="P82" s="233"/>
      <c r="Q82" s="426"/>
      <c r="R82" s="426"/>
    </row>
    <row r="83" spans="3:18" ht="14" x14ac:dyDescent="0.3">
      <c r="C83" s="369" t="str">
        <f>'Bill_Bos G1 Dmd p1'!C83</f>
        <v>Total Energy - 1st 2000 kWh</v>
      </c>
      <c r="G83" s="403">
        <f>SUM(G51,G$57:G$71,G72,G$75:G$77)</f>
        <v>8.9889999999999998E-2</v>
      </c>
      <c r="H83" s="429"/>
      <c r="I83" s="403">
        <f>SUM(I51,I$57:I$71,I72,I$75:I$77)</f>
        <v>9.1235477135063831E-2</v>
      </c>
      <c r="J83" s="354">
        <f t="shared" si="23"/>
        <v>1.3454771350638328E-3</v>
      </c>
      <c r="O83" s="232"/>
      <c r="P83" s="233"/>
      <c r="Q83" s="423"/>
      <c r="R83" s="432"/>
    </row>
    <row r="84" spans="3:18" ht="14" x14ac:dyDescent="0.3">
      <c r="C84" s="369" t="str">
        <f>'Bill_Bos G1 Dmd p1'!C84</f>
        <v>Total Energy - next 150 hrs*kW</v>
      </c>
      <c r="G84" s="403">
        <f>SUM(G52,G$57:G$71,G73,G$75:G$77)</f>
        <v>8.4589999999999999E-2</v>
      </c>
      <c r="H84" s="429"/>
      <c r="I84" s="403">
        <f>SUM(I52,I$57:I$71,I73,I$75:I$77)</f>
        <v>8.5705477135063837E-2</v>
      </c>
      <c r="J84" s="354">
        <f t="shared" si="23"/>
        <v>1.1154771350638387E-3</v>
      </c>
      <c r="O84" s="232"/>
      <c r="P84" s="233"/>
      <c r="Q84" s="423"/>
      <c r="R84" s="432"/>
    </row>
    <row r="85" spans="3:18" ht="14" x14ac:dyDescent="0.3">
      <c r="C85" s="369" t="str">
        <f>'Bill_Bos G1 Dmd p1'!C85</f>
        <v>Total Energy - remainder kWh</v>
      </c>
      <c r="G85" s="403">
        <f>SUM(G53,G$57:G$71,G74,G$75:G$77)</f>
        <v>5.3390000000000007E-2</v>
      </c>
      <c r="H85" s="429"/>
      <c r="I85" s="403">
        <f>SUM(I53,I$57:I$71,I74,I$75:I$77)</f>
        <v>5.6320000000000002E-2</v>
      </c>
      <c r="J85" s="354">
        <f t="shared" si="23"/>
        <v>2.9299999999999951E-3</v>
      </c>
      <c r="O85" s="274"/>
      <c r="P85" s="233"/>
      <c r="Q85" s="423"/>
      <c r="R85" s="432"/>
    </row>
    <row r="86" spans="3:18" ht="14" x14ac:dyDescent="0.3">
      <c r="H86" s="429"/>
      <c r="I86" s="429"/>
      <c r="J86" s="374"/>
      <c r="O86" s="232"/>
      <c r="P86" s="233"/>
      <c r="Q86" s="423"/>
      <c r="R86" s="432"/>
    </row>
    <row r="87" spans="3:18" ht="14" x14ac:dyDescent="0.3">
      <c r="C87" s="369" t="str">
        <f>'Bill_Bos G1 Dmd p1'!C87</f>
        <v>Summer</v>
      </c>
      <c r="H87" s="429"/>
      <c r="I87" s="429"/>
      <c r="J87" s="374"/>
      <c r="O87" s="232"/>
      <c r="P87" s="233"/>
      <c r="Q87" s="426"/>
      <c r="R87" s="426"/>
    </row>
    <row r="88" spans="3:18" ht="14" x14ac:dyDescent="0.3">
      <c r="C88" s="369" t="str">
        <f>'Bill_Bos G1 Dmd p1'!C88</f>
        <v>Total Demand &gt;10 kW</v>
      </c>
      <c r="G88" s="378">
        <f>G49+G50</f>
        <v>57.32</v>
      </c>
      <c r="H88" s="429"/>
      <c r="I88" s="378">
        <f>I49+I50</f>
        <v>47.62</v>
      </c>
      <c r="J88" s="421">
        <f t="shared" ref="J88:J91" si="24">+I88-G88</f>
        <v>-9.7000000000000028</v>
      </c>
      <c r="O88" s="232"/>
      <c r="P88" s="233"/>
      <c r="Q88" s="426"/>
      <c r="R88" s="426"/>
    </row>
    <row r="89" spans="3:18" ht="14" x14ac:dyDescent="0.3">
      <c r="C89" s="369" t="str">
        <f>'Bill_Bos G1 Dmd p1'!C89</f>
        <v>Total Energy - 1st 2000 kWh</v>
      </c>
      <c r="G89" s="403">
        <f>SUM(G54,G$57:G$71,G72,G$75:G$77)</f>
        <v>0.11459</v>
      </c>
      <c r="H89" s="429"/>
      <c r="I89" s="403">
        <f>SUM(I54,I$57:I$71,I72,I$75:I$77)</f>
        <v>0.11696547713506383</v>
      </c>
      <c r="J89" s="354">
        <f t="shared" si="24"/>
        <v>2.375477135063836E-3</v>
      </c>
      <c r="O89" s="232"/>
      <c r="P89" s="233"/>
      <c r="Q89" s="426"/>
      <c r="R89" s="426"/>
    </row>
    <row r="90" spans="3:18" ht="14" x14ac:dyDescent="0.3">
      <c r="C90" s="369" t="str">
        <f>'Bill_Bos G1 Dmd p1'!C90</f>
        <v>Total Energy - next 150 hrs*kW</v>
      </c>
      <c r="G90" s="403">
        <f>SUM(G55,G$57:G$71,G73,G$75:G$77)</f>
        <v>8.8899999999999993E-2</v>
      </c>
      <c r="H90" s="429"/>
      <c r="I90" s="403">
        <f>SUM(I55,I$57:I$71,I73,I$75:I$77)</f>
        <v>9.0195477135063831E-2</v>
      </c>
      <c r="J90" s="354">
        <f t="shared" si="24"/>
        <v>1.2954771350638383E-3</v>
      </c>
      <c r="O90" s="232"/>
      <c r="P90" s="233"/>
      <c r="Q90" s="426"/>
      <c r="R90" s="426"/>
    </row>
    <row r="91" spans="3:18" ht="14" x14ac:dyDescent="0.3">
      <c r="C91" s="369" t="str">
        <f>'Bill_Bos G1 Dmd p1'!C91</f>
        <v>Total Energy - remainder kWh</v>
      </c>
      <c r="G91" s="403">
        <f>SUM(G56,G$57:G$71,G74,G$75:G$77)</f>
        <v>5.4590000000000007E-2</v>
      </c>
      <c r="H91" s="429"/>
      <c r="I91" s="403">
        <f>SUM(I56,I$57:I$71,I74,I$75:I$77)</f>
        <v>5.7570000000000003E-2</v>
      </c>
      <c r="J91" s="354">
        <f t="shared" si="24"/>
        <v>2.9799999999999965E-3</v>
      </c>
    </row>
    <row r="92" spans="3:18" ht="14" x14ac:dyDescent="0.3">
      <c r="G92" s="403"/>
      <c r="H92" s="429"/>
      <c r="I92" s="403"/>
      <c r="J92" s="403"/>
    </row>
    <row r="93" spans="3:18" ht="14" x14ac:dyDescent="0.3">
      <c r="C93" s="369" t="str">
        <f>'Bill_Bos G1 Dmd p1'!C93</f>
        <v>Total Basic Service</v>
      </c>
      <c r="G93" s="403">
        <f>G78</f>
        <v>0.11402999999999999</v>
      </c>
      <c r="H93" s="429"/>
      <c r="I93" s="403">
        <f>I78</f>
        <v>0.13185000000000002</v>
      </c>
      <c r="J93" s="354">
        <f t="shared" ref="J93" si="25">+I93-G93</f>
        <v>1.782000000000003E-2</v>
      </c>
    </row>
  </sheetData>
  <mergeCells count="11">
    <mergeCell ref="E27:G27"/>
    <mergeCell ref="I27:K27"/>
    <mergeCell ref="M27:N27"/>
    <mergeCell ref="A4:N4"/>
    <mergeCell ref="A5:N5"/>
    <mergeCell ref="A6:N6"/>
    <mergeCell ref="A8:N8"/>
    <mergeCell ref="A9:N9"/>
    <mergeCell ref="E13:G13"/>
    <mergeCell ref="I13:K13"/>
    <mergeCell ref="M13:N13"/>
  </mergeCells>
  <pageMargins left="0.7" right="0.7" top="0.75" bottom="0.75" header="0.3" footer="0.3"/>
  <pageSetup scale="63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6F955-B590-4125-AB59-98A6CFE31995}">
  <sheetPr>
    <tabColor theme="3" tint="0.59999389629810485"/>
    <pageSetUpPr fitToPage="1"/>
  </sheetPr>
  <dimension ref="A3:AF93"/>
  <sheetViews>
    <sheetView zoomScaleNormal="100" workbookViewId="0"/>
  </sheetViews>
  <sheetFormatPr defaultRowHeight="12.5" x14ac:dyDescent="0.25"/>
  <cols>
    <col min="1" max="1" width="4" customWidth="1"/>
    <col min="2" max="2" width="4.453125" bestFit="1" customWidth="1"/>
    <col min="3" max="4" width="9.7265625" customWidth="1"/>
    <col min="5" max="7" width="14.7265625" customWidth="1"/>
    <col min="8" max="8" width="1.7265625" customWidth="1"/>
    <col min="9" max="11" width="14.7265625" customWidth="1"/>
    <col min="12" max="12" width="1.7265625" customWidth="1"/>
    <col min="13" max="14" width="11.7265625" customWidth="1"/>
    <col min="15" max="15" width="10.81640625" bestFit="1" customWidth="1"/>
    <col min="16" max="16" width="11.54296875" bestFit="1" customWidth="1"/>
    <col min="17" max="17" width="10.453125" bestFit="1" customWidth="1"/>
    <col min="18" max="18" width="10.1796875" bestFit="1" customWidth="1"/>
    <col min="19" max="19" width="9.81640625" bestFit="1" customWidth="1"/>
    <col min="20" max="20" width="10.453125" bestFit="1" customWidth="1"/>
    <col min="21" max="22" width="10.81640625" bestFit="1" customWidth="1"/>
    <col min="23" max="23" width="8.453125" bestFit="1" customWidth="1"/>
    <col min="24" max="24" width="10.81640625" bestFit="1" customWidth="1"/>
    <col min="25" max="25" width="11.54296875" bestFit="1" customWidth="1"/>
    <col min="26" max="26" width="10.453125" bestFit="1" customWidth="1"/>
    <col min="27" max="27" width="10.1796875" bestFit="1" customWidth="1"/>
    <col min="28" max="28" width="9.81640625" bestFit="1" customWidth="1"/>
    <col min="29" max="29" width="9.7265625" bestFit="1" customWidth="1"/>
    <col min="30" max="30" width="10.81640625" bestFit="1" customWidth="1"/>
    <col min="31" max="31" width="11.26953125" bestFit="1" customWidth="1"/>
    <col min="32" max="32" width="8.453125" bestFit="1" customWidth="1"/>
  </cols>
  <sheetData>
    <row r="3" spans="1:32" ht="14" x14ac:dyDescent="0.3">
      <c r="A3" s="365"/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</row>
    <row r="4" spans="1:32" ht="14" x14ac:dyDescent="0.3">
      <c r="A4" s="762" t="str">
        <f>'Bill_Bos G1 Dmd p2'!A4:N4</f>
        <v>Eastern Massachusetts</v>
      </c>
      <c r="B4" s="762"/>
      <c r="C4" s="762"/>
      <c r="D4" s="762"/>
      <c r="E4" s="762"/>
      <c r="F4" s="762"/>
      <c r="G4" s="762"/>
      <c r="H4" s="762"/>
      <c r="I4" s="762"/>
      <c r="J4" s="762"/>
      <c r="K4" s="762"/>
      <c r="L4" s="762"/>
      <c r="M4" s="762"/>
      <c r="N4" s="762"/>
    </row>
    <row r="5" spans="1:32" ht="14" x14ac:dyDescent="0.3">
      <c r="A5" s="762" t="str">
        <f>+'Bill_Bos G1 nonDem'!A5</f>
        <v>Calculation of Monthly Typical Bill</v>
      </c>
      <c r="B5" s="762"/>
      <c r="C5" s="762"/>
      <c r="D5" s="762"/>
      <c r="E5" s="762"/>
      <c r="F5" s="762"/>
      <c r="G5" s="762"/>
      <c r="H5" s="762"/>
      <c r="I5" s="762"/>
      <c r="J5" s="762"/>
      <c r="K5" s="762"/>
      <c r="L5" s="762"/>
      <c r="M5" s="762"/>
      <c r="N5" s="762"/>
    </row>
    <row r="6" spans="1:32" ht="14" x14ac:dyDescent="0.3">
      <c r="A6" s="762" t="str">
        <f>+'Bill_Bos G1 nonDem'!A6</f>
        <v>Proposed January 1, 2019</v>
      </c>
      <c r="B6" s="762"/>
      <c r="C6" s="762"/>
      <c r="D6" s="762"/>
      <c r="E6" s="762"/>
      <c r="F6" s="762"/>
      <c r="G6" s="762"/>
      <c r="H6" s="762"/>
      <c r="I6" s="762"/>
      <c r="J6" s="762"/>
      <c r="K6" s="762"/>
      <c r="L6" s="762"/>
      <c r="M6" s="762"/>
      <c r="N6" s="762"/>
    </row>
    <row r="7" spans="1:32" ht="14" x14ac:dyDescent="0.3">
      <c r="A7" s="365"/>
      <c r="B7" s="365"/>
      <c r="C7" s="365"/>
      <c r="D7" s="365"/>
      <c r="E7" s="365"/>
      <c r="F7" s="365"/>
      <c r="G7" s="365"/>
      <c r="H7" s="365"/>
      <c r="I7" s="365"/>
      <c r="J7" s="365"/>
      <c r="K7" s="365"/>
      <c r="L7" s="365"/>
      <c r="M7" s="365"/>
      <c r="N7" s="365"/>
    </row>
    <row r="8" spans="1:32" ht="14" x14ac:dyDescent="0.3">
      <c r="A8" s="762" t="str">
        <f>+'Bill_Bos G1 nonDem'!A8</f>
        <v>Greater Boston Service Area</v>
      </c>
      <c r="B8" s="762"/>
      <c r="C8" s="762"/>
      <c r="D8" s="762"/>
      <c r="E8" s="762"/>
      <c r="F8" s="762"/>
      <c r="G8" s="762"/>
      <c r="H8" s="762"/>
      <c r="I8" s="762"/>
      <c r="J8" s="762"/>
      <c r="K8" s="762"/>
      <c r="L8" s="762"/>
      <c r="M8" s="762"/>
      <c r="N8" s="762"/>
    </row>
    <row r="9" spans="1:32" ht="14" x14ac:dyDescent="0.3">
      <c r="A9" s="762" t="s">
        <v>354</v>
      </c>
      <c r="B9" s="762"/>
      <c r="C9" s="762"/>
      <c r="D9" s="762"/>
      <c r="E9" s="762"/>
      <c r="F9" s="762"/>
      <c r="G9" s="762"/>
      <c r="H9" s="762"/>
      <c r="I9" s="762"/>
      <c r="J9" s="762"/>
      <c r="K9" s="762"/>
      <c r="L9" s="762"/>
      <c r="M9" s="762"/>
      <c r="N9" s="762"/>
    </row>
    <row r="10" spans="1:32" ht="14" x14ac:dyDescent="0.3">
      <c r="A10" s="430"/>
      <c r="B10" s="430"/>
      <c r="C10" s="430"/>
      <c r="D10" s="430"/>
      <c r="E10" s="430"/>
      <c r="F10" s="430"/>
      <c r="G10" s="430"/>
      <c r="H10" s="430"/>
      <c r="I10" s="430"/>
      <c r="J10" s="430"/>
      <c r="K10" s="430"/>
      <c r="L10" s="430"/>
      <c r="M10" s="430"/>
      <c r="N10" s="430"/>
    </row>
    <row r="11" spans="1:32" ht="14" x14ac:dyDescent="0.3">
      <c r="A11" s="366"/>
      <c r="B11" s="366"/>
      <c r="C11" s="366"/>
      <c r="D11" s="366"/>
      <c r="E11" s="366"/>
      <c r="F11" s="366"/>
      <c r="G11" s="366"/>
      <c r="H11" s="366"/>
      <c r="I11" s="366"/>
      <c r="J11" s="366"/>
      <c r="K11" s="366"/>
      <c r="L11" s="366"/>
      <c r="M11" s="366"/>
      <c r="N11" s="366"/>
    </row>
    <row r="12" spans="1:32" ht="14" x14ac:dyDescent="0.3">
      <c r="A12" s="151">
        <f>IF(C12&lt;&gt;"",COUNTA($C12:C$12),"")</f>
        <v>1</v>
      </c>
      <c r="B12" s="151"/>
      <c r="C12" s="405" t="s">
        <v>575</v>
      </c>
      <c r="D12" s="366"/>
      <c r="E12" s="366"/>
      <c r="F12" s="366"/>
      <c r="G12" s="366"/>
      <c r="H12" s="366"/>
      <c r="I12" s="366"/>
      <c r="J12" s="366"/>
      <c r="K12" s="366"/>
      <c r="L12" s="366"/>
      <c r="M12" s="366"/>
      <c r="N12" s="366"/>
    </row>
    <row r="13" spans="1:32" ht="14" x14ac:dyDescent="0.3">
      <c r="A13" s="151">
        <f>IF(C13&lt;&gt;"",COUNTA($C$12:C13),"")</f>
        <v>2</v>
      </c>
      <c r="B13" s="151"/>
      <c r="C13" s="406" t="str">
        <f>+'Bill_Bos G1 nonDem'!C12</f>
        <v>Monthly</v>
      </c>
      <c r="D13" s="366" t="str">
        <f>+C13</f>
        <v>Monthly</v>
      </c>
      <c r="E13" s="760" t="str">
        <f>+'Bill_Bos G1 nonDem'!D12</f>
        <v>Current Monthly Bill (Winter)</v>
      </c>
      <c r="F13" s="760"/>
      <c r="G13" s="760"/>
      <c r="H13" s="293"/>
      <c r="I13" s="760" t="str">
        <f>+'Bill_Bos G1 nonDem'!H12</f>
        <v>Proposed Monthly Bill (Winter)</v>
      </c>
      <c r="J13" s="760"/>
      <c r="K13" s="760"/>
      <c r="M13" s="760" t="s">
        <v>550</v>
      </c>
      <c r="N13" s="760"/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  <c r="AA13" s="369"/>
      <c r="AB13" s="369"/>
      <c r="AC13" s="369"/>
      <c r="AD13" s="369"/>
      <c r="AE13" s="369"/>
      <c r="AF13" s="369"/>
    </row>
    <row r="14" spans="1:32" ht="14" x14ac:dyDescent="0.3">
      <c r="A14" s="151">
        <f>IF(C14&lt;&gt;"",COUNTA($C$12:C14),"")</f>
        <v>3</v>
      </c>
      <c r="B14" s="151"/>
      <c r="C14" s="408" t="s">
        <v>534</v>
      </c>
      <c r="D14" s="370" t="s">
        <v>551</v>
      </c>
      <c r="E14" s="370" t="s">
        <v>552</v>
      </c>
      <c r="F14" s="370" t="s">
        <v>553</v>
      </c>
      <c r="G14" s="370" t="s">
        <v>47</v>
      </c>
      <c r="H14" s="293"/>
      <c r="I14" s="370" t="s">
        <v>552</v>
      </c>
      <c r="J14" s="370" t="s">
        <v>553</v>
      </c>
      <c r="K14" s="370" t="s">
        <v>47</v>
      </c>
      <c r="M14" s="370" t="s">
        <v>65</v>
      </c>
      <c r="N14" s="370" t="s">
        <v>325</v>
      </c>
      <c r="O14" s="369"/>
      <c r="P14" s="369"/>
      <c r="Q14" s="369"/>
      <c r="R14" s="369"/>
      <c r="S14" s="369"/>
      <c r="T14" s="369"/>
      <c r="U14" s="369"/>
      <c r="V14" s="369"/>
      <c r="W14" s="369"/>
      <c r="X14" s="369"/>
      <c r="Y14" s="369"/>
      <c r="Z14" s="369"/>
      <c r="AA14" s="369"/>
      <c r="AB14" s="369"/>
      <c r="AC14" s="369"/>
      <c r="AD14" s="369"/>
      <c r="AE14" s="369"/>
      <c r="AF14" s="369"/>
    </row>
    <row r="15" spans="1:32" ht="14" x14ac:dyDescent="0.3">
      <c r="A15" s="151">
        <f>IF(C15&lt;&gt;"",COUNTA($C$12:C15),"")</f>
        <v>4</v>
      </c>
      <c r="B15" s="151"/>
      <c r="C15" s="409">
        <f>+'Bill_Bos G1 Dmd p2'!C15</f>
        <v>1</v>
      </c>
      <c r="D15" s="409">
        <f>+C15*400</f>
        <v>400</v>
      </c>
      <c r="E15" s="372">
        <f t="shared" ref="E15:E25" si="0">ROUND($G$44+IF($C15&lt;=10,0,($C15-10)*SUM($G$46,$G$47)),2)+ROUND(IF($D15&gt;(2000+150*$C15),($D15-(2000+150*$C15))*($G$53+$G$74)+150*$C15*($G$52+$G$73)+2000*($G$51+$G$72),IF($D15&gt;2000,($D15-2000)*($G$52+$G$73)+2000*($G$51+$G$72),$D15*($G$51+$G$72))),2)+ROUND($D15*SUM($G$57:$G$71,$G$75:$G$77),2)</f>
        <v>46.959999999999994</v>
      </c>
      <c r="F15" s="372">
        <f>ROUND($G$78*D15,2)</f>
        <v>45.61</v>
      </c>
      <c r="G15" s="372">
        <f t="shared" ref="G15:G25" si="1">SUM(E15:F15)</f>
        <v>92.57</v>
      </c>
      <c r="H15" s="373"/>
      <c r="I15" s="372">
        <f t="shared" ref="I15:I25" si="2">ROUND($I$44+IF($C15&lt;=10,0,($C15-10)*SUM($I$46,$I$47)),2)+ROUND(IF($D15&gt;(2000+150*$C15),($D15-(2000+150*$C15))*($I$53+$I$74)+150*$C15*($I$52+$I$73)+2000*($I$51+$I$72),IF($D15&gt;2000,($D15-2000)*($I$52+$I$73)+2000*($I$51+$I$72),$D15*($I$51+$I$72))),2)+ROUND($D15*SUM($I$57:$I$71,$I$75:$I$77),2)</f>
        <v>47.49</v>
      </c>
      <c r="J15" s="372">
        <f t="shared" ref="J15:J25" si="3">ROUND($I$78*D15,2)</f>
        <v>52.74</v>
      </c>
      <c r="K15" s="372">
        <f t="shared" ref="K15:K25" si="4">SUM(I15:J15)</f>
        <v>100.23</v>
      </c>
      <c r="L15" s="374"/>
      <c r="M15" s="375">
        <f t="shared" ref="M15:M25" si="5">+K15-G15</f>
        <v>7.6600000000000108</v>
      </c>
      <c r="N15" s="376">
        <f t="shared" ref="N15:N25" si="6">+M15/G15</f>
        <v>8.2748190558496401E-2</v>
      </c>
      <c r="O15" s="377"/>
      <c r="P15" s="322"/>
      <c r="Q15" s="322"/>
      <c r="R15" s="322"/>
      <c r="S15" s="322"/>
      <c r="T15" s="322"/>
      <c r="U15" s="322"/>
      <c r="V15" s="377"/>
      <c r="W15" s="378"/>
      <c r="X15" s="377"/>
      <c r="Y15" s="322"/>
      <c r="Z15" s="322"/>
      <c r="AA15" s="322"/>
      <c r="AB15" s="322"/>
      <c r="AC15" s="322"/>
      <c r="AD15" s="322"/>
      <c r="AE15" s="377"/>
      <c r="AF15" s="378">
        <f t="shared" ref="AF15:AF25" si="7">AE15-K15</f>
        <v>-100.23</v>
      </c>
    </row>
    <row r="16" spans="1:32" ht="14" x14ac:dyDescent="0.3">
      <c r="A16" s="151">
        <f>IF(C16&lt;&gt;"",COUNTA($C$12:C16),"")</f>
        <v>5</v>
      </c>
      <c r="B16" s="151"/>
      <c r="C16" s="409">
        <f>+'Bill_Bos G1 Dmd p2'!C16</f>
        <v>2</v>
      </c>
      <c r="D16" s="409">
        <f t="shared" ref="D16:D25" si="8">+C16*400</f>
        <v>800</v>
      </c>
      <c r="E16" s="372">
        <f t="shared" si="0"/>
        <v>82.92</v>
      </c>
      <c r="F16" s="372">
        <f t="shared" ref="F16:F25" si="9">ROUND(G$78*D16,2)</f>
        <v>91.22</v>
      </c>
      <c r="G16" s="372">
        <f t="shared" si="1"/>
        <v>174.14</v>
      </c>
      <c r="H16" s="373"/>
      <c r="I16" s="372">
        <f t="shared" si="2"/>
        <v>83.99</v>
      </c>
      <c r="J16" s="372">
        <f t="shared" si="3"/>
        <v>105.48</v>
      </c>
      <c r="K16" s="372">
        <f t="shared" si="4"/>
        <v>189.47</v>
      </c>
      <c r="L16" s="374"/>
      <c r="M16" s="375">
        <f t="shared" si="5"/>
        <v>15.330000000000013</v>
      </c>
      <c r="N16" s="376">
        <f t="shared" si="6"/>
        <v>8.8032617434248381E-2</v>
      </c>
      <c r="O16" s="377"/>
      <c r="P16" s="322"/>
      <c r="Q16" s="322"/>
      <c r="R16" s="322"/>
      <c r="S16" s="322"/>
      <c r="T16" s="322"/>
      <c r="U16" s="322"/>
      <c r="V16" s="377"/>
      <c r="W16" s="378"/>
      <c r="X16" s="377"/>
      <c r="Y16" s="322"/>
      <c r="Z16" s="322"/>
      <c r="AA16" s="322"/>
      <c r="AB16" s="322"/>
      <c r="AC16" s="322"/>
      <c r="AD16" s="322"/>
      <c r="AE16" s="377"/>
      <c r="AF16" s="378">
        <f t="shared" si="7"/>
        <v>-189.47</v>
      </c>
    </row>
    <row r="17" spans="1:32" ht="14" x14ac:dyDescent="0.3">
      <c r="A17" s="151">
        <f>IF(C17&lt;&gt;"",COUNTA($C$12:C17),"")</f>
        <v>6</v>
      </c>
      <c r="B17" s="151"/>
      <c r="C17" s="409">
        <f>+'Bill_Bos G1 Dmd p2'!C17</f>
        <v>3</v>
      </c>
      <c r="D17" s="409">
        <f t="shared" si="8"/>
        <v>1200</v>
      </c>
      <c r="E17" s="372">
        <f t="shared" si="0"/>
        <v>118.85999999999999</v>
      </c>
      <c r="F17" s="372">
        <f t="shared" si="9"/>
        <v>136.84</v>
      </c>
      <c r="G17" s="372">
        <f t="shared" si="1"/>
        <v>255.7</v>
      </c>
      <c r="H17" s="373"/>
      <c r="I17" s="372">
        <f t="shared" si="2"/>
        <v>120.47999999999999</v>
      </c>
      <c r="J17" s="372">
        <f t="shared" si="3"/>
        <v>158.22</v>
      </c>
      <c r="K17" s="372">
        <f t="shared" si="4"/>
        <v>278.7</v>
      </c>
      <c r="L17" s="374"/>
      <c r="M17" s="375">
        <f t="shared" si="5"/>
        <v>23</v>
      </c>
      <c r="N17" s="376">
        <f t="shared" si="6"/>
        <v>8.9949159170903403E-2</v>
      </c>
      <c r="O17" s="377"/>
      <c r="P17" s="322"/>
      <c r="Q17" s="322"/>
      <c r="R17" s="322"/>
      <c r="S17" s="322"/>
      <c r="T17" s="322"/>
      <c r="U17" s="322"/>
      <c r="V17" s="377"/>
      <c r="W17" s="378"/>
      <c r="X17" s="377"/>
      <c r="Y17" s="322"/>
      <c r="Z17" s="322"/>
      <c r="AA17" s="322"/>
      <c r="AB17" s="322"/>
      <c r="AC17" s="322"/>
      <c r="AD17" s="322"/>
      <c r="AE17" s="377"/>
      <c r="AF17" s="378">
        <f t="shared" si="7"/>
        <v>-278.7</v>
      </c>
    </row>
    <row r="18" spans="1:32" ht="14" x14ac:dyDescent="0.3">
      <c r="A18" s="151">
        <f>IF(C18&lt;&gt;"",COUNTA($C$12:C18),"")</f>
        <v>7</v>
      </c>
      <c r="B18" s="151"/>
      <c r="C18" s="409">
        <f>+'Bill_Bos G1 Dmd p2'!C18</f>
        <v>4</v>
      </c>
      <c r="D18" s="409">
        <f t="shared" si="8"/>
        <v>1600</v>
      </c>
      <c r="E18" s="372">
        <f t="shared" si="0"/>
        <v>154.82</v>
      </c>
      <c r="F18" s="372">
        <f t="shared" si="9"/>
        <v>182.45</v>
      </c>
      <c r="G18" s="372">
        <f t="shared" si="1"/>
        <v>337.27</v>
      </c>
      <c r="H18" s="373"/>
      <c r="I18" s="372">
        <f t="shared" si="2"/>
        <v>156.97999999999999</v>
      </c>
      <c r="J18" s="372">
        <f t="shared" si="3"/>
        <v>210.96</v>
      </c>
      <c r="K18" s="372">
        <f t="shared" si="4"/>
        <v>367.94</v>
      </c>
      <c r="L18" s="374"/>
      <c r="M18" s="375">
        <f t="shared" si="5"/>
        <v>30.670000000000016</v>
      </c>
      <c r="N18" s="376">
        <f t="shared" si="6"/>
        <v>9.0936045304948615E-2</v>
      </c>
      <c r="O18" s="377"/>
      <c r="P18" s="322"/>
      <c r="Q18" s="322"/>
      <c r="R18" s="322"/>
      <c r="S18" s="322"/>
      <c r="T18" s="322"/>
      <c r="U18" s="322"/>
      <c r="V18" s="377"/>
      <c r="W18" s="378"/>
      <c r="X18" s="377"/>
      <c r="Y18" s="322"/>
      <c r="Z18" s="322"/>
      <c r="AA18" s="322"/>
      <c r="AB18" s="322"/>
      <c r="AC18" s="322"/>
      <c r="AD18" s="322"/>
      <c r="AE18" s="377"/>
      <c r="AF18" s="378">
        <f t="shared" si="7"/>
        <v>-367.94</v>
      </c>
    </row>
    <row r="19" spans="1:32" ht="14" x14ac:dyDescent="0.3">
      <c r="A19" s="151">
        <f>IF(C19&lt;&gt;"",COUNTA($C$12:C19),"")</f>
        <v>8</v>
      </c>
      <c r="B19" s="151"/>
      <c r="C19" s="409">
        <f>+'Bill_Bos G1 Dmd p2'!C19</f>
        <v>5</v>
      </c>
      <c r="D19" s="409">
        <f t="shared" si="8"/>
        <v>2000</v>
      </c>
      <c r="E19" s="372">
        <f t="shared" si="0"/>
        <v>190.78</v>
      </c>
      <c r="F19" s="372">
        <f t="shared" si="9"/>
        <v>228.06</v>
      </c>
      <c r="G19" s="372">
        <f t="shared" si="1"/>
        <v>418.84000000000003</v>
      </c>
      <c r="H19" s="373"/>
      <c r="I19" s="372">
        <f t="shared" si="2"/>
        <v>193.47</v>
      </c>
      <c r="J19" s="372">
        <f t="shared" si="3"/>
        <v>263.7</v>
      </c>
      <c r="K19" s="372">
        <f t="shared" si="4"/>
        <v>457.16999999999996</v>
      </c>
      <c r="L19" s="374"/>
      <c r="M19" s="375">
        <f t="shared" si="5"/>
        <v>38.329999999999927</v>
      </c>
      <c r="N19" s="376">
        <f t="shared" si="6"/>
        <v>9.1514659535860771E-2</v>
      </c>
      <c r="O19" s="377"/>
      <c r="P19" s="322"/>
      <c r="Q19" s="322"/>
      <c r="R19" s="322"/>
      <c r="S19" s="322"/>
      <c r="T19" s="322"/>
      <c r="U19" s="322"/>
      <c r="V19" s="377"/>
      <c r="W19" s="378"/>
      <c r="X19" s="377"/>
      <c r="Y19" s="322"/>
      <c r="Z19" s="322"/>
      <c r="AA19" s="322"/>
      <c r="AB19" s="322"/>
      <c r="AC19" s="322"/>
      <c r="AD19" s="322"/>
      <c r="AE19" s="377"/>
      <c r="AF19" s="378">
        <f t="shared" si="7"/>
        <v>-457.16999999999996</v>
      </c>
    </row>
    <row r="20" spans="1:32" ht="14" x14ac:dyDescent="0.3">
      <c r="A20" s="151">
        <f>IF(C20&lt;&gt;"",COUNTA($C$12:C20),"")</f>
        <v>9</v>
      </c>
      <c r="B20" s="151"/>
      <c r="C20" s="409">
        <f>+'Bill_Bos G1 Dmd p2'!C20</f>
        <v>6</v>
      </c>
      <c r="D20" s="409">
        <f t="shared" si="8"/>
        <v>2400</v>
      </c>
      <c r="E20" s="372">
        <f t="shared" si="0"/>
        <v>224.62</v>
      </c>
      <c r="F20" s="372">
        <f t="shared" si="9"/>
        <v>273.67</v>
      </c>
      <c r="G20" s="372">
        <f t="shared" si="1"/>
        <v>498.29</v>
      </c>
      <c r="H20" s="373"/>
      <c r="I20" s="372">
        <f t="shared" si="2"/>
        <v>227.75</v>
      </c>
      <c r="J20" s="372">
        <f t="shared" si="3"/>
        <v>316.44</v>
      </c>
      <c r="K20" s="372">
        <f t="shared" si="4"/>
        <v>544.19000000000005</v>
      </c>
      <c r="L20" s="374"/>
      <c r="M20" s="375">
        <f t="shared" si="5"/>
        <v>45.900000000000034</v>
      </c>
      <c r="N20" s="376">
        <f t="shared" si="6"/>
        <v>9.211503341427689E-2</v>
      </c>
      <c r="O20" s="377"/>
      <c r="P20" s="322"/>
      <c r="Q20" s="322"/>
      <c r="R20" s="322"/>
      <c r="S20" s="322"/>
      <c r="T20" s="322"/>
      <c r="U20" s="322"/>
      <c r="V20" s="377"/>
      <c r="W20" s="378"/>
      <c r="X20" s="377"/>
      <c r="Y20" s="322"/>
      <c r="Z20" s="322"/>
      <c r="AA20" s="322"/>
      <c r="AB20" s="322"/>
      <c r="AC20" s="322"/>
      <c r="AD20" s="322"/>
      <c r="AE20" s="377"/>
      <c r="AF20" s="378">
        <f t="shared" si="7"/>
        <v>-544.19000000000005</v>
      </c>
    </row>
    <row r="21" spans="1:32" ht="14" x14ac:dyDescent="0.3">
      <c r="A21" s="151">
        <f>IF(C21&lt;&gt;"",COUNTA($C$12:C21),"")</f>
        <v>10</v>
      </c>
      <c r="B21" s="151"/>
      <c r="C21" s="409">
        <f>+'Bill_Bos G1 Dmd p2'!C21</f>
        <v>7</v>
      </c>
      <c r="D21" s="409">
        <f t="shared" si="8"/>
        <v>2800</v>
      </c>
      <c r="E21" s="372">
        <f t="shared" si="0"/>
        <v>258.46000000000004</v>
      </c>
      <c r="F21" s="372">
        <f t="shared" si="9"/>
        <v>319.27999999999997</v>
      </c>
      <c r="G21" s="372">
        <f t="shared" si="1"/>
        <v>577.74</v>
      </c>
      <c r="H21" s="373"/>
      <c r="I21" s="372">
        <f t="shared" si="2"/>
        <v>262.04000000000002</v>
      </c>
      <c r="J21" s="372">
        <f t="shared" si="3"/>
        <v>369.18</v>
      </c>
      <c r="K21" s="372">
        <f t="shared" si="4"/>
        <v>631.22</v>
      </c>
      <c r="L21" s="374"/>
      <c r="M21" s="375">
        <f t="shared" si="5"/>
        <v>53.480000000000018</v>
      </c>
      <c r="N21" s="376">
        <f t="shared" si="6"/>
        <v>9.2567590957870358E-2</v>
      </c>
      <c r="O21" s="377"/>
      <c r="P21" s="322"/>
      <c r="Q21" s="322"/>
      <c r="R21" s="322"/>
      <c r="S21" s="322"/>
      <c r="T21" s="322"/>
      <c r="U21" s="322"/>
      <c r="V21" s="377"/>
      <c r="W21" s="378"/>
      <c r="X21" s="377"/>
      <c r="Y21" s="322"/>
      <c r="Z21" s="322"/>
      <c r="AA21" s="322"/>
      <c r="AB21" s="322"/>
      <c r="AC21" s="322"/>
      <c r="AD21" s="322"/>
      <c r="AE21" s="377"/>
      <c r="AF21" s="378">
        <f t="shared" si="7"/>
        <v>-631.22</v>
      </c>
    </row>
    <row r="22" spans="1:32" ht="14" x14ac:dyDescent="0.3">
      <c r="A22" s="151">
        <f>IF(C22&lt;&gt;"",COUNTA($C$12:C22),"")</f>
        <v>11</v>
      </c>
      <c r="B22" s="151"/>
      <c r="C22" s="409">
        <f>+'Bill_Bos G1 Dmd p2'!C22</f>
        <v>8</v>
      </c>
      <c r="D22" s="409">
        <f t="shared" si="8"/>
        <v>3200</v>
      </c>
      <c r="E22" s="372">
        <f t="shared" si="0"/>
        <v>292.27999999999997</v>
      </c>
      <c r="F22" s="380">
        <f t="shared" si="9"/>
        <v>364.9</v>
      </c>
      <c r="G22" s="380">
        <f t="shared" si="1"/>
        <v>657.18</v>
      </c>
      <c r="H22" s="381"/>
      <c r="I22" s="372">
        <f t="shared" si="2"/>
        <v>296.32</v>
      </c>
      <c r="J22" s="380">
        <f t="shared" si="3"/>
        <v>421.92</v>
      </c>
      <c r="K22" s="380">
        <f t="shared" si="4"/>
        <v>718.24</v>
      </c>
      <c r="L22" s="382"/>
      <c r="M22" s="383">
        <f t="shared" si="5"/>
        <v>61.060000000000059</v>
      </c>
      <c r="N22" s="384">
        <f t="shared" si="6"/>
        <v>9.2912139748623002E-2</v>
      </c>
      <c r="O22" s="377"/>
      <c r="P22" s="322"/>
      <c r="Q22" s="322"/>
      <c r="R22" s="322"/>
      <c r="S22" s="322"/>
      <c r="T22" s="322"/>
      <c r="U22" s="322"/>
      <c r="V22" s="377"/>
      <c r="W22" s="378"/>
      <c r="X22" s="377"/>
      <c r="Y22" s="322"/>
      <c r="Z22" s="322"/>
      <c r="AA22" s="322"/>
      <c r="AB22" s="322"/>
      <c r="AC22" s="322"/>
      <c r="AD22" s="322"/>
      <c r="AE22" s="377"/>
      <c r="AF22" s="378">
        <f t="shared" si="7"/>
        <v>-718.24</v>
      </c>
    </row>
    <row r="23" spans="1:32" ht="14" x14ac:dyDescent="0.3">
      <c r="A23" s="151">
        <f>IF(C23&lt;&gt;"",COUNTA($C$12:C23),"")</f>
        <v>12</v>
      </c>
      <c r="B23" s="151"/>
      <c r="C23" s="409">
        <f>+'Bill_Bos G1 Dmd p2'!C23</f>
        <v>10</v>
      </c>
      <c r="D23" s="409">
        <f t="shared" si="8"/>
        <v>4000</v>
      </c>
      <c r="E23" s="372">
        <f t="shared" si="0"/>
        <v>344.36</v>
      </c>
      <c r="F23" s="380">
        <f t="shared" si="9"/>
        <v>456.12</v>
      </c>
      <c r="G23" s="380">
        <f t="shared" si="1"/>
        <v>800.48</v>
      </c>
      <c r="H23" s="381"/>
      <c r="I23" s="372">
        <f t="shared" si="2"/>
        <v>350.19</v>
      </c>
      <c r="J23" s="380">
        <f t="shared" si="3"/>
        <v>527.4</v>
      </c>
      <c r="K23" s="380">
        <f t="shared" si="4"/>
        <v>877.58999999999992</v>
      </c>
      <c r="L23" s="382"/>
      <c r="M23" s="383">
        <f t="shared" si="5"/>
        <v>77.1099999999999</v>
      </c>
      <c r="N23" s="384">
        <f t="shared" si="6"/>
        <v>9.6329702178692661E-2</v>
      </c>
      <c r="O23" s="377"/>
      <c r="P23" s="322"/>
      <c r="Q23" s="322"/>
      <c r="R23" s="322"/>
      <c r="S23" s="322"/>
      <c r="T23" s="322"/>
      <c r="U23" s="322"/>
      <c r="V23" s="377"/>
      <c r="W23" s="378"/>
      <c r="X23" s="377"/>
      <c r="Y23" s="322"/>
      <c r="Z23" s="322"/>
      <c r="AA23" s="322"/>
      <c r="AB23" s="322"/>
      <c r="AC23" s="322"/>
      <c r="AD23" s="322"/>
      <c r="AE23" s="377"/>
      <c r="AF23" s="378">
        <f t="shared" si="7"/>
        <v>-877.58999999999992</v>
      </c>
    </row>
    <row r="24" spans="1:32" ht="14" x14ac:dyDescent="0.3">
      <c r="A24" s="151">
        <f>IF(C24&lt;&gt;"",COUNTA($C$12:C24),"")</f>
        <v>13</v>
      </c>
      <c r="B24" s="151"/>
      <c r="C24" s="409">
        <v>12</v>
      </c>
      <c r="D24" s="409">
        <f t="shared" si="8"/>
        <v>4800</v>
      </c>
      <c r="E24" s="372">
        <f t="shared" si="0"/>
        <v>433.36</v>
      </c>
      <c r="F24" s="380">
        <f t="shared" si="9"/>
        <v>547.34</v>
      </c>
      <c r="G24" s="380">
        <f t="shared" si="1"/>
        <v>980.7</v>
      </c>
      <c r="H24" s="381"/>
      <c r="I24" s="372">
        <f t="shared" si="2"/>
        <v>436.52</v>
      </c>
      <c r="J24" s="380">
        <f t="shared" si="3"/>
        <v>632.88</v>
      </c>
      <c r="K24" s="380">
        <f t="shared" si="4"/>
        <v>1069.4000000000001</v>
      </c>
      <c r="L24" s="382"/>
      <c r="M24" s="383">
        <f t="shared" si="5"/>
        <v>88.700000000000045</v>
      </c>
      <c r="N24" s="384">
        <f t="shared" si="6"/>
        <v>9.0445600081574429E-2</v>
      </c>
      <c r="O24" s="377"/>
      <c r="P24" s="322"/>
      <c r="Q24" s="322"/>
      <c r="R24" s="322"/>
      <c r="S24" s="322"/>
      <c r="T24" s="322"/>
      <c r="U24" s="322"/>
      <c r="V24" s="377"/>
      <c r="W24" s="378"/>
      <c r="X24" s="377"/>
      <c r="Y24" s="322"/>
      <c r="Z24" s="322"/>
      <c r="AA24" s="322"/>
      <c r="AB24" s="322"/>
      <c r="AC24" s="322"/>
      <c r="AD24" s="322"/>
      <c r="AE24" s="377"/>
      <c r="AF24" s="378">
        <f t="shared" si="7"/>
        <v>-1069.4000000000001</v>
      </c>
    </row>
    <row r="25" spans="1:32" ht="14" x14ac:dyDescent="0.3">
      <c r="A25" s="151">
        <f>IF(C25&lt;&gt;"",COUNTA($C$12:C25),"")</f>
        <v>14</v>
      </c>
      <c r="B25" s="151" t="s">
        <v>554</v>
      </c>
      <c r="C25" s="409">
        <v>5</v>
      </c>
      <c r="D25" s="409">
        <f t="shared" si="8"/>
        <v>2000</v>
      </c>
      <c r="E25" s="372">
        <f t="shared" si="0"/>
        <v>190.78</v>
      </c>
      <c r="F25" s="380">
        <f t="shared" si="9"/>
        <v>228.06</v>
      </c>
      <c r="G25" s="380">
        <f t="shared" si="1"/>
        <v>418.84000000000003</v>
      </c>
      <c r="H25" s="381"/>
      <c r="I25" s="372">
        <f t="shared" si="2"/>
        <v>193.47</v>
      </c>
      <c r="J25" s="380">
        <f t="shared" si="3"/>
        <v>263.7</v>
      </c>
      <c r="K25" s="380">
        <f t="shared" si="4"/>
        <v>457.16999999999996</v>
      </c>
      <c r="L25" s="382"/>
      <c r="M25" s="383">
        <f t="shared" si="5"/>
        <v>38.329999999999927</v>
      </c>
      <c r="N25" s="384">
        <f t="shared" si="6"/>
        <v>9.1514659535860771E-2</v>
      </c>
      <c r="O25" s="377"/>
      <c r="P25" s="322"/>
      <c r="Q25" s="322"/>
      <c r="R25" s="322"/>
      <c r="S25" s="322"/>
      <c r="T25" s="322"/>
      <c r="U25" s="322"/>
      <c r="V25" s="377"/>
      <c r="W25" s="378"/>
      <c r="X25" s="377"/>
      <c r="Y25" s="322"/>
      <c r="Z25" s="322"/>
      <c r="AA25" s="322"/>
      <c r="AB25" s="322"/>
      <c r="AC25" s="322"/>
      <c r="AD25" s="322"/>
      <c r="AE25" s="377"/>
      <c r="AF25" s="378">
        <f t="shared" si="7"/>
        <v>-457.16999999999996</v>
      </c>
    </row>
    <row r="26" spans="1:32" ht="14" x14ac:dyDescent="0.3">
      <c r="A26" s="151" t="str">
        <f>IF(C26&lt;&gt;"",COUNTA($C$12:C26),"")</f>
        <v/>
      </c>
      <c r="B26" s="151"/>
      <c r="C26" s="293"/>
      <c r="D26" s="293"/>
      <c r="E26" s="380"/>
      <c r="F26" s="380"/>
      <c r="G26" s="380"/>
      <c r="H26" s="381"/>
      <c r="I26" s="382"/>
      <c r="J26" s="382"/>
      <c r="K26" s="382"/>
      <c r="L26" s="382"/>
      <c r="M26" s="382"/>
      <c r="N26" s="385"/>
      <c r="O26" s="415"/>
      <c r="P26" s="415"/>
      <c r="Q26" s="416"/>
      <c r="R26" s="369"/>
      <c r="S26" s="369"/>
      <c r="T26" s="369"/>
      <c r="U26" s="369"/>
      <c r="V26" s="369"/>
      <c r="W26" s="378"/>
      <c r="X26" s="415"/>
      <c r="Y26" s="415"/>
      <c r="Z26" s="416"/>
      <c r="AA26" s="369"/>
      <c r="AB26" s="369"/>
      <c r="AC26" s="322"/>
      <c r="AD26" s="322"/>
      <c r="AE26" s="369"/>
      <c r="AF26" s="369"/>
    </row>
    <row r="27" spans="1:32" ht="14" x14ac:dyDescent="0.3">
      <c r="A27" s="151">
        <f>IF(C27&lt;&gt;"",COUNTA($C$12:C27),"")</f>
        <v>15</v>
      </c>
      <c r="B27" s="151"/>
      <c r="C27" s="417" t="str">
        <f>+C13</f>
        <v>Monthly</v>
      </c>
      <c r="D27" s="417" t="str">
        <f>+D13</f>
        <v>Monthly</v>
      </c>
      <c r="E27" s="760" t="str">
        <f>+'Bill_Bos G1 nonDem'!D26</f>
        <v>Current Monthly Bill (Summer)</v>
      </c>
      <c r="F27" s="760"/>
      <c r="G27" s="760"/>
      <c r="H27" s="386"/>
      <c r="I27" s="760" t="str">
        <f>+'Bill_Bos G1 nonDem'!H26</f>
        <v>Proposed Monthly Bill (Summer)</v>
      </c>
      <c r="J27" s="760"/>
      <c r="K27" s="760"/>
      <c r="L27" s="382"/>
      <c r="M27" s="760" t="s">
        <v>550</v>
      </c>
      <c r="N27" s="760"/>
      <c r="O27" s="378"/>
      <c r="P27" s="369"/>
      <c r="Q27" s="369"/>
      <c r="R27" s="369"/>
      <c r="S27" s="369"/>
      <c r="T27" s="369"/>
      <c r="U27" s="369"/>
      <c r="V27" s="369"/>
      <c r="W27" s="369"/>
      <c r="X27" s="378"/>
      <c r="Y27" s="369"/>
      <c r="Z27" s="369"/>
      <c r="AA27" s="369"/>
      <c r="AB27" s="369"/>
      <c r="AC27" s="322"/>
      <c r="AD27" s="322"/>
      <c r="AE27" s="369"/>
      <c r="AF27" s="369"/>
    </row>
    <row r="28" spans="1:32" ht="14" x14ac:dyDescent="0.3">
      <c r="A28" s="151">
        <f>IF(C28&lt;&gt;"",COUNTA($C$12:C28),"")</f>
        <v>16</v>
      </c>
      <c r="B28" s="151"/>
      <c r="C28" s="387" t="s">
        <v>534</v>
      </c>
      <c r="D28" s="387" t="s">
        <v>551</v>
      </c>
      <c r="E28" s="388" t="s">
        <v>552</v>
      </c>
      <c r="F28" s="388" t="s">
        <v>553</v>
      </c>
      <c r="G28" s="388" t="s">
        <v>47</v>
      </c>
      <c r="H28" s="386"/>
      <c r="I28" s="388" t="s">
        <v>552</v>
      </c>
      <c r="J28" s="388" t="s">
        <v>553</v>
      </c>
      <c r="K28" s="388" t="s">
        <v>47</v>
      </c>
      <c r="L28" s="382"/>
      <c r="M28" s="388" t="s">
        <v>65</v>
      </c>
      <c r="N28" s="387" t="s">
        <v>325</v>
      </c>
      <c r="O28" s="378"/>
      <c r="P28" s="369"/>
      <c r="Q28" s="369"/>
      <c r="R28" s="369"/>
      <c r="S28" s="369"/>
      <c r="T28" s="369"/>
      <c r="U28" s="369"/>
      <c r="V28" s="369"/>
      <c r="W28" s="369"/>
      <c r="X28" s="378"/>
      <c r="Y28" s="369"/>
      <c r="Z28" s="369"/>
      <c r="AA28" s="369"/>
      <c r="AB28" s="369"/>
      <c r="AC28" s="322"/>
      <c r="AD28" s="322"/>
      <c r="AE28" s="369"/>
      <c r="AF28" s="369"/>
    </row>
    <row r="29" spans="1:32" ht="14" x14ac:dyDescent="0.3">
      <c r="A29" s="151">
        <f>IF(C29&lt;&gt;"",COUNTA($C$12:C29),"")</f>
        <v>17</v>
      </c>
      <c r="B29" s="151"/>
      <c r="C29" s="389">
        <f t="shared" ref="C29:C36" si="10">+C15</f>
        <v>1</v>
      </c>
      <c r="D29" s="409">
        <f>+C29*400</f>
        <v>400</v>
      </c>
      <c r="E29" s="372">
        <f t="shared" ref="E29:E36" si="11">ROUND($G$44+IF($C29&lt;=10,0,($C29-10)*SUM($G$49,$G$50)),2)+ROUND(IF($D29&gt;(2000+150*$C29),($D29-(2000+150*$C29))*($G$56+$G$74)+150*$C29*($G$55+$G$73)+2000*($G$54+$G$72),IF($D29&gt;2000,($D29-2000)*($G$55+$G$73)+2000*($G$54+$G$72),$D29*($G$54+$G$72))),2)+ROUND($D29*SUM($G$57:$G$71,$G$75:$G$77),2)</f>
        <v>56.839999999999996</v>
      </c>
      <c r="F29" s="380">
        <f t="shared" ref="F29:F39" si="12">ROUND(G$78*D29,2)</f>
        <v>45.61</v>
      </c>
      <c r="G29" s="380">
        <f t="shared" ref="G29:G39" si="13">SUM(E29:F29)</f>
        <v>102.44999999999999</v>
      </c>
      <c r="H29" s="381"/>
      <c r="I29" s="372">
        <f t="shared" ref="I29:I37" si="14">ROUND($I$44+IF($C29&lt;=10,0,($C29-10)*SUM($I$49,$I$50)),2)+ROUND(IF($D29&gt;(2000+150*$C29),($D29-(2000+150*$C29))*($I$56+$I$74)+150*$C29*($I$55+$I$73)+2000*($I$54+$I$72),IF($D29&gt;2000,($D29-2000)*($I$55+$I$73)+2000*($I$54+$I$72),$D29*($I$54+$I$72))),2)+ROUND($D29*SUM($I$57:$I$71,$I$75:$I$77),2)</f>
        <v>57.78</v>
      </c>
      <c r="J29" s="380">
        <f t="shared" ref="J29:J39" si="15">ROUND($I$78*D29,2)</f>
        <v>52.74</v>
      </c>
      <c r="K29" s="380">
        <f t="shared" ref="K29:K39" si="16">SUM(I29:J29)</f>
        <v>110.52000000000001</v>
      </c>
      <c r="L29" s="382"/>
      <c r="M29" s="383">
        <f t="shared" ref="M29:M39" si="17">+K29-G29</f>
        <v>8.0700000000000216</v>
      </c>
      <c r="N29" s="384">
        <f t="shared" ref="N29:N39" si="18">+M29/G29</f>
        <v>7.8770131771596114E-2</v>
      </c>
      <c r="O29" s="377"/>
      <c r="P29" s="322"/>
      <c r="Q29" s="322"/>
      <c r="R29" s="322"/>
      <c r="S29" s="322"/>
      <c r="T29" s="322"/>
      <c r="U29" s="322"/>
      <c r="V29" s="377"/>
      <c r="W29" s="378"/>
      <c r="X29" s="377"/>
      <c r="Y29" s="322"/>
      <c r="Z29" s="322"/>
      <c r="AA29" s="322"/>
      <c r="AB29" s="322"/>
      <c r="AC29" s="322"/>
      <c r="AD29" s="322"/>
      <c r="AE29" s="377"/>
      <c r="AF29" s="378">
        <f t="shared" ref="AF29:AF39" si="19">AE29-K29</f>
        <v>-110.52000000000001</v>
      </c>
    </row>
    <row r="30" spans="1:32" ht="14" x14ac:dyDescent="0.3">
      <c r="A30" s="151">
        <f>IF(C30&lt;&gt;"",COUNTA($C$12:C30),"")</f>
        <v>18</v>
      </c>
      <c r="B30" s="151"/>
      <c r="C30" s="389">
        <f t="shared" si="10"/>
        <v>2</v>
      </c>
      <c r="D30" s="409">
        <f t="shared" ref="D30:D39" si="20">+C30*400</f>
        <v>800</v>
      </c>
      <c r="E30" s="372">
        <f t="shared" si="11"/>
        <v>102.67999999999999</v>
      </c>
      <c r="F30" s="380">
        <f t="shared" si="12"/>
        <v>91.22</v>
      </c>
      <c r="G30" s="380">
        <f t="shared" si="13"/>
        <v>193.89999999999998</v>
      </c>
      <c r="H30" s="381"/>
      <c r="I30" s="372">
        <f t="shared" si="14"/>
        <v>104.57</v>
      </c>
      <c r="J30" s="380">
        <f t="shared" si="15"/>
        <v>105.48</v>
      </c>
      <c r="K30" s="380">
        <f t="shared" si="16"/>
        <v>210.05</v>
      </c>
      <c r="L30" s="382"/>
      <c r="M30" s="383">
        <f t="shared" si="17"/>
        <v>16.150000000000034</v>
      </c>
      <c r="N30" s="384">
        <f t="shared" si="18"/>
        <v>8.3290355853532935E-2</v>
      </c>
      <c r="O30" s="377"/>
      <c r="P30" s="322"/>
      <c r="Q30" s="322"/>
      <c r="R30" s="322"/>
      <c r="S30" s="322"/>
      <c r="T30" s="322"/>
      <c r="U30" s="322"/>
      <c r="V30" s="377"/>
      <c r="W30" s="378"/>
      <c r="X30" s="377"/>
      <c r="Y30" s="322"/>
      <c r="Z30" s="322"/>
      <c r="AA30" s="322"/>
      <c r="AB30" s="322"/>
      <c r="AC30" s="322"/>
      <c r="AD30" s="322"/>
      <c r="AE30" s="377"/>
      <c r="AF30" s="378">
        <f t="shared" si="19"/>
        <v>-210.05</v>
      </c>
    </row>
    <row r="31" spans="1:32" ht="14" x14ac:dyDescent="0.3">
      <c r="A31" s="151">
        <f>IF(C31&lt;&gt;"",COUNTA($C$12:C31),"")</f>
        <v>19</v>
      </c>
      <c r="B31" s="151"/>
      <c r="C31" s="389">
        <f t="shared" si="10"/>
        <v>3</v>
      </c>
      <c r="D31" s="409">
        <f t="shared" si="20"/>
        <v>1200</v>
      </c>
      <c r="E31" s="372">
        <f t="shared" si="11"/>
        <v>148.5</v>
      </c>
      <c r="F31" s="380">
        <f t="shared" si="12"/>
        <v>136.84</v>
      </c>
      <c r="G31" s="380">
        <f t="shared" si="13"/>
        <v>285.34000000000003</v>
      </c>
      <c r="H31" s="381"/>
      <c r="I31" s="372">
        <f t="shared" si="14"/>
        <v>151.35999999999999</v>
      </c>
      <c r="J31" s="380">
        <f t="shared" si="15"/>
        <v>158.22</v>
      </c>
      <c r="K31" s="380">
        <f t="shared" si="16"/>
        <v>309.58</v>
      </c>
      <c r="L31" s="382"/>
      <c r="M31" s="383">
        <f t="shared" si="17"/>
        <v>24.239999999999952</v>
      </c>
      <c r="N31" s="384">
        <f t="shared" si="18"/>
        <v>8.4951286184902039E-2</v>
      </c>
      <c r="O31" s="377"/>
      <c r="P31" s="322"/>
      <c r="Q31" s="322"/>
      <c r="R31" s="322"/>
      <c r="S31" s="322"/>
      <c r="T31" s="322"/>
      <c r="U31" s="322"/>
      <c r="V31" s="377"/>
      <c r="W31" s="378"/>
      <c r="X31" s="377"/>
      <c r="Y31" s="322"/>
      <c r="Z31" s="322"/>
      <c r="AA31" s="322"/>
      <c r="AB31" s="322"/>
      <c r="AC31" s="322"/>
      <c r="AD31" s="322"/>
      <c r="AE31" s="377"/>
      <c r="AF31" s="378">
        <f t="shared" si="19"/>
        <v>-309.58</v>
      </c>
    </row>
    <row r="32" spans="1:32" ht="14" x14ac:dyDescent="0.3">
      <c r="A32" s="151">
        <f>IF(C32&lt;&gt;"",COUNTA($C$12:C32),"")</f>
        <v>20</v>
      </c>
      <c r="B32" s="151"/>
      <c r="C32" s="389">
        <f t="shared" si="10"/>
        <v>4</v>
      </c>
      <c r="D32" s="409">
        <f t="shared" si="20"/>
        <v>1600</v>
      </c>
      <c r="E32" s="372">
        <f t="shared" si="11"/>
        <v>194.34</v>
      </c>
      <c r="F32" s="380">
        <f t="shared" si="12"/>
        <v>182.45</v>
      </c>
      <c r="G32" s="380">
        <f t="shared" si="13"/>
        <v>376.78999999999996</v>
      </c>
      <c r="H32" s="381"/>
      <c r="I32" s="372">
        <f t="shared" si="14"/>
        <v>198.14999999999998</v>
      </c>
      <c r="J32" s="380">
        <f t="shared" si="15"/>
        <v>210.96</v>
      </c>
      <c r="K32" s="380">
        <f t="shared" si="16"/>
        <v>409.11</v>
      </c>
      <c r="L32" s="382"/>
      <c r="M32" s="383">
        <f t="shared" si="17"/>
        <v>32.32000000000005</v>
      </c>
      <c r="N32" s="384">
        <f t="shared" si="18"/>
        <v>8.5777223387032711E-2</v>
      </c>
      <c r="O32" s="377"/>
      <c r="P32" s="322"/>
      <c r="Q32" s="322"/>
      <c r="R32" s="322"/>
      <c r="S32" s="322"/>
      <c r="T32" s="322"/>
      <c r="U32" s="322"/>
      <c r="V32" s="377"/>
      <c r="W32" s="378"/>
      <c r="X32" s="377"/>
      <c r="Y32" s="322"/>
      <c r="Z32" s="322"/>
      <c r="AA32" s="322"/>
      <c r="AB32" s="322"/>
      <c r="AC32" s="322"/>
      <c r="AD32" s="322"/>
      <c r="AE32" s="377"/>
      <c r="AF32" s="378">
        <f t="shared" si="19"/>
        <v>-409.11</v>
      </c>
    </row>
    <row r="33" spans="1:32" ht="14" x14ac:dyDescent="0.3">
      <c r="A33" s="151">
        <f>IF(C33&lt;&gt;"",COUNTA($C$12:C33),"")</f>
        <v>21</v>
      </c>
      <c r="B33" s="151"/>
      <c r="C33" s="389">
        <f t="shared" si="10"/>
        <v>5</v>
      </c>
      <c r="D33" s="409">
        <f t="shared" si="20"/>
        <v>2000</v>
      </c>
      <c r="E33" s="372">
        <f t="shared" si="11"/>
        <v>240.18</v>
      </c>
      <c r="F33" s="380">
        <f t="shared" si="12"/>
        <v>228.06</v>
      </c>
      <c r="G33" s="380">
        <f t="shared" si="13"/>
        <v>468.24</v>
      </c>
      <c r="H33" s="381"/>
      <c r="I33" s="372">
        <f t="shared" si="14"/>
        <v>244.93</v>
      </c>
      <c r="J33" s="380">
        <f t="shared" si="15"/>
        <v>263.7</v>
      </c>
      <c r="K33" s="380">
        <f t="shared" si="16"/>
        <v>508.63</v>
      </c>
      <c r="L33" s="382"/>
      <c r="M33" s="383">
        <f t="shared" si="17"/>
        <v>40.389999999999986</v>
      </c>
      <c r="N33" s="384">
        <f t="shared" si="18"/>
        <v>8.625918332479067E-2</v>
      </c>
      <c r="O33" s="377"/>
      <c r="P33" s="322"/>
      <c r="Q33" s="322"/>
      <c r="R33" s="322"/>
      <c r="S33" s="322"/>
      <c r="T33" s="322"/>
      <c r="U33" s="322"/>
      <c r="V33" s="377"/>
      <c r="W33" s="378"/>
      <c r="X33" s="377"/>
      <c r="Y33" s="322"/>
      <c r="Z33" s="322"/>
      <c r="AA33" s="322"/>
      <c r="AB33" s="322"/>
      <c r="AC33" s="322"/>
      <c r="AD33" s="322"/>
      <c r="AE33" s="377"/>
      <c r="AF33" s="378">
        <f t="shared" si="19"/>
        <v>-508.63</v>
      </c>
    </row>
    <row r="34" spans="1:32" ht="14" x14ac:dyDescent="0.3">
      <c r="A34" s="151">
        <f>IF(C34&lt;&gt;"",COUNTA($C$12:C34),"")</f>
        <v>22</v>
      </c>
      <c r="B34" s="151"/>
      <c r="C34" s="389">
        <f t="shared" si="10"/>
        <v>6</v>
      </c>
      <c r="D34" s="409">
        <f t="shared" si="20"/>
        <v>2400</v>
      </c>
      <c r="E34" s="372">
        <f t="shared" si="11"/>
        <v>275.74</v>
      </c>
      <c r="F34" s="380">
        <f t="shared" si="12"/>
        <v>273.67</v>
      </c>
      <c r="G34" s="380">
        <f t="shared" si="13"/>
        <v>549.41000000000008</v>
      </c>
      <c r="H34" s="381"/>
      <c r="I34" s="372">
        <f t="shared" si="14"/>
        <v>281.01</v>
      </c>
      <c r="J34" s="380">
        <f t="shared" si="15"/>
        <v>316.44</v>
      </c>
      <c r="K34" s="380">
        <f t="shared" si="16"/>
        <v>597.45000000000005</v>
      </c>
      <c r="L34" s="382"/>
      <c r="M34" s="383">
        <f t="shared" si="17"/>
        <v>48.039999999999964</v>
      </c>
      <c r="N34" s="384">
        <f t="shared" si="18"/>
        <v>8.7439253016872567E-2</v>
      </c>
      <c r="O34" s="377"/>
      <c r="P34" s="322"/>
      <c r="Q34" s="322"/>
      <c r="R34" s="322"/>
      <c r="S34" s="322"/>
      <c r="T34" s="322"/>
      <c r="U34" s="322"/>
      <c r="V34" s="377"/>
      <c r="W34" s="378"/>
      <c r="X34" s="377"/>
      <c r="Y34" s="322"/>
      <c r="Z34" s="322"/>
      <c r="AA34" s="322"/>
      <c r="AB34" s="322"/>
      <c r="AC34" s="322"/>
      <c r="AD34" s="322"/>
      <c r="AE34" s="377"/>
      <c r="AF34" s="378">
        <f t="shared" si="19"/>
        <v>-597.45000000000005</v>
      </c>
    </row>
    <row r="35" spans="1:32" ht="14" x14ac:dyDescent="0.3">
      <c r="A35" s="151">
        <f>IF(C35&lt;&gt;"",COUNTA($C$12:C35),"")</f>
        <v>23</v>
      </c>
      <c r="B35" s="151"/>
      <c r="C35" s="389">
        <f t="shared" si="10"/>
        <v>7</v>
      </c>
      <c r="D35" s="409">
        <f t="shared" si="20"/>
        <v>2800</v>
      </c>
      <c r="E35" s="372">
        <f t="shared" si="11"/>
        <v>311.3</v>
      </c>
      <c r="F35" s="380">
        <f t="shared" si="12"/>
        <v>319.27999999999997</v>
      </c>
      <c r="G35" s="380">
        <f t="shared" si="13"/>
        <v>630.57999999999993</v>
      </c>
      <c r="H35" s="381"/>
      <c r="I35" s="372">
        <f t="shared" si="14"/>
        <v>317.08999999999997</v>
      </c>
      <c r="J35" s="380">
        <f t="shared" si="15"/>
        <v>369.18</v>
      </c>
      <c r="K35" s="380">
        <f t="shared" si="16"/>
        <v>686.27</v>
      </c>
      <c r="L35" s="382"/>
      <c r="M35" s="383">
        <f t="shared" si="17"/>
        <v>55.690000000000055</v>
      </c>
      <c r="N35" s="384">
        <f t="shared" si="18"/>
        <v>8.8315519045957788E-2</v>
      </c>
      <c r="O35" s="377"/>
      <c r="P35" s="322"/>
      <c r="Q35" s="322"/>
      <c r="R35" s="322"/>
      <c r="S35" s="322"/>
      <c r="T35" s="322"/>
      <c r="U35" s="322"/>
      <c r="V35" s="377"/>
      <c r="W35" s="378"/>
      <c r="X35" s="377"/>
      <c r="Y35" s="322"/>
      <c r="Z35" s="322"/>
      <c r="AA35" s="322"/>
      <c r="AB35" s="322"/>
      <c r="AC35" s="322"/>
      <c r="AD35" s="322"/>
      <c r="AE35" s="377"/>
      <c r="AF35" s="378">
        <f t="shared" si="19"/>
        <v>-686.27</v>
      </c>
    </row>
    <row r="36" spans="1:32" ht="14" x14ac:dyDescent="0.3">
      <c r="A36" s="151">
        <f>IF(C36&lt;&gt;"",COUNTA($C$12:C36),"")</f>
        <v>24</v>
      </c>
      <c r="B36" s="151"/>
      <c r="C36" s="389">
        <f t="shared" si="10"/>
        <v>8</v>
      </c>
      <c r="D36" s="409">
        <f t="shared" si="20"/>
        <v>3200</v>
      </c>
      <c r="E36" s="372">
        <f t="shared" si="11"/>
        <v>346.86</v>
      </c>
      <c r="F36" s="380">
        <f t="shared" si="12"/>
        <v>364.9</v>
      </c>
      <c r="G36" s="380">
        <f t="shared" si="13"/>
        <v>711.76</v>
      </c>
      <c r="H36" s="381"/>
      <c r="I36" s="372">
        <f t="shared" si="14"/>
        <v>353.16</v>
      </c>
      <c r="J36" s="380">
        <f t="shared" si="15"/>
        <v>421.92</v>
      </c>
      <c r="K36" s="380">
        <f t="shared" si="16"/>
        <v>775.08</v>
      </c>
      <c r="L36" s="382"/>
      <c r="M36" s="383">
        <f t="shared" si="17"/>
        <v>63.32000000000005</v>
      </c>
      <c r="N36" s="384">
        <f t="shared" si="18"/>
        <v>8.8962571653366379E-2</v>
      </c>
      <c r="O36" s="377"/>
      <c r="P36" s="322"/>
      <c r="Q36" s="322"/>
      <c r="R36" s="322"/>
      <c r="S36" s="322"/>
      <c r="T36" s="322"/>
      <c r="U36" s="322"/>
      <c r="V36" s="377"/>
      <c r="W36" s="378"/>
      <c r="X36" s="377"/>
      <c r="Y36" s="322"/>
      <c r="Z36" s="322"/>
      <c r="AA36" s="322"/>
      <c r="AB36" s="322"/>
      <c r="AC36" s="322"/>
      <c r="AD36" s="322"/>
      <c r="AE36" s="377"/>
      <c r="AF36" s="378">
        <f t="shared" si="19"/>
        <v>-775.08</v>
      </c>
    </row>
    <row r="37" spans="1:32" ht="14" x14ac:dyDescent="0.3">
      <c r="A37" s="151">
        <f>IF(C37&lt;&gt;"",COUNTA($C$12:C37),"")</f>
        <v>25</v>
      </c>
      <c r="B37" s="151"/>
      <c r="C37" s="389">
        <f>+C23</f>
        <v>10</v>
      </c>
      <c r="D37" s="409">
        <f t="shared" si="20"/>
        <v>4000</v>
      </c>
      <c r="E37" s="372">
        <f>ROUND($G$44+IF($C37&lt;=10,0,($C37-10)*SUM($G$49,$G$50)),2)+ROUND(IF($D37&gt;(2000+150*$C37),($D37-(2000+150*$C37))*($G$56+$G$74)+150*$C37*($G$55+$G$73)+2000*($G$54+$G$72),IF($D37&gt;2000,($D37-2000)*($G$55+$G$73)+2000*($G$54+$G$72),$D37*($G$54+$G$72))),2)+ROUND($D37*SUM($G$57:$G$71,$G$75:$G$77),2)</f>
        <v>400.83</v>
      </c>
      <c r="F37" s="380">
        <f t="shared" si="12"/>
        <v>456.12</v>
      </c>
      <c r="G37" s="380">
        <f t="shared" si="13"/>
        <v>856.95</v>
      </c>
      <c r="H37" s="381"/>
      <c r="I37" s="372">
        <f t="shared" si="14"/>
        <v>409.01</v>
      </c>
      <c r="J37" s="380">
        <f t="shared" si="15"/>
        <v>527.4</v>
      </c>
      <c r="K37" s="380">
        <f t="shared" si="16"/>
        <v>936.41</v>
      </c>
      <c r="L37" s="382"/>
      <c r="M37" s="383">
        <f t="shared" si="17"/>
        <v>79.459999999999923</v>
      </c>
      <c r="N37" s="384">
        <f t="shared" si="18"/>
        <v>9.2724196277495674E-2</v>
      </c>
      <c r="O37" s="377"/>
      <c r="P37" s="322"/>
      <c r="Q37" s="322"/>
      <c r="R37" s="322"/>
      <c r="S37" s="322"/>
      <c r="T37" s="322"/>
      <c r="U37" s="322"/>
      <c r="V37" s="377"/>
      <c r="W37" s="378"/>
      <c r="X37" s="377"/>
      <c r="Y37" s="322"/>
      <c r="Z37" s="322"/>
      <c r="AA37" s="322"/>
      <c r="AB37" s="322"/>
      <c r="AC37" s="322"/>
      <c r="AD37" s="322"/>
      <c r="AE37" s="377"/>
      <c r="AF37" s="378">
        <f t="shared" si="19"/>
        <v>-936.41</v>
      </c>
    </row>
    <row r="38" spans="1:32" ht="14" x14ac:dyDescent="0.3">
      <c r="A38" s="151">
        <f>IF(C38&lt;&gt;"",COUNTA($C$12:C38),"")</f>
        <v>26</v>
      </c>
      <c r="B38" s="151"/>
      <c r="C38" s="389">
        <f>+C24</f>
        <v>12</v>
      </c>
      <c r="D38" s="409">
        <f t="shared" si="20"/>
        <v>4800</v>
      </c>
      <c r="E38" s="372">
        <f>ROUND($G$44+IF($C38&lt;=10,0,($C38-10)*SUM($G$49,$G$50)),2)+ROUND(IF($D38&gt;(2000+150*$C38),($D38-(2000+150*$C38))*($G$56+$G$74)+150*$C38*($G$55+$G$73)+2000*($G$54+$G$72),IF($D38&gt;2000,($D38-2000)*($G$55+$G$73)+2000*($G$54+$G$72),$D38*($G$54+$G$72))),2)+ROUND($D38*SUM($G$57:$G$71,$G$75:$G$77),2)</f>
        <v>569.43000000000006</v>
      </c>
      <c r="F38" s="380">
        <f t="shared" si="12"/>
        <v>547.34</v>
      </c>
      <c r="G38" s="380">
        <f t="shared" si="13"/>
        <v>1116.77</v>
      </c>
      <c r="H38" s="381"/>
      <c r="I38" s="372">
        <f>ROUND($I$44+IF($C38&lt;=10,0,($C38-10)*SUM($I$49,$I$50)),2)+ROUND(IF($D38&gt;(2000+150*$C38),($D38-(2000+150*$C38))*($I$56+$I$74)+150*$C38*($I$55+$I$73)+2000*($I$54+$I$72),IF($D38&gt;2000,($D38-2000)*($I$55+$I$73)+2000*($I$54+$I$72),$D38*($I$54+$I$72))),2)+ROUND($D38*SUM($I$57:$I$71,$I$75:$I$77),2)</f>
        <v>560.09</v>
      </c>
      <c r="J38" s="380">
        <f t="shared" si="15"/>
        <v>632.88</v>
      </c>
      <c r="K38" s="380">
        <f t="shared" si="16"/>
        <v>1192.97</v>
      </c>
      <c r="L38" s="382"/>
      <c r="M38" s="383">
        <f t="shared" si="17"/>
        <v>76.200000000000045</v>
      </c>
      <c r="N38" s="384">
        <f t="shared" si="18"/>
        <v>6.8232491918658308E-2</v>
      </c>
      <c r="O38" s="377"/>
      <c r="P38" s="322"/>
      <c r="Q38" s="322"/>
      <c r="R38" s="322"/>
      <c r="S38" s="322"/>
      <c r="T38" s="322"/>
      <c r="U38" s="322"/>
      <c r="V38" s="377"/>
      <c r="W38" s="378"/>
      <c r="X38" s="377"/>
      <c r="Y38" s="322"/>
      <c r="Z38" s="322"/>
      <c r="AA38" s="322"/>
      <c r="AB38" s="322"/>
      <c r="AC38" s="322"/>
      <c r="AD38" s="322"/>
      <c r="AE38" s="377"/>
      <c r="AF38" s="378">
        <f t="shared" si="19"/>
        <v>-1192.97</v>
      </c>
    </row>
    <row r="39" spans="1:32" ht="14" x14ac:dyDescent="0.3">
      <c r="A39" s="151">
        <f>IF(C39&lt;&gt;"",COUNTA($C$12:C39),"")</f>
        <v>27</v>
      </c>
      <c r="B39" s="151" t="s">
        <v>554</v>
      </c>
      <c r="C39" s="389">
        <v>5</v>
      </c>
      <c r="D39" s="409">
        <f t="shared" si="20"/>
        <v>2000</v>
      </c>
      <c r="E39" s="372">
        <f t="shared" ref="E39" si="21">ROUND($G$44+IF($C39&lt;=10,0,($C39-10)*SUM($G$49,$G$50)),2)+ROUND(IF($D39&gt;(2000+150*$C39),($D39-(2000+150*$C39))*($G$56+$G$74)+150*$C39*($G$55+$G$73)+2000*($G$54+$G$72),IF($D39&gt;2000,($D39-2000)*($G$55+$G$73)+2000*($G$54+$G$72),$D39*($G$54+$G$72))),2)+ROUND($D39*SUM($G$57:$G$71,$G$75:$G$77),2)</f>
        <v>240.18</v>
      </c>
      <c r="F39" s="380">
        <f t="shared" si="12"/>
        <v>228.06</v>
      </c>
      <c r="G39" s="380">
        <f t="shared" si="13"/>
        <v>468.24</v>
      </c>
      <c r="H39" s="381"/>
      <c r="I39" s="372">
        <f>ROUND($I$44+IF($C39&lt;=10,0,($C39-10)*SUM($I$49,$I$50)),2)+ROUND(IF($D39&gt;(2000+150*$C39),($D39-(2000+150*$C39))*($I$56+$I$74)+150*$C39*($I$55+$I$73)+2000*($I$54+$I$72),IF($D39&gt;2000,($D39-2000)*($I$55+$I$73)+2000*($I$54+$I$72),$D39*($I$54+$I$72))),2)+ROUND($D39*SUM($I$57:$I$71,$I$75:$I$77),2)</f>
        <v>244.93</v>
      </c>
      <c r="J39" s="380">
        <f t="shared" si="15"/>
        <v>263.7</v>
      </c>
      <c r="K39" s="380">
        <f t="shared" si="16"/>
        <v>508.63</v>
      </c>
      <c r="L39" s="382"/>
      <c r="M39" s="383">
        <f t="shared" si="17"/>
        <v>40.389999999999986</v>
      </c>
      <c r="N39" s="384">
        <f t="shared" si="18"/>
        <v>8.625918332479067E-2</v>
      </c>
      <c r="O39" s="377"/>
      <c r="P39" s="322"/>
      <c r="Q39" s="322"/>
      <c r="R39" s="322"/>
      <c r="S39" s="322"/>
      <c r="T39" s="322"/>
      <c r="U39" s="322"/>
      <c r="V39" s="377"/>
      <c r="W39" s="378"/>
      <c r="X39" s="377"/>
      <c r="Y39" s="322"/>
      <c r="Z39" s="322"/>
      <c r="AA39" s="322"/>
      <c r="AB39" s="322"/>
      <c r="AC39" s="322"/>
      <c r="AD39" s="322"/>
      <c r="AE39" s="377"/>
      <c r="AF39" s="378">
        <f t="shared" si="19"/>
        <v>-508.63</v>
      </c>
    </row>
    <row r="40" spans="1:32" ht="14" x14ac:dyDescent="0.3">
      <c r="A40" s="151" t="str">
        <f>IF(C40&lt;&gt;"",COUNTA($C$12:C40),"")</f>
        <v/>
      </c>
      <c r="B40" s="151"/>
      <c r="C40" s="433"/>
      <c r="D40" s="433"/>
      <c r="E40" s="433"/>
      <c r="F40" s="433"/>
      <c r="G40" s="434"/>
      <c r="H40" s="435"/>
      <c r="I40" s="385"/>
      <c r="J40" s="385"/>
      <c r="K40" s="385"/>
      <c r="L40" s="385"/>
      <c r="M40" s="385"/>
      <c r="N40" s="385"/>
    </row>
    <row r="41" spans="1:32" ht="14" x14ac:dyDescent="0.3">
      <c r="A41" s="151" t="str">
        <f>IF(C41&lt;&gt;"",COUNTA($C$12:C41),"")</f>
        <v/>
      </c>
      <c r="B41" s="151"/>
      <c r="C41" s="433"/>
      <c r="D41" s="433"/>
      <c r="E41" s="433"/>
      <c r="F41" s="435"/>
      <c r="G41" s="436"/>
      <c r="H41" s="435"/>
      <c r="I41" s="385"/>
      <c r="J41" s="385"/>
      <c r="K41" s="385"/>
      <c r="L41" s="385"/>
      <c r="M41" s="385"/>
      <c r="N41" s="385"/>
      <c r="R41" s="374"/>
    </row>
    <row r="42" spans="1:32" ht="14" x14ac:dyDescent="0.3">
      <c r="A42" s="151">
        <f>IF(C42&lt;&gt;"",COUNTA($C$12:C42),"")</f>
        <v>28</v>
      </c>
      <c r="B42" s="151"/>
      <c r="C42" s="433" t="s">
        <v>46</v>
      </c>
      <c r="D42" s="433"/>
      <c r="E42" s="385"/>
      <c r="G42" s="395" t="str">
        <f>+'Bill_Bos G1 nonDem'!F41</f>
        <v>Current</v>
      </c>
      <c r="I42" s="395" t="str">
        <f>+'Bill_Bos G1 nonDem'!H41</f>
        <v>Proposed</v>
      </c>
      <c r="J42" s="437"/>
      <c r="K42" s="385"/>
      <c r="L42" s="385"/>
      <c r="M42" s="385"/>
      <c r="N42" s="385"/>
      <c r="R42" s="374"/>
    </row>
    <row r="43" spans="1:32" ht="17" x14ac:dyDescent="0.6">
      <c r="A43" s="151">
        <f>IF(C43&lt;&gt;"",COUNTA($C$12:C43),"")</f>
        <v>29</v>
      </c>
      <c r="B43" s="151"/>
      <c r="C43" s="438" t="s">
        <v>46</v>
      </c>
      <c r="D43" s="433"/>
      <c r="E43" s="385"/>
      <c r="G43" s="396" t="str">
        <f>+'Bill_Bos G1 nonDem'!F42</f>
        <v>Rates</v>
      </c>
      <c r="I43" s="396" t="str">
        <f>+'Bill_Bos G1 nonDem'!H42</f>
        <v>Rates</v>
      </c>
      <c r="J43" s="396" t="str">
        <f>+'Bill_Bos G1 nonDem'!I42</f>
        <v>Change</v>
      </c>
      <c r="K43" s="385"/>
      <c r="L43" s="385"/>
      <c r="M43" s="385"/>
      <c r="N43" s="385"/>
    </row>
    <row r="44" spans="1:32" ht="14" x14ac:dyDescent="0.3">
      <c r="A44" s="151">
        <f>IF(C44&lt;&gt;"",COUNTA($C$12:C44),"")</f>
        <v>30</v>
      </c>
      <c r="B44" s="151"/>
      <c r="C44" s="293" t="str">
        <f>+'Bill_Bos G1 Dmd p1'!C44</f>
        <v>Customer Charge</v>
      </c>
      <c r="D44" s="433"/>
      <c r="E44" s="385"/>
      <c r="G44" s="397">
        <v>11</v>
      </c>
      <c r="H44" s="397"/>
      <c r="I44" s="397">
        <f>+G44</f>
        <v>11</v>
      </c>
      <c r="J44" s="421">
        <f>+I44-G44</f>
        <v>0</v>
      </c>
      <c r="Q44" s="439"/>
      <c r="R44" s="374"/>
    </row>
    <row r="45" spans="1:32" ht="14" x14ac:dyDescent="0.3">
      <c r="A45" s="151">
        <f>IF(C45&lt;&gt;"",COUNTA($C$12:C45),"")</f>
        <v>31</v>
      </c>
      <c r="B45" s="151"/>
      <c r="C45" s="293" t="str">
        <f>+'Bill_Bos G1 Dmd p1'!C45</f>
        <v>Distribution Demand &lt;=10 kW - Winter</v>
      </c>
      <c r="D45" s="433"/>
      <c r="E45" s="385"/>
      <c r="G45" s="397">
        <v>0</v>
      </c>
      <c r="H45" s="397"/>
      <c r="I45" s="397">
        <f>-G45</f>
        <v>0</v>
      </c>
      <c r="J45" s="421">
        <f t="shared" ref="J45:J78" si="22">+I45-G45</f>
        <v>0</v>
      </c>
      <c r="R45" s="374"/>
    </row>
    <row r="46" spans="1:32" ht="14" x14ac:dyDescent="0.3">
      <c r="A46" s="151">
        <f>IF(C46&lt;&gt;"",COUNTA($C$12:C46),"")</f>
        <v>32</v>
      </c>
      <c r="B46" s="151"/>
      <c r="C46" s="293" t="str">
        <f>+'Bill_Bos G1 Dmd p1'!C46</f>
        <v>Distribution Demand &gt;10 kW - Winter</v>
      </c>
      <c r="D46" s="293"/>
      <c r="G46" s="397">
        <v>0.27</v>
      </c>
      <c r="H46" s="397"/>
      <c r="I46" s="397">
        <v>0.28000000000000003</v>
      </c>
      <c r="J46" s="421">
        <f t="shared" si="22"/>
        <v>1.0000000000000009E-2</v>
      </c>
    </row>
    <row r="47" spans="1:32" ht="14" x14ac:dyDescent="0.3">
      <c r="A47" s="151">
        <f>IF(C47&lt;&gt;"",COUNTA($C$12:C47),"")</f>
        <v>33</v>
      </c>
      <c r="B47" s="151"/>
      <c r="C47" s="293" t="str">
        <f>+'Bill_Bos G1 Dmd p1'!C47</f>
        <v>Transmission Demand &gt;10 kW - Winter</v>
      </c>
      <c r="D47" s="293"/>
      <c r="G47" s="397">
        <v>18.190000000000001</v>
      </c>
      <c r="H47" s="397"/>
      <c r="I47" s="397">
        <v>15.95</v>
      </c>
      <c r="J47" s="421">
        <f>+I47-G47</f>
        <v>-2.240000000000002</v>
      </c>
    </row>
    <row r="48" spans="1:32" ht="14" x14ac:dyDescent="0.3">
      <c r="A48" s="151">
        <f>IF(C48&lt;&gt;"",COUNTA($C$12:C48),"")</f>
        <v>34</v>
      </c>
      <c r="B48" s="151"/>
      <c r="C48" s="293" t="str">
        <f>+'Bill_Bos G1 Dmd p1'!C48</f>
        <v>Distribution Demand &lt;=10 kW - Summer</v>
      </c>
      <c r="D48" s="293"/>
      <c r="G48" s="397">
        <v>0</v>
      </c>
      <c r="H48" s="397"/>
      <c r="I48" s="399">
        <f>+G48</f>
        <v>0</v>
      </c>
      <c r="J48" s="421">
        <f t="shared" si="22"/>
        <v>0</v>
      </c>
    </row>
    <row r="49" spans="1:10" ht="14" x14ac:dyDescent="0.3">
      <c r="A49" s="151">
        <f>IF(C49&lt;&gt;"",COUNTA($C$12:C49),"")</f>
        <v>35</v>
      </c>
      <c r="B49" s="151"/>
      <c r="C49" s="293" t="str">
        <f>+'Bill_Bos G1 Dmd p1'!C49</f>
        <v>Distribution Demand &gt;10 kW - Summer</v>
      </c>
      <c r="D49" s="293"/>
      <c r="G49" s="397">
        <v>0.83</v>
      </c>
      <c r="H49" s="397"/>
      <c r="I49" s="397">
        <v>0.86</v>
      </c>
      <c r="J49" s="421">
        <f t="shared" si="22"/>
        <v>3.0000000000000027E-2</v>
      </c>
    </row>
    <row r="50" spans="1:10" ht="14" x14ac:dyDescent="0.3">
      <c r="A50" s="151">
        <f>IF(C50&lt;&gt;"",COUNTA($C$12:C50),"")</f>
        <v>36</v>
      </c>
      <c r="B50" s="151"/>
      <c r="C50" s="293" t="str">
        <f>+'Bill_Bos G1 Dmd p1'!C50</f>
        <v>Transmission Demand &gt;10 kW - Summer</v>
      </c>
      <c r="D50" s="293"/>
      <c r="G50" s="397">
        <v>56.49</v>
      </c>
      <c r="H50" s="397"/>
      <c r="I50" s="397">
        <v>46.76</v>
      </c>
      <c r="J50" s="421">
        <f>+I50-G50</f>
        <v>-9.730000000000004</v>
      </c>
    </row>
    <row r="51" spans="1:10" ht="14" x14ac:dyDescent="0.3">
      <c r="A51" s="151">
        <f>IF(C51&lt;&gt;"",COUNTA($C$12:C51),"")</f>
        <v>37</v>
      </c>
      <c r="B51" s="151"/>
      <c r="C51" s="293" t="str">
        <f>+'Bill_Bos G1 Dmd p1'!C51</f>
        <v>Distribution Energy - 1st 2000 kWh - Winter</v>
      </c>
      <c r="D51" s="293"/>
      <c r="G51" s="308">
        <v>4.0660000000000002E-2</v>
      </c>
      <c r="H51" s="308"/>
      <c r="I51" s="401">
        <v>4.2380000000000001E-2</v>
      </c>
      <c r="J51" s="354">
        <f t="shared" si="22"/>
        <v>1.7199999999999993E-3</v>
      </c>
    </row>
    <row r="52" spans="1:10" ht="14" x14ac:dyDescent="0.3">
      <c r="A52" s="151">
        <f>IF(C52&lt;&gt;"",COUNTA($C$12:C52),"")</f>
        <v>38</v>
      </c>
      <c r="B52" s="151"/>
      <c r="C52" s="293" t="str">
        <f>+'Bill_Bos G1 Dmd p1'!C52</f>
        <v>Distribution Energy - next 150 hrs*kW - Winter</v>
      </c>
      <c r="D52" s="293"/>
      <c r="G52" s="308">
        <v>3.5360000000000003E-2</v>
      </c>
      <c r="H52" s="308"/>
      <c r="I52" s="401">
        <v>3.6850000000000001E-2</v>
      </c>
      <c r="J52" s="354">
        <f t="shared" si="22"/>
        <v>1.4899999999999983E-3</v>
      </c>
    </row>
    <row r="53" spans="1:10" ht="14" x14ac:dyDescent="0.3">
      <c r="A53" s="151">
        <f>IF(C53&lt;&gt;"",COUNTA($C$12:C53),"")</f>
        <v>39</v>
      </c>
      <c r="B53" s="151"/>
      <c r="C53" s="293" t="str">
        <f>+'Bill_Bos G1 Dmd p1'!C53</f>
        <v>Distribution Energy - remainder kWh - Winter</v>
      </c>
      <c r="D53" s="293"/>
      <c r="G53" s="308">
        <v>2.3470000000000001E-2</v>
      </c>
      <c r="H53" s="308"/>
      <c r="I53" s="401">
        <v>2.4459999999999999E-2</v>
      </c>
      <c r="J53" s="354">
        <f t="shared" si="22"/>
        <v>9.8999999999999783E-4</v>
      </c>
    </row>
    <row r="54" spans="1:10" ht="14" x14ac:dyDescent="0.3">
      <c r="A54" s="151">
        <f>IF(C54&lt;&gt;"",COUNTA($C$12:C54),"")</f>
        <v>40</v>
      </c>
      <c r="B54" s="151"/>
      <c r="C54" s="293" t="str">
        <f>+'Bill_Bos G1 Dmd p1'!C54</f>
        <v>Distribution Energy - 1st 2000 kWh - Summer</v>
      </c>
      <c r="D54" s="293"/>
      <c r="G54" s="308">
        <v>6.5360000000000001E-2</v>
      </c>
      <c r="H54" s="308"/>
      <c r="I54" s="401">
        <v>6.8110000000000004E-2</v>
      </c>
      <c r="J54" s="354">
        <f t="shared" si="22"/>
        <v>2.7500000000000024E-3</v>
      </c>
    </row>
    <row r="55" spans="1:10" ht="14" x14ac:dyDescent="0.3">
      <c r="A55" s="151">
        <f>IF(C55&lt;&gt;"",COUNTA($C$12:C55),"")</f>
        <v>41</v>
      </c>
      <c r="B55" s="151"/>
      <c r="C55" s="293" t="str">
        <f>+'Bill_Bos G1 Dmd p1'!C55</f>
        <v>Distribution Energy - next 150 hrs*kW - Summer</v>
      </c>
      <c r="D55" s="293"/>
      <c r="G55" s="308">
        <v>3.9669999999999997E-2</v>
      </c>
      <c r="H55" s="308"/>
      <c r="I55" s="401">
        <v>4.1340000000000002E-2</v>
      </c>
      <c r="J55" s="354">
        <f t="shared" si="22"/>
        <v>1.6700000000000048E-3</v>
      </c>
    </row>
    <row r="56" spans="1:10" ht="14" x14ac:dyDescent="0.3">
      <c r="A56" s="151">
        <f>IF(C56&lt;&gt;"",COUNTA($C$12:C56),"")</f>
        <v>42</v>
      </c>
      <c r="B56" s="151"/>
      <c r="C56" s="293" t="str">
        <f>+'Bill_Bos G1 Dmd p1'!C56</f>
        <v>Distribution Energy - remainder kWh - Summer</v>
      </c>
      <c r="D56" s="293"/>
      <c r="G56" s="308">
        <v>2.4670000000000001E-2</v>
      </c>
      <c r="H56" s="308"/>
      <c r="I56" s="401">
        <v>2.571E-2</v>
      </c>
      <c r="J56" s="354">
        <f t="shared" si="22"/>
        <v>1.0399999999999993E-3</v>
      </c>
    </row>
    <row r="57" spans="1:10" ht="14" x14ac:dyDescent="0.3">
      <c r="A57" s="151">
        <f>IF(C57&lt;&gt;"",COUNTA($C$12:C57),"")</f>
        <v>43</v>
      </c>
      <c r="B57" s="151"/>
      <c r="C57" s="293" t="str">
        <f>+'Bill_Bos G1 nonDem'!C46</f>
        <v>Revenue Decoupling</v>
      </c>
      <c r="D57" s="293"/>
      <c r="G57" s="277">
        <v>0</v>
      </c>
      <c r="H57" s="277"/>
      <c r="I57" s="401">
        <v>-6.6E-4</v>
      </c>
      <c r="J57" s="354">
        <f t="shared" si="22"/>
        <v>-6.6E-4</v>
      </c>
    </row>
    <row r="58" spans="1:10" ht="14" x14ac:dyDescent="0.3">
      <c r="A58" s="151">
        <f>IF(C58&lt;&gt;"",COUNTA($C$12:C58),"")</f>
        <v>44</v>
      </c>
      <c r="B58" s="151"/>
      <c r="C58" s="293" t="str">
        <f>+'Bill_Bos G1 nonDem'!C47</f>
        <v>Residential Assistance Adjustment Factor</v>
      </c>
      <c r="D58" s="293"/>
      <c r="G58" s="277">
        <v>4.0699999999999998E-3</v>
      </c>
      <c r="H58" s="277"/>
      <c r="I58" s="401">
        <v>5.5599999999999998E-3</v>
      </c>
      <c r="J58" s="354">
        <f t="shared" si="22"/>
        <v>1.49E-3</v>
      </c>
    </row>
    <row r="59" spans="1:10" ht="14" x14ac:dyDescent="0.3">
      <c r="A59" s="151">
        <f>IF(C59&lt;&gt;"",COUNTA($C$12:C59),"")</f>
        <v>45</v>
      </c>
      <c r="B59" s="151"/>
      <c r="C59" s="293" t="str">
        <f>+'Bill_Bos G1 nonDem'!C48</f>
        <v>Pension Adjustment Factor</v>
      </c>
      <c r="D59" s="293"/>
      <c r="G59" s="277">
        <v>-1.1E-4</v>
      </c>
      <c r="H59" s="277"/>
      <c r="I59" s="401">
        <v>9.7000000000000005E-4</v>
      </c>
      <c r="J59" s="354">
        <f t="shared" si="22"/>
        <v>1.08E-3</v>
      </c>
    </row>
    <row r="60" spans="1:10" ht="14" x14ac:dyDescent="0.3">
      <c r="A60" s="151">
        <f>IF(C60&lt;&gt;"",COUNTA($C$12:C60),"")</f>
        <v>46</v>
      </c>
      <c r="B60" s="151"/>
      <c r="C60" s="293" t="str">
        <f>+'Bill_Bos G1 nonDem'!C49</f>
        <v>Net Metering Recovery Surcharge</v>
      </c>
      <c r="D60" s="293"/>
      <c r="G60" s="277">
        <v>8.0300000000000007E-3</v>
      </c>
      <c r="H60" s="277"/>
      <c r="I60" s="401">
        <v>7.2500000000000004E-3</v>
      </c>
      <c r="J60" s="354">
        <f t="shared" si="22"/>
        <v>-7.8000000000000031E-4</v>
      </c>
    </row>
    <row r="61" spans="1:10" ht="14" x14ac:dyDescent="0.3">
      <c r="A61" s="151">
        <f>IF(C61&lt;&gt;"",COUNTA($C$12:C61),"")</f>
        <v>47</v>
      </c>
      <c r="B61" s="151"/>
      <c r="C61" s="293" t="str">
        <f>+'Bill_Bos G1 nonDem'!C50</f>
        <v>Long Term Renewable Contract Adjustment</v>
      </c>
      <c r="D61" s="293"/>
      <c r="G61" s="277">
        <v>2.3600000000000001E-3</v>
      </c>
      <c r="H61" s="277"/>
      <c r="I61" s="401">
        <v>1.74E-3</v>
      </c>
      <c r="J61" s="354">
        <f t="shared" si="22"/>
        <v>-6.2000000000000011E-4</v>
      </c>
    </row>
    <row r="62" spans="1:10" ht="14" x14ac:dyDescent="0.3">
      <c r="A62" s="151">
        <f>IF(C62&lt;&gt;"",COUNTA($C$12:C62),"")</f>
        <v>48</v>
      </c>
      <c r="B62" s="151"/>
      <c r="C62" s="293" t="str">
        <f>+'Bill_Bos G1 nonDem'!C51</f>
        <v>AG Consulting Expense</v>
      </c>
      <c r="D62" s="293"/>
      <c r="G62" s="277">
        <v>4.0000000000000003E-5</v>
      </c>
      <c r="H62" s="277"/>
      <c r="I62" s="401">
        <v>1.0000000000000001E-5</v>
      </c>
      <c r="J62" s="354">
        <f t="shared" si="22"/>
        <v>-3.0000000000000004E-5</v>
      </c>
    </row>
    <row r="63" spans="1:10" ht="14" x14ac:dyDescent="0.3">
      <c r="A63" s="151">
        <f>IF(C63&lt;&gt;"",COUNTA($C$12:C63),"")</f>
        <v>49</v>
      </c>
      <c r="B63" s="151"/>
      <c r="C63" s="293" t="str">
        <f>+'Bill_Bos G1 nonDem'!C52</f>
        <v>Storm Cost Recovery Adjustment Factor</v>
      </c>
      <c r="D63" s="293"/>
      <c r="G63" s="277">
        <v>2.5100000000000001E-3</v>
      </c>
      <c r="H63" s="277"/>
      <c r="I63" s="401">
        <v>4.2100000000000002E-3</v>
      </c>
      <c r="J63" s="354">
        <f t="shared" si="22"/>
        <v>1.7000000000000001E-3</v>
      </c>
    </row>
    <row r="64" spans="1:10" ht="14" x14ac:dyDescent="0.3">
      <c r="A64" s="151">
        <f>IF(C64&lt;&gt;"",COUNTA($C$12:C64),"")</f>
        <v>50</v>
      </c>
      <c r="B64" s="151"/>
      <c r="C64" s="293" t="str">
        <f>+'Bill_Bos G1 nonDem'!C53</f>
        <v>Storm Reserve Adjustment</v>
      </c>
      <c r="D64" s="293"/>
      <c r="G64" s="277">
        <v>0</v>
      </c>
      <c r="H64" s="277"/>
      <c r="I64" s="401">
        <v>0</v>
      </c>
      <c r="J64" s="354">
        <f t="shared" si="22"/>
        <v>0</v>
      </c>
    </row>
    <row r="65" spans="1:12" ht="14" x14ac:dyDescent="0.3">
      <c r="A65" s="151">
        <f>IF(C65&lt;&gt;"",COUNTA($C$12:C65),"")</f>
        <v>51</v>
      </c>
      <c r="B65" s="151"/>
      <c r="C65" s="293" t="str">
        <f>+'Bill_Bos G1 nonDem'!C54</f>
        <v>Basic Service Cost True Up Factor</v>
      </c>
      <c r="G65" s="277">
        <v>2.1700000000000001E-3</v>
      </c>
      <c r="H65" s="277"/>
      <c r="I65" s="401">
        <v>-2.7999999999999998E-4</v>
      </c>
      <c r="J65" s="354">
        <f t="shared" si="22"/>
        <v>-2.4499999999999999E-3</v>
      </c>
    </row>
    <row r="66" spans="1:12" ht="14" x14ac:dyDescent="0.3">
      <c r="A66" s="151">
        <f>IF(C66&lt;&gt;"",COUNTA($C$12:C66),"")</f>
        <v>52</v>
      </c>
      <c r="B66" s="151"/>
      <c r="C66" s="293" t="str">
        <f>+'Bill_Bos G1 nonDem'!C55</f>
        <v>Solar Program Cost Adjustment Factor</v>
      </c>
      <c r="D66" s="293"/>
      <c r="G66" s="277">
        <v>0</v>
      </c>
      <c r="H66" s="277"/>
      <c r="I66" s="401">
        <v>5.0000000000000002E-5</v>
      </c>
      <c r="J66" s="354">
        <f t="shared" si="22"/>
        <v>5.0000000000000002E-5</v>
      </c>
    </row>
    <row r="67" spans="1:12" ht="14" x14ac:dyDescent="0.3">
      <c r="A67" s="151">
        <f>IF(C67&lt;&gt;"",COUNTA($C$12:C67),"")</f>
        <v>53</v>
      </c>
      <c r="B67" s="151"/>
      <c r="C67" s="293" t="str">
        <f>+'Bill_Bos G1 nonDem'!C56</f>
        <v>Solar Expansion Cost Recovery Factor</v>
      </c>
      <c r="D67" s="293"/>
      <c r="G67" s="277">
        <v>0</v>
      </c>
      <c r="H67" s="277"/>
      <c r="I67" s="401">
        <v>8.7000000000000001E-4</v>
      </c>
      <c r="J67" s="354">
        <f t="shared" si="22"/>
        <v>8.7000000000000001E-4</v>
      </c>
    </row>
    <row r="68" spans="1:12" ht="14" x14ac:dyDescent="0.3">
      <c r="A68" s="151">
        <f>IF(C68&lt;&gt;"",COUNTA($C$12:C68),"")</f>
        <v>54</v>
      </c>
      <c r="B68" s="151"/>
      <c r="C68" s="293" t="str">
        <f>+'Bill_Bos G1 nonDem'!C57</f>
        <v>Vegetation Management</v>
      </c>
      <c r="D68" s="293"/>
      <c r="G68" s="277">
        <v>0</v>
      </c>
      <c r="H68" s="277"/>
      <c r="I68" s="401">
        <v>1.73E-3</v>
      </c>
      <c r="J68" s="354">
        <f t="shared" si="22"/>
        <v>1.73E-3</v>
      </c>
    </row>
    <row r="69" spans="1:12" ht="14" x14ac:dyDescent="0.3">
      <c r="A69" s="151">
        <f>IF(C69&lt;&gt;"",COUNTA($C$12:C69),"")</f>
        <v>55</v>
      </c>
      <c r="B69" s="151"/>
      <c r="C69" s="293" t="str">
        <f>+'Bill_Bos G1 nonDem'!C58</f>
        <v>Solar Massachusetts Renewable Target</v>
      </c>
      <c r="D69" s="339"/>
      <c r="E69" s="339"/>
      <c r="F69" s="277"/>
      <c r="G69" s="277">
        <v>0</v>
      </c>
      <c r="H69" s="277"/>
      <c r="I69" s="401">
        <v>1.01E-3</v>
      </c>
      <c r="J69" s="354">
        <f t="shared" si="22"/>
        <v>1.01E-3</v>
      </c>
      <c r="K69" s="339"/>
      <c r="L69" s="339"/>
    </row>
    <row r="70" spans="1:12" ht="14" x14ac:dyDescent="0.3">
      <c r="A70" s="151">
        <f>IF(C70&lt;&gt;"",COUNTA($C$12:C70),"")</f>
        <v>56</v>
      </c>
      <c r="B70" s="151"/>
      <c r="C70" s="293" t="str">
        <f>+'Bill_Bos G1 nonDem'!C59</f>
        <v>Tax Act Credit Factor</v>
      </c>
      <c r="D70" s="339"/>
      <c r="E70" s="339"/>
      <c r="F70" s="277"/>
      <c r="G70" s="277">
        <v>0</v>
      </c>
      <c r="H70" s="277"/>
      <c r="I70" s="401">
        <v>-1.5399999999999999E-3</v>
      </c>
      <c r="J70" s="354">
        <f t="shared" si="22"/>
        <v>-1.5399999999999999E-3</v>
      </c>
      <c r="K70" s="339"/>
      <c r="L70" s="339"/>
    </row>
    <row r="71" spans="1:12" ht="14" x14ac:dyDescent="0.3">
      <c r="A71" s="151">
        <f>IF(C71&lt;&gt;"",COUNTA($C$12:C71),"")</f>
        <v>57</v>
      </c>
      <c r="B71" s="151"/>
      <c r="C71" s="293" t="str">
        <f>+'Bill_Bos G1 nonDem'!C60</f>
        <v>Transition</v>
      </c>
      <c r="D71" s="293"/>
      <c r="G71" s="277">
        <v>-6.0999999999999997E-4</v>
      </c>
      <c r="H71" s="277"/>
      <c r="I71" s="401">
        <v>-5.1999999999999995E-4</v>
      </c>
      <c r="J71" s="354">
        <f t="shared" si="22"/>
        <v>9.0000000000000019E-5</v>
      </c>
    </row>
    <row r="72" spans="1:12" ht="14" x14ac:dyDescent="0.3">
      <c r="A72" s="151">
        <f>IF(C72&lt;&gt;"",COUNTA($C$12:C72),"")</f>
        <v>58</v>
      </c>
      <c r="B72" s="151"/>
      <c r="C72" s="293" t="str">
        <f>+'Bill_Bos G1 Dmd p1'!C72</f>
        <v>Transmission Energy - 1st 2000 kWh</v>
      </c>
      <c r="D72" s="293"/>
      <c r="G72" s="277">
        <v>1.9310000000000001E-2</v>
      </c>
      <c r="H72" s="308"/>
      <c r="I72" s="308">
        <v>1.6995477135063837E-2</v>
      </c>
      <c r="J72" s="354">
        <f t="shared" si="22"/>
        <v>-2.3145228649361638E-3</v>
      </c>
    </row>
    <row r="73" spans="1:12" ht="14" x14ac:dyDescent="0.3">
      <c r="A73" s="151">
        <f>IF(C73&lt;&gt;"",COUNTA($C$12:C73),"")</f>
        <v>59</v>
      </c>
      <c r="B73" s="151"/>
      <c r="C73" s="293" t="str">
        <f>+'Bill_Bos G1 Dmd p1'!C73</f>
        <v>Transmission Energy - next 150 hrs*kW</v>
      </c>
      <c r="D73" s="293"/>
      <c r="G73" s="277">
        <v>1.9310000000000001E-2</v>
      </c>
      <c r="H73" s="308"/>
      <c r="I73" s="308">
        <v>1.6995477135063837E-2</v>
      </c>
      <c r="J73" s="354">
        <f t="shared" si="22"/>
        <v>-2.3145228649361638E-3</v>
      </c>
    </row>
    <row r="74" spans="1:12" ht="14" x14ac:dyDescent="0.3">
      <c r="A74" s="151">
        <f>IF(C74&lt;&gt;"",COUNTA($C$12:C74),"")</f>
        <v>60</v>
      </c>
      <c r="B74" s="151"/>
      <c r="C74" s="293" t="str">
        <f>+'Bill_Bos G1 Dmd p1'!C74</f>
        <v>Transmission Energy - remainder kWh</v>
      </c>
      <c r="D74" s="293"/>
      <c r="G74" s="277">
        <v>0</v>
      </c>
      <c r="H74" s="308"/>
      <c r="I74" s="308">
        <v>0</v>
      </c>
      <c r="J74" s="354">
        <f t="shared" si="22"/>
        <v>0</v>
      </c>
    </row>
    <row r="75" spans="1:12" ht="14" x14ac:dyDescent="0.3">
      <c r="A75" s="151">
        <f>IF(C75&lt;&gt;"",COUNTA($C$12:C75),"")</f>
        <v>61</v>
      </c>
      <c r="B75" s="151"/>
      <c r="C75" s="293" t="str">
        <f>+'Bill_Bos G1 nonDem'!C62</f>
        <v>Energy Efficiency Reconciliation Factor</v>
      </c>
      <c r="D75" s="293"/>
      <c r="G75" s="277">
        <v>8.4600000000000005E-3</v>
      </c>
      <c r="H75" s="308"/>
      <c r="I75" s="308">
        <v>8.4600000000000005E-3</v>
      </c>
      <c r="J75" s="354">
        <f t="shared" si="22"/>
        <v>0</v>
      </c>
    </row>
    <row r="76" spans="1:12" ht="14" x14ac:dyDescent="0.3">
      <c r="A76" s="151">
        <f>IF(C76&lt;&gt;"",COUNTA($C$12:C76),"")</f>
        <v>62</v>
      </c>
      <c r="B76" s="151"/>
      <c r="C76" s="293" t="str">
        <f>+'Bill_Bos G1 nonDem'!C63</f>
        <v>System Benefits Charge</v>
      </c>
      <c r="D76" s="293"/>
      <c r="G76" s="277">
        <v>2.5000000000000001E-3</v>
      </c>
      <c r="H76" s="308"/>
      <c r="I76" s="308">
        <f>+G76</f>
        <v>2.5000000000000001E-3</v>
      </c>
      <c r="J76" s="354">
        <f t="shared" si="22"/>
        <v>0</v>
      </c>
    </row>
    <row r="77" spans="1:12" ht="14" x14ac:dyDescent="0.3">
      <c r="A77" s="151">
        <f>IF(C77&lt;&gt;"",COUNTA($C$12:C77),"")</f>
        <v>63</v>
      </c>
      <c r="B77" s="151"/>
      <c r="C77" s="293" t="str">
        <f>+'Bill_Bos G1 nonDem'!C64</f>
        <v>Renewable Energy Charge</v>
      </c>
      <c r="D77" s="293"/>
      <c r="G77" s="277">
        <v>5.0000000000000001E-4</v>
      </c>
      <c r="H77" s="308"/>
      <c r="I77" s="308">
        <f>+G77</f>
        <v>5.0000000000000001E-4</v>
      </c>
      <c r="J77" s="354">
        <f t="shared" si="22"/>
        <v>0</v>
      </c>
    </row>
    <row r="78" spans="1:12" ht="14" x14ac:dyDescent="0.3">
      <c r="A78" s="151">
        <f>IF(C78&lt;&gt;"",COUNTA($C$12:C78),"")</f>
        <v>64</v>
      </c>
      <c r="B78" s="151"/>
      <c r="C78" s="293" t="str">
        <f>+'Bill_Bos G1 nonDem'!C65</f>
        <v>Basic Service Charge</v>
      </c>
      <c r="D78" s="293"/>
      <c r="G78" s="308">
        <v>0.11402999999999999</v>
      </c>
      <c r="H78" s="308"/>
      <c r="I78" s="308">
        <v>0.13185000000000002</v>
      </c>
      <c r="J78" s="354">
        <f t="shared" si="22"/>
        <v>1.782000000000003E-2</v>
      </c>
    </row>
    <row r="79" spans="1:12" ht="14" x14ac:dyDescent="0.3">
      <c r="A79" s="151" t="str">
        <f>IF(C79&lt;&gt;"",COUNTA($C$12:C79),"")</f>
        <v/>
      </c>
      <c r="B79" s="151"/>
    </row>
    <row r="81" spans="3:10" ht="14" x14ac:dyDescent="0.3">
      <c r="C81" s="369" t="str">
        <f>'Bill_Bos G1 Dmd p1'!C81</f>
        <v>Winter</v>
      </c>
    </row>
    <row r="82" spans="3:10" ht="14" x14ac:dyDescent="0.3">
      <c r="C82" s="369" t="str">
        <f>'Bill_Bos G1 Dmd p1'!C82</f>
        <v>Total Demand &gt;10 kW</v>
      </c>
      <c r="G82" s="378">
        <f>G46+G47</f>
        <v>18.46</v>
      </c>
      <c r="H82" s="429"/>
      <c r="I82" s="378">
        <f>I46+I47</f>
        <v>16.23</v>
      </c>
      <c r="J82" s="421">
        <f t="shared" ref="J82:J85" si="23">+I82-G82</f>
        <v>-2.2300000000000004</v>
      </c>
    </row>
    <row r="83" spans="3:10" ht="14" x14ac:dyDescent="0.3">
      <c r="C83" s="369" t="str">
        <f>'Bill_Bos G1 Dmd p1'!C83</f>
        <v>Total Energy - 1st 2000 kWh</v>
      </c>
      <c r="G83" s="403">
        <f>SUM(G51,G$57:G$71,G72,G$75:G$77)</f>
        <v>8.9889999999999998E-2</v>
      </c>
      <c r="H83" s="429"/>
      <c r="I83" s="403">
        <f>SUM(I51,I$57:I$71,I72,I$75:I$77)</f>
        <v>9.1235477135063831E-2</v>
      </c>
      <c r="J83" s="354">
        <f t="shared" si="23"/>
        <v>1.3454771350638328E-3</v>
      </c>
    </row>
    <row r="84" spans="3:10" ht="14" x14ac:dyDescent="0.3">
      <c r="C84" s="369" t="str">
        <f>'Bill_Bos G1 Dmd p1'!C84</f>
        <v>Total Energy - next 150 hrs*kW</v>
      </c>
      <c r="G84" s="403">
        <f>SUM(G52,G$57:G$71,G73,G$75:G$77)</f>
        <v>8.4589999999999999E-2</v>
      </c>
      <c r="H84" s="429"/>
      <c r="I84" s="403">
        <f>SUM(I52,I$57:I$71,I73,I$75:I$77)</f>
        <v>8.5705477135063837E-2</v>
      </c>
      <c r="J84" s="354">
        <f t="shared" si="23"/>
        <v>1.1154771350638387E-3</v>
      </c>
    </row>
    <row r="85" spans="3:10" ht="14" x14ac:dyDescent="0.3">
      <c r="C85" s="369" t="str">
        <f>'Bill_Bos G1 Dmd p1'!C85</f>
        <v>Total Energy - remainder kWh</v>
      </c>
      <c r="G85" s="403">
        <f>SUM(G53,G$57:G$71,G74,G$75:G$77)</f>
        <v>5.3390000000000007E-2</v>
      </c>
      <c r="H85" s="429"/>
      <c r="I85" s="403">
        <f>SUM(I53,I$57:I$71,I74,I$75:I$77)</f>
        <v>5.6320000000000002E-2</v>
      </c>
      <c r="J85" s="354">
        <f t="shared" si="23"/>
        <v>2.9299999999999951E-3</v>
      </c>
    </row>
    <row r="86" spans="3:10" ht="14" x14ac:dyDescent="0.3">
      <c r="H86" s="429"/>
      <c r="I86" s="429"/>
      <c r="J86" s="374"/>
    </row>
    <row r="87" spans="3:10" ht="14" x14ac:dyDescent="0.3">
      <c r="C87" s="369" t="str">
        <f>'Bill_Bos G1 Dmd p1'!C87</f>
        <v>Summer</v>
      </c>
      <c r="H87" s="429"/>
      <c r="I87" s="429"/>
      <c r="J87" s="374"/>
    </row>
    <row r="88" spans="3:10" ht="14" x14ac:dyDescent="0.3">
      <c r="C88" s="369" t="str">
        <f>'Bill_Bos G1 Dmd p1'!C88</f>
        <v>Total Demand &gt;10 kW</v>
      </c>
      <c r="G88" s="378">
        <f>G49+G50</f>
        <v>57.32</v>
      </c>
      <c r="H88" s="429"/>
      <c r="I88" s="378">
        <f>I49+I50</f>
        <v>47.62</v>
      </c>
      <c r="J88" s="421">
        <f t="shared" ref="J88:J91" si="24">+I88-G88</f>
        <v>-9.7000000000000028</v>
      </c>
    </row>
    <row r="89" spans="3:10" ht="14" x14ac:dyDescent="0.3">
      <c r="C89" s="369" t="str">
        <f>'Bill_Bos G1 Dmd p1'!C89</f>
        <v>Total Energy - 1st 2000 kWh</v>
      </c>
      <c r="G89" s="403">
        <f>SUM(G54,G$57:G$71,G72,G$75:G$77)</f>
        <v>0.11459</v>
      </c>
      <c r="H89" s="429"/>
      <c r="I89" s="403">
        <f>SUM(I54,I$57:I$71,I72,I$75:I$77)</f>
        <v>0.11696547713506383</v>
      </c>
      <c r="J89" s="354">
        <f t="shared" si="24"/>
        <v>2.375477135063836E-3</v>
      </c>
    </row>
    <row r="90" spans="3:10" ht="14" x14ac:dyDescent="0.3">
      <c r="C90" s="369" t="str">
        <f>'Bill_Bos G1 Dmd p1'!C90</f>
        <v>Total Energy - next 150 hrs*kW</v>
      </c>
      <c r="G90" s="403">
        <f>SUM(G55,G$57:G$71,G73,G$75:G$77)</f>
        <v>8.8899999999999993E-2</v>
      </c>
      <c r="H90" s="429"/>
      <c r="I90" s="403">
        <f>SUM(I55,I$57:I$71,I73,I$75:I$77)</f>
        <v>9.0195477135063831E-2</v>
      </c>
      <c r="J90" s="354">
        <f t="shared" si="24"/>
        <v>1.2954771350638383E-3</v>
      </c>
    </row>
    <row r="91" spans="3:10" ht="14" x14ac:dyDescent="0.3">
      <c r="C91" s="369" t="str">
        <f>'Bill_Bos G1 Dmd p1'!C91</f>
        <v>Total Energy - remainder kWh</v>
      </c>
      <c r="G91" s="403">
        <f>SUM(G56,G$57:G$71,G74,G$75:G$77)</f>
        <v>5.4590000000000007E-2</v>
      </c>
      <c r="H91" s="429"/>
      <c r="I91" s="403">
        <f>SUM(I56,I$57:I$71,I74,I$75:I$77)</f>
        <v>5.7570000000000003E-2</v>
      </c>
      <c r="J91" s="354">
        <f t="shared" si="24"/>
        <v>2.9799999999999965E-3</v>
      </c>
    </row>
    <row r="92" spans="3:10" ht="14" x14ac:dyDescent="0.3">
      <c r="G92" s="403"/>
      <c r="H92" s="429"/>
      <c r="I92" s="403"/>
      <c r="J92" s="403"/>
    </row>
    <row r="93" spans="3:10" ht="14" x14ac:dyDescent="0.3">
      <c r="C93" s="369" t="str">
        <f>'Bill_Bos G1 Dmd p1'!C93</f>
        <v>Total Basic Service</v>
      </c>
      <c r="G93" s="403">
        <f>G78</f>
        <v>0.11402999999999999</v>
      </c>
      <c r="H93" s="429"/>
      <c r="I93" s="403">
        <f>I78</f>
        <v>0.13185000000000002</v>
      </c>
      <c r="J93" s="354">
        <f t="shared" ref="J93" si="25">+I93-G93</f>
        <v>1.782000000000003E-2</v>
      </c>
    </row>
  </sheetData>
  <mergeCells count="11">
    <mergeCell ref="E27:G27"/>
    <mergeCell ref="I27:K27"/>
    <mergeCell ref="M27:N27"/>
    <mergeCell ref="A4:N4"/>
    <mergeCell ref="A5:N5"/>
    <mergeCell ref="A6:N6"/>
    <mergeCell ref="A8:N8"/>
    <mergeCell ref="A9:N9"/>
    <mergeCell ref="E13:G13"/>
    <mergeCell ref="I13:K13"/>
    <mergeCell ref="M13:N13"/>
  </mergeCells>
  <pageMargins left="0.7" right="0.7" top="0.75" bottom="0.75" header="0.3" footer="0.3"/>
  <pageSetup scale="63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2EC24-C6A3-4AF4-8024-00CD054CBFCD}">
  <sheetPr>
    <tabColor theme="3" tint="0.59999389629810485"/>
    <pageSetUpPr fitToPage="1"/>
  </sheetPr>
  <dimension ref="A3:AF92"/>
  <sheetViews>
    <sheetView zoomScaleNormal="100" workbookViewId="0"/>
  </sheetViews>
  <sheetFormatPr defaultRowHeight="12.5" x14ac:dyDescent="0.25"/>
  <cols>
    <col min="1" max="1" width="4" customWidth="1"/>
    <col min="2" max="2" width="4.453125" bestFit="1" customWidth="1"/>
    <col min="3" max="4" width="9.7265625" customWidth="1"/>
    <col min="5" max="7" width="14.7265625" customWidth="1"/>
    <col min="8" max="8" width="1.7265625" customWidth="1"/>
    <col min="9" max="11" width="14.7265625" customWidth="1"/>
    <col min="12" max="12" width="1.7265625" customWidth="1"/>
    <col min="13" max="14" width="11.7265625" customWidth="1"/>
    <col min="15" max="15" width="10.81640625" bestFit="1" customWidth="1"/>
    <col min="16" max="16" width="12.54296875" bestFit="1" customWidth="1"/>
    <col min="17" max="17" width="9.7265625" bestFit="1" customWidth="1"/>
    <col min="18" max="18" width="10.453125" bestFit="1" customWidth="1"/>
    <col min="19" max="19" width="9.81640625" bestFit="1" customWidth="1"/>
    <col min="20" max="20" width="10.81640625" bestFit="1" customWidth="1"/>
    <col min="21" max="21" width="12" bestFit="1" customWidth="1"/>
    <col min="22" max="22" width="11.26953125" bestFit="1" customWidth="1"/>
    <col min="23" max="23" width="8.453125" bestFit="1" customWidth="1"/>
    <col min="24" max="24" width="10.81640625" bestFit="1" customWidth="1"/>
    <col min="25" max="25" width="12" bestFit="1" customWidth="1"/>
    <col min="26" max="26" width="9.7265625" bestFit="1" customWidth="1"/>
    <col min="27" max="27" width="10.1796875" bestFit="1" customWidth="1"/>
    <col min="28" max="28" width="9.81640625" bestFit="1" customWidth="1"/>
    <col min="29" max="29" width="10.453125" bestFit="1" customWidth="1"/>
    <col min="30" max="30" width="12" bestFit="1" customWidth="1"/>
    <col min="31" max="31" width="11.81640625" bestFit="1" customWidth="1"/>
    <col min="32" max="32" width="8.453125" bestFit="1" customWidth="1"/>
  </cols>
  <sheetData>
    <row r="3" spans="1:32" ht="14" x14ac:dyDescent="0.3">
      <c r="A3" s="365"/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</row>
    <row r="4" spans="1:32" ht="14" x14ac:dyDescent="0.3">
      <c r="A4" s="762" t="str">
        <f>'Bill_Bos G1 Dmd p3'!A4:N4</f>
        <v>Eastern Massachusetts</v>
      </c>
      <c r="B4" s="762"/>
      <c r="C4" s="762"/>
      <c r="D4" s="762"/>
      <c r="E4" s="762"/>
      <c r="F4" s="762"/>
      <c r="G4" s="762"/>
      <c r="H4" s="762"/>
      <c r="I4" s="762"/>
      <c r="J4" s="762"/>
      <c r="K4" s="762"/>
      <c r="L4" s="762"/>
      <c r="M4" s="762"/>
      <c r="N4" s="762"/>
    </row>
    <row r="5" spans="1:32" ht="14" x14ac:dyDescent="0.3">
      <c r="A5" s="762" t="str">
        <f>+'Bill_Bos G1 nonDem'!A5</f>
        <v>Calculation of Monthly Typical Bill</v>
      </c>
      <c r="B5" s="762"/>
      <c r="C5" s="762"/>
      <c r="D5" s="762"/>
      <c r="E5" s="762"/>
      <c r="F5" s="762"/>
      <c r="G5" s="762"/>
      <c r="H5" s="762"/>
      <c r="I5" s="762"/>
      <c r="J5" s="762"/>
      <c r="K5" s="762"/>
      <c r="L5" s="762"/>
      <c r="M5" s="762"/>
      <c r="N5" s="762"/>
    </row>
    <row r="6" spans="1:32" ht="14" x14ac:dyDescent="0.3">
      <c r="A6" s="762" t="str">
        <f>+'Bill_Bos G1 nonDem'!A6</f>
        <v>Proposed January 1, 2019</v>
      </c>
      <c r="B6" s="762"/>
      <c r="C6" s="762"/>
      <c r="D6" s="762"/>
      <c r="E6" s="762"/>
      <c r="F6" s="762"/>
      <c r="G6" s="762"/>
      <c r="H6" s="762"/>
      <c r="I6" s="762"/>
      <c r="J6" s="762"/>
      <c r="K6" s="762"/>
      <c r="L6" s="762"/>
      <c r="M6" s="762"/>
      <c r="N6" s="762"/>
    </row>
    <row r="7" spans="1:32" ht="14" x14ac:dyDescent="0.3">
      <c r="A7" s="762"/>
      <c r="B7" s="762"/>
      <c r="C7" s="762"/>
      <c r="D7" s="762"/>
      <c r="E7" s="762"/>
      <c r="F7" s="762"/>
      <c r="G7" s="762"/>
      <c r="H7" s="762"/>
      <c r="I7" s="762"/>
      <c r="J7" s="762"/>
      <c r="K7" s="762"/>
      <c r="L7" s="762"/>
      <c r="M7" s="762"/>
      <c r="N7" s="762"/>
    </row>
    <row r="8" spans="1:32" ht="14" x14ac:dyDescent="0.3">
      <c r="A8" s="762" t="str">
        <f>+'Bill_Bos G1 nonDem'!A8</f>
        <v>Greater Boston Service Area</v>
      </c>
      <c r="B8" s="762"/>
      <c r="C8" s="762"/>
      <c r="D8" s="762"/>
      <c r="E8" s="762"/>
      <c r="F8" s="762"/>
      <c r="G8" s="762"/>
      <c r="H8" s="762"/>
      <c r="I8" s="762"/>
      <c r="J8" s="762"/>
      <c r="K8" s="762"/>
      <c r="L8" s="762"/>
      <c r="M8" s="762"/>
      <c r="N8" s="762"/>
    </row>
    <row r="9" spans="1:32" ht="14" x14ac:dyDescent="0.3">
      <c r="A9" s="762" t="s">
        <v>398</v>
      </c>
      <c r="B9" s="762"/>
      <c r="C9" s="762"/>
      <c r="D9" s="762"/>
      <c r="E9" s="762"/>
      <c r="F9" s="762"/>
      <c r="G9" s="762"/>
      <c r="H9" s="762"/>
      <c r="I9" s="762"/>
      <c r="J9" s="762"/>
      <c r="K9" s="762"/>
      <c r="L9" s="762"/>
      <c r="M9" s="762"/>
      <c r="N9" s="762"/>
    </row>
    <row r="10" spans="1:32" ht="14" x14ac:dyDescent="0.3">
      <c r="A10" s="366"/>
      <c r="B10" s="366"/>
      <c r="D10" s="293"/>
      <c r="E10" s="293"/>
      <c r="F10" s="293"/>
      <c r="G10" s="367"/>
      <c r="H10" s="293"/>
    </row>
    <row r="11" spans="1:32" ht="14" x14ac:dyDescent="0.3">
      <c r="A11" s="366"/>
      <c r="B11" s="366"/>
      <c r="C11" s="293"/>
      <c r="D11" s="293"/>
      <c r="E11" s="293"/>
      <c r="F11" s="293"/>
      <c r="G11" s="368"/>
      <c r="H11" s="293"/>
    </row>
    <row r="12" spans="1:32" ht="14" x14ac:dyDescent="0.3">
      <c r="A12" s="151">
        <f>IF(C12&lt;&gt;"",COUNTA($C12:C$12),"")</f>
        <v>1</v>
      </c>
      <c r="B12" s="151"/>
      <c r="C12" s="405" t="s">
        <v>576</v>
      </c>
      <c r="D12" s="293"/>
      <c r="E12" s="293"/>
      <c r="F12" s="293"/>
      <c r="G12" s="368"/>
      <c r="H12" s="293"/>
    </row>
    <row r="13" spans="1:32" ht="14" x14ac:dyDescent="0.3">
      <c r="A13" s="151">
        <f>IF(C13&lt;&gt;"",COUNTA($C$12:C13),"")</f>
        <v>2</v>
      </c>
      <c r="B13" s="151"/>
      <c r="C13" s="406" t="str">
        <f>+'Bill_Bos G1 nonDem'!C12</f>
        <v>Monthly</v>
      </c>
      <c r="D13" s="366" t="str">
        <f>+C13</f>
        <v>Monthly</v>
      </c>
      <c r="E13" s="760" t="str">
        <f>+'Bill_Bos G1 nonDem'!D12</f>
        <v>Current Monthly Bill (Winter)</v>
      </c>
      <c r="F13" s="760"/>
      <c r="G13" s="760"/>
      <c r="H13" s="293"/>
      <c r="I13" s="760" t="str">
        <f>+'Bill_Bos G1 nonDem'!H12</f>
        <v>Proposed Monthly Bill (Winter)</v>
      </c>
      <c r="J13" s="760"/>
      <c r="K13" s="760"/>
      <c r="M13" s="407" t="s">
        <v>550</v>
      </c>
      <c r="N13" s="440"/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  <c r="AA13" s="369"/>
      <c r="AB13" s="369"/>
      <c r="AC13" s="369"/>
      <c r="AD13" s="369"/>
      <c r="AE13" s="369"/>
    </row>
    <row r="14" spans="1:32" ht="14" x14ac:dyDescent="0.3">
      <c r="A14" s="151">
        <f>IF(C14&lt;&gt;"",COUNTA($C$12:C14),"")</f>
        <v>3</v>
      </c>
      <c r="B14" s="151"/>
      <c r="C14" s="408" t="s">
        <v>534</v>
      </c>
      <c r="D14" s="370" t="s">
        <v>551</v>
      </c>
      <c r="E14" s="370" t="s">
        <v>552</v>
      </c>
      <c r="F14" s="370" t="s">
        <v>553</v>
      </c>
      <c r="G14" s="370" t="s">
        <v>47</v>
      </c>
      <c r="H14" s="293"/>
      <c r="I14" s="370" t="s">
        <v>552</v>
      </c>
      <c r="J14" s="370" t="s">
        <v>553</v>
      </c>
      <c r="K14" s="370" t="s">
        <v>47</v>
      </c>
      <c r="M14" s="370" t="s">
        <v>65</v>
      </c>
      <c r="N14" s="370" t="s">
        <v>325</v>
      </c>
      <c r="O14" s="369"/>
      <c r="P14" s="369"/>
      <c r="Q14" s="369"/>
      <c r="R14" s="369"/>
      <c r="S14" s="369"/>
      <c r="T14" s="369"/>
      <c r="U14" s="369"/>
      <c r="V14" s="369"/>
      <c r="W14" s="369"/>
      <c r="X14" s="369"/>
      <c r="Y14" s="369"/>
      <c r="Z14" s="369"/>
      <c r="AA14" s="369"/>
      <c r="AB14" s="369"/>
      <c r="AC14" s="369"/>
      <c r="AD14" s="369"/>
      <c r="AE14" s="369"/>
    </row>
    <row r="15" spans="1:32" ht="14" x14ac:dyDescent="0.3">
      <c r="A15" s="151">
        <f>IF(C15&lt;&gt;"",COUNTA($C$12:C15),"")</f>
        <v>4</v>
      </c>
      <c r="B15" s="151"/>
      <c r="C15" s="379">
        <v>8</v>
      </c>
      <c r="D15" s="389">
        <f>+C15*200</f>
        <v>1600</v>
      </c>
      <c r="E15" s="380">
        <f>ROUND($G$44+IF($C15&lt;=10,0,($C15-10)*SUM($G$46,$G$47)),2)+ROUND(IF($D15&gt;(2000+150*$C15),($D15-(2000+150*$C15))*$G$53+150*$C15*$G$52+2000*$G$51,IF($D15&gt;2000,($D15-2000)*$G$52+2000*$G$51,$D15*$G$51)),2)+ROUND($D15*SUM($G$57:$G$74),2)</f>
        <v>83.82</v>
      </c>
      <c r="F15" s="380">
        <f t="shared" ref="F15:F25" si="0">ROUND($G$75*D15,2)</f>
        <v>182.45</v>
      </c>
      <c r="G15" s="380">
        <f t="shared" ref="G15:G25" si="1">SUM(E15:F15)</f>
        <v>266.27</v>
      </c>
      <c r="H15" s="381"/>
      <c r="I15" s="380">
        <f t="shared" ref="I15:I25" si="2">ROUND($I$44+IF($C15&lt;=10,0,($C15-10)*SUM($I$46,$I$47)),2)+ROUND(IF($D15&gt;(2000+150*$C15),($D15-(2000+150*$C15))*$I$53+150*$C15*$I$52+2000*$I$51,IF($D15&gt;2000,($D15-2000)*$I$52+2000*$I$51,$D15*$I$51)),2)+ROUND($D15*SUM($I$57:$I$71,$I$72:$I$74),2)</f>
        <v>86.03</v>
      </c>
      <c r="J15" s="380">
        <f t="shared" ref="J15:J25" si="3">ROUND(I$75*D15,2)</f>
        <v>210.96</v>
      </c>
      <c r="K15" s="380">
        <f t="shared" ref="K15:K25" si="4">SUM(I15:J15)</f>
        <v>296.99</v>
      </c>
      <c r="L15" s="374"/>
      <c r="M15" s="375">
        <f t="shared" ref="M15:M25" si="5">+K15-G15</f>
        <v>30.720000000000027</v>
      </c>
      <c r="N15" s="376">
        <f t="shared" ref="N15:N25" si="6">+M15/G15</f>
        <v>0.11537161527772573</v>
      </c>
      <c r="O15" s="377"/>
      <c r="P15" s="322"/>
      <c r="Q15" s="322"/>
      <c r="R15" s="322"/>
      <c r="S15" s="322"/>
      <c r="T15" s="322"/>
      <c r="U15" s="322"/>
      <c r="V15" s="377"/>
      <c r="W15" s="378"/>
      <c r="X15" s="377"/>
      <c r="Y15" s="322"/>
      <c r="Z15" s="322"/>
      <c r="AA15" s="322"/>
      <c r="AB15" s="322"/>
      <c r="AC15" s="322"/>
      <c r="AD15" s="322"/>
      <c r="AE15" s="377"/>
      <c r="AF15" s="374">
        <f t="shared" ref="AF15:AF25" si="7">+AE15-K15</f>
        <v>-296.99</v>
      </c>
    </row>
    <row r="16" spans="1:32" ht="14" x14ac:dyDescent="0.3">
      <c r="A16" s="151">
        <f>IF(C16&lt;&gt;"",COUNTA($C$12:C16),"")</f>
        <v>5</v>
      </c>
      <c r="B16" s="151"/>
      <c r="C16" s="379">
        <v>10</v>
      </c>
      <c r="D16" s="389">
        <f t="shared" ref="D16:D25" si="8">+C16*200</f>
        <v>2000</v>
      </c>
      <c r="E16" s="380">
        <f t="shared" ref="E16:E25" si="9">ROUND($G$44+IF($C16&lt;=10,0,($C16-10)*SUM($G$46,$G$47)),2)+ROUND(IF($D16&gt;(2000+150*$C16),($D16-(2000+150*$C16))*$G$53+150*$C16*$G$52+2000*$G$51,IF($D16&gt;2000,($D16-2000)*$G$52+2000*$G$51,$D16*$G$51)),2)+ROUND($D16*SUM($G$57:$G$71,$G$72:$G$74),2)</f>
        <v>100.28</v>
      </c>
      <c r="F16" s="380">
        <f t="shared" si="0"/>
        <v>228.06</v>
      </c>
      <c r="G16" s="380">
        <f t="shared" si="1"/>
        <v>328.34000000000003</v>
      </c>
      <c r="H16" s="381"/>
      <c r="I16" s="380">
        <f t="shared" si="2"/>
        <v>103.03999999999999</v>
      </c>
      <c r="J16" s="380">
        <f t="shared" si="3"/>
        <v>263.7</v>
      </c>
      <c r="K16" s="380">
        <f t="shared" si="4"/>
        <v>366.74</v>
      </c>
      <c r="L16" s="374"/>
      <c r="M16" s="375">
        <f t="shared" si="5"/>
        <v>38.399999999999977</v>
      </c>
      <c r="N16" s="376">
        <f t="shared" si="6"/>
        <v>0.11695194006213064</v>
      </c>
      <c r="O16" s="377"/>
      <c r="P16" s="322"/>
      <c r="Q16" s="322"/>
      <c r="R16" s="322"/>
      <c r="S16" s="322"/>
      <c r="T16" s="322"/>
      <c r="U16" s="322"/>
      <c r="V16" s="377"/>
      <c r="W16" s="378"/>
      <c r="X16" s="377"/>
      <c r="Y16" s="322"/>
      <c r="Z16" s="322"/>
      <c r="AA16" s="322"/>
      <c r="AB16" s="322"/>
      <c r="AC16" s="322"/>
      <c r="AD16" s="322"/>
      <c r="AE16" s="377"/>
      <c r="AF16" s="374">
        <f t="shared" si="7"/>
        <v>-366.74</v>
      </c>
    </row>
    <row r="17" spans="1:32" ht="14" x14ac:dyDescent="0.3">
      <c r="A17" s="151">
        <f>IF(C17&lt;&gt;"",COUNTA($C$12:C17),"")</f>
        <v>6</v>
      </c>
      <c r="B17" s="151"/>
      <c r="C17" s="379">
        <v>12</v>
      </c>
      <c r="D17" s="389">
        <f t="shared" si="8"/>
        <v>2400</v>
      </c>
      <c r="E17" s="380">
        <f t="shared" si="9"/>
        <v>150.84</v>
      </c>
      <c r="F17" s="380">
        <f t="shared" si="0"/>
        <v>273.67</v>
      </c>
      <c r="G17" s="380">
        <f t="shared" si="1"/>
        <v>424.51</v>
      </c>
      <c r="H17" s="381"/>
      <c r="I17" s="380">
        <f t="shared" si="2"/>
        <v>152.36000000000001</v>
      </c>
      <c r="J17" s="380">
        <f t="shared" si="3"/>
        <v>316.44</v>
      </c>
      <c r="K17" s="380">
        <f t="shared" si="4"/>
        <v>468.8</v>
      </c>
      <c r="L17" s="374"/>
      <c r="M17" s="375">
        <f t="shared" si="5"/>
        <v>44.29000000000002</v>
      </c>
      <c r="N17" s="376">
        <f t="shared" si="6"/>
        <v>0.10433205342630332</v>
      </c>
      <c r="O17" s="377"/>
      <c r="P17" s="322"/>
      <c r="Q17" s="322"/>
      <c r="R17" s="322"/>
      <c r="S17" s="322"/>
      <c r="T17" s="322"/>
      <c r="U17" s="322"/>
      <c r="V17" s="377"/>
      <c r="W17" s="378"/>
      <c r="X17" s="377"/>
      <c r="Y17" s="322"/>
      <c r="Z17" s="322"/>
      <c r="AA17" s="322"/>
      <c r="AB17" s="322"/>
      <c r="AC17" s="322"/>
      <c r="AD17" s="322"/>
      <c r="AE17" s="377"/>
      <c r="AF17" s="374">
        <f t="shared" si="7"/>
        <v>-468.8</v>
      </c>
    </row>
    <row r="18" spans="1:32" ht="14" x14ac:dyDescent="0.3">
      <c r="A18" s="151">
        <f>IF(C18&lt;&gt;"",COUNTA($C$12:C18),"")</f>
        <v>7</v>
      </c>
      <c r="B18" s="151"/>
      <c r="C18" s="379">
        <v>14</v>
      </c>
      <c r="D18" s="389">
        <f t="shared" si="8"/>
        <v>2800</v>
      </c>
      <c r="E18" s="380">
        <f t="shared" si="9"/>
        <v>201.39</v>
      </c>
      <c r="F18" s="380">
        <f t="shared" si="0"/>
        <v>319.27999999999997</v>
      </c>
      <c r="G18" s="380">
        <f t="shared" si="1"/>
        <v>520.66999999999996</v>
      </c>
      <c r="H18" s="381"/>
      <c r="I18" s="380">
        <f t="shared" si="2"/>
        <v>201.68</v>
      </c>
      <c r="J18" s="380">
        <f t="shared" si="3"/>
        <v>369.18</v>
      </c>
      <c r="K18" s="380">
        <f t="shared" si="4"/>
        <v>570.86</v>
      </c>
      <c r="L18" s="374"/>
      <c r="M18" s="375">
        <f t="shared" si="5"/>
        <v>50.190000000000055</v>
      </c>
      <c r="N18" s="376">
        <f t="shared" si="6"/>
        <v>9.6395029481245426E-2</v>
      </c>
      <c r="O18" s="377"/>
      <c r="P18" s="322"/>
      <c r="Q18" s="322"/>
      <c r="R18" s="322"/>
      <c r="S18" s="322"/>
      <c r="T18" s="322"/>
      <c r="U18" s="322"/>
      <c r="V18" s="377"/>
      <c r="W18" s="378"/>
      <c r="X18" s="377"/>
      <c r="Y18" s="322"/>
      <c r="Z18" s="322"/>
      <c r="AA18" s="322"/>
      <c r="AB18" s="322"/>
      <c r="AC18" s="322"/>
      <c r="AD18" s="322"/>
      <c r="AE18" s="377"/>
      <c r="AF18" s="374">
        <f t="shared" si="7"/>
        <v>-570.86</v>
      </c>
    </row>
    <row r="19" spans="1:32" ht="14" x14ac:dyDescent="0.3">
      <c r="A19" s="151">
        <f>IF(C19&lt;&gt;"",COUNTA($C$12:C19),"")</f>
        <v>8</v>
      </c>
      <c r="B19" s="151"/>
      <c r="C19" s="379">
        <v>16</v>
      </c>
      <c r="D19" s="389">
        <f t="shared" si="8"/>
        <v>3200</v>
      </c>
      <c r="E19" s="380">
        <f t="shared" si="9"/>
        <v>251.95</v>
      </c>
      <c r="F19" s="380">
        <f t="shared" si="0"/>
        <v>364.9</v>
      </c>
      <c r="G19" s="380">
        <f t="shared" si="1"/>
        <v>616.84999999999991</v>
      </c>
      <c r="H19" s="381"/>
      <c r="I19" s="380">
        <f t="shared" si="2"/>
        <v>251</v>
      </c>
      <c r="J19" s="380">
        <f t="shared" si="3"/>
        <v>421.92</v>
      </c>
      <c r="K19" s="380">
        <f t="shared" si="4"/>
        <v>672.92000000000007</v>
      </c>
      <c r="L19" s="374"/>
      <c r="M19" s="375">
        <f t="shared" si="5"/>
        <v>56.070000000000164</v>
      </c>
      <c r="N19" s="376">
        <f t="shared" si="6"/>
        <v>9.0897300802464415E-2</v>
      </c>
      <c r="O19" s="377"/>
      <c r="P19" s="322"/>
      <c r="Q19" s="322"/>
      <c r="R19" s="322"/>
      <c r="S19" s="322"/>
      <c r="T19" s="322"/>
      <c r="U19" s="322"/>
      <c r="V19" s="377"/>
      <c r="W19" s="378"/>
      <c r="X19" s="377"/>
      <c r="Y19" s="322"/>
      <c r="Z19" s="322"/>
      <c r="AA19" s="322"/>
      <c r="AB19" s="322"/>
      <c r="AC19" s="322"/>
      <c r="AD19" s="322"/>
      <c r="AE19" s="377"/>
      <c r="AF19" s="374">
        <f t="shared" si="7"/>
        <v>-672.92000000000007</v>
      </c>
    </row>
    <row r="20" spans="1:32" ht="14" x14ac:dyDescent="0.3">
      <c r="A20" s="151">
        <f>IF(C20&lt;&gt;"",COUNTA($C$12:C20),"")</f>
        <v>9</v>
      </c>
      <c r="B20" s="151"/>
      <c r="C20" s="379">
        <v>20</v>
      </c>
      <c r="D20" s="389">
        <f t="shared" si="8"/>
        <v>4000</v>
      </c>
      <c r="E20" s="380">
        <f t="shared" si="9"/>
        <v>353.06</v>
      </c>
      <c r="F20" s="380">
        <f t="shared" si="0"/>
        <v>456.12</v>
      </c>
      <c r="G20" s="380">
        <f t="shared" si="1"/>
        <v>809.18000000000006</v>
      </c>
      <c r="H20" s="381"/>
      <c r="I20" s="380">
        <f t="shared" si="2"/>
        <v>349.64</v>
      </c>
      <c r="J20" s="380">
        <f t="shared" si="3"/>
        <v>527.4</v>
      </c>
      <c r="K20" s="380">
        <f t="shared" si="4"/>
        <v>877.04</v>
      </c>
      <c r="L20" s="374"/>
      <c r="M20" s="375">
        <f t="shared" si="5"/>
        <v>67.8599999999999</v>
      </c>
      <c r="N20" s="376">
        <f t="shared" si="6"/>
        <v>8.3862675795249378E-2</v>
      </c>
      <c r="O20" s="377"/>
      <c r="P20" s="322"/>
      <c r="Q20" s="322"/>
      <c r="R20" s="322"/>
      <c r="S20" s="322"/>
      <c r="T20" s="322"/>
      <c r="U20" s="322"/>
      <c r="V20" s="377"/>
      <c r="W20" s="378"/>
      <c r="X20" s="377"/>
      <c r="Y20" s="322"/>
      <c r="Z20" s="322"/>
      <c r="AA20" s="322"/>
      <c r="AB20" s="322"/>
      <c r="AC20" s="322"/>
      <c r="AD20" s="322"/>
      <c r="AE20" s="377"/>
      <c r="AF20" s="374">
        <f t="shared" si="7"/>
        <v>-877.04</v>
      </c>
    </row>
    <row r="21" spans="1:32" ht="14" x14ac:dyDescent="0.3">
      <c r="A21" s="151">
        <f>IF(C21&lt;&gt;"",COUNTA($C$12:C21),"")</f>
        <v>10</v>
      </c>
      <c r="B21" s="151"/>
      <c r="C21" s="379">
        <v>24</v>
      </c>
      <c r="D21" s="389">
        <f t="shared" si="8"/>
        <v>4800</v>
      </c>
      <c r="E21" s="380">
        <f t="shared" si="9"/>
        <v>454.17</v>
      </c>
      <c r="F21" s="380">
        <f t="shared" si="0"/>
        <v>547.34</v>
      </c>
      <c r="G21" s="380">
        <f t="shared" si="1"/>
        <v>1001.51</v>
      </c>
      <c r="H21" s="381"/>
      <c r="I21" s="380">
        <f t="shared" si="2"/>
        <v>448.28</v>
      </c>
      <c r="J21" s="380">
        <f t="shared" si="3"/>
        <v>632.88</v>
      </c>
      <c r="K21" s="380">
        <f t="shared" si="4"/>
        <v>1081.1599999999999</v>
      </c>
      <c r="L21" s="374"/>
      <c r="M21" s="375">
        <f t="shared" si="5"/>
        <v>79.649999999999864</v>
      </c>
      <c r="N21" s="376">
        <f t="shared" si="6"/>
        <v>7.9529909836147286E-2</v>
      </c>
      <c r="O21" s="377"/>
      <c r="P21" s="322"/>
      <c r="Q21" s="322"/>
      <c r="R21" s="322"/>
      <c r="S21" s="322"/>
      <c r="T21" s="322"/>
      <c r="U21" s="322"/>
      <c r="V21" s="377"/>
      <c r="W21" s="378"/>
      <c r="X21" s="377"/>
      <c r="Y21" s="322"/>
      <c r="Z21" s="322"/>
      <c r="AA21" s="322"/>
      <c r="AB21" s="322"/>
      <c r="AC21" s="322"/>
      <c r="AD21" s="322"/>
      <c r="AE21" s="377"/>
      <c r="AF21" s="374">
        <f t="shared" si="7"/>
        <v>-1081.1599999999999</v>
      </c>
    </row>
    <row r="22" spans="1:32" ht="14" x14ac:dyDescent="0.3">
      <c r="A22" s="151">
        <f>IF(C22&lt;&gt;"",COUNTA($C$12:C22),"")</f>
        <v>11</v>
      </c>
      <c r="B22" s="151"/>
      <c r="C22" s="379">
        <v>30</v>
      </c>
      <c r="D22" s="389">
        <f t="shared" si="8"/>
        <v>6000</v>
      </c>
      <c r="E22" s="380">
        <f t="shared" si="9"/>
        <v>605.84</v>
      </c>
      <c r="F22" s="380">
        <f t="shared" si="0"/>
        <v>684.18</v>
      </c>
      <c r="G22" s="380">
        <f t="shared" si="1"/>
        <v>1290.02</v>
      </c>
      <c r="H22" s="381"/>
      <c r="I22" s="380">
        <f t="shared" si="2"/>
        <v>596.24</v>
      </c>
      <c r="J22" s="380">
        <f t="shared" si="3"/>
        <v>791.1</v>
      </c>
      <c r="K22" s="380">
        <f t="shared" si="4"/>
        <v>1387.3400000000001</v>
      </c>
      <c r="L22" s="374"/>
      <c r="M22" s="375">
        <f t="shared" si="5"/>
        <v>97.320000000000164</v>
      </c>
      <c r="N22" s="376">
        <f t="shared" si="6"/>
        <v>7.5440690842002583E-2</v>
      </c>
      <c r="O22" s="377"/>
      <c r="P22" s="322"/>
      <c r="Q22" s="322"/>
      <c r="R22" s="322"/>
      <c r="S22" s="322"/>
      <c r="T22" s="322"/>
      <c r="U22" s="322"/>
      <c r="V22" s="377"/>
      <c r="W22" s="378"/>
      <c r="X22" s="377"/>
      <c r="Y22" s="322"/>
      <c r="Z22" s="322"/>
      <c r="AA22" s="322"/>
      <c r="AB22" s="322"/>
      <c r="AC22" s="322"/>
      <c r="AD22" s="322"/>
      <c r="AE22" s="377"/>
      <c r="AF22" s="374">
        <f t="shared" si="7"/>
        <v>-1387.3400000000001</v>
      </c>
    </row>
    <row r="23" spans="1:32" ht="14" x14ac:dyDescent="0.3">
      <c r="A23" s="151">
        <f>IF(C23&lt;&gt;"",COUNTA($C$12:C23),"")</f>
        <v>12</v>
      </c>
      <c r="B23" s="151"/>
      <c r="C23" s="379">
        <v>40</v>
      </c>
      <c r="D23" s="389">
        <f t="shared" si="8"/>
        <v>8000</v>
      </c>
      <c r="E23" s="380">
        <f t="shared" si="9"/>
        <v>858.62</v>
      </c>
      <c r="F23" s="380">
        <f t="shared" si="0"/>
        <v>912.24</v>
      </c>
      <c r="G23" s="380">
        <f t="shared" si="1"/>
        <v>1770.8600000000001</v>
      </c>
      <c r="H23" s="381"/>
      <c r="I23" s="380">
        <f t="shared" si="2"/>
        <v>842.84</v>
      </c>
      <c r="J23" s="380">
        <f t="shared" si="3"/>
        <v>1054.8</v>
      </c>
      <c r="K23" s="380">
        <f t="shared" si="4"/>
        <v>1897.6399999999999</v>
      </c>
      <c r="L23" s="374"/>
      <c r="M23" s="375">
        <f t="shared" si="5"/>
        <v>126.77999999999975</v>
      </c>
      <c r="N23" s="376">
        <f t="shared" si="6"/>
        <v>7.1592333668386965E-2</v>
      </c>
      <c r="O23" s="377"/>
      <c r="P23" s="322"/>
      <c r="Q23" s="322"/>
      <c r="R23" s="322"/>
      <c r="S23" s="322"/>
      <c r="T23" s="322"/>
      <c r="U23" s="322"/>
      <c r="V23" s="377"/>
      <c r="W23" s="378"/>
      <c r="X23" s="377"/>
      <c r="Y23" s="322"/>
      <c r="Z23" s="322"/>
      <c r="AA23" s="322"/>
      <c r="AB23" s="322"/>
      <c r="AC23" s="322"/>
      <c r="AD23" s="322"/>
      <c r="AE23" s="377"/>
      <c r="AF23" s="374">
        <f t="shared" si="7"/>
        <v>-1897.6399999999999</v>
      </c>
    </row>
    <row r="24" spans="1:32" ht="14" x14ac:dyDescent="0.3">
      <c r="A24" s="441">
        <f>IF(C24&lt;&gt;"",COUNTA($C$12:C24),"")</f>
        <v>13</v>
      </c>
      <c r="B24" s="441"/>
      <c r="C24" s="389">
        <v>70</v>
      </c>
      <c r="D24" s="389">
        <f t="shared" si="8"/>
        <v>14000</v>
      </c>
      <c r="E24" s="380">
        <f t="shared" si="9"/>
        <v>1614.19</v>
      </c>
      <c r="F24" s="380">
        <f t="shared" si="0"/>
        <v>1596.42</v>
      </c>
      <c r="G24" s="380">
        <f t="shared" si="1"/>
        <v>3210.61</v>
      </c>
      <c r="H24" s="381"/>
      <c r="I24" s="380">
        <f t="shared" si="2"/>
        <v>1579.7800000000002</v>
      </c>
      <c r="J24" s="380">
        <f t="shared" si="3"/>
        <v>1845.9</v>
      </c>
      <c r="K24" s="380">
        <f t="shared" si="4"/>
        <v>3425.6800000000003</v>
      </c>
      <c r="L24" s="382"/>
      <c r="M24" s="383">
        <f t="shared" si="5"/>
        <v>215.07000000000016</v>
      </c>
      <c r="N24" s="384">
        <f t="shared" si="6"/>
        <v>6.6987270331806154E-2</v>
      </c>
      <c r="O24" s="377"/>
      <c r="P24" s="322"/>
      <c r="Q24" s="322"/>
      <c r="R24" s="322"/>
      <c r="S24" s="322"/>
      <c r="T24" s="322"/>
      <c r="U24" s="322"/>
      <c r="V24" s="377"/>
      <c r="W24" s="378"/>
      <c r="X24" s="377"/>
      <c r="Y24" s="322"/>
      <c r="Z24" s="322"/>
      <c r="AA24" s="322"/>
      <c r="AB24" s="322"/>
      <c r="AC24" s="322"/>
      <c r="AD24" s="322"/>
      <c r="AE24" s="377"/>
      <c r="AF24" s="374">
        <f t="shared" si="7"/>
        <v>-3425.6800000000003</v>
      </c>
    </row>
    <row r="25" spans="1:32" ht="14" x14ac:dyDescent="0.3">
      <c r="A25" s="441">
        <f>IF(C25&lt;&gt;"",COUNTA($C$12:C25),"")</f>
        <v>14</v>
      </c>
      <c r="B25" s="151" t="s">
        <v>554</v>
      </c>
      <c r="C25" s="417">
        <v>17</v>
      </c>
      <c r="D25" s="389">
        <f t="shared" si="8"/>
        <v>3400</v>
      </c>
      <c r="E25" s="380">
        <f t="shared" si="9"/>
        <v>277.23</v>
      </c>
      <c r="F25" s="380">
        <f t="shared" si="0"/>
        <v>387.7</v>
      </c>
      <c r="G25" s="380">
        <f t="shared" si="1"/>
        <v>664.93000000000006</v>
      </c>
      <c r="H25" s="381"/>
      <c r="I25" s="380">
        <f t="shared" si="2"/>
        <v>275.66000000000003</v>
      </c>
      <c r="J25" s="380">
        <f t="shared" si="3"/>
        <v>448.29</v>
      </c>
      <c r="K25" s="380">
        <f t="shared" si="4"/>
        <v>723.95</v>
      </c>
      <c r="L25" s="382"/>
      <c r="M25" s="383">
        <f t="shared" si="5"/>
        <v>59.019999999999982</v>
      </c>
      <c r="N25" s="384">
        <f t="shared" si="6"/>
        <v>8.8761222985878171E-2</v>
      </c>
      <c r="O25" s="377"/>
      <c r="P25" s="322"/>
      <c r="Q25" s="322"/>
      <c r="R25" s="322"/>
      <c r="S25" s="322"/>
      <c r="T25" s="322"/>
      <c r="U25" s="322"/>
      <c r="V25" s="377"/>
      <c r="W25" s="378"/>
      <c r="X25" s="377"/>
      <c r="Y25" s="322"/>
      <c r="Z25" s="322"/>
      <c r="AA25" s="322"/>
      <c r="AB25" s="322"/>
      <c r="AC25" s="322"/>
      <c r="AD25" s="322"/>
      <c r="AE25" s="377"/>
      <c r="AF25" s="374">
        <f t="shared" si="7"/>
        <v>-723.95</v>
      </c>
    </row>
    <row r="26" spans="1:32" ht="14" x14ac:dyDescent="0.3">
      <c r="A26" s="441" t="str">
        <f>IF(C26&lt;&gt;"",COUNTA($C$12:C26),"")</f>
        <v/>
      </c>
      <c r="B26" s="151"/>
      <c r="C26" s="433"/>
      <c r="D26" s="389"/>
      <c r="E26" s="380"/>
      <c r="F26" s="380"/>
      <c r="G26" s="380"/>
      <c r="H26" s="381"/>
      <c r="I26" s="380"/>
      <c r="J26" s="382"/>
      <c r="K26" s="382"/>
      <c r="L26" s="374"/>
      <c r="M26" s="374"/>
      <c r="O26" s="415"/>
      <c r="P26" s="415"/>
      <c r="Q26" s="416"/>
      <c r="R26" s="369"/>
      <c r="S26" s="369"/>
      <c r="T26" s="369"/>
      <c r="U26" s="369"/>
      <c r="V26" s="369"/>
      <c r="W26" s="378"/>
      <c r="X26" s="415"/>
      <c r="Y26" s="415"/>
      <c r="Z26" s="416"/>
      <c r="AA26" s="369"/>
      <c r="AB26" s="369"/>
      <c r="AC26" s="322"/>
      <c r="AD26" s="322"/>
      <c r="AE26" s="369"/>
    </row>
    <row r="27" spans="1:32" ht="14" x14ac:dyDescent="0.3">
      <c r="A27" s="151">
        <f>IF(C27&lt;&gt;"",COUNTA($C$12:C27),"")</f>
        <v>15</v>
      </c>
      <c r="B27" s="151"/>
      <c r="C27" s="417" t="str">
        <f>+C13</f>
        <v>Monthly</v>
      </c>
      <c r="D27" s="417" t="str">
        <f>+D13</f>
        <v>Monthly</v>
      </c>
      <c r="E27" s="760" t="str">
        <f>+'Bill_Bos G1 nonDem'!D26</f>
        <v>Current Monthly Bill (Summer)</v>
      </c>
      <c r="F27" s="760"/>
      <c r="G27" s="760"/>
      <c r="H27" s="386"/>
      <c r="I27" s="760" t="str">
        <f>+'Bill_Bos G1 nonDem'!H26</f>
        <v>Proposed Monthly Bill (Summer)</v>
      </c>
      <c r="J27" s="760"/>
      <c r="K27" s="760"/>
      <c r="L27" s="374"/>
      <c r="M27" s="407" t="s">
        <v>550</v>
      </c>
      <c r="N27" s="440"/>
      <c r="O27" s="378"/>
      <c r="P27" s="369"/>
      <c r="Q27" s="369"/>
      <c r="R27" s="369"/>
      <c r="S27" s="369"/>
      <c r="T27" s="369"/>
      <c r="U27" s="369"/>
      <c r="V27" s="369"/>
      <c r="W27" s="369"/>
      <c r="X27" s="378"/>
      <c r="Y27" s="369"/>
      <c r="Z27" s="369"/>
      <c r="AA27" s="369"/>
      <c r="AB27" s="369"/>
      <c r="AC27" s="322"/>
      <c r="AD27" s="322"/>
      <c r="AE27" s="369"/>
    </row>
    <row r="28" spans="1:32" ht="14" x14ac:dyDescent="0.3">
      <c r="A28" s="151">
        <f>IF(C28&lt;&gt;"",COUNTA($C$12:C28),"")</f>
        <v>16</v>
      </c>
      <c r="B28" s="151"/>
      <c r="C28" s="387" t="s">
        <v>534</v>
      </c>
      <c r="D28" s="387" t="s">
        <v>551</v>
      </c>
      <c r="E28" s="388" t="s">
        <v>552</v>
      </c>
      <c r="F28" s="388" t="s">
        <v>553</v>
      </c>
      <c r="G28" s="388" t="s">
        <v>47</v>
      </c>
      <c r="H28" s="386"/>
      <c r="I28" s="388" t="s">
        <v>552</v>
      </c>
      <c r="J28" s="388" t="s">
        <v>553</v>
      </c>
      <c r="K28" s="388" t="s">
        <v>47</v>
      </c>
      <c r="L28" s="374"/>
      <c r="M28" s="442" t="s">
        <v>65</v>
      </c>
      <c r="N28" s="370" t="s">
        <v>325</v>
      </c>
      <c r="O28" s="378"/>
      <c r="P28" s="369"/>
      <c r="Q28" s="369"/>
      <c r="R28" s="369"/>
      <c r="S28" s="369"/>
      <c r="T28" s="369"/>
      <c r="U28" s="369"/>
      <c r="V28" s="369"/>
      <c r="W28" s="369"/>
      <c r="X28" s="378"/>
      <c r="Y28" s="369"/>
      <c r="Z28" s="369"/>
      <c r="AA28" s="369"/>
      <c r="AB28" s="369"/>
      <c r="AC28" s="322"/>
      <c r="AD28" s="322"/>
      <c r="AE28" s="369"/>
    </row>
    <row r="29" spans="1:32" ht="14" x14ac:dyDescent="0.3">
      <c r="A29" s="151">
        <f>IF(C29&lt;&gt;"",COUNTA($C$12:C29),"")</f>
        <v>17</v>
      </c>
      <c r="B29" s="151"/>
      <c r="C29" s="389">
        <f>+C15</f>
        <v>8</v>
      </c>
      <c r="D29" s="389">
        <f>+C29*200</f>
        <v>1600</v>
      </c>
      <c r="E29" s="380">
        <f t="shared" ref="E29:E39" si="10">ROUND($G$44+IF($C29&lt;=10,0,($C29-10)*SUM($G$49,$G$50)),2)+ROUND(IF($D29&gt;(2000+150*$C29),($D29-(2000+150*$C29))*$G$56+150*$C29*$G$55+2000*$G$54,IF($D29&gt;2000,($D29-2000)*$G$55+2000*$G$54,$D29*$G$54)),2)+ROUND($D29*SUM($G$57:$G$71,$G$72:$G$74),2)</f>
        <v>99.539999999999992</v>
      </c>
      <c r="F29" s="380">
        <f t="shared" ref="F29:F39" si="11">ROUND($G$75*D29,2)</f>
        <v>182.45</v>
      </c>
      <c r="G29" s="380">
        <f t="shared" ref="G29:G39" si="12">SUM(E29:F29)</f>
        <v>281.99</v>
      </c>
      <c r="H29" s="381"/>
      <c r="I29" s="380">
        <f t="shared" ref="I29:I39" si="13">ROUND($I$44+IF($C29&lt;=10,0,($C29-10)*SUM($I$49,$I$50)),2)+ROUND(IF($D29&gt;(2000+150*$C29),($D29-(2000+150*$C29))*$I$56+150*$C29*$I$55+2000*$I$54,IF($D29&gt;2000,($D29-2000)*$I$55+2000*$I$54,$D29*$I$54)),2)+ROUND($D29*SUM($I$57:$I$71,$I$72:$I$74),2)</f>
        <v>102.25999999999999</v>
      </c>
      <c r="J29" s="380">
        <f t="shared" ref="J29:J39" si="14">ROUND(I$75*D29,2)</f>
        <v>210.96</v>
      </c>
      <c r="K29" s="380">
        <f t="shared" ref="K29:K39" si="15">SUM(I29:J29)</f>
        <v>313.22000000000003</v>
      </c>
      <c r="L29" s="374"/>
      <c r="M29" s="375">
        <f t="shared" ref="M29:M39" si="16">+K29-G29</f>
        <v>31.230000000000018</v>
      </c>
      <c r="N29" s="376">
        <f t="shared" ref="N29:N39" si="17">+M29/G29</f>
        <v>0.1107486081066705</v>
      </c>
      <c r="O29" s="377"/>
      <c r="P29" s="322"/>
      <c r="Q29" s="322"/>
      <c r="R29" s="322"/>
      <c r="S29" s="322"/>
      <c r="T29" s="322"/>
      <c r="U29" s="322"/>
      <c r="V29" s="377"/>
      <c r="W29" s="378"/>
      <c r="X29" s="377"/>
      <c r="Y29" s="322"/>
      <c r="Z29" s="322"/>
      <c r="AA29" s="322"/>
      <c r="AB29" s="322"/>
      <c r="AC29" s="322"/>
      <c r="AD29" s="322"/>
      <c r="AE29" s="377"/>
      <c r="AF29" s="374">
        <f t="shared" ref="AF29:AF39" si="18">+AE29-K29</f>
        <v>-313.22000000000003</v>
      </c>
    </row>
    <row r="30" spans="1:32" ht="14" x14ac:dyDescent="0.3">
      <c r="A30" s="151">
        <f>IF(C30&lt;&gt;"",COUNTA($C$12:C30),"")</f>
        <v>18</v>
      </c>
      <c r="B30" s="151"/>
      <c r="C30" s="389">
        <f t="shared" ref="C30:C38" si="19">+C16</f>
        <v>10</v>
      </c>
      <c r="D30" s="389">
        <f t="shared" ref="D30:D39" si="20">+C30*200</f>
        <v>2000</v>
      </c>
      <c r="E30" s="380">
        <f t="shared" si="10"/>
        <v>119.92</v>
      </c>
      <c r="F30" s="380">
        <f t="shared" si="11"/>
        <v>228.06</v>
      </c>
      <c r="G30" s="380">
        <f t="shared" si="12"/>
        <v>347.98</v>
      </c>
      <c r="H30" s="381"/>
      <c r="I30" s="380">
        <f t="shared" si="13"/>
        <v>123.32</v>
      </c>
      <c r="J30" s="380">
        <f t="shared" si="14"/>
        <v>263.7</v>
      </c>
      <c r="K30" s="380">
        <f t="shared" si="15"/>
        <v>387.02</v>
      </c>
      <c r="L30" s="374"/>
      <c r="M30" s="375">
        <f t="shared" si="16"/>
        <v>39.039999999999964</v>
      </c>
      <c r="N30" s="376">
        <f t="shared" si="17"/>
        <v>0.11219035576757273</v>
      </c>
      <c r="O30" s="377"/>
      <c r="P30" s="322"/>
      <c r="Q30" s="322"/>
      <c r="R30" s="322"/>
      <c r="S30" s="322"/>
      <c r="T30" s="322"/>
      <c r="U30" s="322"/>
      <c r="V30" s="377"/>
      <c r="W30" s="378"/>
      <c r="X30" s="377"/>
      <c r="Y30" s="322"/>
      <c r="Z30" s="322"/>
      <c r="AA30" s="322"/>
      <c r="AB30" s="322"/>
      <c r="AC30" s="322"/>
      <c r="AD30" s="322"/>
      <c r="AE30" s="377"/>
      <c r="AF30" s="374">
        <f t="shared" si="18"/>
        <v>-387.02</v>
      </c>
    </row>
    <row r="31" spans="1:32" ht="14" x14ac:dyDescent="0.3">
      <c r="A31" s="151">
        <f>IF(C31&lt;&gt;"",COUNTA($C$12:C31),"")</f>
        <v>19</v>
      </c>
      <c r="B31" s="151"/>
      <c r="C31" s="389">
        <f t="shared" si="19"/>
        <v>12</v>
      </c>
      <c r="D31" s="389">
        <f t="shared" si="20"/>
        <v>2400</v>
      </c>
      <c r="E31" s="380">
        <f t="shared" si="10"/>
        <v>221.9</v>
      </c>
      <c r="F31" s="380">
        <f t="shared" si="11"/>
        <v>273.67</v>
      </c>
      <c r="G31" s="380">
        <f t="shared" si="12"/>
        <v>495.57000000000005</v>
      </c>
      <c r="H31" s="381"/>
      <c r="I31" s="380">
        <f t="shared" si="13"/>
        <v>220.31</v>
      </c>
      <c r="J31" s="380">
        <f t="shared" si="14"/>
        <v>316.44</v>
      </c>
      <c r="K31" s="380">
        <f t="shared" si="15"/>
        <v>536.75</v>
      </c>
      <c r="L31" s="374"/>
      <c r="M31" s="375">
        <f t="shared" si="16"/>
        <v>41.17999999999995</v>
      </c>
      <c r="N31" s="376">
        <f t="shared" si="17"/>
        <v>8.3096232621022142E-2</v>
      </c>
      <c r="O31" s="377"/>
      <c r="P31" s="322"/>
      <c r="Q31" s="322"/>
      <c r="R31" s="322"/>
      <c r="S31" s="322"/>
      <c r="T31" s="322"/>
      <c r="U31" s="322"/>
      <c r="V31" s="377"/>
      <c r="W31" s="378"/>
      <c r="X31" s="377"/>
      <c r="Y31" s="322"/>
      <c r="Z31" s="322"/>
      <c r="AA31" s="322"/>
      <c r="AB31" s="322"/>
      <c r="AC31" s="322"/>
      <c r="AD31" s="322"/>
      <c r="AE31" s="377"/>
      <c r="AF31" s="374">
        <f t="shared" si="18"/>
        <v>-536.75</v>
      </c>
    </row>
    <row r="32" spans="1:32" ht="14" x14ac:dyDescent="0.3">
      <c r="A32" s="151">
        <f>IF(C32&lt;&gt;"",COUNTA($C$12:C32),"")</f>
        <v>20</v>
      </c>
      <c r="B32" s="151"/>
      <c r="C32" s="389">
        <f t="shared" si="19"/>
        <v>14</v>
      </c>
      <c r="D32" s="389">
        <f t="shared" si="20"/>
        <v>2800</v>
      </c>
      <c r="E32" s="380">
        <f t="shared" si="10"/>
        <v>323.88000000000005</v>
      </c>
      <c r="F32" s="380">
        <f t="shared" si="11"/>
        <v>319.27999999999997</v>
      </c>
      <c r="G32" s="380">
        <f t="shared" si="12"/>
        <v>643.16000000000008</v>
      </c>
      <c r="H32" s="381"/>
      <c r="I32" s="380">
        <f t="shared" si="13"/>
        <v>317.3</v>
      </c>
      <c r="J32" s="380">
        <f t="shared" si="14"/>
        <v>369.18</v>
      </c>
      <c r="K32" s="380">
        <f t="shared" si="15"/>
        <v>686.48</v>
      </c>
      <c r="L32" s="374"/>
      <c r="M32" s="375">
        <f t="shared" si="16"/>
        <v>43.319999999999936</v>
      </c>
      <c r="N32" s="376">
        <f t="shared" si="17"/>
        <v>6.7354935008395941E-2</v>
      </c>
      <c r="O32" s="377"/>
      <c r="P32" s="322"/>
      <c r="Q32" s="322"/>
      <c r="R32" s="322"/>
      <c r="S32" s="322"/>
      <c r="T32" s="322"/>
      <c r="U32" s="322"/>
      <c r="V32" s="377"/>
      <c r="W32" s="378"/>
      <c r="X32" s="377"/>
      <c r="Y32" s="322"/>
      <c r="Z32" s="322"/>
      <c r="AA32" s="322"/>
      <c r="AB32" s="322"/>
      <c r="AC32" s="322"/>
      <c r="AD32" s="322"/>
      <c r="AE32" s="377"/>
      <c r="AF32" s="374">
        <f t="shared" si="18"/>
        <v>-686.48</v>
      </c>
    </row>
    <row r="33" spans="1:32" ht="14" x14ac:dyDescent="0.3">
      <c r="A33" s="151">
        <f>IF(C33&lt;&gt;"",COUNTA($C$12:C33),"")</f>
        <v>21</v>
      </c>
      <c r="B33" s="151"/>
      <c r="C33" s="389">
        <f t="shared" si="19"/>
        <v>16</v>
      </c>
      <c r="D33" s="389">
        <f t="shared" si="20"/>
        <v>3200</v>
      </c>
      <c r="E33" s="380">
        <f t="shared" si="10"/>
        <v>425.85999999999996</v>
      </c>
      <c r="F33" s="380">
        <f t="shared" si="11"/>
        <v>364.9</v>
      </c>
      <c r="G33" s="380">
        <f t="shared" si="12"/>
        <v>790.76</v>
      </c>
      <c r="H33" s="381"/>
      <c r="I33" s="380">
        <f t="shared" si="13"/>
        <v>414.28</v>
      </c>
      <c r="J33" s="380">
        <f t="shared" si="14"/>
        <v>421.92</v>
      </c>
      <c r="K33" s="380">
        <f t="shared" si="15"/>
        <v>836.2</v>
      </c>
      <c r="L33" s="374"/>
      <c r="M33" s="375">
        <f t="shared" si="16"/>
        <v>45.440000000000055</v>
      </c>
      <c r="N33" s="376">
        <f t="shared" si="17"/>
        <v>5.7463705802013321E-2</v>
      </c>
      <c r="O33" s="377"/>
      <c r="P33" s="322"/>
      <c r="Q33" s="322"/>
      <c r="R33" s="322"/>
      <c r="S33" s="322"/>
      <c r="T33" s="322"/>
      <c r="U33" s="322"/>
      <c r="V33" s="377"/>
      <c r="W33" s="378"/>
      <c r="X33" s="377"/>
      <c r="Y33" s="322"/>
      <c r="Z33" s="322"/>
      <c r="AA33" s="322"/>
      <c r="AB33" s="322"/>
      <c r="AC33" s="322"/>
      <c r="AD33" s="322"/>
      <c r="AE33" s="377"/>
      <c r="AF33" s="374">
        <f t="shared" si="18"/>
        <v>-836.2</v>
      </c>
    </row>
    <row r="34" spans="1:32" ht="14" x14ac:dyDescent="0.3">
      <c r="A34" s="151">
        <f>IF(C34&lt;&gt;"",COUNTA($C$12:C34),"")</f>
        <v>22</v>
      </c>
      <c r="B34" s="151"/>
      <c r="C34" s="389">
        <f t="shared" si="19"/>
        <v>20</v>
      </c>
      <c r="D34" s="389">
        <f t="shared" si="20"/>
        <v>4000</v>
      </c>
      <c r="E34" s="380">
        <f t="shared" si="10"/>
        <v>629.81999999999994</v>
      </c>
      <c r="F34" s="380">
        <f t="shared" si="11"/>
        <v>456.12</v>
      </c>
      <c r="G34" s="380">
        <f t="shared" si="12"/>
        <v>1085.94</v>
      </c>
      <c r="H34" s="381"/>
      <c r="I34" s="380">
        <f t="shared" si="13"/>
        <v>608.26</v>
      </c>
      <c r="J34" s="380">
        <f t="shared" si="14"/>
        <v>527.4</v>
      </c>
      <c r="K34" s="380">
        <f t="shared" si="15"/>
        <v>1135.6599999999999</v>
      </c>
      <c r="L34" s="374"/>
      <c r="M34" s="375">
        <f t="shared" si="16"/>
        <v>49.7199999999998</v>
      </c>
      <c r="N34" s="376">
        <f t="shared" si="17"/>
        <v>4.5785218336187816E-2</v>
      </c>
      <c r="O34" s="377"/>
      <c r="P34" s="322"/>
      <c r="Q34" s="322"/>
      <c r="R34" s="322"/>
      <c r="S34" s="322"/>
      <c r="T34" s="322"/>
      <c r="U34" s="322"/>
      <c r="V34" s="377"/>
      <c r="W34" s="378"/>
      <c r="X34" s="377"/>
      <c r="Y34" s="322"/>
      <c r="Z34" s="322"/>
      <c r="AA34" s="322"/>
      <c r="AB34" s="322"/>
      <c r="AC34" s="322"/>
      <c r="AD34" s="322"/>
      <c r="AE34" s="377"/>
      <c r="AF34" s="374">
        <f t="shared" si="18"/>
        <v>-1135.6599999999999</v>
      </c>
    </row>
    <row r="35" spans="1:32" ht="14" x14ac:dyDescent="0.3">
      <c r="A35" s="151">
        <f>IF(C35&lt;&gt;"",COUNTA($C$12:C35),"")</f>
        <v>23</v>
      </c>
      <c r="B35" s="151"/>
      <c r="C35" s="389">
        <f t="shared" si="19"/>
        <v>24</v>
      </c>
      <c r="D35" s="389">
        <f t="shared" si="20"/>
        <v>4800</v>
      </c>
      <c r="E35" s="380">
        <f t="shared" si="10"/>
        <v>833.78</v>
      </c>
      <c r="F35" s="380">
        <f t="shared" si="11"/>
        <v>547.34</v>
      </c>
      <c r="G35" s="380">
        <f t="shared" si="12"/>
        <v>1381.12</v>
      </c>
      <c r="H35" s="381"/>
      <c r="I35" s="380">
        <f t="shared" si="13"/>
        <v>802.24</v>
      </c>
      <c r="J35" s="380">
        <f t="shared" si="14"/>
        <v>632.88</v>
      </c>
      <c r="K35" s="380">
        <f t="shared" si="15"/>
        <v>1435.12</v>
      </c>
      <c r="L35" s="374"/>
      <c r="M35" s="375">
        <f t="shared" si="16"/>
        <v>54</v>
      </c>
      <c r="N35" s="376">
        <f t="shared" si="17"/>
        <v>3.9098702502316965E-2</v>
      </c>
      <c r="O35" s="377"/>
      <c r="P35" s="322"/>
      <c r="Q35" s="322"/>
      <c r="R35" s="322"/>
      <c r="S35" s="322"/>
      <c r="T35" s="322"/>
      <c r="U35" s="322"/>
      <c r="V35" s="377"/>
      <c r="W35" s="378"/>
      <c r="X35" s="377"/>
      <c r="Y35" s="322"/>
      <c r="Z35" s="322"/>
      <c r="AA35" s="322"/>
      <c r="AB35" s="322"/>
      <c r="AC35" s="322"/>
      <c r="AD35" s="322"/>
      <c r="AE35" s="377"/>
      <c r="AF35" s="374">
        <f t="shared" si="18"/>
        <v>-1435.12</v>
      </c>
    </row>
    <row r="36" spans="1:32" ht="14" x14ac:dyDescent="0.3">
      <c r="A36" s="151">
        <f>IF(C36&lt;&gt;"",COUNTA($C$12:C36),"")</f>
        <v>24</v>
      </c>
      <c r="B36" s="151"/>
      <c r="C36" s="389">
        <f t="shared" si="19"/>
        <v>30</v>
      </c>
      <c r="D36" s="389">
        <f t="shared" si="20"/>
        <v>6000</v>
      </c>
      <c r="E36" s="380">
        <f t="shared" si="10"/>
        <v>1139.72</v>
      </c>
      <c r="F36" s="380">
        <f t="shared" si="11"/>
        <v>684.18</v>
      </c>
      <c r="G36" s="380">
        <f t="shared" si="12"/>
        <v>1823.9</v>
      </c>
      <c r="H36" s="381"/>
      <c r="I36" s="380">
        <f t="shared" si="13"/>
        <v>1093.1999999999998</v>
      </c>
      <c r="J36" s="380">
        <f t="shared" si="14"/>
        <v>791.1</v>
      </c>
      <c r="K36" s="380">
        <f t="shared" si="15"/>
        <v>1884.2999999999997</v>
      </c>
      <c r="L36" s="374"/>
      <c r="M36" s="375">
        <f t="shared" si="16"/>
        <v>60.399999999999636</v>
      </c>
      <c r="N36" s="376">
        <f t="shared" si="17"/>
        <v>3.3115850649706471E-2</v>
      </c>
      <c r="O36" s="377"/>
      <c r="P36" s="322"/>
      <c r="Q36" s="322"/>
      <c r="R36" s="322"/>
      <c r="S36" s="322"/>
      <c r="T36" s="322"/>
      <c r="U36" s="322"/>
      <c r="V36" s="377"/>
      <c r="W36" s="378"/>
      <c r="X36" s="377"/>
      <c r="Y36" s="322"/>
      <c r="Z36" s="322"/>
      <c r="AA36" s="322"/>
      <c r="AB36" s="322"/>
      <c r="AC36" s="322"/>
      <c r="AD36" s="322"/>
      <c r="AE36" s="377"/>
      <c r="AF36" s="374">
        <f t="shared" si="18"/>
        <v>-1884.2999999999997</v>
      </c>
    </row>
    <row r="37" spans="1:32" ht="14" x14ac:dyDescent="0.3">
      <c r="A37" s="151">
        <f>IF(C37&lt;&gt;"",COUNTA($C$12:C37),"")</f>
        <v>25</v>
      </c>
      <c r="B37" s="151"/>
      <c r="C37" s="389">
        <f t="shared" si="19"/>
        <v>40</v>
      </c>
      <c r="D37" s="389">
        <f t="shared" si="20"/>
        <v>8000</v>
      </c>
      <c r="E37" s="380">
        <f t="shared" si="10"/>
        <v>1649.62</v>
      </c>
      <c r="F37" s="380">
        <f t="shared" si="11"/>
        <v>912.24</v>
      </c>
      <c r="G37" s="380">
        <f t="shared" si="12"/>
        <v>2561.8599999999997</v>
      </c>
      <c r="H37" s="381"/>
      <c r="I37" s="380">
        <f t="shared" si="13"/>
        <v>1578.1399999999999</v>
      </c>
      <c r="J37" s="380">
        <f t="shared" si="14"/>
        <v>1054.8</v>
      </c>
      <c r="K37" s="380">
        <f t="shared" si="15"/>
        <v>2632.9399999999996</v>
      </c>
      <c r="L37" s="374"/>
      <c r="M37" s="375">
        <f t="shared" si="16"/>
        <v>71.079999999999927</v>
      </c>
      <c r="N37" s="376">
        <f t="shared" si="17"/>
        <v>2.7745466184725134E-2</v>
      </c>
      <c r="O37" s="377"/>
      <c r="P37" s="322"/>
      <c r="Q37" s="322"/>
      <c r="R37" s="322"/>
      <c r="S37" s="322"/>
      <c r="T37" s="322"/>
      <c r="U37" s="322"/>
      <c r="V37" s="377"/>
      <c r="W37" s="378"/>
      <c r="X37" s="377"/>
      <c r="Y37" s="322"/>
      <c r="Z37" s="322"/>
      <c r="AA37" s="322"/>
      <c r="AB37" s="322"/>
      <c r="AC37" s="322"/>
      <c r="AD37" s="322"/>
      <c r="AE37" s="377"/>
      <c r="AF37" s="374">
        <f t="shared" si="18"/>
        <v>-2632.9399999999996</v>
      </c>
    </row>
    <row r="38" spans="1:32" ht="14" x14ac:dyDescent="0.3">
      <c r="A38" s="151">
        <f>IF(C38&lt;&gt;"",COUNTA($C$12:C38),"")</f>
        <v>26</v>
      </c>
      <c r="B38" s="151"/>
      <c r="C38" s="389">
        <f t="shared" si="19"/>
        <v>70</v>
      </c>
      <c r="D38" s="389">
        <f t="shared" si="20"/>
        <v>14000</v>
      </c>
      <c r="E38" s="380">
        <f t="shared" si="10"/>
        <v>3174.72</v>
      </c>
      <c r="F38" s="380">
        <f t="shared" si="11"/>
        <v>1596.42</v>
      </c>
      <c r="G38" s="380">
        <f t="shared" si="12"/>
        <v>4771.1399999999994</v>
      </c>
      <c r="H38" s="381"/>
      <c r="I38" s="380">
        <f t="shared" si="13"/>
        <v>3028.1899999999996</v>
      </c>
      <c r="J38" s="380">
        <f t="shared" si="14"/>
        <v>1845.9</v>
      </c>
      <c r="K38" s="380">
        <f t="shared" si="15"/>
        <v>4874.09</v>
      </c>
      <c r="L38" s="374"/>
      <c r="M38" s="375">
        <f t="shared" si="16"/>
        <v>102.95000000000073</v>
      </c>
      <c r="N38" s="376">
        <f t="shared" si="17"/>
        <v>2.1577652301127348E-2</v>
      </c>
      <c r="O38" s="377"/>
      <c r="P38" s="322"/>
      <c r="Q38" s="322"/>
      <c r="R38" s="322"/>
      <c r="S38" s="322"/>
      <c r="T38" s="322"/>
      <c r="U38" s="322"/>
      <c r="V38" s="377"/>
      <c r="W38" s="378"/>
      <c r="X38" s="377"/>
      <c r="Y38" s="322"/>
      <c r="Z38" s="322"/>
      <c r="AA38" s="322"/>
      <c r="AB38" s="322"/>
      <c r="AC38" s="322"/>
      <c r="AD38" s="322"/>
      <c r="AE38" s="377"/>
      <c r="AF38" s="374">
        <f t="shared" si="18"/>
        <v>-4874.09</v>
      </c>
    </row>
    <row r="39" spans="1:32" ht="14" x14ac:dyDescent="0.3">
      <c r="A39" s="151">
        <f>IF(C39&lt;&gt;"",COUNTA($C$12:C39),"")</f>
        <v>27</v>
      </c>
      <c r="B39" s="151" t="s">
        <v>554</v>
      </c>
      <c r="C39" s="389">
        <v>18</v>
      </c>
      <c r="D39" s="389">
        <f t="shared" si="20"/>
        <v>3600</v>
      </c>
      <c r="E39" s="380">
        <f t="shared" si="10"/>
        <v>527.84</v>
      </c>
      <c r="F39" s="380">
        <f t="shared" si="11"/>
        <v>410.51</v>
      </c>
      <c r="G39" s="380">
        <f t="shared" si="12"/>
        <v>938.35</v>
      </c>
      <c r="H39" s="381"/>
      <c r="I39" s="380">
        <f t="shared" si="13"/>
        <v>511.27000000000004</v>
      </c>
      <c r="J39" s="380">
        <f t="shared" si="14"/>
        <v>474.66</v>
      </c>
      <c r="K39" s="380">
        <f t="shared" si="15"/>
        <v>985.93000000000006</v>
      </c>
      <c r="L39" s="374"/>
      <c r="M39" s="375">
        <f t="shared" si="16"/>
        <v>47.580000000000041</v>
      </c>
      <c r="N39" s="376">
        <f t="shared" si="17"/>
        <v>5.0706026535940786E-2</v>
      </c>
      <c r="O39" s="377"/>
      <c r="P39" s="322"/>
      <c r="Q39" s="322"/>
      <c r="R39" s="322"/>
      <c r="S39" s="322"/>
      <c r="T39" s="322"/>
      <c r="U39" s="322"/>
      <c r="V39" s="377"/>
      <c r="W39" s="378"/>
      <c r="X39" s="377"/>
      <c r="Y39" s="322"/>
      <c r="Z39" s="322"/>
      <c r="AA39" s="322"/>
      <c r="AB39" s="322"/>
      <c r="AC39" s="322"/>
      <c r="AD39" s="322"/>
      <c r="AE39" s="377"/>
      <c r="AF39" s="374">
        <f t="shared" si="18"/>
        <v>-985.93000000000006</v>
      </c>
    </row>
    <row r="40" spans="1:32" ht="14" x14ac:dyDescent="0.3">
      <c r="A40" s="151" t="str">
        <f>IF(C40&lt;&gt;"",COUNTA($C$12:C40),"")</f>
        <v/>
      </c>
      <c r="B40" s="151"/>
      <c r="C40" s="385"/>
      <c r="D40" s="419"/>
      <c r="E40" s="380"/>
      <c r="F40" s="443"/>
      <c r="G40" s="444"/>
      <c r="H40" s="391"/>
      <c r="I40" s="445"/>
      <c r="J40" s="385"/>
      <c r="K40" s="385"/>
    </row>
    <row r="41" spans="1:32" ht="14" x14ac:dyDescent="0.3">
      <c r="A41" s="151" t="str">
        <f>IF(C41&lt;&gt;"",COUNTA($C$12:C41),"")</f>
        <v/>
      </c>
      <c r="B41" s="151"/>
      <c r="C41" s="385"/>
      <c r="D41" s="419"/>
      <c r="E41" s="380"/>
      <c r="F41" s="443"/>
      <c r="G41" s="444"/>
      <c r="H41" s="391"/>
      <c r="I41" s="445"/>
      <c r="J41" s="385"/>
      <c r="K41" s="385"/>
    </row>
    <row r="42" spans="1:32" ht="14" x14ac:dyDescent="0.3">
      <c r="A42" s="151">
        <f>IF(C42&lt;&gt;"",COUNTA($C$12:C42),"")</f>
        <v>28</v>
      </c>
      <c r="B42" s="151"/>
      <c r="C42" s="293" t="s">
        <v>46</v>
      </c>
      <c r="D42" s="433"/>
      <c r="E42" s="433"/>
      <c r="F42" s="385"/>
      <c r="G42" s="395" t="str">
        <f>+'Bill_Bos G1 Dmd p1'!G42</f>
        <v>Current</v>
      </c>
      <c r="I42" s="395" t="str">
        <f>+'Bill_Bos G1 Dmd p1'!I42</f>
        <v>Proposed</v>
      </c>
      <c r="J42" s="437"/>
      <c r="K42" s="385"/>
    </row>
    <row r="43" spans="1:32" ht="17" x14ac:dyDescent="0.6">
      <c r="A43" s="151">
        <f>IF(C43&lt;&gt;"",COUNTA($C$12:C43),"")</f>
        <v>29</v>
      </c>
      <c r="B43" s="151"/>
      <c r="C43" s="274" t="s">
        <v>46</v>
      </c>
      <c r="D43" s="274"/>
      <c r="E43" s="293"/>
      <c r="G43" s="396" t="str">
        <f>+'Bill_Bos G1 Dmd p1'!G43</f>
        <v>Rates</v>
      </c>
      <c r="I43" s="396" t="str">
        <f>+'Bill_Bos G1 Dmd p1'!I43</f>
        <v>Rates</v>
      </c>
      <c r="J43" s="396" t="str">
        <f>+'Bill_Bos G1 Dmd p1'!J43</f>
        <v>Change</v>
      </c>
      <c r="O43" s="422"/>
    </row>
    <row r="44" spans="1:32" ht="14" x14ac:dyDescent="0.3">
      <c r="A44" s="151">
        <f>IF(C44&lt;&gt;"",COUNTA($C$12:C44),"")</f>
        <v>30</v>
      </c>
      <c r="B44" s="151"/>
      <c r="C44" s="293" t="str">
        <f>+'Bill_Bos G1 Dmd p1'!C44</f>
        <v>Customer Charge</v>
      </c>
      <c r="D44" s="293"/>
      <c r="E44" s="274"/>
      <c r="G44" s="397">
        <v>18</v>
      </c>
      <c r="H44" s="397"/>
      <c r="I44" s="397">
        <f>+G44</f>
        <v>18</v>
      </c>
      <c r="J44" s="421">
        <f>I44-G44</f>
        <v>0</v>
      </c>
      <c r="O44" s="422"/>
      <c r="Q44" s="374"/>
    </row>
    <row r="45" spans="1:32" ht="14" x14ac:dyDescent="0.3">
      <c r="A45" s="151">
        <f>IF(C45&lt;&gt;"",COUNTA($C$12:C45),"")</f>
        <v>31</v>
      </c>
      <c r="B45" s="151"/>
      <c r="C45" s="293" t="str">
        <f>+'Bill_Bos G1 Dmd p1'!C45</f>
        <v>Distribution Demand &lt;=10 kW - Winter</v>
      </c>
      <c r="D45" s="293"/>
      <c r="E45" s="274"/>
      <c r="G45" s="397">
        <v>0</v>
      </c>
      <c r="H45" s="397"/>
      <c r="I45" s="397">
        <f>-G45</f>
        <v>0</v>
      </c>
      <c r="J45" s="421">
        <f t="shared" ref="J45:J75" si="21">I45-G45</f>
        <v>0</v>
      </c>
      <c r="O45" s="422"/>
      <c r="Q45" s="374"/>
    </row>
    <row r="46" spans="1:32" ht="14" x14ac:dyDescent="0.3">
      <c r="A46" s="151">
        <f>IF(C46&lt;&gt;"",COUNTA($C$12:C46),"")</f>
        <v>32</v>
      </c>
      <c r="B46" s="151"/>
      <c r="C46" s="293" t="str">
        <f>+'Bill_Bos G1 Dmd p1'!C46</f>
        <v>Distribution Demand &gt;10 kW - Winter</v>
      </c>
      <c r="D46" s="293"/>
      <c r="E46" s="274"/>
      <c r="G46" s="397">
        <v>9.32</v>
      </c>
      <c r="H46" s="397"/>
      <c r="I46" s="397">
        <v>9.65</v>
      </c>
      <c r="J46" s="421">
        <f t="shared" si="21"/>
        <v>0.33000000000000007</v>
      </c>
      <c r="O46" s="422"/>
    </row>
    <row r="47" spans="1:32" ht="14" x14ac:dyDescent="0.3">
      <c r="A47" s="151">
        <f>IF(C47&lt;&gt;"",COUNTA($C$12:C47),"")</f>
        <v>33</v>
      </c>
      <c r="B47" s="151"/>
      <c r="C47" s="293" t="str">
        <f>+'Bill_Bos G1 Dmd p1'!C47</f>
        <v>Transmission Demand &gt;10 kW - Winter</v>
      </c>
      <c r="D47" s="293"/>
      <c r="E47" s="274"/>
      <c r="G47" s="397">
        <v>8.73</v>
      </c>
      <c r="H47" s="397"/>
      <c r="I47" s="397">
        <v>7.54</v>
      </c>
      <c r="J47" s="421">
        <f>I47-G47</f>
        <v>-1.1900000000000004</v>
      </c>
      <c r="O47" s="424"/>
    </row>
    <row r="48" spans="1:32" ht="14" x14ac:dyDescent="0.3">
      <c r="A48" s="151">
        <f>IF(C48&lt;&gt;"",COUNTA($C$12:C48),"")</f>
        <v>34</v>
      </c>
      <c r="B48" s="151"/>
      <c r="C48" s="293" t="str">
        <f>+'Bill_Bos G1 Dmd p1'!C48</f>
        <v>Distribution Demand &lt;=10 kW - Summer</v>
      </c>
      <c r="D48" s="293"/>
      <c r="E48" s="274"/>
      <c r="G48" s="397">
        <v>0</v>
      </c>
      <c r="H48" s="397"/>
      <c r="I48" s="399">
        <f>+G48</f>
        <v>0</v>
      </c>
      <c r="J48" s="421">
        <f t="shared" si="21"/>
        <v>0</v>
      </c>
      <c r="O48" s="424"/>
    </row>
    <row r="49" spans="1:15" ht="14" x14ac:dyDescent="0.3">
      <c r="A49" s="151">
        <f>IF(C49&lt;&gt;"",COUNTA($C$12:C49),"")</f>
        <v>35</v>
      </c>
      <c r="B49" s="151"/>
      <c r="C49" s="293" t="str">
        <f>+'Bill_Bos G1 Dmd p1'!C49</f>
        <v>Distribution Demand &gt;10 kW - Summer</v>
      </c>
      <c r="D49" s="293"/>
      <c r="E49" s="274"/>
      <c r="G49" s="397">
        <v>19.989999999999998</v>
      </c>
      <c r="H49" s="397"/>
      <c r="I49" s="397">
        <v>20.68</v>
      </c>
      <c r="J49" s="421">
        <f t="shared" si="21"/>
        <v>0.69000000000000128</v>
      </c>
      <c r="O49" s="424"/>
    </row>
    <row r="50" spans="1:15" ht="14" x14ac:dyDescent="0.3">
      <c r="A50" s="151">
        <f>IF(C50&lt;&gt;"",COUNTA($C$12:C50),"")</f>
        <v>36</v>
      </c>
      <c r="B50" s="151"/>
      <c r="C50" s="293" t="str">
        <f>+'Bill_Bos G1 Dmd p1'!C50</f>
        <v>Transmission Demand &gt;10 kW - Summer</v>
      </c>
      <c r="D50" s="293"/>
      <c r="E50" s="274"/>
      <c r="G50" s="397">
        <v>23.43</v>
      </c>
      <c r="H50" s="397"/>
      <c r="I50" s="397">
        <v>19.989999999999998</v>
      </c>
      <c r="J50" s="421">
        <f>I50-G50</f>
        <v>-3.4400000000000013</v>
      </c>
      <c r="O50" s="423"/>
    </row>
    <row r="51" spans="1:15" ht="14" x14ac:dyDescent="0.3">
      <c r="A51" s="151">
        <f>IF(C51&lt;&gt;"",COUNTA($C$12:C51),"")</f>
        <v>37</v>
      </c>
      <c r="B51" s="151"/>
      <c r="C51" s="293" t="str">
        <f>+'Bill_Bos G1 Dmd p1'!C51</f>
        <v>Distribution Energy - 1st 2000 kWh - Winter</v>
      </c>
      <c r="D51" s="293"/>
      <c r="E51" s="274"/>
      <c r="G51" s="308">
        <v>1.7639999999999999E-2</v>
      </c>
      <c r="H51" s="308"/>
      <c r="I51" s="401">
        <v>1.8270000000000002E-2</v>
      </c>
      <c r="J51" s="354">
        <f t="shared" si="21"/>
        <v>6.3000000000000209E-4</v>
      </c>
      <c r="O51" s="424"/>
    </row>
    <row r="52" spans="1:15" ht="14" x14ac:dyDescent="0.3">
      <c r="A52" s="151">
        <f>IF(C52&lt;&gt;"",COUNTA($C$12:C52),"")</f>
        <v>38</v>
      </c>
      <c r="B52" s="151"/>
      <c r="C52" s="293" t="str">
        <f>+'Bill_Bos G1 Dmd p1'!C52</f>
        <v>Distribution Energy - next 150 hrs*kW - Winter</v>
      </c>
      <c r="D52" s="293"/>
      <c r="E52" s="274"/>
      <c r="G52" s="308">
        <v>1.264E-2</v>
      </c>
      <c r="H52" s="308"/>
      <c r="I52" s="401">
        <v>1.3100000000000001E-2</v>
      </c>
      <c r="J52" s="354">
        <f t="shared" si="21"/>
        <v>4.6000000000000034E-4</v>
      </c>
      <c r="O52" s="424"/>
    </row>
    <row r="53" spans="1:15" ht="14" x14ac:dyDescent="0.3">
      <c r="A53" s="151">
        <f>IF(C53&lt;&gt;"",COUNTA($C$12:C53),"")</f>
        <v>39</v>
      </c>
      <c r="B53" s="151"/>
      <c r="C53" s="293" t="str">
        <f>+'Bill_Bos G1 Dmd p1'!C53</f>
        <v>Distribution Energy - remainder kWh - Winter</v>
      </c>
      <c r="D53" s="293"/>
      <c r="E53" s="274"/>
      <c r="G53" s="308">
        <v>1.0789999999999999E-2</v>
      </c>
      <c r="H53" s="308"/>
      <c r="I53" s="401">
        <v>1.119E-2</v>
      </c>
      <c r="J53" s="354">
        <f t="shared" si="21"/>
        <v>4.0000000000000105E-4</v>
      </c>
      <c r="O53" s="424"/>
    </row>
    <row r="54" spans="1:15" ht="14" x14ac:dyDescent="0.3">
      <c r="A54" s="151">
        <f>IF(C54&lt;&gt;"",COUNTA($C$12:C54),"")</f>
        <v>40</v>
      </c>
      <c r="B54" s="151"/>
      <c r="C54" s="293" t="str">
        <f>+'Bill_Bos G1 Dmd p1'!C54</f>
        <v>Distribution Energy - 1st 2000 kWh - Summer</v>
      </c>
      <c r="D54" s="293"/>
      <c r="E54" s="274"/>
      <c r="G54" s="308">
        <v>2.7459999999999998E-2</v>
      </c>
      <c r="H54" s="308"/>
      <c r="I54" s="401">
        <v>2.8410000000000001E-2</v>
      </c>
      <c r="J54" s="354">
        <f t="shared" si="21"/>
        <v>9.5000000000000293E-4</v>
      </c>
      <c r="O54" s="424"/>
    </row>
    <row r="55" spans="1:15" ht="14" x14ac:dyDescent="0.3">
      <c r="A55" s="151">
        <f>IF(C55&lt;&gt;"",COUNTA($C$12:C55),"")</f>
        <v>41</v>
      </c>
      <c r="B55" s="151"/>
      <c r="C55" s="293" t="str">
        <f>+'Bill_Bos G1 Dmd p1'!C55</f>
        <v>Distribution Energy - next 150 hrs*kW - Summer</v>
      </c>
      <c r="D55" s="293"/>
      <c r="E55" s="274"/>
      <c r="G55" s="308">
        <v>1.435E-2</v>
      </c>
      <c r="H55" s="308"/>
      <c r="I55" s="401">
        <v>1.487E-2</v>
      </c>
      <c r="J55" s="354">
        <f t="shared" si="21"/>
        <v>5.1999999999999963E-4</v>
      </c>
      <c r="O55" s="423"/>
    </row>
    <row r="56" spans="1:15" ht="14" x14ac:dyDescent="0.3">
      <c r="A56" s="151">
        <f>IF(C56&lt;&gt;"",COUNTA($C$12:C56),"")</f>
        <v>42</v>
      </c>
      <c r="B56" s="151"/>
      <c r="C56" s="293" t="str">
        <f>+'Bill_Bos G1 Dmd p1'!C56</f>
        <v>Distribution Energy - remainder kWh - Summer</v>
      </c>
      <c r="D56" s="293"/>
      <c r="E56" s="274"/>
      <c r="G56" s="308">
        <v>1.128E-2</v>
      </c>
      <c r="H56" s="308"/>
      <c r="I56" s="401">
        <v>1.1690000000000001E-2</v>
      </c>
      <c r="J56" s="354">
        <f t="shared" si="21"/>
        <v>4.1000000000000064E-4</v>
      </c>
      <c r="O56" s="423"/>
    </row>
    <row r="57" spans="1:15" ht="14" x14ac:dyDescent="0.3">
      <c r="A57" s="151">
        <f>IF(C57&lt;&gt;"",COUNTA($C$12:C57),"")</f>
        <v>43</v>
      </c>
      <c r="B57" s="151"/>
      <c r="C57" s="293" t="str">
        <f>+'Bill_Bos G1 Dmd p1'!C57</f>
        <v>Revenue Decoupling</v>
      </c>
      <c r="D57" s="293"/>
      <c r="E57" s="274"/>
      <c r="G57" s="277">
        <v>0</v>
      </c>
      <c r="H57" s="277"/>
      <c r="I57" s="277">
        <v>-4.0999999999999999E-4</v>
      </c>
      <c r="J57" s="354">
        <f t="shared" si="21"/>
        <v>-4.0999999999999999E-4</v>
      </c>
      <c r="O57" s="423"/>
    </row>
    <row r="58" spans="1:15" ht="14" x14ac:dyDescent="0.3">
      <c r="A58" s="151">
        <f>IF(C58&lt;&gt;"",COUNTA($C$12:C58),"")</f>
        <v>44</v>
      </c>
      <c r="B58" s="151"/>
      <c r="C58" s="293" t="str">
        <f>+'Bill_Bos G1 Dmd p1'!C58</f>
        <v>Residential Assistance Adjustment Factor</v>
      </c>
      <c r="D58" s="293"/>
      <c r="E58" s="274"/>
      <c r="G58" s="277">
        <v>2.5000000000000001E-3</v>
      </c>
      <c r="H58" s="277"/>
      <c r="I58" s="277">
        <v>3.46E-3</v>
      </c>
      <c r="J58" s="354">
        <f t="shared" si="21"/>
        <v>9.5999999999999992E-4</v>
      </c>
      <c r="O58" s="422"/>
    </row>
    <row r="59" spans="1:15" ht="14" x14ac:dyDescent="0.3">
      <c r="A59" s="151">
        <f>IF(C59&lt;&gt;"",COUNTA($C$12:C59),"")</f>
        <v>45</v>
      </c>
      <c r="B59" s="151"/>
      <c r="C59" s="293" t="str">
        <f>+'Bill_Bos G1 Dmd p1'!C59</f>
        <v>Pension Adjustment Factor</v>
      </c>
      <c r="D59" s="293"/>
      <c r="E59" s="274"/>
      <c r="G59" s="277">
        <v>-5.0000000000000002E-5</v>
      </c>
      <c r="H59" s="277"/>
      <c r="I59" s="277">
        <v>4.6999999999999999E-4</v>
      </c>
      <c r="J59" s="354">
        <f t="shared" si="21"/>
        <v>5.1999999999999995E-4</v>
      </c>
      <c r="O59" s="422"/>
    </row>
    <row r="60" spans="1:15" ht="14" x14ac:dyDescent="0.3">
      <c r="A60" s="151">
        <f>IF(C60&lt;&gt;"",COUNTA($C$12:C60),"")</f>
        <v>46</v>
      </c>
      <c r="B60" s="151"/>
      <c r="C60" s="293" t="str">
        <f>+'Bill_Bos G1 Dmd p1'!C60</f>
        <v>Net Metering Recovery Surcharge</v>
      </c>
      <c r="D60" s="293"/>
      <c r="E60" s="274"/>
      <c r="G60" s="277">
        <v>4.9300000000000004E-3</v>
      </c>
      <c r="H60" s="277"/>
      <c r="I60" s="277">
        <v>4.5100000000000001E-3</v>
      </c>
      <c r="J60" s="354">
        <f t="shared" si="21"/>
        <v>-4.2000000000000023E-4</v>
      </c>
      <c r="O60" s="422"/>
    </row>
    <row r="61" spans="1:15" ht="14" x14ac:dyDescent="0.3">
      <c r="A61" s="151">
        <f>IF(C61&lt;&gt;"",COUNTA($C$12:C61),"")</f>
        <v>47</v>
      </c>
      <c r="B61" s="151"/>
      <c r="C61" s="293" t="str">
        <f>+'Bill_Bos G1 Dmd p1'!C61</f>
        <v>Long Term Renewable Contract Adjustment</v>
      </c>
      <c r="D61" s="293"/>
      <c r="E61" s="274"/>
      <c r="G61" s="277">
        <v>2.3600000000000001E-3</v>
      </c>
      <c r="H61" s="277"/>
      <c r="I61" s="277">
        <v>1.74E-3</v>
      </c>
      <c r="J61" s="354">
        <f t="shared" si="21"/>
        <v>-6.2000000000000011E-4</v>
      </c>
      <c r="O61" s="422"/>
    </row>
    <row r="62" spans="1:15" ht="14" x14ac:dyDescent="0.3">
      <c r="A62" s="151">
        <f>IF(C62&lt;&gt;"",COUNTA($C$12:C62),"")</f>
        <v>48</v>
      </c>
      <c r="B62" s="151"/>
      <c r="C62" s="293" t="str">
        <f>+'Bill_Bos G1 Dmd p1'!C62</f>
        <v>AG Consulting Expense</v>
      </c>
      <c r="D62" s="293"/>
      <c r="E62" s="274"/>
      <c r="G62" s="277">
        <v>3.0000000000000001E-5</v>
      </c>
      <c r="H62" s="277"/>
      <c r="I62" s="277">
        <v>1.0000000000000001E-5</v>
      </c>
      <c r="J62" s="354">
        <f t="shared" si="21"/>
        <v>-1.9999999999999998E-5</v>
      </c>
      <c r="O62" s="424"/>
    </row>
    <row r="63" spans="1:15" ht="14" x14ac:dyDescent="0.3">
      <c r="A63" s="151">
        <f>IF(C63&lt;&gt;"",COUNTA($C$12:C63),"")</f>
        <v>49</v>
      </c>
      <c r="B63" s="151"/>
      <c r="C63" s="293" t="str">
        <f>+'Bill_Bos G1 Dmd p1'!C63</f>
        <v>Storm Cost Recovery Adjustment Factor</v>
      </c>
      <c r="D63" s="293"/>
      <c r="E63" s="274"/>
      <c r="G63" s="277">
        <v>1.5399999999999999E-3</v>
      </c>
      <c r="H63" s="277"/>
      <c r="I63" s="401">
        <v>2.6199999999999999E-3</v>
      </c>
      <c r="J63" s="354">
        <f t="shared" si="21"/>
        <v>1.08E-3</v>
      </c>
      <c r="O63" s="424"/>
    </row>
    <row r="64" spans="1:15" ht="14" x14ac:dyDescent="0.3">
      <c r="A64" s="151">
        <f>IF(C64&lt;&gt;"",COUNTA($C$12:C64),"")</f>
        <v>50</v>
      </c>
      <c r="B64" s="151"/>
      <c r="C64" s="293" t="str">
        <f>+'Bill_Bos G1 Dmd p1'!C64</f>
        <v>Storm Reserve Adjustment</v>
      </c>
      <c r="D64" s="293"/>
      <c r="E64" s="274"/>
      <c r="G64" s="277">
        <v>0</v>
      </c>
      <c r="H64" s="277"/>
      <c r="I64" s="277">
        <v>0</v>
      </c>
      <c r="J64" s="354">
        <f t="shared" si="21"/>
        <v>0</v>
      </c>
      <c r="O64" s="424"/>
    </row>
    <row r="65" spans="1:15" ht="14" x14ac:dyDescent="0.3">
      <c r="A65" s="151">
        <f>IF(C65&lt;&gt;"",COUNTA($C$12:C65),"")</f>
        <v>51</v>
      </c>
      <c r="B65" s="151"/>
      <c r="C65" s="293" t="str">
        <f>+'Bill_Bos G1 Dmd p1'!C65</f>
        <v>Basic Service Cost True Up Factor</v>
      </c>
      <c r="G65" s="277">
        <v>1.34E-3</v>
      </c>
      <c r="H65" s="277"/>
      <c r="I65" s="277">
        <v>-1.7000000000000001E-4</v>
      </c>
      <c r="J65" s="354">
        <f t="shared" si="21"/>
        <v>-1.5100000000000001E-3</v>
      </c>
      <c r="O65" s="424"/>
    </row>
    <row r="66" spans="1:15" ht="14" x14ac:dyDescent="0.3">
      <c r="A66" s="151">
        <f>IF(C66&lt;&gt;"",COUNTA($C$12:C66),"")</f>
        <v>52</v>
      </c>
      <c r="B66" s="151"/>
      <c r="C66" s="293" t="str">
        <f>+'Bill_Bos G1 Dmd p1'!C66</f>
        <v>Solar Program Cost Adjustment Factor</v>
      </c>
      <c r="D66" s="293"/>
      <c r="E66" s="274"/>
      <c r="G66" s="277">
        <v>0</v>
      </c>
      <c r="H66" s="277"/>
      <c r="I66" s="277">
        <v>3.0000000000000001E-5</v>
      </c>
      <c r="J66" s="354">
        <f t="shared" si="21"/>
        <v>3.0000000000000001E-5</v>
      </c>
      <c r="O66" s="424"/>
    </row>
    <row r="67" spans="1:15" ht="14" x14ac:dyDescent="0.3">
      <c r="A67" s="151">
        <f>IF(C67&lt;&gt;"",COUNTA($C$12:C67),"")</f>
        <v>53</v>
      </c>
      <c r="B67" s="151"/>
      <c r="C67" s="293" t="str">
        <f>+'Bill_Bos G1 Dmd p1'!C67</f>
        <v>Solar Expansion Cost Recovery Factor</v>
      </c>
      <c r="D67" s="293"/>
      <c r="E67" s="274"/>
      <c r="G67" s="277">
        <v>0</v>
      </c>
      <c r="H67" s="277"/>
      <c r="I67" s="277">
        <v>5.4000000000000001E-4</v>
      </c>
      <c r="J67" s="354">
        <f t="shared" si="21"/>
        <v>5.4000000000000001E-4</v>
      </c>
      <c r="O67" s="424"/>
    </row>
    <row r="68" spans="1:15" ht="14" x14ac:dyDescent="0.3">
      <c r="A68" s="151">
        <f>IF(C68&lt;&gt;"",COUNTA($C$12:C68),"")</f>
        <v>54</v>
      </c>
      <c r="B68" s="151"/>
      <c r="C68" s="293" t="str">
        <f>+'Bill_Bos G1 Dmd p1'!C68</f>
        <v>Vegetation Management</v>
      </c>
      <c r="D68" s="293"/>
      <c r="E68" s="274"/>
      <c r="G68" s="277">
        <v>0</v>
      </c>
      <c r="H68" s="277"/>
      <c r="I68" s="277">
        <v>8.3000000000000001E-4</v>
      </c>
      <c r="J68" s="354">
        <f t="shared" si="21"/>
        <v>8.3000000000000001E-4</v>
      </c>
      <c r="O68" s="424"/>
    </row>
    <row r="69" spans="1:15" ht="14" x14ac:dyDescent="0.3">
      <c r="A69" s="151">
        <f>IF(C69&lt;&gt;"",COUNTA($C$12:C69),"")</f>
        <v>55</v>
      </c>
      <c r="B69" s="151"/>
      <c r="C69" s="293" t="str">
        <f>+'Bill_Bos G1 Dmd p1'!C69</f>
        <v>Solar Massachusetts Renewable Target</v>
      </c>
      <c r="D69" s="339"/>
      <c r="E69" s="339"/>
      <c r="F69" s="277"/>
      <c r="G69" s="277">
        <v>0</v>
      </c>
      <c r="H69" s="277"/>
      <c r="I69" s="277">
        <v>6.3000000000000003E-4</v>
      </c>
      <c r="J69" s="354">
        <f t="shared" si="21"/>
        <v>6.3000000000000003E-4</v>
      </c>
      <c r="K69" s="339"/>
      <c r="L69" s="339"/>
      <c r="O69" s="424"/>
    </row>
    <row r="70" spans="1:15" ht="14" x14ac:dyDescent="0.3">
      <c r="A70" s="151">
        <f>IF(C70&lt;&gt;"",COUNTA($C$12:C70),"")</f>
        <v>56</v>
      </c>
      <c r="B70" s="151"/>
      <c r="C70" s="293" t="str">
        <f>+'Bill_Bos G1 Dmd p1'!C70</f>
        <v>Tax Act Credit Factor</v>
      </c>
      <c r="D70" s="339"/>
      <c r="E70" s="339"/>
      <c r="F70" s="277"/>
      <c r="G70" s="277">
        <v>0</v>
      </c>
      <c r="H70" s="277"/>
      <c r="I70" s="277">
        <v>-9.5E-4</v>
      </c>
      <c r="J70" s="354">
        <f t="shared" si="21"/>
        <v>-9.5E-4</v>
      </c>
      <c r="K70" s="339"/>
      <c r="L70" s="339"/>
      <c r="O70" s="424"/>
    </row>
    <row r="71" spans="1:15" ht="14" x14ac:dyDescent="0.3">
      <c r="A71" s="151">
        <f>IF(C71&lt;&gt;"",COUNTA($C$12:C71),"")</f>
        <v>57</v>
      </c>
      <c r="B71" s="151"/>
      <c r="C71" s="293" t="str">
        <f>+'Bill_Bos G1 Dmd p1'!C71</f>
        <v>Transition</v>
      </c>
      <c r="D71" s="293"/>
      <c r="E71" s="274"/>
      <c r="G71" s="277">
        <v>-6.0999999999999997E-4</v>
      </c>
      <c r="H71" s="277"/>
      <c r="I71" s="277">
        <v>-5.1999999999999995E-4</v>
      </c>
      <c r="J71" s="354">
        <f t="shared" si="21"/>
        <v>9.0000000000000019E-5</v>
      </c>
      <c r="O71" s="422"/>
    </row>
    <row r="72" spans="1:15" ht="14" x14ac:dyDescent="0.3">
      <c r="A72" s="151">
        <f>IF(C72&lt;&gt;"",COUNTA($C$12:C72),"")</f>
        <v>58</v>
      </c>
      <c r="B72" s="151"/>
      <c r="C72" s="293" t="str">
        <f>'Bill_Bos G1 Dmd p1'!C75</f>
        <v>Energy Efficiency Reconciliation Factor</v>
      </c>
      <c r="D72" s="293"/>
      <c r="E72" s="274"/>
      <c r="G72" s="277">
        <v>8.4600000000000005E-3</v>
      </c>
      <c r="H72" s="308"/>
      <c r="I72" s="308">
        <v>8.4600000000000005E-3</v>
      </c>
      <c r="J72" s="354">
        <f t="shared" si="21"/>
        <v>0</v>
      </c>
      <c r="O72" s="426"/>
    </row>
    <row r="73" spans="1:15" ht="14" x14ac:dyDescent="0.3">
      <c r="A73" s="151">
        <f>IF(C73&lt;&gt;"",COUNTA($C$12:C73),"")</f>
        <v>59</v>
      </c>
      <c r="B73" s="151"/>
      <c r="C73" s="293" t="str">
        <f>'Bill_Bos G1 Dmd p1'!C76</f>
        <v>System Benefits Charge</v>
      </c>
      <c r="D73" s="293"/>
      <c r="E73" s="274"/>
      <c r="G73" s="277">
        <v>2.5000000000000001E-3</v>
      </c>
      <c r="H73" s="308"/>
      <c r="I73" s="308">
        <f>+G73</f>
        <v>2.5000000000000001E-3</v>
      </c>
      <c r="J73" s="354">
        <f t="shared" si="21"/>
        <v>0</v>
      </c>
      <c r="O73" s="426"/>
    </row>
    <row r="74" spans="1:15" ht="14" x14ac:dyDescent="0.3">
      <c r="A74" s="151">
        <f>IF(C74&lt;&gt;"",COUNTA($C$12:C74),"")</f>
        <v>60</v>
      </c>
      <c r="B74" s="151"/>
      <c r="C74" s="293" t="str">
        <f>'Bill_Bos G1 Dmd p1'!C77</f>
        <v>Renewable Energy Charge</v>
      </c>
      <c r="D74" s="293"/>
      <c r="E74" s="274"/>
      <c r="G74" s="277">
        <v>5.0000000000000001E-4</v>
      </c>
      <c r="H74" s="308"/>
      <c r="I74" s="308">
        <f>+G74</f>
        <v>5.0000000000000001E-4</v>
      </c>
      <c r="J74" s="354">
        <f t="shared" si="21"/>
        <v>0</v>
      </c>
      <c r="O74" s="426"/>
    </row>
    <row r="75" spans="1:15" ht="14" x14ac:dyDescent="0.3">
      <c r="A75" s="151">
        <f>IF(C75&lt;&gt;"",COUNTA($C$12:C75),"")</f>
        <v>61</v>
      </c>
      <c r="B75" s="151"/>
      <c r="C75" s="293" t="str">
        <f>'Bill_Bos G1 Dmd p1'!C78</f>
        <v>Basic Service Charge</v>
      </c>
      <c r="D75" s="293"/>
      <c r="E75" s="274"/>
      <c r="G75" s="308">
        <v>0.11402999999999999</v>
      </c>
      <c r="H75" s="308"/>
      <c r="I75" s="308">
        <v>0.13185000000000002</v>
      </c>
      <c r="J75" s="354">
        <f t="shared" si="21"/>
        <v>1.782000000000003E-2</v>
      </c>
      <c r="O75" s="426"/>
    </row>
    <row r="76" spans="1:15" ht="14" x14ac:dyDescent="0.3">
      <c r="A76" s="151"/>
      <c r="B76" s="151"/>
      <c r="E76" s="446"/>
      <c r="F76" s="446"/>
      <c r="G76" s="368"/>
      <c r="H76" s="293"/>
      <c r="I76" s="394"/>
      <c r="J76" s="447"/>
      <c r="O76" s="426"/>
    </row>
    <row r="77" spans="1:15" ht="14" x14ac:dyDescent="0.3">
      <c r="A77" s="151"/>
      <c r="B77" s="151"/>
      <c r="E77" s="446"/>
      <c r="F77" s="446"/>
      <c r="G77" s="368"/>
      <c r="H77" s="293"/>
      <c r="I77" s="394"/>
      <c r="J77" s="447"/>
      <c r="O77" s="426"/>
    </row>
    <row r="78" spans="1:15" ht="14" x14ac:dyDescent="0.3">
      <c r="A78" s="151"/>
      <c r="B78" s="151"/>
      <c r="C78" s="293" t="str">
        <f>'Bill_Bos G1 Dmd p1'!C81</f>
        <v>Winter</v>
      </c>
      <c r="E78" s="446"/>
      <c r="F78" s="446"/>
      <c r="G78" s="368"/>
      <c r="H78" s="293"/>
      <c r="I78" s="293"/>
      <c r="O78" s="426"/>
    </row>
    <row r="79" spans="1:15" ht="14" x14ac:dyDescent="0.3">
      <c r="A79" s="151"/>
      <c r="B79" s="151"/>
      <c r="C79" s="293" t="str">
        <f>'Bill_Bos G1 Dmd p1'!C82</f>
        <v>Total Demand &gt;10 kW</v>
      </c>
      <c r="G79" s="378">
        <f>G46+G47</f>
        <v>18.05</v>
      </c>
      <c r="H79" s="429"/>
      <c r="I79" s="378">
        <f>I46+I47</f>
        <v>17.190000000000001</v>
      </c>
      <c r="J79" s="421">
        <f t="shared" ref="J79:J82" si="22">+I79-G79</f>
        <v>-0.85999999999999943</v>
      </c>
      <c r="O79" s="426"/>
    </row>
    <row r="80" spans="1:15" ht="14" x14ac:dyDescent="0.3">
      <c r="A80" s="151"/>
      <c r="B80" s="151"/>
      <c r="C80" s="293" t="str">
        <f>'Bill_Bos G1 Dmd p1'!C83</f>
        <v>Total Energy - 1st 2000 kWh</v>
      </c>
      <c r="G80" s="403">
        <f>SUM(G51,G$57:G$71,G$72:G$74)</f>
        <v>4.1140000000000003E-2</v>
      </c>
      <c r="H80" s="429"/>
      <c r="I80" s="403">
        <f>SUM(I51,I$57:I$71,I$72:I$74)</f>
        <v>4.2520000000000002E-2</v>
      </c>
      <c r="J80" s="354">
        <f t="shared" si="22"/>
        <v>1.3799999999999993E-3</v>
      </c>
      <c r="O80" s="426"/>
    </row>
    <row r="81" spans="1:15" ht="14" x14ac:dyDescent="0.3">
      <c r="A81" s="151"/>
      <c r="B81" s="151"/>
      <c r="C81" s="293" t="str">
        <f>'Bill_Bos G1 Dmd p1'!C84</f>
        <v>Total Energy - next 150 hrs*kW</v>
      </c>
      <c r="G81" s="403">
        <f>SUM(G52,G$57:G$71,G$72:G$74)</f>
        <v>3.6140000000000005E-2</v>
      </c>
      <c r="H81" s="429"/>
      <c r="I81" s="403">
        <f>SUM(I52,I$57:I$71,I$72:I$74)</f>
        <v>3.7350000000000001E-2</v>
      </c>
      <c r="J81" s="354">
        <f t="shared" si="22"/>
        <v>1.2099999999999958E-3</v>
      </c>
      <c r="O81" s="426"/>
    </row>
    <row r="82" spans="1:15" ht="14" x14ac:dyDescent="0.3">
      <c r="C82" s="293" t="str">
        <f>'Bill_Bos G1 Dmd p1'!C85</f>
        <v>Total Energy - remainder kWh</v>
      </c>
      <c r="G82" s="403">
        <f>SUM(G53,G$57:G$71,G$72:G$74)</f>
        <v>3.4290000000000001E-2</v>
      </c>
      <c r="H82" s="429"/>
      <c r="I82" s="403">
        <f>SUM(I53,I$57:I$71,I$72:I$74)</f>
        <v>3.5439999999999999E-2</v>
      </c>
      <c r="J82" s="354">
        <f t="shared" si="22"/>
        <v>1.1499999999999982E-3</v>
      </c>
      <c r="O82" s="426"/>
    </row>
    <row r="83" spans="1:15" ht="14" x14ac:dyDescent="0.3">
      <c r="H83" s="429"/>
      <c r="I83" s="429"/>
      <c r="J83" s="374"/>
      <c r="O83" s="432"/>
    </row>
    <row r="84" spans="1:15" ht="14" x14ac:dyDescent="0.3">
      <c r="C84" s="293" t="str">
        <f>'Bill_Bos G1 Dmd p1'!C87</f>
        <v>Summer</v>
      </c>
      <c r="H84" s="429"/>
      <c r="I84" s="429"/>
      <c r="J84" s="374"/>
      <c r="O84" s="432"/>
    </row>
    <row r="85" spans="1:15" ht="14" x14ac:dyDescent="0.3">
      <c r="C85" s="293" t="str">
        <f>'Bill_Bos G1 Dmd p1'!C88</f>
        <v>Total Demand &gt;10 kW</v>
      </c>
      <c r="G85" s="378">
        <f>G49+G50</f>
        <v>43.42</v>
      </c>
      <c r="H85" s="429"/>
      <c r="I85" s="378">
        <f>I49+I50</f>
        <v>40.67</v>
      </c>
      <c r="J85" s="421">
        <f t="shared" ref="J85:J88" si="23">+I85-G85</f>
        <v>-2.75</v>
      </c>
      <c r="O85" s="432"/>
    </row>
    <row r="86" spans="1:15" ht="14" x14ac:dyDescent="0.3">
      <c r="C86" s="293" t="str">
        <f>'Bill_Bos G1 Dmd p1'!C89</f>
        <v>Total Energy - 1st 2000 kWh</v>
      </c>
      <c r="G86" s="403">
        <f>SUM(G54,G$57:G$71,G$72:G$74)</f>
        <v>5.0960000000000005E-2</v>
      </c>
      <c r="H86" s="429"/>
      <c r="I86" s="403">
        <f>SUM(I54,I$57:I$71,I$72:I$74)</f>
        <v>5.2659999999999998E-2</v>
      </c>
      <c r="J86" s="354">
        <f t="shared" si="23"/>
        <v>1.6999999999999932E-3</v>
      </c>
      <c r="O86" s="432"/>
    </row>
    <row r="87" spans="1:15" ht="14" x14ac:dyDescent="0.3">
      <c r="C87" s="293" t="str">
        <f>'Bill_Bos G1 Dmd p1'!C90</f>
        <v>Total Energy - next 150 hrs*kW</v>
      </c>
      <c r="G87" s="403">
        <f>SUM(G55,G$57:G$71,G$72:G$74)</f>
        <v>3.7850000000000002E-2</v>
      </c>
      <c r="H87" s="429"/>
      <c r="I87" s="403">
        <f>SUM(I55,I$57:I$71,I$72:I$74)</f>
        <v>3.9120000000000002E-2</v>
      </c>
      <c r="J87" s="354">
        <f t="shared" si="23"/>
        <v>1.2700000000000003E-3</v>
      </c>
      <c r="O87" s="426"/>
    </row>
    <row r="88" spans="1:15" ht="14" x14ac:dyDescent="0.3">
      <c r="C88" s="293" t="str">
        <f>'Bill_Bos G1 Dmd p1'!C91</f>
        <v>Total Energy - remainder kWh</v>
      </c>
      <c r="G88" s="403">
        <f>SUM(G56,G$57:G$71,G$72:G$74)</f>
        <v>3.4780000000000005E-2</v>
      </c>
      <c r="H88" s="429"/>
      <c r="I88" s="403">
        <f>SUM(I56,I$57:I$71,I$72:I$74)</f>
        <v>3.594E-2</v>
      </c>
      <c r="J88" s="354">
        <f t="shared" si="23"/>
        <v>1.1599999999999944E-3</v>
      </c>
      <c r="O88" s="426"/>
    </row>
    <row r="89" spans="1:15" ht="14" x14ac:dyDescent="0.3">
      <c r="G89" s="403"/>
      <c r="H89" s="429"/>
      <c r="I89" s="403"/>
      <c r="J89" s="403"/>
      <c r="O89" s="426"/>
    </row>
    <row r="90" spans="1:15" ht="14" x14ac:dyDescent="0.3">
      <c r="C90" s="293" t="str">
        <f>'Bill_Bos G1 Dmd p1'!C93</f>
        <v>Total Basic Service</v>
      </c>
      <c r="G90" s="403">
        <f>G75</f>
        <v>0.11402999999999999</v>
      </c>
      <c r="H90" s="429"/>
      <c r="I90" s="403">
        <f>I75</f>
        <v>0.13185000000000002</v>
      </c>
      <c r="J90" s="354">
        <f t="shared" ref="J90" si="24">+I90-G90</f>
        <v>1.782000000000003E-2</v>
      </c>
      <c r="O90" s="426"/>
    </row>
    <row r="91" spans="1:15" ht="14" x14ac:dyDescent="0.3">
      <c r="O91" s="426"/>
    </row>
    <row r="92" spans="1:15" ht="14" x14ac:dyDescent="0.3">
      <c r="O92" s="426"/>
    </row>
  </sheetData>
  <mergeCells count="10">
    <mergeCell ref="E13:G13"/>
    <mergeCell ref="I13:K13"/>
    <mergeCell ref="E27:G27"/>
    <mergeCell ref="I27:K27"/>
    <mergeCell ref="A4:N4"/>
    <mergeCell ref="A5:N5"/>
    <mergeCell ref="A6:N6"/>
    <mergeCell ref="A7:N7"/>
    <mergeCell ref="A8:N8"/>
    <mergeCell ref="A9:N9"/>
  </mergeCells>
  <pageMargins left="0.7" right="0.7" top="0.75" bottom="0.75" header="0.3" footer="0.3"/>
  <pageSetup scale="64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CEC2E-318C-4481-9085-96A156C33389}">
  <sheetPr>
    <tabColor theme="3" tint="0.59999389629810485"/>
    <pageSetUpPr fitToPage="1"/>
  </sheetPr>
  <dimension ref="A3:AF90"/>
  <sheetViews>
    <sheetView zoomScaleNormal="100" workbookViewId="0"/>
  </sheetViews>
  <sheetFormatPr defaultRowHeight="12.5" x14ac:dyDescent="0.25"/>
  <cols>
    <col min="1" max="1" width="4" customWidth="1"/>
    <col min="2" max="2" width="4.453125" bestFit="1" customWidth="1"/>
    <col min="3" max="4" width="9.7265625" customWidth="1"/>
    <col min="5" max="7" width="14.7265625" customWidth="1"/>
    <col min="8" max="8" width="1.7265625" customWidth="1"/>
    <col min="9" max="11" width="14.7265625" customWidth="1"/>
    <col min="12" max="12" width="1.7265625" customWidth="1"/>
    <col min="13" max="14" width="11.7265625" customWidth="1"/>
    <col min="15" max="15" width="10.81640625" bestFit="1" customWidth="1"/>
    <col min="16" max="16" width="12.54296875" bestFit="1" customWidth="1"/>
    <col min="17" max="17" width="9.7265625" bestFit="1" customWidth="1"/>
    <col min="18" max="18" width="10.453125" bestFit="1" customWidth="1"/>
    <col min="19" max="19" width="9.81640625" bestFit="1" customWidth="1"/>
    <col min="20" max="20" width="10.81640625" bestFit="1" customWidth="1"/>
    <col min="21" max="21" width="12.54296875" bestFit="1" customWidth="1"/>
    <col min="22" max="22" width="11.81640625" bestFit="1" customWidth="1"/>
    <col min="23" max="23" width="8.453125" bestFit="1" customWidth="1"/>
    <col min="24" max="24" width="10.81640625" bestFit="1" customWidth="1"/>
    <col min="25" max="25" width="12" bestFit="1" customWidth="1"/>
    <col min="26" max="26" width="9.7265625" bestFit="1" customWidth="1"/>
    <col min="27" max="28" width="9.81640625" bestFit="1" customWidth="1"/>
    <col min="29" max="29" width="10.81640625" bestFit="1" customWidth="1"/>
    <col min="30" max="30" width="12.54296875" bestFit="1" customWidth="1"/>
    <col min="31" max="31" width="11.81640625" bestFit="1" customWidth="1"/>
    <col min="32" max="32" width="8.453125" bestFit="1" customWidth="1"/>
  </cols>
  <sheetData>
    <row r="3" spans="1:32" ht="14" x14ac:dyDescent="0.3">
      <c r="A3" s="365"/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</row>
    <row r="4" spans="1:32" ht="14" x14ac:dyDescent="0.3">
      <c r="A4" s="762" t="str">
        <f>'Bill_Bos G2 p1'!A4:N4</f>
        <v>Eastern Massachusetts</v>
      </c>
      <c r="B4" s="762"/>
      <c r="C4" s="762"/>
      <c r="D4" s="762"/>
      <c r="E4" s="762"/>
      <c r="F4" s="762"/>
      <c r="G4" s="762"/>
      <c r="H4" s="762"/>
      <c r="I4" s="762"/>
      <c r="J4" s="762"/>
      <c r="K4" s="762"/>
      <c r="L4" s="762"/>
      <c r="M4" s="762"/>
      <c r="N4" s="762"/>
    </row>
    <row r="5" spans="1:32" ht="14" x14ac:dyDescent="0.3">
      <c r="A5" s="762" t="str">
        <f>+'Bill_Bos G1 nonDem'!A5</f>
        <v>Calculation of Monthly Typical Bill</v>
      </c>
      <c r="B5" s="762"/>
      <c r="C5" s="762"/>
      <c r="D5" s="762"/>
      <c r="E5" s="762"/>
      <c r="F5" s="762"/>
      <c r="G5" s="762"/>
      <c r="H5" s="762"/>
      <c r="I5" s="762"/>
      <c r="J5" s="762"/>
      <c r="K5" s="762"/>
      <c r="L5" s="762"/>
      <c r="M5" s="762"/>
      <c r="N5" s="762"/>
    </row>
    <row r="6" spans="1:32" ht="14" x14ac:dyDescent="0.3">
      <c r="A6" s="762" t="str">
        <f>+'Bill_Bos G1 nonDem'!A6</f>
        <v>Proposed January 1, 2019</v>
      </c>
      <c r="B6" s="762"/>
      <c r="C6" s="762"/>
      <c r="D6" s="762"/>
      <c r="E6" s="762"/>
      <c r="F6" s="762"/>
      <c r="G6" s="762"/>
      <c r="H6" s="762"/>
      <c r="I6" s="762"/>
      <c r="J6" s="762"/>
      <c r="K6" s="762"/>
      <c r="L6" s="762"/>
      <c r="M6" s="762"/>
      <c r="N6" s="762"/>
    </row>
    <row r="7" spans="1:32" ht="14" x14ac:dyDescent="0.3">
      <c r="A7" s="762"/>
      <c r="B7" s="762"/>
      <c r="C7" s="762"/>
      <c r="D7" s="762"/>
      <c r="E7" s="762"/>
      <c r="F7" s="762"/>
      <c r="G7" s="762"/>
      <c r="H7" s="762"/>
      <c r="I7" s="762"/>
      <c r="J7" s="762"/>
      <c r="K7" s="762"/>
      <c r="L7" s="762"/>
      <c r="M7" s="762"/>
      <c r="N7" s="762"/>
    </row>
    <row r="8" spans="1:32" ht="14" x14ac:dyDescent="0.3">
      <c r="A8" s="762" t="str">
        <f>+'Bill_Bos G1 nonDem'!A8</f>
        <v>Greater Boston Service Area</v>
      </c>
      <c r="B8" s="762"/>
      <c r="C8" s="762"/>
      <c r="D8" s="762"/>
      <c r="E8" s="762"/>
      <c r="F8" s="762"/>
      <c r="G8" s="762"/>
      <c r="H8" s="762"/>
      <c r="I8" s="762"/>
      <c r="J8" s="762"/>
      <c r="K8" s="762"/>
      <c r="L8" s="762"/>
      <c r="M8" s="762"/>
      <c r="N8" s="762"/>
    </row>
    <row r="9" spans="1:32" ht="14" x14ac:dyDescent="0.3">
      <c r="A9" s="762" t="str">
        <f>+'Bill_Bos G2 p1'!A9</f>
        <v>Rate G-2 Medium General Service</v>
      </c>
      <c r="B9" s="762"/>
      <c r="C9" s="762"/>
      <c r="D9" s="762"/>
      <c r="E9" s="762"/>
      <c r="F9" s="762"/>
      <c r="G9" s="762"/>
      <c r="H9" s="762"/>
      <c r="I9" s="762"/>
      <c r="J9" s="762"/>
      <c r="K9" s="762"/>
      <c r="L9" s="762"/>
      <c r="M9" s="762"/>
      <c r="N9" s="762"/>
    </row>
    <row r="10" spans="1:32" ht="14" x14ac:dyDescent="0.3">
      <c r="A10" s="366"/>
      <c r="B10" s="366"/>
      <c r="D10" s="293"/>
      <c r="E10" s="293"/>
      <c r="F10" s="293"/>
      <c r="G10" s="367"/>
      <c r="H10" s="293"/>
    </row>
    <row r="11" spans="1:32" ht="14" x14ac:dyDescent="0.3">
      <c r="A11" s="366"/>
      <c r="B11" s="366"/>
      <c r="C11" s="293"/>
      <c r="D11" s="293"/>
      <c r="E11" s="293"/>
      <c r="F11" s="293"/>
      <c r="G11" s="368"/>
      <c r="H11" s="293"/>
    </row>
    <row r="12" spans="1:32" ht="14" x14ac:dyDescent="0.3">
      <c r="A12" s="151">
        <f>IF(C12&lt;&gt;"",COUNTA($C12:C$12),"")</f>
        <v>1</v>
      </c>
      <c r="B12" s="151"/>
      <c r="C12" s="405" t="s">
        <v>577</v>
      </c>
      <c r="D12" s="293"/>
      <c r="E12" s="293"/>
      <c r="F12" s="293"/>
      <c r="G12" s="368"/>
      <c r="H12" s="293"/>
    </row>
    <row r="13" spans="1:32" ht="14" x14ac:dyDescent="0.3">
      <c r="A13" s="151">
        <f>IF(C13&lt;&gt;"",COUNTA($C$12:C13),"")</f>
        <v>2</v>
      </c>
      <c r="B13" s="151"/>
      <c r="C13" s="406" t="str">
        <f>+'Bill_Bos G1 nonDem'!C12</f>
        <v>Monthly</v>
      </c>
      <c r="D13" s="366" t="str">
        <f>+C13</f>
        <v>Monthly</v>
      </c>
      <c r="E13" s="760" t="str">
        <f>+'Bill_Bos G1 nonDem'!D12</f>
        <v>Current Monthly Bill (Winter)</v>
      </c>
      <c r="F13" s="760"/>
      <c r="G13" s="760"/>
      <c r="H13" s="293"/>
      <c r="I13" s="760" t="str">
        <f>+'Bill_Bos G1 nonDem'!H12</f>
        <v>Proposed Monthly Bill (Winter)</v>
      </c>
      <c r="J13" s="760"/>
      <c r="K13" s="760"/>
      <c r="M13" s="407" t="s">
        <v>550</v>
      </c>
      <c r="N13" s="440"/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  <c r="AA13" s="369"/>
      <c r="AB13" s="369"/>
      <c r="AC13" s="369"/>
      <c r="AD13" s="369"/>
      <c r="AE13" s="369"/>
      <c r="AF13" s="369"/>
    </row>
    <row r="14" spans="1:32" ht="14" x14ac:dyDescent="0.3">
      <c r="A14" s="151">
        <f>IF(C14&lt;&gt;"",COUNTA($C$12:C14),"")</f>
        <v>3</v>
      </c>
      <c r="B14" s="151"/>
      <c r="C14" s="408" t="s">
        <v>534</v>
      </c>
      <c r="D14" s="370" t="s">
        <v>551</v>
      </c>
      <c r="E14" s="370" t="s">
        <v>552</v>
      </c>
      <c r="F14" s="370" t="s">
        <v>553</v>
      </c>
      <c r="G14" s="370" t="s">
        <v>47</v>
      </c>
      <c r="H14" s="293"/>
      <c r="I14" s="370" t="s">
        <v>552</v>
      </c>
      <c r="J14" s="370" t="s">
        <v>553</v>
      </c>
      <c r="K14" s="370" t="s">
        <v>47</v>
      </c>
      <c r="M14" s="370" t="s">
        <v>65</v>
      </c>
      <c r="N14" s="370" t="s">
        <v>325</v>
      </c>
      <c r="O14" s="369"/>
      <c r="P14" s="369"/>
      <c r="Q14" s="369"/>
      <c r="R14" s="369"/>
      <c r="S14" s="369"/>
      <c r="T14" s="369"/>
      <c r="U14" s="369"/>
      <c r="V14" s="369"/>
      <c r="W14" s="369"/>
      <c r="X14" s="369"/>
      <c r="Y14" s="369"/>
      <c r="Z14" s="369"/>
      <c r="AA14" s="369"/>
      <c r="AB14" s="369"/>
      <c r="AC14" s="369"/>
      <c r="AD14" s="369"/>
      <c r="AE14" s="369"/>
      <c r="AF14" s="369"/>
    </row>
    <row r="15" spans="1:32" ht="14" x14ac:dyDescent="0.3">
      <c r="A15" s="151">
        <f>IF(C15&lt;&gt;"",COUNTA($C$12:C15),"")</f>
        <v>4</v>
      </c>
      <c r="B15" s="151"/>
      <c r="C15" s="409">
        <f>+'Bill_Bos G2 p1'!C15</f>
        <v>8</v>
      </c>
      <c r="D15" s="409">
        <f>+C15*300</f>
        <v>2400</v>
      </c>
      <c r="E15" s="372">
        <f t="shared" ref="E15:E25" si="0">ROUND($G$44+IF($C15&lt;=10,0,($C15-10)*SUM($G$46,$G$47)),2)+ROUND(IF($D15&gt;(2000+150*$C15),($D15-(2000+150*$C15))*$G$53+150*$C15*$G$52+2000*$G$51,IF($D15&gt;2000,($D15-2000)*$G$52+2000*$G$51,$D15*$G$51)),2)+ROUND($D15*SUM($G$57:$G$71,$G$72:$G$74),2)</f>
        <v>114.74000000000001</v>
      </c>
      <c r="F15" s="372">
        <f t="shared" ref="F15:F25" si="1">ROUND($G$75*D15,2)</f>
        <v>273.67</v>
      </c>
      <c r="G15" s="372">
        <f t="shared" ref="G15:G25" si="2">SUM(E15:F15)</f>
        <v>388.41</v>
      </c>
      <c r="H15" s="373"/>
      <c r="I15" s="372">
        <f t="shared" ref="I15:I25" si="3">ROUND($I$44+IF($C15&lt;=10,0,($C15-10)*SUM($I$46,$I$47)),2)+ROUND(IF($D15&gt;(2000+150*$C15),($D15-(2000+150*$C15))*$I$53+150*$C15*$I$52+2000*$I$51,IF($D15&gt;2000,($D15-2000)*$I$52+2000*$I$51,$D15*$I$51)),2)+ROUND($D15*SUM($I$57:$I$71,$I$72:$I$74),2)</f>
        <v>117.98</v>
      </c>
      <c r="J15" s="372">
        <f t="shared" ref="J15:J25" si="4">ROUND(I$75*D15,2)</f>
        <v>316.44</v>
      </c>
      <c r="K15" s="372">
        <f t="shared" ref="K15:K25" si="5">SUM(I15:J15)</f>
        <v>434.42</v>
      </c>
      <c r="L15" s="374"/>
      <c r="M15" s="375">
        <f t="shared" ref="M15:M25" si="6">+K15-G15</f>
        <v>46.009999999999991</v>
      </c>
      <c r="N15" s="376">
        <f t="shared" ref="N15:N25" si="7">+M15/G15</f>
        <v>0.11845730027548207</v>
      </c>
      <c r="O15" s="377"/>
      <c r="P15" s="322"/>
      <c r="Q15" s="322"/>
      <c r="R15" s="322"/>
      <c r="S15" s="322"/>
      <c r="T15" s="322"/>
      <c r="U15" s="322"/>
      <c r="V15" s="377"/>
      <c r="W15" s="378"/>
      <c r="X15" s="377"/>
      <c r="Y15" s="322"/>
      <c r="Z15" s="322"/>
      <c r="AA15" s="322"/>
      <c r="AB15" s="322"/>
      <c r="AC15" s="322"/>
      <c r="AD15" s="322"/>
      <c r="AE15" s="377"/>
      <c r="AF15" s="374">
        <f t="shared" ref="AF15:AF25" si="8">+AE15-K15</f>
        <v>-434.42</v>
      </c>
    </row>
    <row r="16" spans="1:32" ht="14" x14ac:dyDescent="0.3">
      <c r="A16" s="151">
        <f>IF(C16&lt;&gt;"",COUNTA($C$12:C16),"")</f>
        <v>5</v>
      </c>
      <c r="B16" s="151"/>
      <c r="C16" s="409">
        <f>+'Bill_Bos G2 p1'!C16</f>
        <v>10</v>
      </c>
      <c r="D16" s="409">
        <f t="shared" ref="D16:D25" si="9">+C16*300</f>
        <v>3000</v>
      </c>
      <c r="E16" s="372">
        <f t="shared" si="0"/>
        <v>136.42000000000002</v>
      </c>
      <c r="F16" s="372">
        <f t="shared" si="1"/>
        <v>342.09</v>
      </c>
      <c r="G16" s="372">
        <f t="shared" si="2"/>
        <v>478.51</v>
      </c>
      <c r="H16" s="373"/>
      <c r="I16" s="372">
        <f t="shared" si="3"/>
        <v>140.38999999999999</v>
      </c>
      <c r="J16" s="372">
        <f t="shared" si="4"/>
        <v>395.55</v>
      </c>
      <c r="K16" s="372">
        <f t="shared" si="5"/>
        <v>535.94000000000005</v>
      </c>
      <c r="L16" s="374"/>
      <c r="M16" s="375">
        <f t="shared" si="6"/>
        <v>57.430000000000064</v>
      </c>
      <c r="N16" s="376">
        <f t="shared" si="7"/>
        <v>0.12001839042026304</v>
      </c>
      <c r="O16" s="377"/>
      <c r="P16" s="322"/>
      <c r="Q16" s="322"/>
      <c r="R16" s="322"/>
      <c r="S16" s="322"/>
      <c r="T16" s="322"/>
      <c r="U16" s="322"/>
      <c r="V16" s="377"/>
      <c r="W16" s="378"/>
      <c r="X16" s="377"/>
      <c r="Y16" s="322"/>
      <c r="Z16" s="322"/>
      <c r="AA16" s="322"/>
      <c r="AB16" s="322"/>
      <c r="AC16" s="322"/>
      <c r="AD16" s="322"/>
      <c r="AE16" s="377"/>
      <c r="AF16" s="374">
        <f t="shared" si="8"/>
        <v>-535.94000000000005</v>
      </c>
    </row>
    <row r="17" spans="1:32" ht="14" x14ac:dyDescent="0.3">
      <c r="A17" s="151">
        <f>IF(C17&lt;&gt;"",COUNTA($C$12:C17),"")</f>
        <v>6</v>
      </c>
      <c r="B17" s="151"/>
      <c r="C17" s="409">
        <f>+'Bill_Bos G2 p1'!C17</f>
        <v>12</v>
      </c>
      <c r="D17" s="409">
        <f t="shared" si="9"/>
        <v>3600</v>
      </c>
      <c r="E17" s="372">
        <f t="shared" si="0"/>
        <v>194.2</v>
      </c>
      <c r="F17" s="372">
        <f t="shared" si="1"/>
        <v>410.51</v>
      </c>
      <c r="G17" s="372">
        <f t="shared" si="2"/>
        <v>604.71</v>
      </c>
      <c r="H17" s="373"/>
      <c r="I17" s="372">
        <f t="shared" si="3"/>
        <v>197.18</v>
      </c>
      <c r="J17" s="372">
        <f t="shared" si="4"/>
        <v>474.66</v>
      </c>
      <c r="K17" s="372">
        <f t="shared" si="5"/>
        <v>671.84</v>
      </c>
      <c r="L17" s="374"/>
      <c r="M17" s="375">
        <f t="shared" si="6"/>
        <v>67.13</v>
      </c>
      <c r="N17" s="376">
        <f t="shared" si="7"/>
        <v>0.11101188999685799</v>
      </c>
      <c r="O17" s="377"/>
      <c r="P17" s="322"/>
      <c r="Q17" s="322"/>
      <c r="R17" s="322"/>
      <c r="S17" s="322"/>
      <c r="T17" s="322"/>
      <c r="U17" s="322"/>
      <c r="V17" s="377"/>
      <c r="W17" s="378"/>
      <c r="X17" s="377"/>
      <c r="Y17" s="322"/>
      <c r="Z17" s="322"/>
      <c r="AA17" s="322"/>
      <c r="AB17" s="322"/>
      <c r="AC17" s="322"/>
      <c r="AD17" s="322"/>
      <c r="AE17" s="377"/>
      <c r="AF17" s="374">
        <f t="shared" si="8"/>
        <v>-671.84</v>
      </c>
    </row>
    <row r="18" spans="1:32" ht="14" x14ac:dyDescent="0.3">
      <c r="A18" s="151">
        <f>IF(C18&lt;&gt;"",COUNTA($C$12:C18),"")</f>
        <v>7</v>
      </c>
      <c r="B18" s="151"/>
      <c r="C18" s="409">
        <f>+'Bill_Bos G2 p1'!C18</f>
        <v>14</v>
      </c>
      <c r="D18" s="409">
        <f t="shared" si="9"/>
        <v>4200</v>
      </c>
      <c r="E18" s="372">
        <f t="shared" si="0"/>
        <v>251.8</v>
      </c>
      <c r="F18" s="372">
        <f t="shared" si="1"/>
        <v>478.93</v>
      </c>
      <c r="G18" s="372">
        <f t="shared" si="2"/>
        <v>730.73</v>
      </c>
      <c r="H18" s="373"/>
      <c r="I18" s="372">
        <f t="shared" si="3"/>
        <v>253.78</v>
      </c>
      <c r="J18" s="372">
        <f t="shared" si="4"/>
        <v>553.77</v>
      </c>
      <c r="K18" s="372">
        <f t="shared" si="5"/>
        <v>807.55</v>
      </c>
      <c r="L18" s="374"/>
      <c r="M18" s="375">
        <f t="shared" si="6"/>
        <v>76.819999999999936</v>
      </c>
      <c r="N18" s="376">
        <f t="shared" si="7"/>
        <v>0.10512774896336531</v>
      </c>
      <c r="O18" s="377"/>
      <c r="P18" s="322"/>
      <c r="Q18" s="322"/>
      <c r="R18" s="322"/>
      <c r="S18" s="322"/>
      <c r="T18" s="322"/>
      <c r="U18" s="322"/>
      <c r="V18" s="377"/>
      <c r="W18" s="378"/>
      <c r="X18" s="377"/>
      <c r="Y18" s="322"/>
      <c r="Z18" s="322"/>
      <c r="AA18" s="322"/>
      <c r="AB18" s="322"/>
      <c r="AC18" s="322"/>
      <c r="AD18" s="322"/>
      <c r="AE18" s="377"/>
      <c r="AF18" s="374">
        <f t="shared" si="8"/>
        <v>-807.55</v>
      </c>
    </row>
    <row r="19" spans="1:32" ht="14" x14ac:dyDescent="0.3">
      <c r="A19" s="151">
        <f>IF(C19&lt;&gt;"",COUNTA($C$12:C19),"")</f>
        <v>8</v>
      </c>
      <c r="B19" s="151"/>
      <c r="C19" s="409">
        <f>+'Bill_Bos G2 p1'!C19</f>
        <v>16</v>
      </c>
      <c r="D19" s="409">
        <f t="shared" si="9"/>
        <v>4800</v>
      </c>
      <c r="E19" s="372">
        <f t="shared" si="0"/>
        <v>309.03000000000003</v>
      </c>
      <c r="F19" s="372">
        <f t="shared" si="1"/>
        <v>547.34</v>
      </c>
      <c r="G19" s="372">
        <f t="shared" si="2"/>
        <v>856.37000000000012</v>
      </c>
      <c r="H19" s="373"/>
      <c r="I19" s="372">
        <f t="shared" si="3"/>
        <v>310</v>
      </c>
      <c r="J19" s="372">
        <f t="shared" si="4"/>
        <v>632.88</v>
      </c>
      <c r="K19" s="372">
        <f t="shared" si="5"/>
        <v>942.88</v>
      </c>
      <c r="L19" s="374"/>
      <c r="M19" s="375">
        <f t="shared" si="6"/>
        <v>86.509999999999877</v>
      </c>
      <c r="N19" s="376">
        <f t="shared" si="7"/>
        <v>0.10101941917629047</v>
      </c>
      <c r="O19" s="377"/>
      <c r="P19" s="322"/>
      <c r="Q19" s="322"/>
      <c r="R19" s="322"/>
      <c r="S19" s="322"/>
      <c r="T19" s="322"/>
      <c r="U19" s="322"/>
      <c r="V19" s="377"/>
      <c r="W19" s="378"/>
      <c r="X19" s="377"/>
      <c r="Y19" s="322"/>
      <c r="Z19" s="322"/>
      <c r="AA19" s="322"/>
      <c r="AB19" s="322"/>
      <c r="AC19" s="322"/>
      <c r="AD19" s="322"/>
      <c r="AE19" s="377"/>
      <c r="AF19" s="374">
        <f t="shared" si="8"/>
        <v>-942.88</v>
      </c>
    </row>
    <row r="20" spans="1:32" ht="14" x14ac:dyDescent="0.3">
      <c r="A20" s="151">
        <f>IF(C20&lt;&gt;"",COUNTA($C$12:C20),"")</f>
        <v>9</v>
      </c>
      <c r="B20" s="151"/>
      <c r="C20" s="409">
        <f>+'Bill_Bos G2 p1'!C20</f>
        <v>20</v>
      </c>
      <c r="D20" s="409">
        <f t="shared" si="9"/>
        <v>6000</v>
      </c>
      <c r="E20" s="372">
        <f t="shared" si="0"/>
        <v>423.49</v>
      </c>
      <c r="F20" s="372">
        <f t="shared" si="1"/>
        <v>684.18</v>
      </c>
      <c r="G20" s="372">
        <f t="shared" si="2"/>
        <v>1107.67</v>
      </c>
      <c r="H20" s="373"/>
      <c r="I20" s="372">
        <f t="shared" si="3"/>
        <v>422.43</v>
      </c>
      <c r="J20" s="372">
        <f t="shared" si="4"/>
        <v>791.1</v>
      </c>
      <c r="K20" s="372">
        <f t="shared" si="5"/>
        <v>1213.53</v>
      </c>
      <c r="L20" s="374"/>
      <c r="M20" s="375">
        <f t="shared" si="6"/>
        <v>105.8599999999999</v>
      </c>
      <c r="N20" s="376">
        <f t="shared" si="7"/>
        <v>9.5569980228768406E-2</v>
      </c>
      <c r="O20" s="377"/>
      <c r="P20" s="322"/>
      <c r="Q20" s="322"/>
      <c r="R20" s="322"/>
      <c r="S20" s="322"/>
      <c r="T20" s="322"/>
      <c r="U20" s="322"/>
      <c r="V20" s="377"/>
      <c r="W20" s="378"/>
      <c r="X20" s="377"/>
      <c r="Y20" s="322"/>
      <c r="Z20" s="322"/>
      <c r="AA20" s="322"/>
      <c r="AB20" s="322"/>
      <c r="AC20" s="322"/>
      <c r="AD20" s="322"/>
      <c r="AE20" s="377"/>
      <c r="AF20" s="374">
        <f t="shared" si="8"/>
        <v>-1213.53</v>
      </c>
    </row>
    <row r="21" spans="1:32" ht="14" x14ac:dyDescent="0.3">
      <c r="A21" s="151">
        <f>IF(C21&lt;&gt;"",COUNTA($C$12:C21),"")</f>
        <v>10</v>
      </c>
      <c r="B21" s="151"/>
      <c r="C21" s="409">
        <f>+'Bill_Bos G2 p1'!C21</f>
        <v>24</v>
      </c>
      <c r="D21" s="409">
        <f t="shared" si="9"/>
        <v>7200</v>
      </c>
      <c r="E21" s="372">
        <f t="shared" si="0"/>
        <v>537.95000000000005</v>
      </c>
      <c r="F21" s="372">
        <f t="shared" si="1"/>
        <v>821.02</v>
      </c>
      <c r="G21" s="372">
        <f t="shared" si="2"/>
        <v>1358.97</v>
      </c>
      <c r="H21" s="373"/>
      <c r="I21" s="372">
        <f t="shared" si="3"/>
        <v>534.86</v>
      </c>
      <c r="J21" s="372">
        <f t="shared" si="4"/>
        <v>949.32</v>
      </c>
      <c r="K21" s="372">
        <f t="shared" si="5"/>
        <v>1484.18</v>
      </c>
      <c r="L21" s="374"/>
      <c r="M21" s="375">
        <f t="shared" si="6"/>
        <v>125.21000000000004</v>
      </c>
      <c r="N21" s="376">
        <f t="shared" si="7"/>
        <v>9.2135955907783132E-2</v>
      </c>
      <c r="O21" s="377"/>
      <c r="P21" s="322"/>
      <c r="Q21" s="322"/>
      <c r="R21" s="322"/>
      <c r="S21" s="322"/>
      <c r="T21" s="322"/>
      <c r="U21" s="322"/>
      <c r="V21" s="377"/>
      <c r="W21" s="378"/>
      <c r="X21" s="377"/>
      <c r="Y21" s="322"/>
      <c r="Z21" s="322"/>
      <c r="AA21" s="322"/>
      <c r="AB21" s="322"/>
      <c r="AC21" s="322"/>
      <c r="AD21" s="322"/>
      <c r="AE21" s="377"/>
      <c r="AF21" s="374">
        <f t="shared" si="8"/>
        <v>-1484.18</v>
      </c>
    </row>
    <row r="22" spans="1:32" ht="14" x14ac:dyDescent="0.3">
      <c r="A22" s="151">
        <f>IF(C22&lt;&gt;"",COUNTA($C$12:C22),"")</f>
        <v>11</v>
      </c>
      <c r="B22" s="151"/>
      <c r="C22" s="409">
        <f>+'Bill_Bos G2 p1'!C22</f>
        <v>30</v>
      </c>
      <c r="D22" s="409">
        <f t="shared" si="9"/>
        <v>9000</v>
      </c>
      <c r="E22" s="372">
        <f t="shared" si="0"/>
        <v>709.64</v>
      </c>
      <c r="F22" s="372">
        <f t="shared" si="1"/>
        <v>1026.27</v>
      </c>
      <c r="G22" s="372">
        <f t="shared" si="2"/>
        <v>1735.9099999999999</v>
      </c>
      <c r="H22" s="373"/>
      <c r="I22" s="372">
        <f t="shared" si="3"/>
        <v>703.52</v>
      </c>
      <c r="J22" s="372">
        <f t="shared" si="4"/>
        <v>1186.6500000000001</v>
      </c>
      <c r="K22" s="372">
        <f t="shared" si="5"/>
        <v>1890.17</v>
      </c>
      <c r="L22" s="374"/>
      <c r="M22" s="375">
        <f t="shared" si="6"/>
        <v>154.26000000000022</v>
      </c>
      <c r="N22" s="376">
        <f t="shared" si="7"/>
        <v>8.8864054012016885E-2</v>
      </c>
      <c r="O22" s="377"/>
      <c r="P22" s="322"/>
      <c r="Q22" s="322"/>
      <c r="R22" s="322"/>
      <c r="S22" s="322"/>
      <c r="T22" s="322"/>
      <c r="U22" s="322"/>
      <c r="V22" s="377"/>
      <c r="W22" s="378"/>
      <c r="X22" s="377"/>
      <c r="Y22" s="322"/>
      <c r="Z22" s="322"/>
      <c r="AA22" s="322"/>
      <c r="AB22" s="322"/>
      <c r="AC22" s="322"/>
      <c r="AD22" s="322"/>
      <c r="AE22" s="377"/>
      <c r="AF22" s="374">
        <f t="shared" si="8"/>
        <v>-1890.17</v>
      </c>
    </row>
    <row r="23" spans="1:32" ht="14" x14ac:dyDescent="0.3">
      <c r="A23" s="151">
        <f>IF(C23&lt;&gt;"",COUNTA($C$12:C23),"")</f>
        <v>12</v>
      </c>
      <c r="B23" s="151"/>
      <c r="C23" s="409">
        <f>+'Bill_Bos G2 p1'!C23</f>
        <v>40</v>
      </c>
      <c r="D23" s="409">
        <f t="shared" si="9"/>
        <v>12000</v>
      </c>
      <c r="E23" s="372">
        <f t="shared" si="0"/>
        <v>995.78</v>
      </c>
      <c r="F23" s="372">
        <f t="shared" si="1"/>
        <v>1368.36</v>
      </c>
      <c r="G23" s="372">
        <f t="shared" si="2"/>
        <v>2364.14</v>
      </c>
      <c r="H23" s="373"/>
      <c r="I23" s="372">
        <f t="shared" si="3"/>
        <v>984.6</v>
      </c>
      <c r="J23" s="372">
        <f t="shared" si="4"/>
        <v>1582.2</v>
      </c>
      <c r="K23" s="372">
        <f t="shared" si="5"/>
        <v>2566.8000000000002</v>
      </c>
      <c r="L23" s="374"/>
      <c r="M23" s="375">
        <f t="shared" si="6"/>
        <v>202.66000000000031</v>
      </c>
      <c r="N23" s="376">
        <f t="shared" si="7"/>
        <v>8.5722503743433265E-2</v>
      </c>
      <c r="O23" s="377"/>
      <c r="P23" s="322"/>
      <c r="Q23" s="322"/>
      <c r="R23" s="322"/>
      <c r="S23" s="322"/>
      <c r="T23" s="322"/>
      <c r="U23" s="322"/>
      <c r="V23" s="377"/>
      <c r="W23" s="378"/>
      <c r="X23" s="377"/>
      <c r="Y23" s="322"/>
      <c r="Z23" s="322"/>
      <c r="AA23" s="322"/>
      <c r="AB23" s="322"/>
      <c r="AC23" s="322"/>
      <c r="AD23" s="322"/>
      <c r="AE23" s="377"/>
      <c r="AF23" s="374">
        <f t="shared" si="8"/>
        <v>-2566.8000000000002</v>
      </c>
    </row>
    <row r="24" spans="1:32" ht="14" x14ac:dyDescent="0.3">
      <c r="A24" s="151">
        <f>IF(C24&lt;&gt;"",COUNTA($C$12:C24),"")</f>
        <v>13</v>
      </c>
      <c r="B24" s="151"/>
      <c r="C24" s="409">
        <f>+'Bill_Bos G2 p1'!C24</f>
        <v>70</v>
      </c>
      <c r="D24" s="409">
        <f t="shared" si="9"/>
        <v>21000</v>
      </c>
      <c r="E24" s="372">
        <f t="shared" si="0"/>
        <v>1854.22</v>
      </c>
      <c r="F24" s="372">
        <f t="shared" si="1"/>
        <v>2394.63</v>
      </c>
      <c r="G24" s="372">
        <f t="shared" si="2"/>
        <v>4248.8500000000004</v>
      </c>
      <c r="H24" s="373"/>
      <c r="I24" s="372">
        <f t="shared" si="3"/>
        <v>1827.8600000000001</v>
      </c>
      <c r="J24" s="372">
        <f t="shared" si="4"/>
        <v>2768.85</v>
      </c>
      <c r="K24" s="372">
        <f t="shared" si="5"/>
        <v>4596.71</v>
      </c>
      <c r="L24" s="374"/>
      <c r="M24" s="375">
        <f t="shared" si="6"/>
        <v>347.85999999999967</v>
      </c>
      <c r="N24" s="376">
        <f t="shared" si="7"/>
        <v>8.1871565247066763E-2</v>
      </c>
      <c r="O24" s="377"/>
      <c r="P24" s="322"/>
      <c r="Q24" s="322"/>
      <c r="R24" s="322"/>
      <c r="S24" s="322"/>
      <c r="T24" s="322"/>
      <c r="U24" s="322"/>
      <c r="V24" s="377"/>
      <c r="W24" s="378"/>
      <c r="X24" s="377"/>
      <c r="Y24" s="322"/>
      <c r="Z24" s="322"/>
      <c r="AA24" s="322"/>
      <c r="AB24" s="322"/>
      <c r="AC24" s="322"/>
      <c r="AD24" s="322"/>
      <c r="AE24" s="377"/>
      <c r="AF24" s="374">
        <f t="shared" si="8"/>
        <v>-4596.71</v>
      </c>
    </row>
    <row r="25" spans="1:32" ht="14" x14ac:dyDescent="0.3">
      <c r="A25" s="151">
        <f>IF(C25&lt;&gt;"",COUNTA($C$12:C25),"")</f>
        <v>14</v>
      </c>
      <c r="B25" s="151" t="s">
        <v>554</v>
      </c>
      <c r="C25" s="366">
        <v>24</v>
      </c>
      <c r="D25" s="409">
        <f t="shared" si="9"/>
        <v>7200</v>
      </c>
      <c r="E25" s="372">
        <f t="shared" si="0"/>
        <v>537.95000000000005</v>
      </c>
      <c r="F25" s="372">
        <f t="shared" si="1"/>
        <v>821.02</v>
      </c>
      <c r="G25" s="372">
        <f t="shared" si="2"/>
        <v>1358.97</v>
      </c>
      <c r="H25" s="373"/>
      <c r="I25" s="372">
        <f t="shared" si="3"/>
        <v>534.86</v>
      </c>
      <c r="J25" s="372">
        <f t="shared" si="4"/>
        <v>949.32</v>
      </c>
      <c r="K25" s="372">
        <f t="shared" si="5"/>
        <v>1484.18</v>
      </c>
      <c r="L25" s="374"/>
      <c r="M25" s="375">
        <f t="shared" si="6"/>
        <v>125.21000000000004</v>
      </c>
      <c r="N25" s="376">
        <f t="shared" si="7"/>
        <v>9.2135955907783132E-2</v>
      </c>
      <c r="O25" s="377"/>
      <c r="P25" s="322"/>
      <c r="Q25" s="322"/>
      <c r="R25" s="322"/>
      <c r="S25" s="322"/>
      <c r="T25" s="322"/>
      <c r="U25" s="322"/>
      <c r="V25" s="377"/>
      <c r="W25" s="378"/>
      <c r="X25" s="377"/>
      <c r="Y25" s="322"/>
      <c r="Z25" s="322"/>
      <c r="AA25" s="322"/>
      <c r="AB25" s="322"/>
      <c r="AC25" s="322"/>
      <c r="AD25" s="322"/>
      <c r="AE25" s="377"/>
      <c r="AF25" s="374">
        <f t="shared" si="8"/>
        <v>-1484.18</v>
      </c>
    </row>
    <row r="26" spans="1:32" ht="14" x14ac:dyDescent="0.3">
      <c r="A26" s="151" t="str">
        <f>IF(C26&lt;&gt;"",COUNTA($C$12:C26),"")</f>
        <v/>
      </c>
      <c r="B26" s="151"/>
      <c r="C26" s="293"/>
      <c r="D26" s="409"/>
      <c r="E26" s="372"/>
      <c r="F26" s="372"/>
      <c r="G26" s="372"/>
      <c r="H26" s="373"/>
      <c r="I26" s="372"/>
      <c r="J26" s="374"/>
      <c r="K26" s="374"/>
      <c r="L26" s="374"/>
      <c r="M26" s="374"/>
      <c r="O26" s="415"/>
      <c r="P26" s="415"/>
      <c r="Q26" s="416"/>
      <c r="R26" s="369"/>
      <c r="S26" s="369"/>
      <c r="T26" s="369"/>
      <c r="U26" s="369"/>
      <c r="V26" s="369"/>
      <c r="W26" s="378"/>
      <c r="X26" s="415"/>
      <c r="Y26" s="415"/>
      <c r="Z26" s="416"/>
      <c r="AA26" s="369"/>
      <c r="AB26" s="369"/>
      <c r="AC26" s="322"/>
      <c r="AD26" s="322"/>
      <c r="AE26" s="369"/>
      <c r="AF26" s="369"/>
    </row>
    <row r="27" spans="1:32" ht="14" x14ac:dyDescent="0.3">
      <c r="A27" s="151">
        <f>IF(C27&lt;&gt;"",COUNTA($C$12:C27),"")</f>
        <v>15</v>
      </c>
      <c r="B27" s="151"/>
      <c r="C27" s="366" t="str">
        <f>+C13</f>
        <v>Monthly</v>
      </c>
      <c r="D27" s="366" t="str">
        <f>+D13</f>
        <v>Monthly</v>
      </c>
      <c r="E27" s="760" t="str">
        <f>+'Bill_Bos G1 nonDem'!D26</f>
        <v>Current Monthly Bill (Summer)</v>
      </c>
      <c r="F27" s="760"/>
      <c r="G27" s="760"/>
      <c r="H27" s="448"/>
      <c r="I27" s="760" t="str">
        <f>+'Bill_Bos G1 nonDem'!H26</f>
        <v>Proposed Monthly Bill (Summer)</v>
      </c>
      <c r="J27" s="760"/>
      <c r="K27" s="760"/>
      <c r="L27" s="374"/>
      <c r="M27" s="407" t="s">
        <v>550</v>
      </c>
      <c r="N27" s="440"/>
      <c r="O27" s="378"/>
      <c r="P27" s="369"/>
      <c r="Q27" s="369"/>
      <c r="R27" s="369"/>
      <c r="S27" s="369"/>
      <c r="T27" s="369"/>
      <c r="U27" s="369"/>
      <c r="V27" s="369"/>
      <c r="W27" s="369"/>
      <c r="X27" s="378"/>
      <c r="Y27" s="369"/>
      <c r="Z27" s="369"/>
      <c r="AA27" s="369"/>
      <c r="AB27" s="369"/>
      <c r="AC27" s="322"/>
      <c r="AD27" s="322"/>
      <c r="AE27" s="369"/>
      <c r="AF27" s="369"/>
    </row>
    <row r="28" spans="1:32" ht="14" x14ac:dyDescent="0.3">
      <c r="A28" s="151">
        <f>IF(C28&lt;&gt;"",COUNTA($C$12:C28),"")</f>
        <v>16</v>
      </c>
      <c r="B28" s="151"/>
      <c r="C28" s="370" t="s">
        <v>534</v>
      </c>
      <c r="D28" s="370" t="s">
        <v>551</v>
      </c>
      <c r="E28" s="442" t="s">
        <v>552</v>
      </c>
      <c r="F28" s="442" t="s">
        <v>553</v>
      </c>
      <c r="G28" s="442" t="s">
        <v>47</v>
      </c>
      <c r="H28" s="448"/>
      <c r="I28" s="442" t="s">
        <v>552</v>
      </c>
      <c r="J28" s="442" t="s">
        <v>553</v>
      </c>
      <c r="K28" s="442" t="s">
        <v>47</v>
      </c>
      <c r="L28" s="374"/>
      <c r="M28" s="442" t="s">
        <v>65</v>
      </c>
      <c r="N28" s="370" t="s">
        <v>325</v>
      </c>
      <c r="O28" s="378"/>
      <c r="P28" s="369"/>
      <c r="Q28" s="369"/>
      <c r="R28" s="369"/>
      <c r="S28" s="369"/>
      <c r="T28" s="369"/>
      <c r="U28" s="369"/>
      <c r="V28" s="369"/>
      <c r="W28" s="369"/>
      <c r="X28" s="378"/>
      <c r="Y28" s="369"/>
      <c r="Z28" s="369"/>
      <c r="AA28" s="369"/>
      <c r="AB28" s="369"/>
      <c r="AC28" s="322"/>
      <c r="AD28" s="322"/>
      <c r="AE28" s="369"/>
      <c r="AF28" s="369"/>
    </row>
    <row r="29" spans="1:32" ht="14" x14ac:dyDescent="0.3">
      <c r="A29" s="151">
        <f>IF(C29&lt;&gt;"",COUNTA($C$12:C29),"")</f>
        <v>17</v>
      </c>
      <c r="B29" s="151"/>
      <c r="C29" s="409">
        <f>+'Bill_Bos G2 p1'!C29</f>
        <v>8</v>
      </c>
      <c r="D29" s="409">
        <f>+C29*300</f>
        <v>2400</v>
      </c>
      <c r="E29" s="372">
        <f t="shared" ref="E29:E39" si="10">ROUND($G$44+IF($C29&lt;=10,0,($C29-10)*SUM($G$49,$G$50)),2)+ROUND(IF($D29&gt;(2000+150*$C29),($D29-(2000+150*$C29))*$G$56+150*$C29*$G$55+2000*$G$54,IF($D29&gt;2000,($D29-2000)*$G$55+2000*$G$54,$D29*$G$54)),2)+ROUND($D29*SUM($G$57:$G$71,$G$72:$G$74),2)</f>
        <v>135.06</v>
      </c>
      <c r="F29" s="372">
        <f t="shared" ref="F29:F39" si="11">ROUND($G$75*D29,2)</f>
        <v>273.67</v>
      </c>
      <c r="G29" s="372">
        <f t="shared" ref="G29:G39" si="12">SUM(E29:F29)</f>
        <v>408.73</v>
      </c>
      <c r="H29" s="373"/>
      <c r="I29" s="372">
        <f t="shared" ref="I29:I39" si="13">ROUND($I$44+IF($C29&lt;=10,0,($C29-10)*SUM($I$49,$I$50)),2)+ROUND(IF($D29&gt;(2000+150*$C29),($D29-(2000+150*$C29))*$I$56+150*$C29*$I$55+2000*$I$54,IF($D29&gt;2000,($D29-2000)*$I$55+2000*$I$54,$D29*$I$54)),2)+ROUND($D29*SUM($I$57:$I$71,$I$72:$I$74),2)</f>
        <v>138.97000000000003</v>
      </c>
      <c r="J29" s="372">
        <f t="shared" ref="J29:J39" si="14">ROUND(I$75*D29,2)</f>
        <v>316.44</v>
      </c>
      <c r="K29" s="372">
        <f t="shared" ref="K29:K39" si="15">SUM(I29:J29)</f>
        <v>455.41</v>
      </c>
      <c r="L29" s="374"/>
      <c r="M29" s="375">
        <f t="shared" ref="M29:M39" si="16">+K29-G29</f>
        <v>46.680000000000007</v>
      </c>
      <c r="N29" s="376">
        <f t="shared" ref="N29:N39" si="17">+M29/G29</f>
        <v>0.11420742299317399</v>
      </c>
      <c r="O29" s="377"/>
      <c r="P29" s="322"/>
      <c r="Q29" s="322"/>
      <c r="R29" s="322"/>
      <c r="S29" s="322"/>
      <c r="T29" s="322"/>
      <c r="U29" s="322"/>
      <c r="V29" s="377"/>
      <c r="W29" s="378"/>
      <c r="X29" s="377"/>
      <c r="Y29" s="322"/>
      <c r="Z29" s="322"/>
      <c r="AA29" s="322"/>
      <c r="AB29" s="322"/>
      <c r="AC29" s="322"/>
      <c r="AD29" s="322"/>
      <c r="AE29" s="377"/>
      <c r="AF29" s="374">
        <f t="shared" ref="AF29:AF39" si="18">+AE29-K29</f>
        <v>-455.41</v>
      </c>
    </row>
    <row r="30" spans="1:32" ht="14" x14ac:dyDescent="0.3">
      <c r="A30" s="151">
        <f>IF(C30&lt;&gt;"",COUNTA($C$12:C30),"")</f>
        <v>18</v>
      </c>
      <c r="B30" s="151"/>
      <c r="C30" s="409">
        <f>+'Bill_Bos G2 p1'!C30</f>
        <v>10</v>
      </c>
      <c r="D30" s="409">
        <f t="shared" ref="D30:D39" si="19">+C30*300</f>
        <v>3000</v>
      </c>
      <c r="E30" s="372">
        <f t="shared" si="10"/>
        <v>157.76999999999998</v>
      </c>
      <c r="F30" s="372">
        <f t="shared" si="11"/>
        <v>342.09</v>
      </c>
      <c r="G30" s="372">
        <f t="shared" si="12"/>
        <v>499.85999999999996</v>
      </c>
      <c r="H30" s="373"/>
      <c r="I30" s="372">
        <f t="shared" si="13"/>
        <v>162.44</v>
      </c>
      <c r="J30" s="372">
        <f t="shared" si="14"/>
        <v>395.55</v>
      </c>
      <c r="K30" s="372">
        <f t="shared" si="15"/>
        <v>557.99</v>
      </c>
      <c r="L30" s="374"/>
      <c r="M30" s="375">
        <f t="shared" si="16"/>
        <v>58.130000000000052</v>
      </c>
      <c r="N30" s="376">
        <f t="shared" si="17"/>
        <v>0.11629256191733697</v>
      </c>
      <c r="O30" s="377"/>
      <c r="P30" s="322"/>
      <c r="Q30" s="322"/>
      <c r="R30" s="322"/>
      <c r="S30" s="322"/>
      <c r="T30" s="322"/>
      <c r="U30" s="322"/>
      <c r="V30" s="377"/>
      <c r="W30" s="378"/>
      <c r="X30" s="377"/>
      <c r="Y30" s="322"/>
      <c r="Z30" s="322"/>
      <c r="AA30" s="322"/>
      <c r="AB30" s="322"/>
      <c r="AC30" s="322"/>
      <c r="AD30" s="322"/>
      <c r="AE30" s="377"/>
      <c r="AF30" s="374">
        <f t="shared" si="18"/>
        <v>-557.99</v>
      </c>
    </row>
    <row r="31" spans="1:32" ht="14" x14ac:dyDescent="0.3">
      <c r="A31" s="151">
        <f>IF(C31&lt;&gt;"",COUNTA($C$12:C31),"")</f>
        <v>19</v>
      </c>
      <c r="B31" s="151"/>
      <c r="C31" s="409">
        <f>+'Bill_Bos G2 p1'!C31</f>
        <v>12</v>
      </c>
      <c r="D31" s="409">
        <f t="shared" si="19"/>
        <v>3600</v>
      </c>
      <c r="E31" s="372">
        <f t="shared" si="10"/>
        <v>267.32</v>
      </c>
      <c r="F31" s="372">
        <f t="shared" si="11"/>
        <v>410.51</v>
      </c>
      <c r="G31" s="372">
        <f t="shared" si="12"/>
        <v>677.82999999999993</v>
      </c>
      <c r="H31" s="373"/>
      <c r="I31" s="372">
        <f t="shared" si="13"/>
        <v>267.25</v>
      </c>
      <c r="J31" s="372">
        <f t="shared" si="14"/>
        <v>474.66</v>
      </c>
      <c r="K31" s="372">
        <f t="shared" si="15"/>
        <v>741.91000000000008</v>
      </c>
      <c r="L31" s="374"/>
      <c r="M31" s="375">
        <f t="shared" si="16"/>
        <v>64.080000000000155</v>
      </c>
      <c r="N31" s="376">
        <f t="shared" si="17"/>
        <v>9.4536978298393637E-2</v>
      </c>
      <c r="O31" s="377"/>
      <c r="P31" s="322"/>
      <c r="Q31" s="322"/>
      <c r="R31" s="322"/>
      <c r="S31" s="322"/>
      <c r="T31" s="322"/>
      <c r="U31" s="322"/>
      <c r="V31" s="377"/>
      <c r="W31" s="378"/>
      <c r="X31" s="377"/>
      <c r="Y31" s="322"/>
      <c r="Z31" s="322"/>
      <c r="AA31" s="322"/>
      <c r="AB31" s="322"/>
      <c r="AC31" s="322"/>
      <c r="AD31" s="322"/>
      <c r="AE31" s="377"/>
      <c r="AF31" s="374">
        <f t="shared" si="18"/>
        <v>-741.91000000000008</v>
      </c>
    </row>
    <row r="32" spans="1:32" ht="14" x14ac:dyDescent="0.3">
      <c r="A32" s="151">
        <f>IF(C32&lt;&gt;"",COUNTA($C$12:C32),"")</f>
        <v>20</v>
      </c>
      <c r="B32" s="151"/>
      <c r="C32" s="409">
        <f>+'Bill_Bos G2 p1'!C32</f>
        <v>14</v>
      </c>
      <c r="D32" s="409">
        <f t="shared" si="19"/>
        <v>4200</v>
      </c>
      <c r="E32" s="372">
        <f t="shared" si="10"/>
        <v>376.56</v>
      </c>
      <c r="F32" s="372">
        <f t="shared" si="11"/>
        <v>478.93</v>
      </c>
      <c r="G32" s="372">
        <f t="shared" si="12"/>
        <v>855.49</v>
      </c>
      <c r="H32" s="373"/>
      <c r="I32" s="372">
        <f t="shared" si="13"/>
        <v>371.75</v>
      </c>
      <c r="J32" s="372">
        <f t="shared" si="14"/>
        <v>553.77</v>
      </c>
      <c r="K32" s="372">
        <f t="shared" si="15"/>
        <v>925.52</v>
      </c>
      <c r="L32" s="374"/>
      <c r="M32" s="375">
        <f t="shared" si="16"/>
        <v>70.029999999999973</v>
      </c>
      <c r="N32" s="376">
        <f t="shared" si="17"/>
        <v>8.1859519106009387E-2</v>
      </c>
      <c r="O32" s="377"/>
      <c r="P32" s="322"/>
      <c r="Q32" s="322"/>
      <c r="R32" s="322"/>
      <c r="S32" s="322"/>
      <c r="T32" s="322"/>
      <c r="U32" s="322"/>
      <c r="V32" s="377"/>
      <c r="W32" s="378"/>
      <c r="X32" s="377"/>
      <c r="Y32" s="322"/>
      <c r="Z32" s="322"/>
      <c r="AA32" s="322"/>
      <c r="AB32" s="322"/>
      <c r="AC32" s="322"/>
      <c r="AD32" s="322"/>
      <c r="AE32" s="377"/>
      <c r="AF32" s="374">
        <f t="shared" si="18"/>
        <v>-925.52</v>
      </c>
    </row>
    <row r="33" spans="1:32" ht="14" x14ac:dyDescent="0.3">
      <c r="A33" s="151">
        <f>IF(C33&lt;&gt;"",COUNTA($C$12:C33),"")</f>
        <v>21</v>
      </c>
      <c r="B33" s="151"/>
      <c r="C33" s="409">
        <f>+'Bill_Bos G2 p1'!C33</f>
        <v>16</v>
      </c>
      <c r="D33" s="409">
        <f t="shared" si="19"/>
        <v>4800</v>
      </c>
      <c r="E33" s="372">
        <f t="shared" si="10"/>
        <v>485.19</v>
      </c>
      <c r="F33" s="372">
        <f t="shared" si="11"/>
        <v>547.34</v>
      </c>
      <c r="G33" s="372">
        <f t="shared" si="12"/>
        <v>1032.53</v>
      </c>
      <c r="H33" s="373"/>
      <c r="I33" s="372">
        <f t="shared" si="13"/>
        <v>475.6</v>
      </c>
      <c r="J33" s="372">
        <f t="shared" si="14"/>
        <v>632.88</v>
      </c>
      <c r="K33" s="372">
        <f t="shared" si="15"/>
        <v>1108.48</v>
      </c>
      <c r="L33" s="374"/>
      <c r="M33" s="375">
        <f t="shared" si="16"/>
        <v>75.950000000000045</v>
      </c>
      <c r="N33" s="376">
        <f t="shared" si="17"/>
        <v>7.3557184779134796E-2</v>
      </c>
      <c r="O33" s="377"/>
      <c r="P33" s="322"/>
      <c r="Q33" s="322"/>
      <c r="R33" s="322"/>
      <c r="S33" s="322"/>
      <c r="T33" s="322"/>
      <c r="U33" s="322"/>
      <c r="V33" s="377"/>
      <c r="W33" s="378"/>
      <c r="X33" s="377"/>
      <c r="Y33" s="322"/>
      <c r="Z33" s="322"/>
      <c r="AA33" s="322"/>
      <c r="AB33" s="322"/>
      <c r="AC33" s="322"/>
      <c r="AD33" s="322"/>
      <c r="AE33" s="377"/>
      <c r="AF33" s="374">
        <f t="shared" si="18"/>
        <v>-1108.48</v>
      </c>
    </row>
    <row r="34" spans="1:32" ht="14" x14ac:dyDescent="0.3">
      <c r="A34" s="151">
        <f>IF(C34&lt;&gt;"",COUNTA($C$12:C34),"")</f>
        <v>22</v>
      </c>
      <c r="B34" s="151"/>
      <c r="C34" s="409">
        <f>+'Bill_Bos G2 p1'!C34</f>
        <v>20</v>
      </c>
      <c r="D34" s="409">
        <f t="shared" si="19"/>
        <v>6000</v>
      </c>
      <c r="E34" s="372">
        <f t="shared" si="10"/>
        <v>702.45</v>
      </c>
      <c r="F34" s="372">
        <f t="shared" si="11"/>
        <v>684.18</v>
      </c>
      <c r="G34" s="372">
        <f t="shared" si="12"/>
        <v>1386.63</v>
      </c>
      <c r="H34" s="373"/>
      <c r="I34" s="372">
        <f t="shared" si="13"/>
        <v>683.31999999999994</v>
      </c>
      <c r="J34" s="372">
        <f t="shared" si="14"/>
        <v>791.1</v>
      </c>
      <c r="K34" s="372">
        <f t="shared" si="15"/>
        <v>1474.42</v>
      </c>
      <c r="L34" s="374"/>
      <c r="M34" s="375">
        <f t="shared" si="16"/>
        <v>87.789999999999964</v>
      </c>
      <c r="N34" s="376">
        <f t="shared" si="17"/>
        <v>6.3311770263155973E-2</v>
      </c>
      <c r="O34" s="377"/>
      <c r="P34" s="322"/>
      <c r="Q34" s="322"/>
      <c r="R34" s="322"/>
      <c r="S34" s="322"/>
      <c r="T34" s="322"/>
      <c r="U34" s="322"/>
      <c r="V34" s="377"/>
      <c r="W34" s="378"/>
      <c r="X34" s="377"/>
      <c r="Y34" s="322"/>
      <c r="Z34" s="322"/>
      <c r="AA34" s="322"/>
      <c r="AB34" s="322"/>
      <c r="AC34" s="322"/>
      <c r="AD34" s="322"/>
      <c r="AE34" s="377"/>
      <c r="AF34" s="374">
        <f t="shared" si="18"/>
        <v>-1474.42</v>
      </c>
    </row>
    <row r="35" spans="1:32" ht="14" x14ac:dyDescent="0.3">
      <c r="A35" s="151">
        <f>IF(C35&lt;&gt;"",COUNTA($C$12:C35),"")</f>
        <v>23</v>
      </c>
      <c r="B35" s="151"/>
      <c r="C35" s="409">
        <f>+'Bill_Bos G2 p1'!C35</f>
        <v>24</v>
      </c>
      <c r="D35" s="409">
        <f t="shared" si="19"/>
        <v>7200</v>
      </c>
      <c r="E35" s="372">
        <f t="shared" si="10"/>
        <v>919.71</v>
      </c>
      <c r="F35" s="372">
        <f t="shared" si="11"/>
        <v>821.02</v>
      </c>
      <c r="G35" s="372">
        <f t="shared" si="12"/>
        <v>1740.73</v>
      </c>
      <c r="H35" s="373"/>
      <c r="I35" s="372">
        <f t="shared" si="13"/>
        <v>891.04000000000008</v>
      </c>
      <c r="J35" s="372">
        <f t="shared" si="14"/>
        <v>949.32</v>
      </c>
      <c r="K35" s="372">
        <f t="shared" si="15"/>
        <v>1840.3600000000001</v>
      </c>
      <c r="L35" s="374"/>
      <c r="M35" s="375">
        <f t="shared" si="16"/>
        <v>99.630000000000109</v>
      </c>
      <c r="N35" s="376">
        <f t="shared" si="17"/>
        <v>5.7234608468860824E-2</v>
      </c>
      <c r="O35" s="377"/>
      <c r="P35" s="322"/>
      <c r="Q35" s="322"/>
      <c r="R35" s="322"/>
      <c r="S35" s="322"/>
      <c r="T35" s="322"/>
      <c r="U35" s="322"/>
      <c r="V35" s="377"/>
      <c r="W35" s="378"/>
      <c r="X35" s="377"/>
      <c r="Y35" s="322"/>
      <c r="Z35" s="322"/>
      <c r="AA35" s="322"/>
      <c r="AB35" s="322"/>
      <c r="AC35" s="322"/>
      <c r="AD35" s="322"/>
      <c r="AE35" s="377"/>
      <c r="AF35" s="374">
        <f t="shared" si="18"/>
        <v>-1840.3600000000001</v>
      </c>
    </row>
    <row r="36" spans="1:32" ht="14" x14ac:dyDescent="0.3">
      <c r="A36" s="151">
        <f>IF(C36&lt;&gt;"",COUNTA($C$12:C36),"")</f>
        <v>24</v>
      </c>
      <c r="B36" s="151"/>
      <c r="C36" s="409">
        <f>+'Bill_Bos G2 p1'!C36</f>
        <v>30</v>
      </c>
      <c r="D36" s="409">
        <f t="shared" si="19"/>
        <v>9000</v>
      </c>
      <c r="E36" s="372">
        <f t="shared" si="10"/>
        <v>1245.5999999999999</v>
      </c>
      <c r="F36" s="372">
        <f t="shared" si="11"/>
        <v>1026.27</v>
      </c>
      <c r="G36" s="372">
        <f t="shared" si="12"/>
        <v>2271.87</v>
      </c>
      <c r="H36" s="373"/>
      <c r="I36" s="372">
        <f t="shared" si="13"/>
        <v>1202.6100000000001</v>
      </c>
      <c r="J36" s="372">
        <f t="shared" si="14"/>
        <v>1186.6500000000001</v>
      </c>
      <c r="K36" s="372">
        <f t="shared" si="15"/>
        <v>2389.2600000000002</v>
      </c>
      <c r="L36" s="374"/>
      <c r="M36" s="375">
        <f t="shared" si="16"/>
        <v>117.39000000000033</v>
      </c>
      <c r="N36" s="376">
        <f t="shared" si="17"/>
        <v>5.167109033527461E-2</v>
      </c>
      <c r="O36" s="377"/>
      <c r="P36" s="322"/>
      <c r="Q36" s="322"/>
      <c r="R36" s="322"/>
      <c r="S36" s="322"/>
      <c r="T36" s="322"/>
      <c r="U36" s="322"/>
      <c r="V36" s="377"/>
      <c r="W36" s="378"/>
      <c r="X36" s="377"/>
      <c r="Y36" s="322"/>
      <c r="Z36" s="322"/>
      <c r="AA36" s="322"/>
      <c r="AB36" s="322"/>
      <c r="AC36" s="322"/>
      <c r="AD36" s="322"/>
      <c r="AE36" s="377"/>
      <c r="AF36" s="374">
        <f t="shared" si="18"/>
        <v>-2389.2600000000002</v>
      </c>
    </row>
    <row r="37" spans="1:32" ht="14" x14ac:dyDescent="0.3">
      <c r="A37" s="151">
        <f>IF(C37&lt;&gt;"",COUNTA($C$12:C37),"")</f>
        <v>25</v>
      </c>
      <c r="B37" s="151"/>
      <c r="C37" s="409">
        <f>+'Bill_Bos G2 p1'!C37</f>
        <v>40</v>
      </c>
      <c r="D37" s="409">
        <f t="shared" si="19"/>
        <v>12000</v>
      </c>
      <c r="E37" s="372">
        <f t="shared" si="10"/>
        <v>1788.7399999999998</v>
      </c>
      <c r="F37" s="372">
        <f t="shared" si="11"/>
        <v>1368.36</v>
      </c>
      <c r="G37" s="372">
        <f t="shared" si="12"/>
        <v>3157.0999999999995</v>
      </c>
      <c r="H37" s="373"/>
      <c r="I37" s="372">
        <f t="shared" si="13"/>
        <v>1721.8999999999999</v>
      </c>
      <c r="J37" s="372">
        <f t="shared" si="14"/>
        <v>1582.2</v>
      </c>
      <c r="K37" s="372">
        <f t="shared" si="15"/>
        <v>3304.1</v>
      </c>
      <c r="L37" s="374"/>
      <c r="M37" s="375">
        <f t="shared" si="16"/>
        <v>147.00000000000045</v>
      </c>
      <c r="N37" s="376">
        <f t="shared" si="17"/>
        <v>4.6561718032371635E-2</v>
      </c>
      <c r="O37" s="377"/>
      <c r="P37" s="322"/>
      <c r="Q37" s="322"/>
      <c r="R37" s="322"/>
      <c r="S37" s="322"/>
      <c r="T37" s="322"/>
      <c r="U37" s="322"/>
      <c r="V37" s="377"/>
      <c r="W37" s="378"/>
      <c r="X37" s="377"/>
      <c r="Y37" s="322"/>
      <c r="Z37" s="322"/>
      <c r="AA37" s="322"/>
      <c r="AB37" s="322"/>
      <c r="AC37" s="322"/>
      <c r="AD37" s="322"/>
      <c r="AE37" s="377"/>
      <c r="AF37" s="374">
        <f t="shared" si="18"/>
        <v>-3304.1</v>
      </c>
    </row>
    <row r="38" spans="1:32" ht="14" x14ac:dyDescent="0.3">
      <c r="A38" s="151">
        <f>IF(C38&lt;&gt;"",COUNTA($C$12:C38),"")</f>
        <v>26</v>
      </c>
      <c r="B38" s="151"/>
      <c r="C38" s="409">
        <f>+'Bill_Bos G2 p1'!C38</f>
        <v>70</v>
      </c>
      <c r="D38" s="409">
        <f t="shared" si="19"/>
        <v>21000</v>
      </c>
      <c r="E38" s="372">
        <f t="shared" si="10"/>
        <v>3418.18</v>
      </c>
      <c r="F38" s="372">
        <f t="shared" si="11"/>
        <v>2394.63</v>
      </c>
      <c r="G38" s="372">
        <f t="shared" si="12"/>
        <v>5812.8099999999995</v>
      </c>
      <c r="H38" s="373"/>
      <c r="I38" s="372">
        <f t="shared" si="13"/>
        <v>3279.77</v>
      </c>
      <c r="J38" s="372">
        <f t="shared" si="14"/>
        <v>2768.85</v>
      </c>
      <c r="K38" s="372">
        <f t="shared" si="15"/>
        <v>6048.62</v>
      </c>
      <c r="L38" s="374"/>
      <c r="M38" s="375">
        <f t="shared" si="16"/>
        <v>235.8100000000004</v>
      </c>
      <c r="N38" s="376">
        <f t="shared" si="17"/>
        <v>4.0567298776323403E-2</v>
      </c>
      <c r="O38" s="377"/>
      <c r="P38" s="322"/>
      <c r="Q38" s="322"/>
      <c r="R38" s="322"/>
      <c r="S38" s="322"/>
      <c r="T38" s="322"/>
      <c r="U38" s="322"/>
      <c r="V38" s="377"/>
      <c r="W38" s="378"/>
      <c r="X38" s="377"/>
      <c r="Y38" s="322"/>
      <c r="Z38" s="322"/>
      <c r="AA38" s="322"/>
      <c r="AB38" s="322"/>
      <c r="AC38" s="322"/>
      <c r="AD38" s="322"/>
      <c r="AE38" s="377"/>
      <c r="AF38" s="374">
        <f t="shared" si="18"/>
        <v>-6048.62</v>
      </c>
    </row>
    <row r="39" spans="1:32" ht="14" x14ac:dyDescent="0.3">
      <c r="A39" s="151">
        <f>IF(C39&lt;&gt;"",COUNTA($C$12:C39),"")</f>
        <v>27</v>
      </c>
      <c r="B39" s="151" t="s">
        <v>554</v>
      </c>
      <c r="C39" s="409">
        <v>26</v>
      </c>
      <c r="D39" s="409">
        <f t="shared" si="19"/>
        <v>7800</v>
      </c>
      <c r="E39" s="372">
        <f t="shared" si="10"/>
        <v>1028.3399999999999</v>
      </c>
      <c r="F39" s="372">
        <f t="shared" si="11"/>
        <v>889.43</v>
      </c>
      <c r="G39" s="372">
        <f t="shared" si="12"/>
        <v>1917.77</v>
      </c>
      <c r="H39" s="373"/>
      <c r="I39" s="372">
        <f t="shared" si="13"/>
        <v>994.89</v>
      </c>
      <c r="J39" s="372">
        <f t="shared" si="14"/>
        <v>1028.43</v>
      </c>
      <c r="K39" s="372">
        <f t="shared" si="15"/>
        <v>2023.3200000000002</v>
      </c>
      <c r="L39" s="374"/>
      <c r="M39" s="375">
        <f t="shared" si="16"/>
        <v>105.55000000000018</v>
      </c>
      <c r="N39" s="376">
        <f t="shared" si="17"/>
        <v>5.5037882540659298E-2</v>
      </c>
      <c r="O39" s="377"/>
      <c r="P39" s="322"/>
      <c r="Q39" s="322"/>
      <c r="R39" s="322"/>
      <c r="S39" s="322"/>
      <c r="T39" s="322"/>
      <c r="U39" s="322"/>
      <c r="V39" s="377"/>
      <c r="W39" s="378"/>
      <c r="X39" s="377"/>
      <c r="Y39" s="322"/>
      <c r="Z39" s="322"/>
      <c r="AA39" s="322"/>
      <c r="AB39" s="322"/>
      <c r="AC39" s="322"/>
      <c r="AD39" s="322"/>
      <c r="AE39" s="377"/>
      <c r="AF39" s="374">
        <f t="shared" si="18"/>
        <v>-2023.3200000000002</v>
      </c>
    </row>
    <row r="40" spans="1:32" ht="14" x14ac:dyDescent="0.3">
      <c r="A40" s="151" t="str">
        <f>IF(C40&lt;&gt;"",COUNTA($C$12:C40),"")</f>
        <v/>
      </c>
      <c r="B40" s="151"/>
      <c r="D40" s="449"/>
      <c r="E40" s="372"/>
      <c r="F40" s="372"/>
      <c r="G40" s="450"/>
      <c r="H40" s="451"/>
    </row>
    <row r="41" spans="1:32" ht="14" x14ac:dyDescent="0.3">
      <c r="A41" s="151" t="str">
        <f>IF(C41&lt;&gt;"",COUNTA($C$12:C41),"")</f>
        <v/>
      </c>
      <c r="B41" s="151"/>
      <c r="D41" s="449"/>
      <c r="E41" s="372"/>
      <c r="F41" s="452"/>
      <c r="G41" s="453"/>
      <c r="H41" s="451"/>
    </row>
    <row r="42" spans="1:32" ht="14" x14ac:dyDescent="0.3">
      <c r="A42" s="151">
        <f>IF(C42&lt;&gt;"",COUNTA($C$12:C42),"")</f>
        <v>28</v>
      </c>
      <c r="B42" s="151"/>
      <c r="C42" s="293" t="s">
        <v>46</v>
      </c>
      <c r="D42" s="293"/>
      <c r="E42" s="293"/>
      <c r="G42" s="395" t="str">
        <f>+'Bill_Bos G1 Dmd p1'!G42</f>
        <v>Current</v>
      </c>
      <c r="I42" s="395" t="str">
        <f>+'Bill_Bos G1 Dmd p1'!I42</f>
        <v>Proposed</v>
      </c>
      <c r="J42" s="420"/>
    </row>
    <row r="43" spans="1:32" ht="17" x14ac:dyDescent="0.6">
      <c r="A43" s="151">
        <f>IF(C43&lt;&gt;"",COUNTA($C$12:C43),"")</f>
        <v>29</v>
      </c>
      <c r="B43" s="151"/>
      <c r="C43" s="274" t="s">
        <v>46</v>
      </c>
      <c r="D43" s="274"/>
      <c r="E43" s="293"/>
      <c r="G43" s="396" t="str">
        <f>+'Bill_Bos G1 Dmd p1'!G43</f>
        <v>Rates</v>
      </c>
      <c r="I43" s="396" t="str">
        <f>+'Bill_Bos G1 Dmd p1'!I43</f>
        <v>Rates</v>
      </c>
      <c r="J43" s="396" t="str">
        <f>+'Bill_Bos G1 Dmd p1'!J43</f>
        <v>Change</v>
      </c>
    </row>
    <row r="44" spans="1:32" ht="14" x14ac:dyDescent="0.3">
      <c r="A44" s="151">
        <f>IF(C44&lt;&gt;"",COUNTA($C$12:C44),"")</f>
        <v>30</v>
      </c>
      <c r="B44" s="151"/>
      <c r="C44" s="293" t="str">
        <f>'Bill_Bos G2 p1'!C44</f>
        <v>Customer Charge</v>
      </c>
      <c r="D44" s="293"/>
      <c r="E44" s="274"/>
      <c r="G44" s="397">
        <v>18</v>
      </c>
      <c r="H44" s="397"/>
      <c r="I44" s="397">
        <f>+G44</f>
        <v>18</v>
      </c>
      <c r="J44" s="421">
        <f>I44-G44</f>
        <v>0</v>
      </c>
    </row>
    <row r="45" spans="1:32" ht="14" x14ac:dyDescent="0.3">
      <c r="A45" s="151">
        <f>IF(C45&lt;&gt;"",COUNTA($C$12:C45),"")</f>
        <v>31</v>
      </c>
      <c r="B45" s="151"/>
      <c r="C45" s="293" t="str">
        <f>'Bill_Bos G2 p1'!C45</f>
        <v>Distribution Demand &lt;=10 kW - Winter</v>
      </c>
      <c r="D45" s="293"/>
      <c r="E45" s="274"/>
      <c r="G45" s="397">
        <v>0</v>
      </c>
      <c r="H45" s="397"/>
      <c r="I45" s="397">
        <f>-G45</f>
        <v>0</v>
      </c>
      <c r="J45" s="421">
        <f t="shared" ref="J45:J75" si="20">I45-G45</f>
        <v>0</v>
      </c>
    </row>
    <row r="46" spans="1:32" ht="14" x14ac:dyDescent="0.3">
      <c r="A46" s="151">
        <f>IF(C46&lt;&gt;"",COUNTA($C$12:C46),"")</f>
        <v>32</v>
      </c>
      <c r="B46" s="151"/>
      <c r="C46" s="293" t="str">
        <f>'Bill_Bos G2 p1'!C46</f>
        <v>Distribution Demand &gt;10 kW - Winter</v>
      </c>
      <c r="D46" s="293"/>
      <c r="E46" s="274"/>
      <c r="G46" s="397">
        <v>9.32</v>
      </c>
      <c r="H46" s="397"/>
      <c r="I46" s="397">
        <v>9.65</v>
      </c>
      <c r="J46" s="421">
        <f t="shared" si="20"/>
        <v>0.33000000000000007</v>
      </c>
    </row>
    <row r="47" spans="1:32" ht="14" x14ac:dyDescent="0.3">
      <c r="A47" s="151">
        <f>IF(C47&lt;&gt;"",COUNTA($C$12:C47),"")</f>
        <v>33</v>
      </c>
      <c r="B47" s="151"/>
      <c r="C47" s="293" t="str">
        <f>'Bill_Bos G2 p1'!C47</f>
        <v>Transmission Demand &gt;10 kW - Winter</v>
      </c>
      <c r="D47" s="293"/>
      <c r="E47" s="274"/>
      <c r="G47" s="397">
        <v>8.73</v>
      </c>
      <c r="H47" s="397"/>
      <c r="I47" s="397">
        <v>7.54</v>
      </c>
      <c r="J47" s="421">
        <f>I47-G47</f>
        <v>-1.1900000000000004</v>
      </c>
    </row>
    <row r="48" spans="1:32" ht="14" x14ac:dyDescent="0.3">
      <c r="A48" s="151">
        <f>IF(C48&lt;&gt;"",COUNTA($C$12:C48),"")</f>
        <v>34</v>
      </c>
      <c r="B48" s="151"/>
      <c r="C48" s="293" t="str">
        <f>'Bill_Bos G2 p1'!C48</f>
        <v>Distribution Demand &lt;=10 kW - Summer</v>
      </c>
      <c r="D48" s="293"/>
      <c r="E48" s="274"/>
      <c r="G48" s="397">
        <v>0</v>
      </c>
      <c r="H48" s="397"/>
      <c r="I48" s="399">
        <f>+G48</f>
        <v>0</v>
      </c>
      <c r="J48" s="421">
        <f t="shared" si="20"/>
        <v>0</v>
      </c>
    </row>
    <row r="49" spans="1:10" ht="14" x14ac:dyDescent="0.3">
      <c r="A49" s="151">
        <f>IF(C49&lt;&gt;"",COUNTA($C$12:C49),"")</f>
        <v>35</v>
      </c>
      <c r="B49" s="151"/>
      <c r="C49" s="293" t="str">
        <f>'Bill_Bos G2 p1'!C49</f>
        <v>Distribution Demand &gt;10 kW - Summer</v>
      </c>
      <c r="D49" s="293"/>
      <c r="E49" s="274"/>
      <c r="G49" s="397">
        <v>19.989999999999998</v>
      </c>
      <c r="H49" s="397"/>
      <c r="I49" s="397">
        <v>20.68</v>
      </c>
      <c r="J49" s="421">
        <f t="shared" si="20"/>
        <v>0.69000000000000128</v>
      </c>
    </row>
    <row r="50" spans="1:10" ht="14" x14ac:dyDescent="0.3">
      <c r="A50" s="151">
        <f>IF(C50&lt;&gt;"",COUNTA($C$12:C50),"")</f>
        <v>36</v>
      </c>
      <c r="B50" s="151"/>
      <c r="C50" s="293" t="str">
        <f>'Bill_Bos G2 p1'!C50</f>
        <v>Transmission Demand &gt;10 kW - Summer</v>
      </c>
      <c r="D50" s="293"/>
      <c r="E50" s="274"/>
      <c r="G50" s="397">
        <v>23.43</v>
      </c>
      <c r="H50" s="397"/>
      <c r="I50" s="397">
        <v>19.989999999999998</v>
      </c>
      <c r="J50" s="421">
        <f>I50-G50</f>
        <v>-3.4400000000000013</v>
      </c>
    </row>
    <row r="51" spans="1:10" ht="14" x14ac:dyDescent="0.3">
      <c r="A51" s="151">
        <f>IF(C51&lt;&gt;"",COUNTA($C$12:C51),"")</f>
        <v>37</v>
      </c>
      <c r="B51" s="151"/>
      <c r="C51" s="293" t="str">
        <f>'Bill_Bos G2 p1'!C51</f>
        <v>Distribution Energy - 1st 2000 kWh - Winter</v>
      </c>
      <c r="D51" s="293"/>
      <c r="E51" s="274"/>
      <c r="G51" s="308">
        <v>1.7639999999999999E-2</v>
      </c>
      <c r="H51" s="308"/>
      <c r="I51" s="401">
        <v>1.8270000000000002E-2</v>
      </c>
      <c r="J51" s="354">
        <f t="shared" si="20"/>
        <v>6.3000000000000209E-4</v>
      </c>
    </row>
    <row r="52" spans="1:10" ht="14" x14ac:dyDescent="0.3">
      <c r="A52" s="151">
        <f>IF(C52&lt;&gt;"",COUNTA($C$12:C52),"")</f>
        <v>38</v>
      </c>
      <c r="B52" s="151"/>
      <c r="C52" s="293" t="str">
        <f>'Bill_Bos G2 p1'!C52</f>
        <v>Distribution Energy - next 150 hrs*kW - Winter</v>
      </c>
      <c r="D52" s="293"/>
      <c r="E52" s="274"/>
      <c r="G52" s="308">
        <v>1.264E-2</v>
      </c>
      <c r="H52" s="308"/>
      <c r="I52" s="401">
        <v>1.3100000000000001E-2</v>
      </c>
      <c r="J52" s="354">
        <f t="shared" si="20"/>
        <v>4.6000000000000034E-4</v>
      </c>
    </row>
    <row r="53" spans="1:10" ht="14" x14ac:dyDescent="0.3">
      <c r="A53" s="151">
        <f>IF(C53&lt;&gt;"",COUNTA($C$12:C53),"")</f>
        <v>39</v>
      </c>
      <c r="B53" s="151"/>
      <c r="C53" s="293" t="str">
        <f>'Bill_Bos G2 p1'!C53</f>
        <v>Distribution Energy - remainder kWh - Winter</v>
      </c>
      <c r="D53" s="293"/>
      <c r="E53" s="274"/>
      <c r="G53" s="308">
        <v>1.0789999999999999E-2</v>
      </c>
      <c r="H53" s="308"/>
      <c r="I53" s="401">
        <v>1.119E-2</v>
      </c>
      <c r="J53" s="354">
        <f t="shared" si="20"/>
        <v>4.0000000000000105E-4</v>
      </c>
    </row>
    <row r="54" spans="1:10" ht="14" x14ac:dyDescent="0.3">
      <c r="A54" s="151">
        <f>IF(C54&lt;&gt;"",COUNTA($C$12:C54),"")</f>
        <v>40</v>
      </c>
      <c r="B54" s="151"/>
      <c r="C54" s="293" t="str">
        <f>'Bill_Bos G2 p1'!C54</f>
        <v>Distribution Energy - 1st 2000 kWh - Summer</v>
      </c>
      <c r="D54" s="293"/>
      <c r="E54" s="274"/>
      <c r="G54" s="308">
        <v>2.7459999999999998E-2</v>
      </c>
      <c r="H54" s="308"/>
      <c r="I54" s="401">
        <v>2.8410000000000001E-2</v>
      </c>
      <c r="J54" s="354">
        <f t="shared" si="20"/>
        <v>9.5000000000000293E-4</v>
      </c>
    </row>
    <row r="55" spans="1:10" ht="14" x14ac:dyDescent="0.3">
      <c r="A55" s="151">
        <f>IF(C55&lt;&gt;"",COUNTA($C$12:C55),"")</f>
        <v>41</v>
      </c>
      <c r="B55" s="151"/>
      <c r="C55" s="293" t="str">
        <f>'Bill_Bos G2 p1'!C55</f>
        <v>Distribution Energy - next 150 hrs*kW - Summer</v>
      </c>
      <c r="D55" s="293"/>
      <c r="E55" s="274"/>
      <c r="G55" s="308">
        <v>1.435E-2</v>
      </c>
      <c r="H55" s="308"/>
      <c r="I55" s="401">
        <v>1.487E-2</v>
      </c>
      <c r="J55" s="354">
        <f t="shared" si="20"/>
        <v>5.1999999999999963E-4</v>
      </c>
    </row>
    <row r="56" spans="1:10" ht="14" x14ac:dyDescent="0.3">
      <c r="A56" s="151">
        <f>IF(C56&lt;&gt;"",COUNTA($C$12:C56),"")</f>
        <v>42</v>
      </c>
      <c r="B56" s="151"/>
      <c r="C56" s="293" t="str">
        <f>'Bill_Bos G2 p1'!C56</f>
        <v>Distribution Energy - remainder kWh - Summer</v>
      </c>
      <c r="D56" s="293"/>
      <c r="E56" s="274"/>
      <c r="G56" s="308">
        <v>1.128E-2</v>
      </c>
      <c r="H56" s="308"/>
      <c r="I56" s="401">
        <v>1.1690000000000001E-2</v>
      </c>
      <c r="J56" s="354">
        <f t="shared" si="20"/>
        <v>4.1000000000000064E-4</v>
      </c>
    </row>
    <row r="57" spans="1:10" ht="14" x14ac:dyDescent="0.3">
      <c r="A57" s="151">
        <f>IF(C57&lt;&gt;"",COUNTA($C$12:C57),"")</f>
        <v>43</v>
      </c>
      <c r="B57" s="151"/>
      <c r="C57" s="293" t="str">
        <f>'Bill_Bos G2 p1'!C57</f>
        <v>Revenue Decoupling</v>
      </c>
      <c r="D57" s="293"/>
      <c r="E57" s="274"/>
      <c r="G57" s="277">
        <v>0</v>
      </c>
      <c r="H57" s="277"/>
      <c r="I57" s="401">
        <v>-4.0999999999999999E-4</v>
      </c>
      <c r="J57" s="354">
        <f t="shared" si="20"/>
        <v>-4.0999999999999999E-4</v>
      </c>
    </row>
    <row r="58" spans="1:10" ht="14" x14ac:dyDescent="0.3">
      <c r="A58" s="151">
        <f>IF(C58&lt;&gt;"",COUNTA($C$12:C58),"")</f>
        <v>44</v>
      </c>
      <c r="B58" s="151"/>
      <c r="C58" s="293" t="str">
        <f>'Bill_Bos G2 p1'!C58</f>
        <v>Residential Assistance Adjustment Factor</v>
      </c>
      <c r="D58" s="293"/>
      <c r="E58" s="274"/>
      <c r="G58" s="277">
        <v>2.5000000000000001E-3</v>
      </c>
      <c r="H58" s="277"/>
      <c r="I58" s="401">
        <v>3.46E-3</v>
      </c>
      <c r="J58" s="354">
        <f t="shared" si="20"/>
        <v>9.5999999999999992E-4</v>
      </c>
    </row>
    <row r="59" spans="1:10" ht="14" x14ac:dyDescent="0.3">
      <c r="A59" s="151">
        <f>IF(C59&lt;&gt;"",COUNTA($C$12:C59),"")</f>
        <v>45</v>
      </c>
      <c r="B59" s="151"/>
      <c r="C59" s="293" t="str">
        <f>'Bill_Bos G2 p1'!C59</f>
        <v>Pension Adjustment Factor</v>
      </c>
      <c r="D59" s="293"/>
      <c r="E59" s="274"/>
      <c r="G59" s="277">
        <v>-5.0000000000000002E-5</v>
      </c>
      <c r="H59" s="277"/>
      <c r="I59" s="401">
        <v>4.6999999999999999E-4</v>
      </c>
      <c r="J59" s="354">
        <f t="shared" si="20"/>
        <v>5.1999999999999995E-4</v>
      </c>
    </row>
    <row r="60" spans="1:10" ht="14" x14ac:dyDescent="0.3">
      <c r="A60" s="151">
        <f>IF(C60&lt;&gt;"",COUNTA($C$12:C60),"")</f>
        <v>46</v>
      </c>
      <c r="B60" s="151"/>
      <c r="C60" s="293" t="str">
        <f>'Bill_Bos G2 p1'!C60</f>
        <v>Net Metering Recovery Surcharge</v>
      </c>
      <c r="D60" s="293"/>
      <c r="E60" s="274"/>
      <c r="G60" s="277">
        <v>4.9300000000000004E-3</v>
      </c>
      <c r="H60" s="277"/>
      <c r="I60" s="401">
        <v>4.5100000000000001E-3</v>
      </c>
      <c r="J60" s="354">
        <f t="shared" si="20"/>
        <v>-4.2000000000000023E-4</v>
      </c>
    </row>
    <row r="61" spans="1:10" ht="14" x14ac:dyDescent="0.3">
      <c r="A61" s="151">
        <f>IF(C61&lt;&gt;"",COUNTA($C$12:C61),"")</f>
        <v>47</v>
      </c>
      <c r="B61" s="151"/>
      <c r="C61" s="293" t="str">
        <f>'Bill_Bos G2 p1'!C61</f>
        <v>Long Term Renewable Contract Adjustment</v>
      </c>
      <c r="D61" s="293"/>
      <c r="E61" s="274"/>
      <c r="G61" s="277">
        <v>2.3600000000000001E-3</v>
      </c>
      <c r="H61" s="277"/>
      <c r="I61" s="401">
        <v>1.74E-3</v>
      </c>
      <c r="J61" s="354">
        <f t="shared" si="20"/>
        <v>-6.2000000000000011E-4</v>
      </c>
    </row>
    <row r="62" spans="1:10" ht="14" x14ac:dyDescent="0.3">
      <c r="A62" s="151">
        <f>IF(C62&lt;&gt;"",COUNTA($C$12:C62),"")</f>
        <v>48</v>
      </c>
      <c r="B62" s="151"/>
      <c r="C62" s="293" t="str">
        <f>'Bill_Bos G2 p1'!C62</f>
        <v>AG Consulting Expense</v>
      </c>
      <c r="D62" s="293"/>
      <c r="E62" s="274"/>
      <c r="G62" s="277">
        <v>3.0000000000000001E-5</v>
      </c>
      <c r="H62" s="277"/>
      <c r="I62" s="401">
        <v>1.0000000000000001E-5</v>
      </c>
      <c r="J62" s="354">
        <f t="shared" si="20"/>
        <v>-1.9999999999999998E-5</v>
      </c>
    </row>
    <row r="63" spans="1:10" ht="14" x14ac:dyDescent="0.3">
      <c r="A63" s="151">
        <f>IF(C63&lt;&gt;"",COUNTA($C$12:C63),"")</f>
        <v>49</v>
      </c>
      <c r="B63" s="151"/>
      <c r="C63" s="293" t="str">
        <f>'Bill_Bos G2 p1'!C63</f>
        <v>Storm Cost Recovery Adjustment Factor</v>
      </c>
      <c r="D63" s="293"/>
      <c r="E63" s="274"/>
      <c r="G63" s="277">
        <v>1.5399999999999999E-3</v>
      </c>
      <c r="H63" s="277"/>
      <c r="I63" s="401">
        <v>2.6199999999999999E-3</v>
      </c>
      <c r="J63" s="354">
        <f t="shared" si="20"/>
        <v>1.08E-3</v>
      </c>
    </row>
    <row r="64" spans="1:10" ht="14" x14ac:dyDescent="0.3">
      <c r="A64" s="151">
        <f>IF(C64&lt;&gt;"",COUNTA($C$12:C64),"")</f>
        <v>50</v>
      </c>
      <c r="B64" s="151"/>
      <c r="C64" s="293" t="str">
        <f>'Bill_Bos G2 p1'!C64</f>
        <v>Storm Reserve Adjustment</v>
      </c>
      <c r="D64" s="293"/>
      <c r="E64" s="274"/>
      <c r="G64" s="277">
        <v>0</v>
      </c>
      <c r="H64" s="277"/>
      <c r="I64" s="401">
        <v>0</v>
      </c>
      <c r="J64" s="354">
        <f t="shared" si="20"/>
        <v>0</v>
      </c>
    </row>
    <row r="65" spans="1:12" ht="14" x14ac:dyDescent="0.3">
      <c r="A65" s="151">
        <f>IF(C65&lt;&gt;"",COUNTA($C$12:C65),"")</f>
        <v>51</v>
      </c>
      <c r="B65" s="151"/>
      <c r="C65" s="293" t="str">
        <f>'Bill_Bos G2 p1'!C65</f>
        <v>Basic Service Cost True Up Factor</v>
      </c>
      <c r="G65" s="277">
        <v>1.34E-3</v>
      </c>
      <c r="H65" s="277"/>
      <c r="I65" s="401">
        <v>-1.7000000000000001E-4</v>
      </c>
      <c r="J65" s="354">
        <f t="shared" si="20"/>
        <v>-1.5100000000000001E-3</v>
      </c>
    </row>
    <row r="66" spans="1:12" ht="14" x14ac:dyDescent="0.3">
      <c r="A66" s="151">
        <f>IF(C66&lt;&gt;"",COUNTA($C$12:C66),"")</f>
        <v>52</v>
      </c>
      <c r="B66" s="151"/>
      <c r="C66" s="293" t="str">
        <f>'Bill_Bos G2 p1'!C66</f>
        <v>Solar Program Cost Adjustment Factor</v>
      </c>
      <c r="D66" s="293"/>
      <c r="E66" s="274"/>
      <c r="G66" s="277">
        <v>0</v>
      </c>
      <c r="H66" s="277"/>
      <c r="I66" s="401">
        <v>3.0000000000000001E-5</v>
      </c>
      <c r="J66" s="354">
        <f t="shared" si="20"/>
        <v>3.0000000000000001E-5</v>
      </c>
    </row>
    <row r="67" spans="1:12" ht="14" x14ac:dyDescent="0.3">
      <c r="A67" s="151">
        <f>IF(C67&lt;&gt;"",COUNTA($C$12:C67),"")</f>
        <v>53</v>
      </c>
      <c r="B67" s="151"/>
      <c r="C67" s="293" t="str">
        <f>'Bill_Bos G2 p1'!C67</f>
        <v>Solar Expansion Cost Recovery Factor</v>
      </c>
      <c r="D67" s="293"/>
      <c r="E67" s="274"/>
      <c r="G67" s="277">
        <v>0</v>
      </c>
      <c r="H67" s="277"/>
      <c r="I67" s="401">
        <v>5.4000000000000001E-4</v>
      </c>
      <c r="J67" s="354">
        <f t="shared" si="20"/>
        <v>5.4000000000000001E-4</v>
      </c>
    </row>
    <row r="68" spans="1:12" ht="14" x14ac:dyDescent="0.3">
      <c r="A68" s="151">
        <f>IF(C68&lt;&gt;"",COUNTA($C$12:C68),"")</f>
        <v>54</v>
      </c>
      <c r="B68" s="151"/>
      <c r="C68" s="293" t="str">
        <f>'Bill_Bos G2 p1'!C68</f>
        <v>Vegetation Management</v>
      </c>
      <c r="D68" s="293"/>
      <c r="E68" s="274"/>
      <c r="G68" s="277">
        <v>0</v>
      </c>
      <c r="H68" s="277"/>
      <c r="I68" s="401">
        <v>8.3000000000000001E-4</v>
      </c>
      <c r="J68" s="354">
        <f t="shared" si="20"/>
        <v>8.3000000000000001E-4</v>
      </c>
    </row>
    <row r="69" spans="1:12" ht="14" x14ac:dyDescent="0.3">
      <c r="A69" s="151">
        <f>IF(C69&lt;&gt;"",COUNTA($C$12:C69),"")</f>
        <v>55</v>
      </c>
      <c r="B69" s="151"/>
      <c r="C69" s="293" t="str">
        <f>'Bill_Bos G2 p1'!C69</f>
        <v>Solar Massachusetts Renewable Target</v>
      </c>
      <c r="D69" s="339"/>
      <c r="E69" s="339"/>
      <c r="F69" s="277"/>
      <c r="G69" s="277">
        <v>0</v>
      </c>
      <c r="H69" s="277"/>
      <c r="I69" s="401">
        <v>6.3000000000000003E-4</v>
      </c>
      <c r="J69" s="354">
        <f t="shared" si="20"/>
        <v>6.3000000000000003E-4</v>
      </c>
      <c r="K69" s="339"/>
      <c r="L69" s="339"/>
    </row>
    <row r="70" spans="1:12" ht="14" x14ac:dyDescent="0.3">
      <c r="A70" s="151">
        <f>IF(C70&lt;&gt;"",COUNTA($C$12:C70),"")</f>
        <v>56</v>
      </c>
      <c r="B70" s="151"/>
      <c r="C70" s="293" t="str">
        <f>'Bill_Bos G2 p1'!C70</f>
        <v>Tax Act Credit Factor</v>
      </c>
      <c r="D70" s="339"/>
      <c r="E70" s="339"/>
      <c r="F70" s="277"/>
      <c r="G70" s="277">
        <v>0</v>
      </c>
      <c r="H70" s="277"/>
      <c r="I70" s="401">
        <v>-9.5E-4</v>
      </c>
      <c r="J70" s="354">
        <f t="shared" si="20"/>
        <v>-9.5E-4</v>
      </c>
      <c r="K70" s="339"/>
      <c r="L70" s="339"/>
    </row>
    <row r="71" spans="1:12" ht="14" x14ac:dyDescent="0.3">
      <c r="A71" s="151">
        <f>IF(C71&lt;&gt;"",COUNTA($C$12:C71),"")</f>
        <v>57</v>
      </c>
      <c r="B71" s="151"/>
      <c r="C71" s="293" t="str">
        <f>'Bill_Bos G2 p1'!C71</f>
        <v>Transition</v>
      </c>
      <c r="D71" s="293"/>
      <c r="E71" s="274"/>
      <c r="G71" s="277">
        <v>-6.0999999999999997E-4</v>
      </c>
      <c r="H71" s="277"/>
      <c r="I71" s="401">
        <v>-5.1999999999999995E-4</v>
      </c>
      <c r="J71" s="354">
        <f t="shared" si="20"/>
        <v>9.0000000000000019E-5</v>
      </c>
    </row>
    <row r="72" spans="1:12" ht="14" x14ac:dyDescent="0.3">
      <c r="A72" s="151">
        <f>IF(C72&lt;&gt;"",COUNTA($C$12:C72),"")</f>
        <v>58</v>
      </c>
      <c r="B72" s="151"/>
      <c r="C72" s="293" t="str">
        <f>'Bill_Bos G2 p1'!C72</f>
        <v>Energy Efficiency Reconciliation Factor</v>
      </c>
      <c r="D72" s="293"/>
      <c r="E72" s="274"/>
      <c r="G72" s="277">
        <v>8.4600000000000005E-3</v>
      </c>
      <c r="H72" s="308"/>
      <c r="I72" s="308">
        <v>8.4600000000000005E-3</v>
      </c>
      <c r="J72" s="354">
        <f t="shared" si="20"/>
        <v>0</v>
      </c>
    </row>
    <row r="73" spans="1:12" ht="14" x14ac:dyDescent="0.3">
      <c r="A73" s="151">
        <f>IF(C73&lt;&gt;"",COUNTA($C$12:C73),"")</f>
        <v>59</v>
      </c>
      <c r="B73" s="151"/>
      <c r="C73" s="293" t="str">
        <f>'Bill_Bos G2 p1'!C73</f>
        <v>System Benefits Charge</v>
      </c>
      <c r="D73" s="293"/>
      <c r="E73" s="274"/>
      <c r="G73" s="277">
        <v>2.5000000000000001E-3</v>
      </c>
      <c r="H73" s="308"/>
      <c r="I73" s="308">
        <f>+G73</f>
        <v>2.5000000000000001E-3</v>
      </c>
      <c r="J73" s="354">
        <f t="shared" si="20"/>
        <v>0</v>
      </c>
    </row>
    <row r="74" spans="1:12" ht="14" x14ac:dyDescent="0.3">
      <c r="A74" s="151">
        <f>IF(C74&lt;&gt;"",COUNTA($C$12:C74),"")</f>
        <v>60</v>
      </c>
      <c r="B74" s="151"/>
      <c r="C74" s="293" t="str">
        <f>'Bill_Bos G2 p1'!C74</f>
        <v>Renewable Energy Charge</v>
      </c>
      <c r="D74" s="293"/>
      <c r="E74" s="274"/>
      <c r="G74" s="277">
        <v>5.0000000000000001E-4</v>
      </c>
      <c r="H74" s="308"/>
      <c r="I74" s="308">
        <f>+G74</f>
        <v>5.0000000000000001E-4</v>
      </c>
      <c r="J74" s="354">
        <f t="shared" si="20"/>
        <v>0</v>
      </c>
    </row>
    <row r="75" spans="1:12" ht="14" x14ac:dyDescent="0.3">
      <c r="A75" s="151">
        <f>IF(C75&lt;&gt;"",COUNTA($C$12:C75),"")</f>
        <v>61</v>
      </c>
      <c r="B75" s="151"/>
      <c r="C75" s="293" t="str">
        <f>'Bill_Bos G2 p1'!C75</f>
        <v>Basic Service Charge</v>
      </c>
      <c r="D75" s="293"/>
      <c r="E75" s="274"/>
      <c r="G75" s="308">
        <v>0.11402999999999999</v>
      </c>
      <c r="H75" s="308"/>
      <c r="I75" s="308">
        <v>0.13185000000000002</v>
      </c>
      <c r="J75" s="354">
        <f t="shared" si="20"/>
        <v>1.782000000000003E-2</v>
      </c>
    </row>
    <row r="76" spans="1:12" ht="14" x14ac:dyDescent="0.3">
      <c r="A76" s="151"/>
      <c r="B76" s="151"/>
      <c r="E76" s="446"/>
      <c r="F76" s="446"/>
      <c r="I76" s="447"/>
      <c r="J76" s="447"/>
    </row>
    <row r="77" spans="1:12" ht="14" x14ac:dyDescent="0.3">
      <c r="A77" s="151"/>
      <c r="B77" s="151"/>
      <c r="E77" s="446"/>
      <c r="F77" s="446"/>
      <c r="I77" s="447"/>
      <c r="J77" s="447"/>
    </row>
    <row r="78" spans="1:12" ht="14" x14ac:dyDescent="0.3">
      <c r="A78" s="151"/>
      <c r="B78" s="151"/>
      <c r="C78" s="293" t="str">
        <f>'Bill_Bos G2 p1'!C78</f>
        <v>Winter</v>
      </c>
      <c r="E78" s="446"/>
      <c r="F78" s="446"/>
    </row>
    <row r="79" spans="1:12" ht="14" x14ac:dyDescent="0.3">
      <c r="A79" s="151"/>
      <c r="B79" s="151"/>
      <c r="C79" s="293" t="str">
        <f>'Bill_Bos G2 p1'!C79</f>
        <v>Total Demand &gt;10 kW</v>
      </c>
      <c r="G79" s="378">
        <f>G46+G47</f>
        <v>18.05</v>
      </c>
      <c r="H79" s="429"/>
      <c r="I79" s="378">
        <f>I46+I47</f>
        <v>17.190000000000001</v>
      </c>
      <c r="J79" s="421">
        <f t="shared" ref="J79:J82" si="21">+I79-G79</f>
        <v>-0.85999999999999943</v>
      </c>
    </row>
    <row r="80" spans="1:12" ht="14" x14ac:dyDescent="0.3">
      <c r="A80" s="151"/>
      <c r="B80" s="151"/>
      <c r="C80" s="293" t="str">
        <f>'Bill_Bos G2 p1'!C80</f>
        <v>Total Energy - 1st 2000 kWh</v>
      </c>
      <c r="G80" s="403">
        <f>SUM(G51,G$57:G$71,G$72:G$74)</f>
        <v>4.1140000000000003E-2</v>
      </c>
      <c r="H80" s="429"/>
      <c r="I80" s="403">
        <f>SUM(I51,I$57:I$71,I$72:I$74)</f>
        <v>4.2520000000000002E-2</v>
      </c>
      <c r="J80" s="354">
        <f t="shared" si="21"/>
        <v>1.3799999999999993E-3</v>
      </c>
    </row>
    <row r="81" spans="3:10" ht="14" x14ac:dyDescent="0.3">
      <c r="C81" s="293" t="str">
        <f>'Bill_Bos G2 p1'!C81</f>
        <v>Total Energy - next 150 hrs*kW</v>
      </c>
      <c r="G81" s="403">
        <f>SUM(G52,G$57:G$71,G$72:G$74)</f>
        <v>3.6140000000000005E-2</v>
      </c>
      <c r="H81" s="429"/>
      <c r="I81" s="403">
        <f>SUM(I52,I$57:I$71,I$72:I$74)</f>
        <v>3.7350000000000001E-2</v>
      </c>
      <c r="J81" s="354">
        <f t="shared" si="21"/>
        <v>1.2099999999999958E-3</v>
      </c>
    </row>
    <row r="82" spans="3:10" ht="14" x14ac:dyDescent="0.3">
      <c r="C82" s="293" t="str">
        <f>'Bill_Bos G2 p1'!C82</f>
        <v>Total Energy - remainder kWh</v>
      </c>
      <c r="G82" s="403">
        <f>SUM(G53,G$57:G$71,G$72:G$74)</f>
        <v>3.4290000000000001E-2</v>
      </c>
      <c r="H82" s="429"/>
      <c r="I82" s="403">
        <f>SUM(I53,I$57:I$71,I$72:I$74)</f>
        <v>3.5439999999999999E-2</v>
      </c>
      <c r="J82" s="354">
        <f t="shared" si="21"/>
        <v>1.1499999999999982E-3</v>
      </c>
    </row>
    <row r="83" spans="3:10" ht="14" x14ac:dyDescent="0.3">
      <c r="H83" s="429"/>
      <c r="I83" s="429"/>
      <c r="J83" s="374"/>
    </row>
    <row r="84" spans="3:10" ht="14" x14ac:dyDescent="0.3">
      <c r="C84" s="293" t="str">
        <f>'Bill_Bos G2 p1'!C84</f>
        <v>Summer</v>
      </c>
      <c r="H84" s="429"/>
      <c r="I84" s="429"/>
      <c r="J84" s="374"/>
    </row>
    <row r="85" spans="3:10" ht="14" x14ac:dyDescent="0.3">
      <c r="C85" s="293" t="str">
        <f>'Bill_Bos G2 p1'!C85</f>
        <v>Total Demand &gt;10 kW</v>
      </c>
      <c r="G85" s="378">
        <f>G49+G50</f>
        <v>43.42</v>
      </c>
      <c r="H85" s="429"/>
      <c r="I85" s="378">
        <f>I49+I50</f>
        <v>40.67</v>
      </c>
      <c r="J85" s="421">
        <f t="shared" ref="J85:J88" si="22">+I85-G85</f>
        <v>-2.75</v>
      </c>
    </row>
    <row r="86" spans="3:10" ht="14" x14ac:dyDescent="0.3">
      <c r="C86" s="293" t="str">
        <f>'Bill_Bos G2 p1'!C86</f>
        <v>Total Energy - 1st 2000 kWh</v>
      </c>
      <c r="G86" s="403">
        <f>SUM(G54,G$57:G$71,G$72:G$74)</f>
        <v>5.0960000000000005E-2</v>
      </c>
      <c r="H86" s="429"/>
      <c r="I86" s="403">
        <f>SUM(I54,I$57:I$71,I$72:I$74)</f>
        <v>5.2659999999999998E-2</v>
      </c>
      <c r="J86" s="354">
        <f t="shared" si="22"/>
        <v>1.6999999999999932E-3</v>
      </c>
    </row>
    <row r="87" spans="3:10" ht="14" x14ac:dyDescent="0.3">
      <c r="C87" s="293" t="str">
        <f>'Bill_Bos G2 p1'!C87</f>
        <v>Total Energy - next 150 hrs*kW</v>
      </c>
      <c r="G87" s="403">
        <f>SUM(G55,G$57:G$71,G$72:G$74)</f>
        <v>3.7850000000000002E-2</v>
      </c>
      <c r="H87" s="429"/>
      <c r="I87" s="403">
        <f>SUM(I55,I$57:I$71,I$72:I$74)</f>
        <v>3.9120000000000002E-2</v>
      </c>
      <c r="J87" s="354">
        <f t="shared" si="22"/>
        <v>1.2700000000000003E-3</v>
      </c>
    </row>
    <row r="88" spans="3:10" ht="14" x14ac:dyDescent="0.3">
      <c r="C88" s="293" t="str">
        <f>'Bill_Bos G2 p1'!C88</f>
        <v>Total Energy - remainder kWh</v>
      </c>
      <c r="G88" s="403">
        <f>SUM(G56,G$57:G$71,G$72:G$74)</f>
        <v>3.4780000000000005E-2</v>
      </c>
      <c r="H88" s="429"/>
      <c r="I88" s="403">
        <f>SUM(I56,I$57:I$71,I$72:I$74)</f>
        <v>3.594E-2</v>
      </c>
      <c r="J88" s="354">
        <f t="shared" si="22"/>
        <v>1.1599999999999944E-3</v>
      </c>
    </row>
    <row r="89" spans="3:10" ht="14" x14ac:dyDescent="0.3">
      <c r="G89" s="403"/>
      <c r="H89" s="429"/>
      <c r="I89" s="403"/>
      <c r="J89" s="403"/>
    </row>
    <row r="90" spans="3:10" ht="14" x14ac:dyDescent="0.3">
      <c r="C90" s="293" t="str">
        <f>'Bill_Bos G2 p1'!C90</f>
        <v>Total Basic Service</v>
      </c>
      <c r="G90" s="403">
        <f>G75</f>
        <v>0.11402999999999999</v>
      </c>
      <c r="H90" s="429"/>
      <c r="I90" s="403">
        <f>I75</f>
        <v>0.13185000000000002</v>
      </c>
      <c r="J90" s="354">
        <f t="shared" ref="J90" si="23">+I90-G90</f>
        <v>1.782000000000003E-2</v>
      </c>
    </row>
  </sheetData>
  <mergeCells count="10">
    <mergeCell ref="E13:G13"/>
    <mergeCell ref="I13:K13"/>
    <mergeCell ref="E27:G27"/>
    <mergeCell ref="I27:K27"/>
    <mergeCell ref="A4:N4"/>
    <mergeCell ref="A5:N5"/>
    <mergeCell ref="A6:N6"/>
    <mergeCell ref="A7:N7"/>
    <mergeCell ref="A8:N8"/>
    <mergeCell ref="A9:N9"/>
  </mergeCells>
  <pageMargins left="0.7" right="0.7" top="0.75" bottom="0.75" header="0.3" footer="0.3"/>
  <pageSetup scale="64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8AA53-5863-405F-AFA7-B422CD422C8B}">
  <sheetPr>
    <tabColor theme="3" tint="0.59999389629810485"/>
    <pageSetUpPr fitToPage="1"/>
  </sheetPr>
  <dimension ref="A3:AF90"/>
  <sheetViews>
    <sheetView zoomScaleNormal="100" workbookViewId="0"/>
  </sheetViews>
  <sheetFormatPr defaultRowHeight="12.5" x14ac:dyDescent="0.25"/>
  <cols>
    <col min="1" max="1" width="4" customWidth="1"/>
    <col min="2" max="2" width="4.453125" bestFit="1" customWidth="1"/>
    <col min="3" max="4" width="9.7265625" customWidth="1"/>
    <col min="5" max="7" width="14.7265625" customWidth="1"/>
    <col min="8" max="8" width="1.7265625" customWidth="1"/>
    <col min="9" max="11" width="14.7265625" customWidth="1"/>
    <col min="12" max="12" width="1.7265625" customWidth="1"/>
    <col min="13" max="14" width="11.7265625" customWidth="1"/>
    <col min="15" max="15" width="10.81640625" bestFit="1" customWidth="1"/>
    <col min="16" max="16" width="12.54296875" bestFit="1" customWidth="1"/>
    <col min="17" max="17" width="9.7265625" bestFit="1" customWidth="1"/>
    <col min="18" max="19" width="10.453125" bestFit="1" customWidth="1"/>
    <col min="20" max="20" width="10.81640625" bestFit="1" customWidth="1"/>
    <col min="21" max="21" width="12.54296875" bestFit="1" customWidth="1"/>
    <col min="22" max="22" width="11.81640625" bestFit="1" customWidth="1"/>
    <col min="23" max="23" width="8.453125" bestFit="1" customWidth="1"/>
    <col min="24" max="24" width="10.81640625" bestFit="1" customWidth="1"/>
    <col min="25" max="25" width="12" bestFit="1" customWidth="1"/>
    <col min="26" max="26" width="9.7265625" bestFit="1" customWidth="1"/>
    <col min="27" max="27" width="9.81640625" bestFit="1" customWidth="1"/>
    <col min="28" max="28" width="10.453125" bestFit="1" customWidth="1"/>
    <col min="29" max="29" width="10.81640625" bestFit="1" customWidth="1"/>
    <col min="30" max="30" width="12.54296875" bestFit="1" customWidth="1"/>
    <col min="31" max="31" width="11.81640625" bestFit="1" customWidth="1"/>
    <col min="32" max="32" width="8.453125" bestFit="1" customWidth="1"/>
  </cols>
  <sheetData>
    <row r="3" spans="1:32" ht="14" x14ac:dyDescent="0.3">
      <c r="A3" s="365"/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</row>
    <row r="4" spans="1:32" ht="14" x14ac:dyDescent="0.3">
      <c r="A4" s="762" t="str">
        <f>'Bill_Bos G2 p2'!A4:N4</f>
        <v>Eastern Massachusetts</v>
      </c>
      <c r="B4" s="762"/>
      <c r="C4" s="762"/>
      <c r="D4" s="762"/>
      <c r="E4" s="762"/>
      <c r="F4" s="762"/>
      <c r="G4" s="762"/>
      <c r="H4" s="762"/>
      <c r="I4" s="762"/>
      <c r="J4" s="762"/>
      <c r="K4" s="762"/>
      <c r="L4" s="762"/>
      <c r="M4" s="762"/>
      <c r="N4" s="762"/>
    </row>
    <row r="5" spans="1:32" ht="14" x14ac:dyDescent="0.3">
      <c r="A5" s="762" t="str">
        <f>+'Bill_Bos G1 nonDem'!A5</f>
        <v>Calculation of Monthly Typical Bill</v>
      </c>
      <c r="B5" s="762"/>
      <c r="C5" s="762"/>
      <c r="D5" s="762"/>
      <c r="E5" s="762"/>
      <c r="F5" s="762"/>
      <c r="G5" s="762"/>
      <c r="H5" s="762"/>
      <c r="I5" s="762"/>
      <c r="J5" s="762"/>
      <c r="K5" s="762"/>
      <c r="L5" s="762"/>
      <c r="M5" s="762"/>
      <c r="N5" s="762"/>
    </row>
    <row r="6" spans="1:32" ht="14" x14ac:dyDescent="0.3">
      <c r="A6" s="762" t="str">
        <f>+'Bill_Bos G1 nonDem'!A6</f>
        <v>Proposed January 1, 2019</v>
      </c>
      <c r="B6" s="762"/>
      <c r="C6" s="762"/>
      <c r="D6" s="762"/>
      <c r="E6" s="762"/>
      <c r="F6" s="762"/>
      <c r="G6" s="762"/>
      <c r="H6" s="762"/>
      <c r="I6" s="762"/>
      <c r="J6" s="762"/>
      <c r="K6" s="762"/>
      <c r="L6" s="762"/>
      <c r="M6" s="762"/>
      <c r="N6" s="762"/>
    </row>
    <row r="7" spans="1:32" ht="14" x14ac:dyDescent="0.3">
      <c r="A7" s="762"/>
      <c r="B7" s="762"/>
      <c r="C7" s="762"/>
      <c r="D7" s="762"/>
      <c r="E7" s="762"/>
      <c r="F7" s="762"/>
      <c r="G7" s="762"/>
      <c r="H7" s="762"/>
      <c r="I7" s="762"/>
      <c r="J7" s="762"/>
      <c r="K7" s="762"/>
      <c r="L7" s="762"/>
      <c r="M7" s="762"/>
      <c r="N7" s="762"/>
    </row>
    <row r="8" spans="1:32" ht="14" x14ac:dyDescent="0.3">
      <c r="A8" s="762" t="str">
        <f>+'Bill_Bos G1 nonDem'!A8</f>
        <v>Greater Boston Service Area</v>
      </c>
      <c r="B8" s="762"/>
      <c r="C8" s="762"/>
      <c r="D8" s="762"/>
      <c r="E8" s="762"/>
      <c r="F8" s="762"/>
      <c r="G8" s="762"/>
      <c r="H8" s="762"/>
      <c r="I8" s="762"/>
      <c r="J8" s="762"/>
      <c r="K8" s="762"/>
      <c r="L8" s="762"/>
      <c r="M8" s="762"/>
      <c r="N8" s="762"/>
    </row>
    <row r="9" spans="1:32" ht="14" x14ac:dyDescent="0.3">
      <c r="A9" s="762" t="str">
        <f>+'Bill_Bos G2 p1'!A9</f>
        <v>Rate G-2 Medium General Service</v>
      </c>
      <c r="B9" s="762"/>
      <c r="C9" s="762"/>
      <c r="D9" s="762"/>
      <c r="E9" s="762"/>
      <c r="F9" s="762"/>
      <c r="G9" s="762"/>
      <c r="H9" s="762"/>
      <c r="I9" s="762"/>
      <c r="J9" s="762"/>
      <c r="K9" s="762"/>
      <c r="L9" s="762"/>
      <c r="M9" s="762"/>
      <c r="N9" s="762"/>
    </row>
    <row r="10" spans="1:32" ht="14" x14ac:dyDescent="0.3">
      <c r="A10" s="366"/>
      <c r="B10" s="366"/>
      <c r="D10" s="293"/>
      <c r="E10" s="293"/>
      <c r="F10" s="293"/>
      <c r="G10" s="367"/>
      <c r="H10" s="293"/>
    </row>
    <row r="11" spans="1:32" ht="14" x14ac:dyDescent="0.3">
      <c r="A11" s="366"/>
      <c r="B11" s="366"/>
      <c r="C11" s="293"/>
      <c r="D11" s="293"/>
      <c r="E11" s="293"/>
      <c r="F11" s="293"/>
      <c r="G11" s="368"/>
      <c r="H11" s="293"/>
    </row>
    <row r="12" spans="1:32" ht="14" x14ac:dyDescent="0.3">
      <c r="A12" s="151">
        <f>IF(C12&lt;&gt;"",COUNTA($C12:C$12),"")</f>
        <v>1</v>
      </c>
      <c r="B12" s="151"/>
      <c r="C12" s="405" t="s">
        <v>578</v>
      </c>
      <c r="D12" s="293"/>
      <c r="E12" s="293"/>
      <c r="F12" s="293"/>
      <c r="G12" s="368"/>
      <c r="H12" s="293"/>
    </row>
    <row r="13" spans="1:32" ht="14" x14ac:dyDescent="0.3">
      <c r="A13" s="151">
        <f>IF(C13&lt;&gt;"",COUNTA($C$12:C13),"")</f>
        <v>2</v>
      </c>
      <c r="B13" s="151"/>
      <c r="C13" s="406" t="str">
        <f>+'Bill_Bos G1 nonDem'!C12</f>
        <v>Monthly</v>
      </c>
      <c r="D13" s="366" t="str">
        <f>+C13</f>
        <v>Monthly</v>
      </c>
      <c r="E13" s="760" t="str">
        <f>+'Bill_Bos G1 nonDem'!D12</f>
        <v>Current Monthly Bill (Winter)</v>
      </c>
      <c r="F13" s="760"/>
      <c r="G13" s="760"/>
      <c r="H13" s="293"/>
      <c r="I13" s="760" t="str">
        <f>+'Bill_Bos G1 nonDem'!H12</f>
        <v>Proposed Monthly Bill (Winter)</v>
      </c>
      <c r="J13" s="760"/>
      <c r="K13" s="760"/>
      <c r="M13" s="407" t="s">
        <v>550</v>
      </c>
      <c r="N13" s="440"/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  <c r="AA13" s="369"/>
      <c r="AB13" s="369"/>
      <c r="AC13" s="369"/>
      <c r="AD13" s="369"/>
      <c r="AE13" s="369"/>
      <c r="AF13" s="369"/>
    </row>
    <row r="14" spans="1:32" ht="14" x14ac:dyDescent="0.3">
      <c r="A14" s="151">
        <f>IF(C14&lt;&gt;"",COUNTA($C$12:C14),"")</f>
        <v>3</v>
      </c>
      <c r="B14" s="151"/>
      <c r="C14" s="408" t="s">
        <v>534</v>
      </c>
      <c r="D14" s="370" t="s">
        <v>551</v>
      </c>
      <c r="E14" s="370" t="s">
        <v>552</v>
      </c>
      <c r="F14" s="370" t="s">
        <v>553</v>
      </c>
      <c r="G14" s="370" t="s">
        <v>47</v>
      </c>
      <c r="H14" s="293"/>
      <c r="I14" s="370" t="s">
        <v>552</v>
      </c>
      <c r="J14" s="370" t="s">
        <v>553</v>
      </c>
      <c r="K14" s="370" t="s">
        <v>47</v>
      </c>
      <c r="M14" s="370" t="s">
        <v>65</v>
      </c>
      <c r="N14" s="370" t="s">
        <v>325</v>
      </c>
      <c r="O14" s="369"/>
      <c r="P14" s="369"/>
      <c r="Q14" s="369"/>
      <c r="R14" s="369"/>
      <c r="S14" s="369"/>
      <c r="T14" s="369"/>
      <c r="U14" s="369"/>
      <c r="V14" s="369"/>
      <c r="W14" s="369"/>
      <c r="X14" s="369"/>
      <c r="Y14" s="369"/>
      <c r="Z14" s="369"/>
      <c r="AA14" s="369"/>
      <c r="AB14" s="369"/>
      <c r="AC14" s="369"/>
      <c r="AD14" s="369"/>
      <c r="AE14" s="369"/>
      <c r="AF14" s="369"/>
    </row>
    <row r="15" spans="1:32" ht="14" x14ac:dyDescent="0.3">
      <c r="A15" s="151">
        <f>IF(C15&lt;&gt;"",COUNTA($C$12:C15),"")</f>
        <v>4</v>
      </c>
      <c r="B15" s="151"/>
      <c r="C15" s="409">
        <f>+'Bill_Bos G2 p1'!C15</f>
        <v>8</v>
      </c>
      <c r="D15" s="409">
        <f>+C15*450</f>
        <v>3600</v>
      </c>
      <c r="E15" s="372">
        <f t="shared" ref="E15:E25" si="0">ROUND($G$44+IF($C15&lt;=10,0,($C15-10)*SUM($G$46,$G$47)),2)+ROUND(IF($D15&gt;(2000+150*$C15),($D15-(2000+150*$C15))*$G$53+150*$C15*$G$52+2000*$G$51,IF($D15&gt;2000,($D15-2000)*$G$52+2000*$G$51,$D15*$G$51)),2)+ROUND($D15*SUM($G$57:$G$71,$G$72:$G$74),2)</f>
        <v>157.35999999999999</v>
      </c>
      <c r="F15" s="372">
        <f t="shared" ref="F15:F25" si="1">ROUND($G$75*D15,2)</f>
        <v>410.51</v>
      </c>
      <c r="G15" s="372">
        <f t="shared" ref="G15:G25" si="2">SUM(E15:F15)</f>
        <v>567.87</v>
      </c>
      <c r="H15" s="373"/>
      <c r="I15" s="372">
        <f t="shared" ref="I15:I25" si="3">ROUND($I$44+IF($C15&lt;=10,0,($C15-10)*SUM($I$46,$I$47)),2)+ROUND(IF($D15&gt;(2000+150*$C15),($D15-(2000+150*$C15))*$I$53+150*$C15*$I$52+2000*$I$51,IF($D15&gt;2000,($D15-2000)*$I$52+2000*$I$51,$D15*$I$51)),2)+ROUND($D15*SUM($I$57:$I$71,$I$72:$I$74),2)</f>
        <v>162.04000000000002</v>
      </c>
      <c r="J15" s="372">
        <f t="shared" ref="J15:J25" si="4">ROUND(I$75*D15,2)</f>
        <v>474.66</v>
      </c>
      <c r="K15" s="372">
        <f t="shared" ref="K15:K25" si="5">SUM(I15:J15)</f>
        <v>636.70000000000005</v>
      </c>
      <c r="L15" s="374"/>
      <c r="M15" s="375">
        <f t="shared" ref="M15:M25" si="6">+K15-G15</f>
        <v>68.830000000000041</v>
      </c>
      <c r="N15" s="376">
        <f t="shared" ref="N15:N25" si="7">+M15/G15</f>
        <v>0.12120731857643482</v>
      </c>
      <c r="O15" s="377"/>
      <c r="P15" s="322"/>
      <c r="Q15" s="322"/>
      <c r="R15" s="322"/>
      <c r="S15" s="322"/>
      <c r="T15" s="322"/>
      <c r="U15" s="322"/>
      <c r="V15" s="377"/>
      <c r="W15" s="378"/>
      <c r="X15" s="377"/>
      <c r="Y15" s="322"/>
      <c r="Z15" s="322"/>
      <c r="AA15" s="322"/>
      <c r="AB15" s="322"/>
      <c r="AC15" s="322"/>
      <c r="AD15" s="322"/>
      <c r="AE15" s="377"/>
      <c r="AF15" s="374">
        <f t="shared" ref="AF15:AF25" si="8">+AE15-K15</f>
        <v>-636.70000000000005</v>
      </c>
    </row>
    <row r="16" spans="1:32" ht="14" x14ac:dyDescent="0.3">
      <c r="A16" s="151">
        <f>IF(C16&lt;&gt;"",COUNTA($C$12:C16),"")</f>
        <v>5</v>
      </c>
      <c r="B16" s="151"/>
      <c r="C16" s="409">
        <f>+'Bill_Bos G2 p1'!C16</f>
        <v>10</v>
      </c>
      <c r="D16" s="409">
        <f t="shared" ref="D16:D25" si="9">+C16*450</f>
        <v>4500</v>
      </c>
      <c r="E16" s="372">
        <f t="shared" si="0"/>
        <v>188.78</v>
      </c>
      <c r="F16" s="372">
        <f t="shared" si="1"/>
        <v>513.14</v>
      </c>
      <c r="G16" s="372">
        <f t="shared" si="2"/>
        <v>701.92</v>
      </c>
      <c r="H16" s="373"/>
      <c r="I16" s="372">
        <f t="shared" si="3"/>
        <v>194.51</v>
      </c>
      <c r="J16" s="372">
        <f t="shared" si="4"/>
        <v>593.33000000000004</v>
      </c>
      <c r="K16" s="372">
        <f t="shared" si="5"/>
        <v>787.84</v>
      </c>
      <c r="L16" s="374"/>
      <c r="M16" s="375">
        <f t="shared" si="6"/>
        <v>85.920000000000073</v>
      </c>
      <c r="N16" s="376">
        <f t="shared" si="7"/>
        <v>0.12240711192158661</v>
      </c>
      <c r="O16" s="377"/>
      <c r="P16" s="322"/>
      <c r="Q16" s="322"/>
      <c r="R16" s="322"/>
      <c r="S16" s="322"/>
      <c r="T16" s="322"/>
      <c r="U16" s="322"/>
      <c r="V16" s="377"/>
      <c r="W16" s="378"/>
      <c r="X16" s="377"/>
      <c r="Y16" s="322"/>
      <c r="Z16" s="322"/>
      <c r="AA16" s="322"/>
      <c r="AB16" s="322"/>
      <c r="AC16" s="322"/>
      <c r="AD16" s="322"/>
      <c r="AE16" s="377"/>
      <c r="AF16" s="374">
        <f t="shared" si="8"/>
        <v>-787.84</v>
      </c>
    </row>
    <row r="17" spans="1:32" ht="14" x14ac:dyDescent="0.3">
      <c r="A17" s="151">
        <f>IF(C17&lt;&gt;"",COUNTA($C$12:C17),"")</f>
        <v>6</v>
      </c>
      <c r="B17" s="151"/>
      <c r="C17" s="409">
        <f>+'Bill_Bos G2 p1'!C17</f>
        <v>12</v>
      </c>
      <c r="D17" s="409">
        <f t="shared" si="9"/>
        <v>5400</v>
      </c>
      <c r="E17" s="372">
        <f t="shared" si="0"/>
        <v>256.3</v>
      </c>
      <c r="F17" s="372">
        <f t="shared" si="1"/>
        <v>615.76</v>
      </c>
      <c r="G17" s="372">
        <f t="shared" si="2"/>
        <v>872.06</v>
      </c>
      <c r="H17" s="373"/>
      <c r="I17" s="372">
        <f t="shared" si="3"/>
        <v>261.35000000000002</v>
      </c>
      <c r="J17" s="372">
        <f t="shared" si="4"/>
        <v>711.99</v>
      </c>
      <c r="K17" s="372">
        <f t="shared" si="5"/>
        <v>973.34</v>
      </c>
      <c r="L17" s="374"/>
      <c r="M17" s="375">
        <f t="shared" si="6"/>
        <v>101.28000000000009</v>
      </c>
      <c r="N17" s="376">
        <f t="shared" si="7"/>
        <v>0.11613879778914306</v>
      </c>
      <c r="O17" s="377"/>
      <c r="P17" s="322"/>
      <c r="Q17" s="322"/>
      <c r="R17" s="322"/>
      <c r="S17" s="322"/>
      <c r="T17" s="322"/>
      <c r="U17" s="322"/>
      <c r="V17" s="377"/>
      <c r="W17" s="378"/>
      <c r="X17" s="377"/>
      <c r="Y17" s="322"/>
      <c r="Z17" s="322"/>
      <c r="AA17" s="322"/>
      <c r="AB17" s="322"/>
      <c r="AC17" s="322"/>
      <c r="AD17" s="322"/>
      <c r="AE17" s="377"/>
      <c r="AF17" s="374">
        <f t="shared" si="8"/>
        <v>-973.34</v>
      </c>
    </row>
    <row r="18" spans="1:32" ht="14" x14ac:dyDescent="0.3">
      <c r="A18" s="151">
        <f>IF(C18&lt;&gt;"",COUNTA($C$12:C18),"")</f>
        <v>7</v>
      </c>
      <c r="B18" s="151"/>
      <c r="C18" s="409">
        <f>+'Bill_Bos G2 p1'!C18</f>
        <v>14</v>
      </c>
      <c r="D18" s="409">
        <f t="shared" si="9"/>
        <v>6300</v>
      </c>
      <c r="E18" s="372">
        <f t="shared" si="0"/>
        <v>323.81</v>
      </c>
      <c r="F18" s="372">
        <f t="shared" si="1"/>
        <v>718.39</v>
      </c>
      <c r="G18" s="372">
        <f t="shared" si="2"/>
        <v>1042.2</v>
      </c>
      <c r="H18" s="373"/>
      <c r="I18" s="372">
        <f t="shared" si="3"/>
        <v>328.21000000000004</v>
      </c>
      <c r="J18" s="372">
        <f t="shared" si="4"/>
        <v>830.66</v>
      </c>
      <c r="K18" s="372">
        <f t="shared" si="5"/>
        <v>1158.8699999999999</v>
      </c>
      <c r="L18" s="374"/>
      <c r="M18" s="375">
        <f t="shared" si="6"/>
        <v>116.66999999999985</v>
      </c>
      <c r="N18" s="376">
        <f t="shared" si="7"/>
        <v>0.11194588370754159</v>
      </c>
      <c r="O18" s="377"/>
      <c r="P18" s="322"/>
      <c r="Q18" s="322"/>
      <c r="R18" s="322"/>
      <c r="S18" s="322"/>
      <c r="T18" s="322"/>
      <c r="U18" s="322"/>
      <c r="V18" s="377"/>
      <c r="W18" s="378"/>
      <c r="X18" s="377"/>
      <c r="Y18" s="322"/>
      <c r="Z18" s="322"/>
      <c r="AA18" s="322"/>
      <c r="AB18" s="322"/>
      <c r="AC18" s="322"/>
      <c r="AD18" s="322"/>
      <c r="AE18" s="377"/>
      <c r="AF18" s="374">
        <f t="shared" si="8"/>
        <v>-1158.8699999999999</v>
      </c>
    </row>
    <row r="19" spans="1:32" ht="14" x14ac:dyDescent="0.3">
      <c r="A19" s="151">
        <f>IF(C19&lt;&gt;"",COUNTA($C$12:C19),"")</f>
        <v>8</v>
      </c>
      <c r="B19" s="151"/>
      <c r="C19" s="409">
        <f>+'Bill_Bos G2 p1'!C19</f>
        <v>16</v>
      </c>
      <c r="D19" s="409">
        <f t="shared" si="9"/>
        <v>7200</v>
      </c>
      <c r="E19" s="372">
        <f t="shared" si="0"/>
        <v>391.33</v>
      </c>
      <c r="F19" s="372">
        <f t="shared" si="1"/>
        <v>821.02</v>
      </c>
      <c r="G19" s="372">
        <f t="shared" si="2"/>
        <v>1212.3499999999999</v>
      </c>
      <c r="H19" s="373"/>
      <c r="I19" s="372">
        <f t="shared" si="3"/>
        <v>395.04999999999995</v>
      </c>
      <c r="J19" s="372">
        <f t="shared" si="4"/>
        <v>949.32</v>
      </c>
      <c r="K19" s="372">
        <f t="shared" si="5"/>
        <v>1344.37</v>
      </c>
      <c r="L19" s="374"/>
      <c r="M19" s="375">
        <f t="shared" si="6"/>
        <v>132.01999999999998</v>
      </c>
      <c r="N19" s="376">
        <f t="shared" si="7"/>
        <v>0.10889594589021322</v>
      </c>
      <c r="O19" s="377"/>
      <c r="P19" s="322"/>
      <c r="Q19" s="322"/>
      <c r="R19" s="322"/>
      <c r="S19" s="322"/>
      <c r="T19" s="322"/>
      <c r="U19" s="322"/>
      <c r="V19" s="377"/>
      <c r="W19" s="378"/>
      <c r="X19" s="377"/>
      <c r="Y19" s="322"/>
      <c r="Z19" s="322"/>
      <c r="AA19" s="322"/>
      <c r="AB19" s="322"/>
      <c r="AC19" s="322"/>
      <c r="AD19" s="322"/>
      <c r="AE19" s="377"/>
      <c r="AF19" s="374">
        <f t="shared" si="8"/>
        <v>-1344.37</v>
      </c>
    </row>
    <row r="20" spans="1:32" ht="14" x14ac:dyDescent="0.3">
      <c r="A20" s="151">
        <f>IF(C20&lt;&gt;"",COUNTA($C$12:C20),"")</f>
        <v>9</v>
      </c>
      <c r="B20" s="151"/>
      <c r="C20" s="409">
        <f>+'Bill_Bos G2 p1'!C20</f>
        <v>20</v>
      </c>
      <c r="D20" s="409">
        <f t="shared" si="9"/>
        <v>9000</v>
      </c>
      <c r="E20" s="372">
        <f t="shared" si="0"/>
        <v>526.36</v>
      </c>
      <c r="F20" s="372">
        <f t="shared" si="1"/>
        <v>1026.27</v>
      </c>
      <c r="G20" s="372">
        <f t="shared" si="2"/>
        <v>1552.63</v>
      </c>
      <c r="H20" s="373"/>
      <c r="I20" s="372">
        <f t="shared" si="3"/>
        <v>528.75</v>
      </c>
      <c r="J20" s="372">
        <f t="shared" si="4"/>
        <v>1186.6500000000001</v>
      </c>
      <c r="K20" s="372">
        <f t="shared" si="5"/>
        <v>1715.4</v>
      </c>
      <c r="L20" s="374"/>
      <c r="M20" s="375">
        <f t="shared" si="6"/>
        <v>162.76999999999998</v>
      </c>
      <c r="N20" s="376">
        <f t="shared" si="7"/>
        <v>0.10483502186612391</v>
      </c>
      <c r="O20" s="377"/>
      <c r="P20" s="322"/>
      <c r="Q20" s="322"/>
      <c r="R20" s="322"/>
      <c r="S20" s="322"/>
      <c r="T20" s="322"/>
      <c r="U20" s="322"/>
      <c r="V20" s="377"/>
      <c r="W20" s="378"/>
      <c r="X20" s="377"/>
      <c r="Y20" s="322"/>
      <c r="Z20" s="322"/>
      <c r="AA20" s="322"/>
      <c r="AB20" s="322"/>
      <c r="AC20" s="322"/>
      <c r="AD20" s="322"/>
      <c r="AE20" s="377"/>
      <c r="AF20" s="374">
        <f t="shared" si="8"/>
        <v>-1715.4</v>
      </c>
    </row>
    <row r="21" spans="1:32" ht="14" x14ac:dyDescent="0.3">
      <c r="A21" s="151">
        <f>IF(C21&lt;&gt;"",COUNTA($C$12:C21),"")</f>
        <v>10</v>
      </c>
      <c r="B21" s="151"/>
      <c r="C21" s="409">
        <f>+'Bill_Bos G2 p1'!C21</f>
        <v>24</v>
      </c>
      <c r="D21" s="409">
        <f t="shared" si="9"/>
        <v>10800</v>
      </c>
      <c r="E21" s="372">
        <f t="shared" si="0"/>
        <v>661.39</v>
      </c>
      <c r="F21" s="372">
        <f t="shared" si="1"/>
        <v>1231.52</v>
      </c>
      <c r="G21" s="372">
        <f t="shared" si="2"/>
        <v>1892.9099999999999</v>
      </c>
      <c r="H21" s="373"/>
      <c r="I21" s="372">
        <f t="shared" si="3"/>
        <v>662.45</v>
      </c>
      <c r="J21" s="372">
        <f t="shared" si="4"/>
        <v>1423.98</v>
      </c>
      <c r="K21" s="372">
        <f t="shared" si="5"/>
        <v>2086.4300000000003</v>
      </c>
      <c r="L21" s="374"/>
      <c r="M21" s="375">
        <f t="shared" si="6"/>
        <v>193.52000000000044</v>
      </c>
      <c r="N21" s="376">
        <f t="shared" si="7"/>
        <v>0.10223412629232265</v>
      </c>
      <c r="O21" s="377"/>
      <c r="P21" s="322"/>
      <c r="Q21" s="322"/>
      <c r="R21" s="322"/>
      <c r="S21" s="322"/>
      <c r="T21" s="322"/>
      <c r="U21" s="322"/>
      <c r="V21" s="377"/>
      <c r="W21" s="378"/>
      <c r="X21" s="377"/>
      <c r="Y21" s="322"/>
      <c r="Z21" s="322"/>
      <c r="AA21" s="322"/>
      <c r="AB21" s="322"/>
      <c r="AC21" s="322"/>
      <c r="AD21" s="322"/>
      <c r="AE21" s="377"/>
      <c r="AF21" s="374">
        <f t="shared" si="8"/>
        <v>-2086.4300000000003</v>
      </c>
    </row>
    <row r="22" spans="1:32" ht="14" x14ac:dyDescent="0.3">
      <c r="A22" s="151">
        <f>IF(C22&lt;&gt;"",COUNTA($C$12:C22),"")</f>
        <v>11</v>
      </c>
      <c r="B22" s="151"/>
      <c r="C22" s="409">
        <f>+'Bill_Bos G2 p1'!C22</f>
        <v>30</v>
      </c>
      <c r="D22" s="409">
        <f t="shared" si="9"/>
        <v>13500</v>
      </c>
      <c r="E22" s="372">
        <f t="shared" si="0"/>
        <v>863.94</v>
      </c>
      <c r="F22" s="372">
        <f t="shared" si="1"/>
        <v>1539.41</v>
      </c>
      <c r="G22" s="372">
        <f t="shared" si="2"/>
        <v>2403.3500000000004</v>
      </c>
      <c r="H22" s="373"/>
      <c r="I22" s="372">
        <f t="shared" si="3"/>
        <v>863</v>
      </c>
      <c r="J22" s="372">
        <f t="shared" si="4"/>
        <v>1779.98</v>
      </c>
      <c r="K22" s="372">
        <f t="shared" si="5"/>
        <v>2642.98</v>
      </c>
      <c r="L22" s="374"/>
      <c r="M22" s="375">
        <f t="shared" si="6"/>
        <v>239.62999999999965</v>
      </c>
      <c r="N22" s="376">
        <f t="shared" si="7"/>
        <v>9.9706659454511251E-2</v>
      </c>
      <c r="O22" s="377"/>
      <c r="P22" s="322"/>
      <c r="Q22" s="322"/>
      <c r="R22" s="322"/>
      <c r="S22" s="322"/>
      <c r="T22" s="322"/>
      <c r="U22" s="322"/>
      <c r="V22" s="377"/>
      <c r="W22" s="378"/>
      <c r="X22" s="377"/>
      <c r="Y22" s="322"/>
      <c r="Z22" s="322"/>
      <c r="AA22" s="322"/>
      <c r="AB22" s="322"/>
      <c r="AC22" s="322"/>
      <c r="AD22" s="322"/>
      <c r="AE22" s="377"/>
      <c r="AF22" s="374">
        <f t="shared" si="8"/>
        <v>-2642.98</v>
      </c>
    </row>
    <row r="23" spans="1:32" ht="14" x14ac:dyDescent="0.3">
      <c r="A23" s="151">
        <f>IF(C23&lt;&gt;"",COUNTA($C$12:C23),"")</f>
        <v>12</v>
      </c>
      <c r="B23" s="151"/>
      <c r="C23" s="409">
        <f>+'Bill_Bos G2 p1'!C23</f>
        <v>40</v>
      </c>
      <c r="D23" s="409">
        <f t="shared" si="9"/>
        <v>18000</v>
      </c>
      <c r="E23" s="372">
        <f t="shared" si="0"/>
        <v>1201.52</v>
      </c>
      <c r="F23" s="372">
        <f t="shared" si="1"/>
        <v>2052.54</v>
      </c>
      <c r="G23" s="372">
        <f t="shared" si="2"/>
        <v>3254.06</v>
      </c>
      <c r="H23" s="373"/>
      <c r="I23" s="372">
        <f t="shared" si="3"/>
        <v>1197.24</v>
      </c>
      <c r="J23" s="372">
        <f t="shared" si="4"/>
        <v>2373.3000000000002</v>
      </c>
      <c r="K23" s="372">
        <f t="shared" si="5"/>
        <v>3570.54</v>
      </c>
      <c r="L23" s="374"/>
      <c r="M23" s="375">
        <f t="shared" si="6"/>
        <v>316.48</v>
      </c>
      <c r="N23" s="376">
        <f t="shared" si="7"/>
        <v>9.725696514508031E-2</v>
      </c>
      <c r="O23" s="377"/>
      <c r="P23" s="322"/>
      <c r="Q23" s="322"/>
      <c r="R23" s="322"/>
      <c r="S23" s="322"/>
      <c r="T23" s="322"/>
      <c r="U23" s="322"/>
      <c r="V23" s="377"/>
      <c r="W23" s="378"/>
      <c r="X23" s="377"/>
      <c r="Y23" s="322"/>
      <c r="Z23" s="322"/>
      <c r="AA23" s="322"/>
      <c r="AB23" s="322"/>
      <c r="AC23" s="322"/>
      <c r="AD23" s="322"/>
      <c r="AE23" s="377"/>
      <c r="AF23" s="374">
        <f t="shared" si="8"/>
        <v>-3570.54</v>
      </c>
    </row>
    <row r="24" spans="1:32" ht="14" x14ac:dyDescent="0.3">
      <c r="A24" s="151">
        <f>IF(C24&lt;&gt;"",COUNTA($C$12:C24),"")</f>
        <v>13</v>
      </c>
      <c r="B24" s="151"/>
      <c r="C24" s="409">
        <f>+'Bill_Bos G2 p1'!C24</f>
        <v>70</v>
      </c>
      <c r="D24" s="409">
        <f t="shared" si="9"/>
        <v>31500</v>
      </c>
      <c r="E24" s="372">
        <f t="shared" si="0"/>
        <v>2214.2600000000002</v>
      </c>
      <c r="F24" s="372">
        <f t="shared" si="1"/>
        <v>3591.95</v>
      </c>
      <c r="G24" s="372">
        <f t="shared" si="2"/>
        <v>5806.21</v>
      </c>
      <c r="H24" s="373"/>
      <c r="I24" s="372">
        <f t="shared" si="3"/>
        <v>2199.98</v>
      </c>
      <c r="J24" s="372">
        <f t="shared" si="4"/>
        <v>4153.28</v>
      </c>
      <c r="K24" s="372">
        <f t="shared" si="5"/>
        <v>6353.26</v>
      </c>
      <c r="L24" s="374"/>
      <c r="M24" s="375">
        <f t="shared" si="6"/>
        <v>547.05000000000018</v>
      </c>
      <c r="N24" s="376">
        <f t="shared" si="7"/>
        <v>9.4218087185961266E-2</v>
      </c>
      <c r="O24" s="377"/>
      <c r="P24" s="322"/>
      <c r="Q24" s="322"/>
      <c r="R24" s="322"/>
      <c r="S24" s="322"/>
      <c r="T24" s="322"/>
      <c r="U24" s="322"/>
      <c r="V24" s="377"/>
      <c r="W24" s="378"/>
      <c r="X24" s="377"/>
      <c r="Y24" s="322"/>
      <c r="Z24" s="322"/>
      <c r="AA24" s="322"/>
      <c r="AB24" s="322"/>
      <c r="AC24" s="322"/>
      <c r="AD24" s="322"/>
      <c r="AE24" s="377"/>
      <c r="AF24" s="374">
        <f t="shared" si="8"/>
        <v>-6353.26</v>
      </c>
    </row>
    <row r="25" spans="1:32" ht="14" x14ac:dyDescent="0.3">
      <c r="A25" s="151">
        <f>IF(C25&lt;&gt;"",COUNTA($C$12:C25),"")</f>
        <v>14</v>
      </c>
      <c r="B25" s="151" t="s">
        <v>554</v>
      </c>
      <c r="C25" s="366">
        <v>31</v>
      </c>
      <c r="D25" s="409">
        <f t="shared" si="9"/>
        <v>13950</v>
      </c>
      <c r="E25" s="372">
        <f t="shared" si="0"/>
        <v>897.7</v>
      </c>
      <c r="F25" s="372">
        <f t="shared" si="1"/>
        <v>1590.72</v>
      </c>
      <c r="G25" s="372">
        <f t="shared" si="2"/>
        <v>2488.42</v>
      </c>
      <c r="H25" s="373"/>
      <c r="I25" s="372">
        <f t="shared" si="3"/>
        <v>896.42000000000007</v>
      </c>
      <c r="J25" s="372">
        <f t="shared" si="4"/>
        <v>1839.31</v>
      </c>
      <c r="K25" s="372">
        <f t="shared" si="5"/>
        <v>2735.73</v>
      </c>
      <c r="L25" s="374"/>
      <c r="M25" s="375">
        <f t="shared" si="6"/>
        <v>247.30999999999995</v>
      </c>
      <c r="N25" s="376">
        <f t="shared" si="7"/>
        <v>9.9384348301331749E-2</v>
      </c>
      <c r="O25" s="377"/>
      <c r="P25" s="322"/>
      <c r="Q25" s="322"/>
      <c r="R25" s="322"/>
      <c r="S25" s="322"/>
      <c r="T25" s="322"/>
      <c r="U25" s="322"/>
      <c r="V25" s="377"/>
      <c r="W25" s="378"/>
      <c r="X25" s="377"/>
      <c r="Y25" s="322"/>
      <c r="Z25" s="322"/>
      <c r="AA25" s="322"/>
      <c r="AB25" s="322"/>
      <c r="AC25" s="322"/>
      <c r="AD25" s="322"/>
      <c r="AE25" s="377"/>
      <c r="AF25" s="374">
        <f t="shared" si="8"/>
        <v>-2735.73</v>
      </c>
    </row>
    <row r="26" spans="1:32" ht="14" x14ac:dyDescent="0.3">
      <c r="A26" s="151" t="str">
        <f>IF(C26&lt;&gt;"",COUNTA($C$12:C26),"")</f>
        <v/>
      </c>
      <c r="B26" s="151"/>
      <c r="C26" s="293"/>
      <c r="D26" s="409"/>
      <c r="E26" s="372"/>
      <c r="F26" s="372"/>
      <c r="G26" s="372"/>
      <c r="H26" s="373"/>
      <c r="I26" s="372"/>
      <c r="J26" s="374"/>
      <c r="K26" s="374"/>
      <c r="L26" s="374"/>
      <c r="M26" s="374"/>
      <c r="O26" s="415"/>
      <c r="P26" s="415"/>
      <c r="Q26" s="416"/>
      <c r="R26" s="369"/>
      <c r="S26" s="369"/>
      <c r="T26" s="369"/>
      <c r="U26" s="369"/>
      <c r="V26" s="369"/>
      <c r="W26" s="378"/>
      <c r="X26" s="415"/>
      <c r="Y26" s="415"/>
      <c r="Z26" s="416"/>
      <c r="AA26" s="369"/>
      <c r="AB26" s="369"/>
      <c r="AC26" s="322"/>
      <c r="AD26" s="322"/>
      <c r="AE26" s="369"/>
      <c r="AF26" s="369"/>
    </row>
    <row r="27" spans="1:32" ht="14" x14ac:dyDescent="0.3">
      <c r="A27" s="151">
        <f>IF(C27&lt;&gt;"",COUNTA($C$12:C27),"")</f>
        <v>15</v>
      </c>
      <c r="B27" s="151"/>
      <c r="C27" s="366" t="str">
        <f>+C13</f>
        <v>Monthly</v>
      </c>
      <c r="D27" s="366" t="str">
        <f>+D13</f>
        <v>Monthly</v>
      </c>
      <c r="E27" s="760" t="str">
        <f>+'Bill_Bos G1 nonDem'!D26</f>
        <v>Current Monthly Bill (Summer)</v>
      </c>
      <c r="F27" s="760"/>
      <c r="G27" s="760"/>
      <c r="H27" s="448"/>
      <c r="I27" s="760" t="str">
        <f>+'Bill_Bos G1 nonDem'!H26</f>
        <v>Proposed Monthly Bill (Summer)</v>
      </c>
      <c r="J27" s="760"/>
      <c r="K27" s="760"/>
      <c r="L27" s="374"/>
      <c r="M27" s="407" t="s">
        <v>550</v>
      </c>
      <c r="N27" s="440"/>
      <c r="O27" s="378"/>
      <c r="P27" s="369"/>
      <c r="Q27" s="369"/>
      <c r="R27" s="369"/>
      <c r="S27" s="369"/>
      <c r="T27" s="369"/>
      <c r="U27" s="369"/>
      <c r="V27" s="369"/>
      <c r="W27" s="369"/>
      <c r="X27" s="378"/>
      <c r="Y27" s="369"/>
      <c r="Z27" s="369"/>
      <c r="AA27" s="369"/>
      <c r="AB27" s="369"/>
      <c r="AC27" s="322"/>
      <c r="AD27" s="322"/>
      <c r="AE27" s="369"/>
      <c r="AF27" s="369"/>
    </row>
    <row r="28" spans="1:32" ht="14" x14ac:dyDescent="0.3">
      <c r="A28" s="151">
        <f>IF(C28&lt;&gt;"",COUNTA($C$12:C28),"")</f>
        <v>16</v>
      </c>
      <c r="B28" s="151"/>
      <c r="C28" s="370" t="s">
        <v>534</v>
      </c>
      <c r="D28" s="370" t="s">
        <v>551</v>
      </c>
      <c r="E28" s="442" t="s">
        <v>552</v>
      </c>
      <c r="F28" s="442" t="s">
        <v>553</v>
      </c>
      <c r="G28" s="442" t="s">
        <v>47</v>
      </c>
      <c r="H28" s="448"/>
      <c r="I28" s="442" t="s">
        <v>552</v>
      </c>
      <c r="J28" s="442" t="s">
        <v>553</v>
      </c>
      <c r="K28" s="442" t="s">
        <v>47</v>
      </c>
      <c r="L28" s="374"/>
      <c r="M28" s="442" t="s">
        <v>65</v>
      </c>
      <c r="N28" s="370" t="s">
        <v>325</v>
      </c>
      <c r="O28" s="378"/>
      <c r="P28" s="369"/>
      <c r="Q28" s="369"/>
      <c r="R28" s="369"/>
      <c r="S28" s="369"/>
      <c r="T28" s="369"/>
      <c r="U28" s="369"/>
      <c r="V28" s="369"/>
      <c r="W28" s="369"/>
      <c r="X28" s="378"/>
      <c r="Y28" s="369"/>
      <c r="Z28" s="369"/>
      <c r="AA28" s="369"/>
      <c r="AB28" s="369"/>
      <c r="AC28" s="322"/>
      <c r="AD28" s="322"/>
      <c r="AE28" s="369"/>
      <c r="AF28" s="369"/>
    </row>
    <row r="29" spans="1:32" ht="14" x14ac:dyDescent="0.3">
      <c r="A29" s="151">
        <f>IF(C29&lt;&gt;"",COUNTA($C$12:C29),"")</f>
        <v>17</v>
      </c>
      <c r="B29" s="151"/>
      <c r="C29" s="409">
        <f>+'Bill_Bos G2 p1'!C29</f>
        <v>8</v>
      </c>
      <c r="D29" s="409">
        <f>+C29*450</f>
        <v>3600</v>
      </c>
      <c r="E29" s="372">
        <f t="shared" ref="E29:E39" si="10">ROUND($G$44+IF($C29&lt;=10,0,($C29-10)*SUM($G$49,$G$50)),2)+ROUND(IF($D29&gt;(2000+150*$C29),($D29-(2000+150*$C29))*$G$56+150*$C29*$G$55+2000*$G$54,IF($D29&gt;2000,($D29-2000)*$G$55+2000*$G$54,$D29*$G$54)),2)+ROUND($D29*SUM($G$57:$G$71,$G$72:$G$74),2)</f>
        <v>179.25</v>
      </c>
      <c r="F29" s="372">
        <f t="shared" ref="F29:F39" si="11">ROUND($G$75*D29,2)</f>
        <v>410.51</v>
      </c>
      <c r="G29" s="372">
        <f t="shared" ref="G29:G39" si="12">SUM(E29:F29)</f>
        <v>589.76</v>
      </c>
      <c r="H29" s="373"/>
      <c r="I29" s="372">
        <f t="shared" ref="I29:I39" si="13">ROUND($I$44+IF($C29&lt;=10,0,($C29-10)*SUM($I$49,$I$50)),2)+ROUND(IF($D29&gt;(2000+150*$C29),($D29-(2000+150*$C29))*$I$56+150*$C29*$I$55+2000*$I$54,IF($D29&gt;2000,($D29-2000)*$I$55+2000*$I$54,$D29*$I$54)),2)+ROUND($D29*SUM($I$57:$I$71,$I$72:$I$74),2)</f>
        <v>184.64</v>
      </c>
      <c r="J29" s="372">
        <f t="shared" ref="J29:J39" si="14">ROUND(I$75*D29,2)</f>
        <v>474.66</v>
      </c>
      <c r="K29" s="372">
        <f t="shared" ref="K29:K39" si="15">SUM(I29:J29)</f>
        <v>659.3</v>
      </c>
      <c r="L29" s="374"/>
      <c r="M29" s="375">
        <f t="shared" ref="M29:M39" si="16">+K29-G29</f>
        <v>69.539999999999964</v>
      </c>
      <c r="N29" s="376">
        <f t="shared" ref="N29:N39" si="17">+M29/G29</f>
        <v>0.11791237113402056</v>
      </c>
      <c r="O29" s="377"/>
      <c r="P29" s="322"/>
      <c r="Q29" s="322"/>
      <c r="R29" s="322"/>
      <c r="S29" s="322"/>
      <c r="T29" s="322"/>
      <c r="U29" s="322"/>
      <c r="V29" s="377"/>
      <c r="W29" s="378"/>
      <c r="X29" s="377"/>
      <c r="Y29" s="322"/>
      <c r="Z29" s="322"/>
      <c r="AA29" s="322"/>
      <c r="AB29" s="322"/>
      <c r="AC29" s="322"/>
      <c r="AD29" s="322"/>
      <c r="AE29" s="377"/>
      <c r="AF29" s="374">
        <f t="shared" ref="AF29:AF39" si="18">+AE29-K29</f>
        <v>-659.3</v>
      </c>
    </row>
    <row r="30" spans="1:32" ht="14" x14ac:dyDescent="0.3">
      <c r="A30" s="151">
        <f>IF(C30&lt;&gt;"",COUNTA($C$12:C30),"")</f>
        <v>18</v>
      </c>
      <c r="B30" s="151"/>
      <c r="C30" s="409">
        <f>+'Bill_Bos G2 p1'!C30</f>
        <v>10</v>
      </c>
      <c r="D30" s="409">
        <f t="shared" ref="D30:D39" si="19">+C30*450</f>
        <v>4500</v>
      </c>
      <c r="E30" s="372">
        <f t="shared" si="10"/>
        <v>211.48000000000002</v>
      </c>
      <c r="F30" s="372">
        <f t="shared" si="11"/>
        <v>513.14</v>
      </c>
      <c r="G30" s="372">
        <f t="shared" si="12"/>
        <v>724.62</v>
      </c>
      <c r="H30" s="373"/>
      <c r="I30" s="372">
        <f t="shared" si="13"/>
        <v>217.95</v>
      </c>
      <c r="J30" s="372">
        <f t="shared" si="14"/>
        <v>593.33000000000004</v>
      </c>
      <c r="K30" s="372">
        <f t="shared" si="15"/>
        <v>811.28</v>
      </c>
      <c r="L30" s="374"/>
      <c r="M30" s="375">
        <f t="shared" si="16"/>
        <v>86.659999999999968</v>
      </c>
      <c r="N30" s="376">
        <f t="shared" si="17"/>
        <v>0.11959371808672127</v>
      </c>
      <c r="O30" s="377"/>
      <c r="P30" s="322"/>
      <c r="Q30" s="322"/>
      <c r="R30" s="322"/>
      <c r="S30" s="322"/>
      <c r="T30" s="322"/>
      <c r="U30" s="322"/>
      <c r="V30" s="377"/>
      <c r="W30" s="378"/>
      <c r="X30" s="377"/>
      <c r="Y30" s="322"/>
      <c r="Z30" s="322"/>
      <c r="AA30" s="322"/>
      <c r="AB30" s="322"/>
      <c r="AC30" s="322"/>
      <c r="AD30" s="322"/>
      <c r="AE30" s="377"/>
      <c r="AF30" s="374">
        <f t="shared" si="18"/>
        <v>-811.28</v>
      </c>
    </row>
    <row r="31" spans="1:32" ht="14" x14ac:dyDescent="0.3">
      <c r="A31" s="151">
        <f>IF(C31&lt;&gt;"",COUNTA($C$12:C31),"")</f>
        <v>19</v>
      </c>
      <c r="B31" s="151"/>
      <c r="C31" s="409">
        <f>+'Bill_Bos G2 p1'!C31</f>
        <v>12</v>
      </c>
      <c r="D31" s="409">
        <f t="shared" si="19"/>
        <v>5400</v>
      </c>
      <c r="E31" s="372">
        <f t="shared" si="10"/>
        <v>330.53999999999996</v>
      </c>
      <c r="F31" s="372">
        <f t="shared" si="11"/>
        <v>615.76</v>
      </c>
      <c r="G31" s="372">
        <f t="shared" si="12"/>
        <v>946.3</v>
      </c>
      <c r="H31" s="373"/>
      <c r="I31" s="372">
        <f t="shared" si="13"/>
        <v>332.58</v>
      </c>
      <c r="J31" s="372">
        <f t="shared" si="14"/>
        <v>711.99</v>
      </c>
      <c r="K31" s="372">
        <f t="shared" si="15"/>
        <v>1044.57</v>
      </c>
      <c r="L31" s="374"/>
      <c r="M31" s="375">
        <f t="shared" si="16"/>
        <v>98.269999999999982</v>
      </c>
      <c r="N31" s="376">
        <f t="shared" si="17"/>
        <v>0.10384656028743526</v>
      </c>
      <c r="O31" s="377"/>
      <c r="P31" s="322"/>
      <c r="Q31" s="322"/>
      <c r="R31" s="322"/>
      <c r="S31" s="322"/>
      <c r="T31" s="322"/>
      <c r="U31" s="322"/>
      <c r="V31" s="377"/>
      <c r="W31" s="378"/>
      <c r="X31" s="377"/>
      <c r="Y31" s="322"/>
      <c r="Z31" s="322"/>
      <c r="AA31" s="322"/>
      <c r="AB31" s="322"/>
      <c r="AC31" s="322"/>
      <c r="AD31" s="322"/>
      <c r="AE31" s="377"/>
      <c r="AF31" s="374">
        <f t="shared" si="18"/>
        <v>-1044.57</v>
      </c>
    </row>
    <row r="32" spans="1:32" ht="14" x14ac:dyDescent="0.3">
      <c r="A32" s="151">
        <f>IF(C32&lt;&gt;"",COUNTA($C$12:C32),"")</f>
        <v>20</v>
      </c>
      <c r="B32" s="151"/>
      <c r="C32" s="409">
        <f>+'Bill_Bos G2 p1'!C32</f>
        <v>14</v>
      </c>
      <c r="D32" s="409">
        <f t="shared" si="19"/>
        <v>6300</v>
      </c>
      <c r="E32" s="372">
        <f t="shared" si="10"/>
        <v>449.6</v>
      </c>
      <c r="F32" s="372">
        <f t="shared" si="11"/>
        <v>718.39</v>
      </c>
      <c r="G32" s="372">
        <f t="shared" si="12"/>
        <v>1167.99</v>
      </c>
      <c r="H32" s="373"/>
      <c r="I32" s="372">
        <f t="shared" si="13"/>
        <v>447.23</v>
      </c>
      <c r="J32" s="372">
        <f t="shared" si="14"/>
        <v>830.66</v>
      </c>
      <c r="K32" s="372">
        <f t="shared" si="15"/>
        <v>1277.8899999999999</v>
      </c>
      <c r="L32" s="374"/>
      <c r="M32" s="375">
        <f t="shared" si="16"/>
        <v>109.89999999999986</v>
      </c>
      <c r="N32" s="376">
        <f t="shared" si="17"/>
        <v>9.4093271346501139E-2</v>
      </c>
      <c r="O32" s="377"/>
      <c r="P32" s="322"/>
      <c r="Q32" s="322"/>
      <c r="R32" s="322"/>
      <c r="S32" s="322"/>
      <c r="T32" s="322"/>
      <c r="U32" s="322"/>
      <c r="V32" s="377"/>
      <c r="W32" s="378"/>
      <c r="X32" s="377"/>
      <c r="Y32" s="322"/>
      <c r="Z32" s="322"/>
      <c r="AA32" s="322"/>
      <c r="AB32" s="322"/>
      <c r="AC32" s="322"/>
      <c r="AD32" s="322"/>
      <c r="AE32" s="377"/>
      <c r="AF32" s="374">
        <f t="shared" si="18"/>
        <v>-1277.8899999999999</v>
      </c>
    </row>
    <row r="33" spans="1:32" ht="14" x14ac:dyDescent="0.3">
      <c r="A33" s="151">
        <f>IF(C33&lt;&gt;"",COUNTA($C$12:C33),"")</f>
        <v>21</v>
      </c>
      <c r="B33" s="151"/>
      <c r="C33" s="409">
        <f>+'Bill_Bos G2 p1'!C33</f>
        <v>16</v>
      </c>
      <c r="D33" s="409">
        <f t="shared" si="19"/>
        <v>7200</v>
      </c>
      <c r="E33" s="372">
        <f t="shared" si="10"/>
        <v>568.66</v>
      </c>
      <c r="F33" s="372">
        <f t="shared" si="11"/>
        <v>821.02</v>
      </c>
      <c r="G33" s="372">
        <f t="shared" si="12"/>
        <v>1389.6799999999998</v>
      </c>
      <c r="H33" s="373"/>
      <c r="I33" s="372">
        <f t="shared" si="13"/>
        <v>561.86</v>
      </c>
      <c r="J33" s="372">
        <f t="shared" si="14"/>
        <v>949.32</v>
      </c>
      <c r="K33" s="372">
        <f t="shared" si="15"/>
        <v>1511.18</v>
      </c>
      <c r="L33" s="374"/>
      <c r="M33" s="375">
        <f t="shared" si="16"/>
        <v>121.50000000000023</v>
      </c>
      <c r="N33" s="376">
        <f t="shared" si="17"/>
        <v>8.7430199758217891E-2</v>
      </c>
      <c r="O33" s="377"/>
      <c r="P33" s="322"/>
      <c r="Q33" s="322"/>
      <c r="R33" s="322"/>
      <c r="S33" s="322"/>
      <c r="T33" s="322"/>
      <c r="U33" s="322"/>
      <c r="V33" s="377"/>
      <c r="W33" s="378"/>
      <c r="X33" s="377"/>
      <c r="Y33" s="322"/>
      <c r="Z33" s="322"/>
      <c r="AA33" s="322"/>
      <c r="AB33" s="322"/>
      <c r="AC33" s="322"/>
      <c r="AD33" s="322"/>
      <c r="AE33" s="377"/>
      <c r="AF33" s="374">
        <f t="shared" si="18"/>
        <v>-1511.18</v>
      </c>
    </row>
    <row r="34" spans="1:32" ht="14" x14ac:dyDescent="0.3">
      <c r="A34" s="151">
        <f>IF(C34&lt;&gt;"",COUNTA($C$12:C34),"")</f>
        <v>22</v>
      </c>
      <c r="B34" s="151"/>
      <c r="C34" s="409">
        <f>+'Bill_Bos G2 p1'!C34</f>
        <v>20</v>
      </c>
      <c r="D34" s="409">
        <f t="shared" si="19"/>
        <v>9000</v>
      </c>
      <c r="E34" s="372">
        <f t="shared" si="10"/>
        <v>806.79</v>
      </c>
      <c r="F34" s="372">
        <f t="shared" si="11"/>
        <v>1026.27</v>
      </c>
      <c r="G34" s="372">
        <f t="shared" si="12"/>
        <v>1833.06</v>
      </c>
      <c r="H34" s="373"/>
      <c r="I34" s="372">
        <f t="shared" si="13"/>
        <v>791.14</v>
      </c>
      <c r="J34" s="372">
        <f t="shared" si="14"/>
        <v>1186.6500000000001</v>
      </c>
      <c r="K34" s="372">
        <f t="shared" si="15"/>
        <v>1977.79</v>
      </c>
      <c r="L34" s="374"/>
      <c r="M34" s="375">
        <f t="shared" si="16"/>
        <v>144.73000000000002</v>
      </c>
      <c r="N34" s="376">
        <f t="shared" si="17"/>
        <v>7.8955407897177407E-2</v>
      </c>
      <c r="O34" s="377"/>
      <c r="P34" s="322"/>
      <c r="Q34" s="322"/>
      <c r="R34" s="322"/>
      <c r="S34" s="322"/>
      <c r="T34" s="322"/>
      <c r="U34" s="322"/>
      <c r="V34" s="377"/>
      <c r="W34" s="378"/>
      <c r="X34" s="377"/>
      <c r="Y34" s="322"/>
      <c r="Z34" s="322"/>
      <c r="AA34" s="322"/>
      <c r="AB34" s="322"/>
      <c r="AC34" s="322"/>
      <c r="AD34" s="322"/>
      <c r="AE34" s="377"/>
      <c r="AF34" s="374">
        <f t="shared" si="18"/>
        <v>-1977.79</v>
      </c>
    </row>
    <row r="35" spans="1:32" ht="14" x14ac:dyDescent="0.3">
      <c r="A35" s="151">
        <f>IF(C35&lt;&gt;"",COUNTA($C$12:C35),"")</f>
        <v>23</v>
      </c>
      <c r="B35" s="151"/>
      <c r="C35" s="409">
        <f>+'Bill_Bos G2 p1'!C35</f>
        <v>24</v>
      </c>
      <c r="D35" s="409">
        <f t="shared" si="19"/>
        <v>10800</v>
      </c>
      <c r="E35" s="372">
        <f t="shared" si="10"/>
        <v>1044.92</v>
      </c>
      <c r="F35" s="372">
        <f t="shared" si="11"/>
        <v>1231.52</v>
      </c>
      <c r="G35" s="372">
        <f t="shared" si="12"/>
        <v>2276.44</v>
      </c>
      <c r="H35" s="373"/>
      <c r="I35" s="372">
        <f t="shared" si="13"/>
        <v>1020.42</v>
      </c>
      <c r="J35" s="372">
        <f t="shared" si="14"/>
        <v>1423.98</v>
      </c>
      <c r="K35" s="372">
        <f t="shared" si="15"/>
        <v>2444.4</v>
      </c>
      <c r="L35" s="374"/>
      <c r="M35" s="375">
        <f t="shared" si="16"/>
        <v>167.96000000000004</v>
      </c>
      <c r="N35" s="376">
        <f t="shared" si="17"/>
        <v>7.3781869937270483E-2</v>
      </c>
      <c r="O35" s="377"/>
      <c r="P35" s="322"/>
      <c r="Q35" s="322"/>
      <c r="R35" s="322"/>
      <c r="S35" s="322"/>
      <c r="T35" s="322"/>
      <c r="U35" s="322"/>
      <c r="V35" s="377"/>
      <c r="W35" s="378"/>
      <c r="X35" s="377"/>
      <c r="Y35" s="322"/>
      <c r="Z35" s="322"/>
      <c r="AA35" s="322"/>
      <c r="AB35" s="322"/>
      <c r="AC35" s="322"/>
      <c r="AD35" s="322"/>
      <c r="AE35" s="377"/>
      <c r="AF35" s="374">
        <f t="shared" si="18"/>
        <v>-2444.4</v>
      </c>
    </row>
    <row r="36" spans="1:32" ht="14" x14ac:dyDescent="0.3">
      <c r="A36" s="151">
        <f>IF(C36&lt;&gt;"",COUNTA($C$12:C36),"")</f>
        <v>24</v>
      </c>
      <c r="B36" s="151"/>
      <c r="C36" s="409">
        <f>+'Bill_Bos G2 p1'!C36</f>
        <v>30</v>
      </c>
      <c r="D36" s="409">
        <f t="shared" si="19"/>
        <v>13500</v>
      </c>
      <c r="E36" s="372">
        <f t="shared" si="10"/>
        <v>1402.11</v>
      </c>
      <c r="F36" s="372">
        <f t="shared" si="11"/>
        <v>1539.41</v>
      </c>
      <c r="G36" s="372">
        <f t="shared" si="12"/>
        <v>2941.52</v>
      </c>
      <c r="H36" s="373"/>
      <c r="I36" s="372">
        <f t="shared" si="13"/>
        <v>1364.35</v>
      </c>
      <c r="J36" s="372">
        <f t="shared" si="14"/>
        <v>1779.98</v>
      </c>
      <c r="K36" s="372">
        <f t="shared" si="15"/>
        <v>3144.33</v>
      </c>
      <c r="L36" s="374"/>
      <c r="M36" s="375">
        <f t="shared" si="16"/>
        <v>202.80999999999995</v>
      </c>
      <c r="N36" s="376">
        <f t="shared" si="17"/>
        <v>6.894734694987624E-2</v>
      </c>
      <c r="O36" s="377"/>
      <c r="P36" s="322"/>
      <c r="Q36" s="322"/>
      <c r="R36" s="322"/>
      <c r="S36" s="322"/>
      <c r="T36" s="322"/>
      <c r="U36" s="322"/>
      <c r="V36" s="377"/>
      <c r="W36" s="378"/>
      <c r="X36" s="377"/>
      <c r="Y36" s="322"/>
      <c r="Z36" s="322"/>
      <c r="AA36" s="322"/>
      <c r="AB36" s="322"/>
      <c r="AC36" s="322"/>
      <c r="AD36" s="322"/>
      <c r="AE36" s="377"/>
      <c r="AF36" s="374">
        <f t="shared" si="18"/>
        <v>-3144.33</v>
      </c>
    </row>
    <row r="37" spans="1:32" ht="14" x14ac:dyDescent="0.3">
      <c r="A37" s="151">
        <f>IF(C37&lt;&gt;"",COUNTA($C$12:C37),"")</f>
        <v>25</v>
      </c>
      <c r="B37" s="151"/>
      <c r="C37" s="409">
        <f>+'Bill_Bos G2 p1'!C37</f>
        <v>40</v>
      </c>
      <c r="D37" s="409">
        <f t="shared" si="19"/>
        <v>18000</v>
      </c>
      <c r="E37" s="372">
        <f t="shared" si="10"/>
        <v>1997.4199999999998</v>
      </c>
      <c r="F37" s="372">
        <f t="shared" si="11"/>
        <v>2052.54</v>
      </c>
      <c r="G37" s="372">
        <f t="shared" si="12"/>
        <v>4049.96</v>
      </c>
      <c r="H37" s="373"/>
      <c r="I37" s="372">
        <f t="shared" si="13"/>
        <v>1937.54</v>
      </c>
      <c r="J37" s="372">
        <f t="shared" si="14"/>
        <v>2373.3000000000002</v>
      </c>
      <c r="K37" s="372">
        <f t="shared" si="15"/>
        <v>4310.84</v>
      </c>
      <c r="L37" s="374"/>
      <c r="M37" s="375">
        <f t="shared" si="16"/>
        <v>260.88000000000011</v>
      </c>
      <c r="N37" s="376">
        <f t="shared" si="17"/>
        <v>6.4415451016800199E-2</v>
      </c>
      <c r="O37" s="377"/>
      <c r="P37" s="322"/>
      <c r="Q37" s="322"/>
      <c r="R37" s="322"/>
      <c r="S37" s="322"/>
      <c r="T37" s="322"/>
      <c r="U37" s="322"/>
      <c r="V37" s="377"/>
      <c r="W37" s="378"/>
      <c r="X37" s="377"/>
      <c r="Y37" s="322"/>
      <c r="Z37" s="322"/>
      <c r="AA37" s="322"/>
      <c r="AB37" s="322"/>
      <c r="AC37" s="322"/>
      <c r="AD37" s="322"/>
      <c r="AE37" s="377"/>
      <c r="AF37" s="374">
        <f t="shared" si="18"/>
        <v>-4310.84</v>
      </c>
    </row>
    <row r="38" spans="1:32" ht="14" x14ac:dyDescent="0.3">
      <c r="A38" s="151">
        <f>IF(C38&lt;&gt;"",COUNTA($C$12:C38),"")</f>
        <v>26</v>
      </c>
      <c r="B38" s="151"/>
      <c r="C38" s="409">
        <f>+'Bill_Bos G2 p1'!C38</f>
        <v>70</v>
      </c>
      <c r="D38" s="409">
        <f t="shared" si="19"/>
        <v>31500</v>
      </c>
      <c r="E38" s="372">
        <f t="shared" si="10"/>
        <v>3783.37</v>
      </c>
      <c r="F38" s="372">
        <f t="shared" si="11"/>
        <v>3591.95</v>
      </c>
      <c r="G38" s="372">
        <f t="shared" si="12"/>
        <v>7375.32</v>
      </c>
      <c r="H38" s="373"/>
      <c r="I38" s="372">
        <f t="shared" si="13"/>
        <v>3657.15</v>
      </c>
      <c r="J38" s="372">
        <f t="shared" si="14"/>
        <v>4153.28</v>
      </c>
      <c r="K38" s="372">
        <f t="shared" si="15"/>
        <v>7810.43</v>
      </c>
      <c r="L38" s="374"/>
      <c r="M38" s="375">
        <f t="shared" si="16"/>
        <v>435.11000000000058</v>
      </c>
      <c r="N38" s="376">
        <f t="shared" si="17"/>
        <v>5.8995406301014817E-2</v>
      </c>
      <c r="O38" s="377"/>
      <c r="P38" s="322"/>
      <c r="Q38" s="322"/>
      <c r="R38" s="322"/>
      <c r="S38" s="322"/>
      <c r="T38" s="322"/>
      <c r="U38" s="322"/>
      <c r="V38" s="377"/>
      <c r="W38" s="378"/>
      <c r="X38" s="377"/>
      <c r="Y38" s="322"/>
      <c r="Z38" s="322"/>
      <c r="AA38" s="322"/>
      <c r="AB38" s="322"/>
      <c r="AC38" s="322"/>
      <c r="AD38" s="322"/>
      <c r="AE38" s="377"/>
      <c r="AF38" s="374">
        <f t="shared" si="18"/>
        <v>-7810.43</v>
      </c>
    </row>
    <row r="39" spans="1:32" ht="14" x14ac:dyDescent="0.3">
      <c r="A39" s="151">
        <f>IF(C39&lt;&gt;"",COUNTA($C$12:C39),"")</f>
        <v>27</v>
      </c>
      <c r="B39" s="151" t="s">
        <v>554</v>
      </c>
      <c r="C39" s="409">
        <v>33</v>
      </c>
      <c r="D39" s="409">
        <f t="shared" si="19"/>
        <v>14850</v>
      </c>
      <c r="E39" s="372">
        <f t="shared" si="10"/>
        <v>1580.7</v>
      </c>
      <c r="F39" s="372">
        <f t="shared" si="11"/>
        <v>1693.35</v>
      </c>
      <c r="G39" s="372">
        <f t="shared" si="12"/>
        <v>3274.05</v>
      </c>
      <c r="H39" s="373"/>
      <c r="I39" s="372">
        <f t="shared" si="13"/>
        <v>1536.3000000000002</v>
      </c>
      <c r="J39" s="372">
        <f t="shared" si="14"/>
        <v>1957.97</v>
      </c>
      <c r="K39" s="372">
        <f t="shared" si="15"/>
        <v>3494.2700000000004</v>
      </c>
      <c r="L39" s="374"/>
      <c r="M39" s="375">
        <f t="shared" si="16"/>
        <v>220.22000000000025</v>
      </c>
      <c r="N39" s="376">
        <f t="shared" si="17"/>
        <v>6.7262259281318321E-2</v>
      </c>
      <c r="O39" s="377"/>
      <c r="P39" s="322"/>
      <c r="Q39" s="322"/>
      <c r="R39" s="322"/>
      <c r="S39" s="322"/>
      <c r="T39" s="322"/>
      <c r="U39" s="322"/>
      <c r="V39" s="377"/>
      <c r="W39" s="378"/>
      <c r="X39" s="377"/>
      <c r="Y39" s="322"/>
      <c r="Z39" s="322"/>
      <c r="AA39" s="322"/>
      <c r="AB39" s="322"/>
      <c r="AC39" s="322"/>
      <c r="AD39" s="322"/>
      <c r="AE39" s="377"/>
      <c r="AF39" s="374">
        <f t="shared" si="18"/>
        <v>-3494.2700000000004</v>
      </c>
    </row>
    <row r="40" spans="1:32" ht="14" x14ac:dyDescent="0.3">
      <c r="A40" s="151" t="str">
        <f>IF(C40&lt;&gt;"",COUNTA($C$12:C40),"")</f>
        <v/>
      </c>
      <c r="B40" s="151"/>
      <c r="C40" s="293"/>
      <c r="D40" s="449"/>
      <c r="E40" s="372"/>
      <c r="F40" s="372"/>
      <c r="G40" s="450"/>
      <c r="H40" s="451"/>
    </row>
    <row r="41" spans="1:32" ht="14" x14ac:dyDescent="0.3">
      <c r="A41" s="151" t="str">
        <f>IF(C41&lt;&gt;"",COUNTA($C$12:C41),"")</f>
        <v/>
      </c>
      <c r="B41" s="151"/>
      <c r="C41" s="293"/>
      <c r="D41" s="449"/>
      <c r="E41" s="372"/>
      <c r="F41" s="372"/>
      <c r="G41" s="450"/>
      <c r="H41" s="451"/>
    </row>
    <row r="42" spans="1:32" ht="14" x14ac:dyDescent="0.3">
      <c r="A42" s="151">
        <f>IF(C42&lt;&gt;"",COUNTA($C$12:C42),"")</f>
        <v>28</v>
      </c>
      <c r="B42" s="151"/>
      <c r="C42" s="293" t="s">
        <v>46</v>
      </c>
      <c r="D42" s="293"/>
      <c r="E42" s="293"/>
      <c r="G42" s="395" t="str">
        <f>+'Bill_Bos G1 Dmd p1'!G42</f>
        <v>Current</v>
      </c>
      <c r="I42" s="395" t="str">
        <f>+'Bill_Bos G1 Dmd p1'!I42</f>
        <v>Proposed</v>
      </c>
      <c r="J42" s="420"/>
    </row>
    <row r="43" spans="1:32" ht="17" x14ac:dyDescent="0.6">
      <c r="A43" s="151">
        <f>IF(C43&lt;&gt;"",COUNTA($C$12:C43),"")</f>
        <v>29</v>
      </c>
      <c r="B43" s="151"/>
      <c r="C43" s="274" t="s">
        <v>46</v>
      </c>
      <c r="D43" s="274"/>
      <c r="E43" s="293"/>
      <c r="G43" s="396" t="str">
        <f>+'Bill_Bos G1 Dmd p1'!G43</f>
        <v>Rates</v>
      </c>
      <c r="I43" s="396" t="str">
        <f>+'Bill_Bos G1 Dmd p1'!I43</f>
        <v>Rates</v>
      </c>
      <c r="J43" s="396" t="str">
        <f>+'Bill_Bos G1 Dmd p1'!J43</f>
        <v>Change</v>
      </c>
    </row>
    <row r="44" spans="1:32" ht="14" x14ac:dyDescent="0.3">
      <c r="A44" s="151">
        <f>IF(C44&lt;&gt;"",COUNTA($C$12:C44),"")</f>
        <v>30</v>
      </c>
      <c r="B44" s="151"/>
      <c r="C44" s="293" t="str">
        <f>'Bill_Bos G2 p1'!C44</f>
        <v>Customer Charge</v>
      </c>
      <c r="D44" s="293"/>
      <c r="E44" s="274"/>
      <c r="G44" s="397">
        <v>18</v>
      </c>
      <c r="H44" s="397"/>
      <c r="I44" s="397">
        <f>+G44</f>
        <v>18</v>
      </c>
      <c r="J44" s="421">
        <f>I44-G44</f>
        <v>0</v>
      </c>
    </row>
    <row r="45" spans="1:32" ht="14" x14ac:dyDescent="0.3">
      <c r="A45" s="151">
        <f>IF(C45&lt;&gt;"",COUNTA($C$12:C45),"")</f>
        <v>31</v>
      </c>
      <c r="B45" s="151"/>
      <c r="C45" s="293" t="str">
        <f>'Bill_Bos G2 p1'!C45</f>
        <v>Distribution Demand &lt;=10 kW - Winter</v>
      </c>
      <c r="D45" s="293"/>
      <c r="E45" s="274"/>
      <c r="G45" s="397">
        <v>0</v>
      </c>
      <c r="H45" s="397"/>
      <c r="I45" s="397">
        <f>-G45</f>
        <v>0</v>
      </c>
      <c r="J45" s="421">
        <f t="shared" ref="J45:J75" si="20">I45-G45</f>
        <v>0</v>
      </c>
    </row>
    <row r="46" spans="1:32" ht="14" x14ac:dyDescent="0.3">
      <c r="A46" s="151">
        <f>IF(C46&lt;&gt;"",COUNTA($C$12:C46),"")</f>
        <v>32</v>
      </c>
      <c r="B46" s="151"/>
      <c r="C46" s="293" t="str">
        <f>'Bill_Bos G2 p1'!C46</f>
        <v>Distribution Demand &gt;10 kW - Winter</v>
      </c>
      <c r="D46" s="293"/>
      <c r="E46" s="274"/>
      <c r="G46" s="397">
        <v>9.32</v>
      </c>
      <c r="H46" s="397"/>
      <c r="I46" s="397">
        <v>9.65</v>
      </c>
      <c r="J46" s="421">
        <f t="shared" si="20"/>
        <v>0.33000000000000007</v>
      </c>
    </row>
    <row r="47" spans="1:32" ht="14" x14ac:dyDescent="0.3">
      <c r="A47" s="151">
        <f>IF(C47&lt;&gt;"",COUNTA($C$12:C47),"")</f>
        <v>33</v>
      </c>
      <c r="B47" s="151"/>
      <c r="C47" s="293" t="str">
        <f>'Bill_Bos G2 p1'!C47</f>
        <v>Transmission Demand &gt;10 kW - Winter</v>
      </c>
      <c r="D47" s="293"/>
      <c r="E47" s="274"/>
      <c r="G47" s="397">
        <v>8.73</v>
      </c>
      <c r="H47" s="397"/>
      <c r="I47" s="397">
        <v>7.54</v>
      </c>
      <c r="J47" s="421">
        <f>I47-G47</f>
        <v>-1.1900000000000004</v>
      </c>
    </row>
    <row r="48" spans="1:32" ht="14" x14ac:dyDescent="0.3">
      <c r="A48" s="151">
        <f>IF(C48&lt;&gt;"",COUNTA($C$12:C48),"")</f>
        <v>34</v>
      </c>
      <c r="B48" s="151"/>
      <c r="C48" s="293" t="str">
        <f>'Bill_Bos G2 p1'!C48</f>
        <v>Distribution Demand &lt;=10 kW - Summer</v>
      </c>
      <c r="D48" s="293"/>
      <c r="E48" s="274"/>
      <c r="G48" s="397">
        <v>0</v>
      </c>
      <c r="H48" s="397"/>
      <c r="I48" s="399">
        <f>+G48</f>
        <v>0</v>
      </c>
      <c r="J48" s="421">
        <f t="shared" si="20"/>
        <v>0</v>
      </c>
    </row>
    <row r="49" spans="1:10" ht="14" x14ac:dyDescent="0.3">
      <c r="A49" s="151">
        <f>IF(C49&lt;&gt;"",COUNTA($C$12:C49),"")</f>
        <v>35</v>
      </c>
      <c r="B49" s="151"/>
      <c r="C49" s="293" t="str">
        <f>'Bill_Bos G2 p1'!C49</f>
        <v>Distribution Demand &gt;10 kW - Summer</v>
      </c>
      <c r="D49" s="293"/>
      <c r="E49" s="274"/>
      <c r="G49" s="397">
        <v>19.989999999999998</v>
      </c>
      <c r="H49" s="397"/>
      <c r="I49" s="397">
        <v>20.68</v>
      </c>
      <c r="J49" s="421">
        <f t="shared" si="20"/>
        <v>0.69000000000000128</v>
      </c>
    </row>
    <row r="50" spans="1:10" ht="14" x14ac:dyDescent="0.3">
      <c r="A50" s="151">
        <f>IF(C50&lt;&gt;"",COUNTA($C$12:C50),"")</f>
        <v>36</v>
      </c>
      <c r="B50" s="151"/>
      <c r="C50" s="293" t="str">
        <f>'Bill_Bos G2 p1'!C50</f>
        <v>Transmission Demand &gt;10 kW - Summer</v>
      </c>
      <c r="D50" s="293"/>
      <c r="E50" s="274"/>
      <c r="G50" s="397">
        <v>23.43</v>
      </c>
      <c r="H50" s="397"/>
      <c r="I50" s="397">
        <v>19.989999999999998</v>
      </c>
      <c r="J50" s="421">
        <f>I50-G50</f>
        <v>-3.4400000000000013</v>
      </c>
    </row>
    <row r="51" spans="1:10" ht="14" x14ac:dyDescent="0.3">
      <c r="A51" s="151">
        <f>IF(C51&lt;&gt;"",COUNTA($C$12:C51),"")</f>
        <v>37</v>
      </c>
      <c r="B51" s="151"/>
      <c r="C51" s="293" t="str">
        <f>'Bill_Bos G2 p1'!C51</f>
        <v>Distribution Energy - 1st 2000 kWh - Winter</v>
      </c>
      <c r="D51" s="293"/>
      <c r="E51" s="274"/>
      <c r="G51" s="308">
        <v>1.7639999999999999E-2</v>
      </c>
      <c r="H51" s="308"/>
      <c r="I51" s="401">
        <v>1.8270000000000002E-2</v>
      </c>
      <c r="J51" s="354">
        <f t="shared" si="20"/>
        <v>6.3000000000000209E-4</v>
      </c>
    </row>
    <row r="52" spans="1:10" ht="14" x14ac:dyDescent="0.3">
      <c r="A52" s="151">
        <f>IF(C52&lt;&gt;"",COUNTA($C$12:C52),"")</f>
        <v>38</v>
      </c>
      <c r="B52" s="151"/>
      <c r="C52" s="293" t="str">
        <f>'Bill_Bos G2 p1'!C52</f>
        <v>Distribution Energy - next 150 hrs*kW - Winter</v>
      </c>
      <c r="D52" s="293"/>
      <c r="E52" s="274"/>
      <c r="G52" s="308">
        <v>1.264E-2</v>
      </c>
      <c r="H52" s="308"/>
      <c r="I52" s="401">
        <v>1.3100000000000001E-2</v>
      </c>
      <c r="J52" s="354">
        <f t="shared" si="20"/>
        <v>4.6000000000000034E-4</v>
      </c>
    </row>
    <row r="53" spans="1:10" ht="14" x14ac:dyDescent="0.3">
      <c r="A53" s="151">
        <f>IF(C53&lt;&gt;"",COUNTA($C$12:C53),"")</f>
        <v>39</v>
      </c>
      <c r="B53" s="151"/>
      <c r="C53" s="293" t="str">
        <f>'Bill_Bos G2 p1'!C53</f>
        <v>Distribution Energy - remainder kWh - Winter</v>
      </c>
      <c r="D53" s="293"/>
      <c r="E53" s="274"/>
      <c r="G53" s="308">
        <v>1.0789999999999999E-2</v>
      </c>
      <c r="H53" s="308"/>
      <c r="I53" s="401">
        <v>1.119E-2</v>
      </c>
      <c r="J53" s="354">
        <f t="shared" si="20"/>
        <v>4.0000000000000105E-4</v>
      </c>
    </row>
    <row r="54" spans="1:10" ht="14" x14ac:dyDescent="0.3">
      <c r="A54" s="151">
        <f>IF(C54&lt;&gt;"",COUNTA($C$12:C54),"")</f>
        <v>40</v>
      </c>
      <c r="B54" s="151"/>
      <c r="C54" s="293" t="str">
        <f>'Bill_Bos G2 p1'!C54</f>
        <v>Distribution Energy - 1st 2000 kWh - Summer</v>
      </c>
      <c r="D54" s="293"/>
      <c r="E54" s="274"/>
      <c r="G54" s="308">
        <v>2.7459999999999998E-2</v>
      </c>
      <c r="H54" s="308"/>
      <c r="I54" s="401">
        <v>2.8410000000000001E-2</v>
      </c>
      <c r="J54" s="354">
        <f t="shared" si="20"/>
        <v>9.5000000000000293E-4</v>
      </c>
    </row>
    <row r="55" spans="1:10" ht="14" x14ac:dyDescent="0.3">
      <c r="A55" s="151">
        <f>IF(C55&lt;&gt;"",COUNTA($C$12:C55),"")</f>
        <v>41</v>
      </c>
      <c r="B55" s="151"/>
      <c r="C55" s="293" t="str">
        <f>'Bill_Bos G2 p1'!C55</f>
        <v>Distribution Energy - next 150 hrs*kW - Summer</v>
      </c>
      <c r="D55" s="293"/>
      <c r="E55" s="274"/>
      <c r="G55" s="308">
        <v>1.435E-2</v>
      </c>
      <c r="H55" s="308"/>
      <c r="I55" s="401">
        <v>1.487E-2</v>
      </c>
      <c r="J55" s="354">
        <f t="shared" si="20"/>
        <v>5.1999999999999963E-4</v>
      </c>
    </row>
    <row r="56" spans="1:10" ht="14" x14ac:dyDescent="0.3">
      <c r="A56" s="151">
        <f>IF(C56&lt;&gt;"",COUNTA($C$12:C56),"")</f>
        <v>42</v>
      </c>
      <c r="B56" s="151"/>
      <c r="C56" s="293" t="str">
        <f>'Bill_Bos G2 p1'!C56</f>
        <v>Distribution Energy - remainder kWh - Summer</v>
      </c>
      <c r="D56" s="293"/>
      <c r="E56" s="274"/>
      <c r="G56" s="308">
        <v>1.128E-2</v>
      </c>
      <c r="H56" s="308"/>
      <c r="I56" s="401">
        <v>1.1690000000000001E-2</v>
      </c>
      <c r="J56" s="354">
        <f t="shared" si="20"/>
        <v>4.1000000000000064E-4</v>
      </c>
    </row>
    <row r="57" spans="1:10" ht="14" x14ac:dyDescent="0.3">
      <c r="A57" s="151">
        <f>IF(C57&lt;&gt;"",COUNTA($C$12:C57),"")</f>
        <v>43</v>
      </c>
      <c r="B57" s="151"/>
      <c r="C57" s="293" t="str">
        <f>'Bill_Bos G2 p1'!C57</f>
        <v>Revenue Decoupling</v>
      </c>
      <c r="D57" s="293"/>
      <c r="E57" s="274"/>
      <c r="G57" s="277">
        <v>0</v>
      </c>
      <c r="H57" s="277"/>
      <c r="I57" s="401">
        <v>-4.0999999999999999E-4</v>
      </c>
      <c r="J57" s="354">
        <f t="shared" si="20"/>
        <v>-4.0999999999999999E-4</v>
      </c>
    </row>
    <row r="58" spans="1:10" ht="14" x14ac:dyDescent="0.3">
      <c r="A58" s="151">
        <f>IF(C58&lt;&gt;"",COUNTA($C$12:C58),"")</f>
        <v>44</v>
      </c>
      <c r="B58" s="151"/>
      <c r="C58" s="293" t="str">
        <f>'Bill_Bos G2 p1'!C58</f>
        <v>Residential Assistance Adjustment Factor</v>
      </c>
      <c r="D58" s="293"/>
      <c r="E58" s="274"/>
      <c r="G58" s="277">
        <v>2.5000000000000001E-3</v>
      </c>
      <c r="H58" s="277"/>
      <c r="I58" s="401">
        <v>3.46E-3</v>
      </c>
      <c r="J58" s="354">
        <f t="shared" si="20"/>
        <v>9.5999999999999992E-4</v>
      </c>
    </row>
    <row r="59" spans="1:10" ht="14" x14ac:dyDescent="0.3">
      <c r="A59" s="151">
        <f>IF(C59&lt;&gt;"",COUNTA($C$12:C59),"")</f>
        <v>45</v>
      </c>
      <c r="B59" s="151"/>
      <c r="C59" s="293" t="str">
        <f>'Bill_Bos G2 p1'!C59</f>
        <v>Pension Adjustment Factor</v>
      </c>
      <c r="D59" s="293"/>
      <c r="E59" s="274"/>
      <c r="G59" s="277">
        <v>-5.0000000000000002E-5</v>
      </c>
      <c r="H59" s="277"/>
      <c r="I59" s="401">
        <v>4.6999999999999999E-4</v>
      </c>
      <c r="J59" s="354">
        <f t="shared" si="20"/>
        <v>5.1999999999999995E-4</v>
      </c>
    </row>
    <row r="60" spans="1:10" ht="14" x14ac:dyDescent="0.3">
      <c r="A60" s="151">
        <f>IF(C60&lt;&gt;"",COUNTA($C$12:C60),"")</f>
        <v>46</v>
      </c>
      <c r="B60" s="151"/>
      <c r="C60" s="293" t="str">
        <f>'Bill_Bos G2 p1'!C60</f>
        <v>Net Metering Recovery Surcharge</v>
      </c>
      <c r="D60" s="293"/>
      <c r="E60" s="274"/>
      <c r="G60" s="277">
        <v>4.9300000000000004E-3</v>
      </c>
      <c r="H60" s="277"/>
      <c r="I60" s="401">
        <v>4.5100000000000001E-3</v>
      </c>
      <c r="J60" s="354">
        <f t="shared" si="20"/>
        <v>-4.2000000000000023E-4</v>
      </c>
    </row>
    <row r="61" spans="1:10" ht="14" x14ac:dyDescent="0.3">
      <c r="A61" s="151">
        <f>IF(C61&lt;&gt;"",COUNTA($C$12:C61),"")</f>
        <v>47</v>
      </c>
      <c r="B61" s="151"/>
      <c r="C61" s="293" t="str">
        <f>'Bill_Bos G2 p1'!C61</f>
        <v>Long Term Renewable Contract Adjustment</v>
      </c>
      <c r="D61" s="293"/>
      <c r="E61" s="274"/>
      <c r="G61" s="277">
        <v>2.3600000000000001E-3</v>
      </c>
      <c r="H61" s="277"/>
      <c r="I61" s="401">
        <v>1.74E-3</v>
      </c>
      <c r="J61" s="354">
        <f t="shared" si="20"/>
        <v>-6.2000000000000011E-4</v>
      </c>
    </row>
    <row r="62" spans="1:10" ht="14" x14ac:dyDescent="0.3">
      <c r="A62" s="151">
        <f>IF(C62&lt;&gt;"",COUNTA($C$12:C62),"")</f>
        <v>48</v>
      </c>
      <c r="B62" s="151"/>
      <c r="C62" s="293" t="str">
        <f>'Bill_Bos G2 p1'!C62</f>
        <v>AG Consulting Expense</v>
      </c>
      <c r="D62" s="293"/>
      <c r="E62" s="274"/>
      <c r="G62" s="277">
        <v>3.0000000000000001E-5</v>
      </c>
      <c r="H62" s="277"/>
      <c r="I62" s="401">
        <v>1.0000000000000001E-5</v>
      </c>
      <c r="J62" s="354">
        <f t="shared" si="20"/>
        <v>-1.9999999999999998E-5</v>
      </c>
    </row>
    <row r="63" spans="1:10" ht="14" x14ac:dyDescent="0.3">
      <c r="A63" s="151">
        <f>IF(C63&lt;&gt;"",COUNTA($C$12:C63),"")</f>
        <v>49</v>
      </c>
      <c r="B63" s="151"/>
      <c r="C63" s="293" t="str">
        <f>'Bill_Bos G2 p1'!C63</f>
        <v>Storm Cost Recovery Adjustment Factor</v>
      </c>
      <c r="D63" s="293"/>
      <c r="E63" s="274"/>
      <c r="G63" s="277">
        <v>1.5399999999999999E-3</v>
      </c>
      <c r="H63" s="277"/>
      <c r="I63" s="401">
        <v>2.6199999999999999E-3</v>
      </c>
      <c r="J63" s="354">
        <f t="shared" si="20"/>
        <v>1.08E-3</v>
      </c>
    </row>
    <row r="64" spans="1:10" ht="14" x14ac:dyDescent="0.3">
      <c r="A64" s="151">
        <f>IF(C64&lt;&gt;"",COUNTA($C$12:C64),"")</f>
        <v>50</v>
      </c>
      <c r="B64" s="151"/>
      <c r="C64" s="293" t="str">
        <f>'Bill_Bos G2 p1'!C64</f>
        <v>Storm Reserve Adjustment</v>
      </c>
      <c r="D64" s="293"/>
      <c r="E64" s="274"/>
      <c r="G64" s="277">
        <v>0</v>
      </c>
      <c r="H64" s="277"/>
      <c r="I64" s="401">
        <v>0</v>
      </c>
      <c r="J64" s="354">
        <f t="shared" si="20"/>
        <v>0</v>
      </c>
    </row>
    <row r="65" spans="1:12" ht="14" x14ac:dyDescent="0.3">
      <c r="A65" s="151">
        <f>IF(C65&lt;&gt;"",COUNTA($C$12:C65),"")</f>
        <v>51</v>
      </c>
      <c r="B65" s="151"/>
      <c r="C65" s="293" t="str">
        <f>'Bill_Bos G2 p1'!C65</f>
        <v>Basic Service Cost True Up Factor</v>
      </c>
      <c r="G65" s="277">
        <v>1.34E-3</v>
      </c>
      <c r="H65" s="277"/>
      <c r="I65" s="401">
        <v>-1.7000000000000001E-4</v>
      </c>
      <c r="J65" s="354">
        <f t="shared" si="20"/>
        <v>-1.5100000000000001E-3</v>
      </c>
    </row>
    <row r="66" spans="1:12" ht="14" x14ac:dyDescent="0.3">
      <c r="A66" s="151">
        <f>IF(C66&lt;&gt;"",COUNTA($C$12:C66),"")</f>
        <v>52</v>
      </c>
      <c r="B66" s="151"/>
      <c r="C66" s="293" t="str">
        <f>'Bill_Bos G2 p1'!C66</f>
        <v>Solar Program Cost Adjustment Factor</v>
      </c>
      <c r="D66" s="293"/>
      <c r="E66" s="274"/>
      <c r="G66" s="277">
        <v>0</v>
      </c>
      <c r="H66" s="277"/>
      <c r="I66" s="401">
        <v>3.0000000000000001E-5</v>
      </c>
      <c r="J66" s="354">
        <f t="shared" si="20"/>
        <v>3.0000000000000001E-5</v>
      </c>
    </row>
    <row r="67" spans="1:12" ht="14" x14ac:dyDescent="0.3">
      <c r="A67" s="151">
        <f>IF(C67&lt;&gt;"",COUNTA($C$12:C67),"")</f>
        <v>53</v>
      </c>
      <c r="B67" s="151"/>
      <c r="C67" s="293" t="str">
        <f>'Bill_Bos G2 p1'!C67</f>
        <v>Solar Expansion Cost Recovery Factor</v>
      </c>
      <c r="D67" s="293"/>
      <c r="E67" s="274"/>
      <c r="G67" s="277">
        <v>0</v>
      </c>
      <c r="H67" s="277"/>
      <c r="I67" s="401">
        <v>5.4000000000000001E-4</v>
      </c>
      <c r="J67" s="354">
        <f t="shared" si="20"/>
        <v>5.4000000000000001E-4</v>
      </c>
    </row>
    <row r="68" spans="1:12" ht="14" x14ac:dyDescent="0.3">
      <c r="A68" s="151">
        <f>IF(C68&lt;&gt;"",COUNTA($C$12:C68),"")</f>
        <v>54</v>
      </c>
      <c r="B68" s="151"/>
      <c r="C68" s="293" t="str">
        <f>'Bill_Bos G2 p1'!C68</f>
        <v>Vegetation Management</v>
      </c>
      <c r="D68" s="293"/>
      <c r="E68" s="274"/>
      <c r="G68" s="277">
        <v>0</v>
      </c>
      <c r="H68" s="277"/>
      <c r="I68" s="401">
        <v>8.3000000000000001E-4</v>
      </c>
      <c r="J68" s="354">
        <f t="shared" si="20"/>
        <v>8.3000000000000001E-4</v>
      </c>
    </row>
    <row r="69" spans="1:12" ht="14" x14ac:dyDescent="0.3">
      <c r="A69" s="151">
        <f>IF(C69&lt;&gt;"",COUNTA($C$12:C69),"")</f>
        <v>55</v>
      </c>
      <c r="B69" s="151"/>
      <c r="C69" s="293" t="str">
        <f>'Bill_Bos G2 p1'!C69</f>
        <v>Solar Massachusetts Renewable Target</v>
      </c>
      <c r="D69" s="339"/>
      <c r="E69" s="339"/>
      <c r="F69" s="277"/>
      <c r="G69" s="277">
        <v>0</v>
      </c>
      <c r="H69" s="277"/>
      <c r="I69" s="401">
        <v>6.3000000000000003E-4</v>
      </c>
      <c r="J69" s="354">
        <f t="shared" si="20"/>
        <v>6.3000000000000003E-4</v>
      </c>
      <c r="K69" s="339"/>
      <c r="L69" s="339"/>
    </row>
    <row r="70" spans="1:12" ht="14" x14ac:dyDescent="0.3">
      <c r="A70" s="151">
        <f>IF(C70&lt;&gt;"",COUNTA($C$12:C70),"")</f>
        <v>56</v>
      </c>
      <c r="B70" s="151"/>
      <c r="C70" s="293" t="str">
        <f>'Bill_Bos G2 p1'!C70</f>
        <v>Tax Act Credit Factor</v>
      </c>
      <c r="D70" s="339"/>
      <c r="E70" s="339"/>
      <c r="F70" s="277"/>
      <c r="G70" s="277">
        <v>0</v>
      </c>
      <c r="H70" s="277"/>
      <c r="I70" s="401">
        <v>-9.5E-4</v>
      </c>
      <c r="J70" s="354">
        <f t="shared" si="20"/>
        <v>-9.5E-4</v>
      </c>
      <c r="K70" s="339"/>
      <c r="L70" s="339"/>
    </row>
    <row r="71" spans="1:12" ht="14" x14ac:dyDescent="0.3">
      <c r="A71" s="151">
        <f>IF(C71&lt;&gt;"",COUNTA($C$12:C71),"")</f>
        <v>57</v>
      </c>
      <c r="B71" s="151"/>
      <c r="C71" s="293" t="str">
        <f>'Bill_Bos G2 p1'!C71</f>
        <v>Transition</v>
      </c>
      <c r="D71" s="293"/>
      <c r="E71" s="274"/>
      <c r="G71" s="277">
        <v>-6.0999999999999997E-4</v>
      </c>
      <c r="H71" s="277"/>
      <c r="I71" s="401">
        <v>-5.1999999999999995E-4</v>
      </c>
      <c r="J71" s="354">
        <f t="shared" si="20"/>
        <v>9.0000000000000019E-5</v>
      </c>
    </row>
    <row r="72" spans="1:12" ht="14" x14ac:dyDescent="0.3">
      <c r="A72" s="151">
        <f>IF(C72&lt;&gt;"",COUNTA($C$12:C72),"")</f>
        <v>58</v>
      </c>
      <c r="B72" s="151"/>
      <c r="C72" s="293" t="str">
        <f>'Bill_Bos G2 p1'!C72</f>
        <v>Energy Efficiency Reconciliation Factor</v>
      </c>
      <c r="D72" s="293"/>
      <c r="E72" s="274"/>
      <c r="G72" s="277">
        <v>8.4600000000000005E-3</v>
      </c>
      <c r="H72" s="308"/>
      <c r="I72" s="308">
        <v>8.4600000000000005E-3</v>
      </c>
      <c r="J72" s="354">
        <f t="shared" si="20"/>
        <v>0</v>
      </c>
    </row>
    <row r="73" spans="1:12" ht="14" x14ac:dyDescent="0.3">
      <c r="A73" s="151">
        <f>IF(C73&lt;&gt;"",COUNTA($C$12:C73),"")</f>
        <v>59</v>
      </c>
      <c r="B73" s="151"/>
      <c r="C73" s="293" t="str">
        <f>'Bill_Bos G2 p1'!C73</f>
        <v>System Benefits Charge</v>
      </c>
      <c r="D73" s="293"/>
      <c r="E73" s="274"/>
      <c r="G73" s="277">
        <v>2.5000000000000001E-3</v>
      </c>
      <c r="H73" s="308"/>
      <c r="I73" s="308">
        <f>+G73</f>
        <v>2.5000000000000001E-3</v>
      </c>
      <c r="J73" s="354">
        <f t="shared" si="20"/>
        <v>0</v>
      </c>
    </row>
    <row r="74" spans="1:12" ht="14" x14ac:dyDescent="0.3">
      <c r="A74" s="151">
        <f>IF(C74&lt;&gt;"",COUNTA($C$12:C74),"")</f>
        <v>60</v>
      </c>
      <c r="B74" s="151"/>
      <c r="C74" s="293" t="str">
        <f>'Bill_Bos G2 p1'!C74</f>
        <v>Renewable Energy Charge</v>
      </c>
      <c r="D74" s="293"/>
      <c r="E74" s="274"/>
      <c r="G74" s="277">
        <v>5.0000000000000001E-4</v>
      </c>
      <c r="H74" s="308"/>
      <c r="I74" s="308">
        <f>+G74</f>
        <v>5.0000000000000001E-4</v>
      </c>
      <c r="J74" s="354">
        <f t="shared" si="20"/>
        <v>0</v>
      </c>
    </row>
    <row r="75" spans="1:12" ht="14" x14ac:dyDescent="0.3">
      <c r="A75" s="151">
        <f>IF(C75&lt;&gt;"",COUNTA($C$12:C75),"")</f>
        <v>61</v>
      </c>
      <c r="B75" s="151"/>
      <c r="C75" s="293" t="str">
        <f>'Bill_Bos G2 p1'!C75</f>
        <v>Basic Service Charge</v>
      </c>
      <c r="D75" s="293"/>
      <c r="E75" s="274"/>
      <c r="G75" s="308">
        <v>0.11402999999999999</v>
      </c>
      <c r="H75" s="308"/>
      <c r="I75" s="308">
        <v>0.13185000000000002</v>
      </c>
      <c r="J75" s="354">
        <f t="shared" si="20"/>
        <v>1.782000000000003E-2</v>
      </c>
    </row>
    <row r="76" spans="1:12" ht="14" x14ac:dyDescent="0.3">
      <c r="A76" s="151"/>
      <c r="B76" s="151"/>
      <c r="E76" s="446"/>
      <c r="F76" s="446"/>
      <c r="I76" s="429"/>
      <c r="J76" s="447"/>
    </row>
    <row r="77" spans="1:12" ht="14" x14ac:dyDescent="0.3">
      <c r="A77" s="151"/>
      <c r="B77" s="151"/>
      <c r="E77" s="446"/>
      <c r="F77" s="446"/>
      <c r="I77" s="447"/>
      <c r="J77" s="447"/>
    </row>
    <row r="78" spans="1:12" ht="14" x14ac:dyDescent="0.3">
      <c r="A78" s="151"/>
      <c r="B78" s="151"/>
      <c r="C78" s="293" t="str">
        <f>'Bill_Bos G2 p1'!C78</f>
        <v>Winter</v>
      </c>
      <c r="E78" s="446"/>
      <c r="F78" s="446"/>
    </row>
    <row r="79" spans="1:12" ht="14" x14ac:dyDescent="0.3">
      <c r="A79" s="151"/>
      <c r="B79" s="151"/>
      <c r="C79" s="293" t="str">
        <f>'Bill_Bos G2 p1'!C79</f>
        <v>Total Demand &gt;10 kW</v>
      </c>
      <c r="G79" s="378">
        <f>G46+G47</f>
        <v>18.05</v>
      </c>
      <c r="H79" s="429"/>
      <c r="I79" s="378">
        <f>I46+I47</f>
        <v>17.190000000000001</v>
      </c>
      <c r="J79" s="421">
        <f t="shared" ref="J79:J82" si="21">+I79-G79</f>
        <v>-0.85999999999999943</v>
      </c>
    </row>
    <row r="80" spans="1:12" ht="14" x14ac:dyDescent="0.3">
      <c r="A80" s="151"/>
      <c r="B80" s="151"/>
      <c r="C80" s="293" t="str">
        <f>'Bill_Bos G2 p1'!C80</f>
        <v>Total Energy - 1st 2000 kWh</v>
      </c>
      <c r="G80" s="403">
        <f>SUM(G51,G$57:G$71,G$72:G$74)</f>
        <v>4.1140000000000003E-2</v>
      </c>
      <c r="H80" s="429"/>
      <c r="I80" s="403">
        <f>SUM(I51,I$57:I$71,I$72:I$74)</f>
        <v>4.2520000000000002E-2</v>
      </c>
      <c r="J80" s="354">
        <f t="shared" si="21"/>
        <v>1.3799999999999993E-3</v>
      </c>
    </row>
    <row r="81" spans="3:10" ht="14" x14ac:dyDescent="0.3">
      <c r="C81" s="293" t="str">
        <f>'Bill_Bos G2 p1'!C81</f>
        <v>Total Energy - next 150 hrs*kW</v>
      </c>
      <c r="G81" s="403">
        <f>SUM(G52,G$57:G$71,G$72:G$74)</f>
        <v>3.6140000000000005E-2</v>
      </c>
      <c r="H81" s="429"/>
      <c r="I81" s="403">
        <f>SUM(I52,I$57:I$71,I$72:I$74)</f>
        <v>3.7350000000000001E-2</v>
      </c>
      <c r="J81" s="354">
        <f t="shared" si="21"/>
        <v>1.2099999999999958E-3</v>
      </c>
    </row>
    <row r="82" spans="3:10" ht="14" x14ac:dyDescent="0.3">
      <c r="C82" s="293" t="str">
        <f>'Bill_Bos G2 p1'!C82</f>
        <v>Total Energy - remainder kWh</v>
      </c>
      <c r="G82" s="403">
        <f>SUM(G53,G$57:G$71,G$72:G$74)</f>
        <v>3.4290000000000001E-2</v>
      </c>
      <c r="H82" s="429"/>
      <c r="I82" s="403">
        <f>SUM(I53,I$57:I$71,I$72:I$74)</f>
        <v>3.5439999999999999E-2</v>
      </c>
      <c r="J82" s="354">
        <f t="shared" si="21"/>
        <v>1.1499999999999982E-3</v>
      </c>
    </row>
    <row r="83" spans="3:10" ht="14" x14ac:dyDescent="0.3">
      <c r="H83" s="429"/>
      <c r="I83" s="429"/>
      <c r="J83" s="374"/>
    </row>
    <row r="84" spans="3:10" ht="14" x14ac:dyDescent="0.3">
      <c r="C84" s="293" t="str">
        <f>'Bill_Bos G2 p1'!C84</f>
        <v>Summer</v>
      </c>
      <c r="H84" s="429"/>
      <c r="I84" s="429"/>
      <c r="J84" s="374"/>
    </row>
    <row r="85" spans="3:10" ht="14" x14ac:dyDescent="0.3">
      <c r="C85" s="293" t="str">
        <f>'Bill_Bos G2 p1'!C85</f>
        <v>Total Demand &gt;10 kW</v>
      </c>
      <c r="G85" s="378">
        <f>G49+G50</f>
        <v>43.42</v>
      </c>
      <c r="H85" s="429"/>
      <c r="I85" s="378">
        <f>I49+I50</f>
        <v>40.67</v>
      </c>
      <c r="J85" s="421">
        <f t="shared" ref="J85:J88" si="22">+I85-G85</f>
        <v>-2.75</v>
      </c>
    </row>
    <row r="86" spans="3:10" ht="14" x14ac:dyDescent="0.3">
      <c r="C86" s="293" t="str">
        <f>'Bill_Bos G2 p1'!C86</f>
        <v>Total Energy - 1st 2000 kWh</v>
      </c>
      <c r="G86" s="403">
        <f>SUM(G54,G$57:G$71,G$72:G$74)</f>
        <v>5.0960000000000005E-2</v>
      </c>
      <c r="H86" s="429"/>
      <c r="I86" s="403">
        <f>SUM(I54,I$57:I$71,I$72:I$74)</f>
        <v>5.2659999999999998E-2</v>
      </c>
      <c r="J86" s="354">
        <f t="shared" si="22"/>
        <v>1.6999999999999932E-3</v>
      </c>
    </row>
    <row r="87" spans="3:10" ht="14" x14ac:dyDescent="0.3">
      <c r="C87" s="293" t="str">
        <f>'Bill_Bos G2 p1'!C87</f>
        <v>Total Energy - next 150 hrs*kW</v>
      </c>
      <c r="G87" s="403">
        <f>SUM(G55,G$57:G$71,G$72:G$74)</f>
        <v>3.7850000000000002E-2</v>
      </c>
      <c r="H87" s="429"/>
      <c r="I87" s="403">
        <f>SUM(I55,I$57:I$71,I$72:I$74)</f>
        <v>3.9120000000000002E-2</v>
      </c>
      <c r="J87" s="354">
        <f t="shared" si="22"/>
        <v>1.2700000000000003E-3</v>
      </c>
    </row>
    <row r="88" spans="3:10" ht="14" x14ac:dyDescent="0.3">
      <c r="C88" s="293" t="str">
        <f>'Bill_Bos G2 p1'!C88</f>
        <v>Total Energy - remainder kWh</v>
      </c>
      <c r="G88" s="403">
        <f>SUM(G56,G$57:G$71,G$72:G$74)</f>
        <v>3.4780000000000005E-2</v>
      </c>
      <c r="H88" s="429"/>
      <c r="I88" s="403">
        <f>SUM(I56,I$57:I$71,I$72:I$74)</f>
        <v>3.594E-2</v>
      </c>
      <c r="J88" s="354">
        <f t="shared" si="22"/>
        <v>1.1599999999999944E-3</v>
      </c>
    </row>
    <row r="89" spans="3:10" ht="14" x14ac:dyDescent="0.3">
      <c r="G89" s="403"/>
      <c r="H89" s="429"/>
      <c r="I89" s="403"/>
      <c r="J89" s="403"/>
    </row>
    <row r="90" spans="3:10" ht="14" x14ac:dyDescent="0.3">
      <c r="C90" s="293" t="str">
        <f>'Bill_Bos G2 p1'!C90</f>
        <v>Total Basic Service</v>
      </c>
      <c r="G90" s="403">
        <f>G75</f>
        <v>0.11402999999999999</v>
      </c>
      <c r="H90" s="429"/>
      <c r="I90" s="403">
        <f>I75</f>
        <v>0.13185000000000002</v>
      </c>
      <c r="J90" s="354">
        <f t="shared" ref="J90" si="23">+I90-G90</f>
        <v>1.782000000000003E-2</v>
      </c>
    </row>
  </sheetData>
  <mergeCells count="10">
    <mergeCell ref="E13:G13"/>
    <mergeCell ref="I13:K13"/>
    <mergeCell ref="E27:G27"/>
    <mergeCell ref="I27:K27"/>
    <mergeCell ref="A4:N4"/>
    <mergeCell ref="A5:N5"/>
    <mergeCell ref="A6:N6"/>
    <mergeCell ref="A7:N7"/>
    <mergeCell ref="A8:N8"/>
    <mergeCell ref="A9:N9"/>
  </mergeCells>
  <pageMargins left="0.7" right="0.7" top="0.75" bottom="0.75" header="0.3" footer="0.3"/>
  <pageSetup scale="64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D15F0-832F-413A-BC0B-3A08421620F0}">
  <sheetPr>
    <tabColor theme="3" tint="0.59999389629810485"/>
    <pageSetUpPr fitToPage="1"/>
  </sheetPr>
  <dimension ref="A4:Z70"/>
  <sheetViews>
    <sheetView zoomScaleNormal="100" zoomScaleSheetLayoutView="71" workbookViewId="0"/>
  </sheetViews>
  <sheetFormatPr defaultRowHeight="12.5" x14ac:dyDescent="0.25"/>
  <cols>
    <col min="1" max="1" width="3.81640625" customWidth="1"/>
    <col min="2" max="2" width="4.453125" bestFit="1" customWidth="1"/>
    <col min="3" max="3" width="9.453125" customWidth="1"/>
    <col min="4" max="4" width="11" bestFit="1" customWidth="1"/>
    <col min="5" max="7" width="14.7265625" customWidth="1"/>
    <col min="8" max="8" width="1.81640625" customWidth="1"/>
    <col min="9" max="11" width="14.7265625" customWidth="1"/>
    <col min="12" max="12" width="1.81640625" customWidth="1"/>
    <col min="13" max="13" width="12.54296875" bestFit="1" customWidth="1"/>
    <col min="14" max="15" width="10.81640625" bestFit="1" customWidth="1"/>
    <col min="16" max="16" width="14" bestFit="1" customWidth="1"/>
    <col min="17" max="17" width="13.7265625" bestFit="1" customWidth="1"/>
    <col min="18" max="18" width="14.453125" bestFit="1" customWidth="1"/>
    <col min="19" max="19" width="14.1796875" bestFit="1" customWidth="1"/>
    <col min="20" max="20" width="8" bestFit="1" customWidth="1"/>
    <col min="21" max="21" width="10.81640625" bestFit="1" customWidth="1"/>
    <col min="22" max="22" width="13.26953125" bestFit="1" customWidth="1"/>
    <col min="23" max="23" width="13.7265625" bestFit="1" customWidth="1"/>
    <col min="24" max="24" width="14.453125" bestFit="1" customWidth="1"/>
    <col min="25" max="25" width="13.7265625" bestFit="1" customWidth="1"/>
    <col min="26" max="26" width="8.453125" bestFit="1" customWidth="1"/>
  </cols>
  <sheetData>
    <row r="4" spans="1:26" ht="14" x14ac:dyDescent="0.3">
      <c r="A4" s="762" t="str">
        <f>+'Bill_Bos G2 p3'!A4</f>
        <v>Eastern Massachusetts</v>
      </c>
      <c r="B4" s="762"/>
      <c r="C4" s="762"/>
      <c r="D4" s="762"/>
      <c r="E4" s="762"/>
      <c r="F4" s="762"/>
      <c r="G4" s="762"/>
      <c r="H4" s="762"/>
      <c r="I4" s="762"/>
      <c r="J4" s="762"/>
      <c r="K4" s="762"/>
      <c r="L4" s="762"/>
      <c r="M4" s="762"/>
      <c r="N4" s="762"/>
    </row>
    <row r="5" spans="1:26" ht="14" x14ac:dyDescent="0.3">
      <c r="A5" s="762" t="str">
        <f>+'Bill_Bos G1 nonDem'!A5</f>
        <v>Calculation of Monthly Typical Bill</v>
      </c>
      <c r="B5" s="762"/>
      <c r="C5" s="762"/>
      <c r="D5" s="762"/>
      <c r="E5" s="762"/>
      <c r="F5" s="762"/>
      <c r="G5" s="762"/>
      <c r="H5" s="762"/>
      <c r="I5" s="762"/>
      <c r="J5" s="762"/>
      <c r="K5" s="762"/>
      <c r="L5" s="762"/>
      <c r="M5" s="762"/>
      <c r="N5" s="762"/>
    </row>
    <row r="6" spans="1:26" ht="14" x14ac:dyDescent="0.3">
      <c r="A6" s="762" t="str">
        <f>+'Bill_Bos G1 nonDem'!A6</f>
        <v>Proposed January 1, 2019</v>
      </c>
      <c r="B6" s="762"/>
      <c r="C6" s="762"/>
      <c r="D6" s="762"/>
      <c r="E6" s="762"/>
      <c r="F6" s="762"/>
      <c r="G6" s="762"/>
      <c r="H6" s="762"/>
      <c r="I6" s="762"/>
      <c r="J6" s="762"/>
      <c r="K6" s="762"/>
      <c r="L6" s="762"/>
      <c r="M6" s="762"/>
      <c r="N6" s="762"/>
    </row>
    <row r="7" spans="1:26" ht="14" x14ac:dyDescent="0.3">
      <c r="A7" s="762"/>
      <c r="B7" s="762"/>
      <c r="C7" s="762"/>
      <c r="D7" s="762"/>
      <c r="E7" s="762"/>
      <c r="F7" s="762"/>
      <c r="G7" s="762"/>
      <c r="H7" s="762"/>
      <c r="I7" s="762"/>
      <c r="J7" s="762"/>
      <c r="K7" s="762"/>
      <c r="L7" s="762"/>
      <c r="M7" s="762"/>
      <c r="N7" s="762"/>
    </row>
    <row r="8" spans="1:26" ht="14" x14ac:dyDescent="0.3">
      <c r="A8" s="762" t="str">
        <f>+'Bill_Bos G1 nonDem'!A8</f>
        <v>Greater Boston Service Area</v>
      </c>
      <c r="B8" s="762"/>
      <c r="C8" s="762"/>
      <c r="D8" s="762"/>
      <c r="E8" s="762"/>
      <c r="F8" s="762"/>
      <c r="G8" s="762"/>
      <c r="H8" s="762"/>
      <c r="I8" s="762"/>
      <c r="J8" s="762"/>
      <c r="K8" s="762"/>
      <c r="L8" s="762"/>
      <c r="M8" s="762"/>
      <c r="N8" s="762"/>
    </row>
    <row r="9" spans="1:26" ht="14" x14ac:dyDescent="0.3">
      <c r="A9" s="762" t="s">
        <v>579</v>
      </c>
      <c r="B9" s="762"/>
      <c r="C9" s="762"/>
      <c r="D9" s="762"/>
      <c r="E9" s="762"/>
      <c r="F9" s="762"/>
      <c r="G9" s="762"/>
      <c r="H9" s="762"/>
      <c r="I9" s="762"/>
      <c r="J9" s="762"/>
      <c r="K9" s="762"/>
      <c r="L9" s="762"/>
      <c r="M9" s="762"/>
      <c r="N9" s="762"/>
    </row>
    <row r="10" spans="1:26" ht="14" x14ac:dyDescent="0.3">
      <c r="A10" s="366"/>
      <c r="B10" s="366"/>
      <c r="D10" s="293"/>
      <c r="E10" s="293"/>
      <c r="F10" s="293"/>
      <c r="G10" s="367"/>
      <c r="H10" s="293"/>
    </row>
    <row r="11" spans="1:26" ht="14" x14ac:dyDescent="0.3">
      <c r="A11" s="366"/>
      <c r="B11" s="366"/>
      <c r="C11" s="293"/>
      <c r="D11" s="293"/>
      <c r="E11" s="293"/>
      <c r="F11" s="293"/>
      <c r="G11" s="368"/>
      <c r="H11" s="293"/>
    </row>
    <row r="12" spans="1:26" ht="14" x14ac:dyDescent="0.3">
      <c r="A12" s="151">
        <f>IF(C12&lt;&gt;"",COUNTA($C12:C$12),"")</f>
        <v>1</v>
      </c>
      <c r="B12" s="151"/>
      <c r="C12" s="405" t="s">
        <v>580</v>
      </c>
      <c r="D12" s="293"/>
      <c r="E12" s="293"/>
      <c r="F12" s="293"/>
      <c r="G12" s="368"/>
      <c r="H12" s="293"/>
    </row>
    <row r="13" spans="1:26" ht="14" x14ac:dyDescent="0.3">
      <c r="A13" s="151">
        <f>IF(C13&lt;&gt;"",COUNTA($C$12:C13),"")</f>
        <v>2</v>
      </c>
      <c r="B13" s="151"/>
      <c r="C13" s="406" t="str">
        <f>+'Bill_Bos G1 nonDem'!C12</f>
        <v>Monthly</v>
      </c>
      <c r="D13" s="366" t="str">
        <f>+C13</f>
        <v>Monthly</v>
      </c>
      <c r="E13" s="760" t="str">
        <f>+'Bill_Bos G1 nonDem'!D12</f>
        <v>Current Monthly Bill (Winter)</v>
      </c>
      <c r="F13" s="760"/>
      <c r="G13" s="760"/>
      <c r="H13" s="293"/>
      <c r="I13" s="760" t="str">
        <f>+'Bill_Bos G1 nonDem'!H12</f>
        <v>Proposed Monthly Bill (Winter)</v>
      </c>
      <c r="J13" s="760"/>
      <c r="K13" s="760"/>
      <c r="M13" s="760" t="s">
        <v>550</v>
      </c>
      <c r="N13" s="760"/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</row>
    <row r="14" spans="1:26" ht="14" x14ac:dyDescent="0.3">
      <c r="A14" s="151">
        <f>IF(C14&lt;&gt;"",COUNTA($C$12:C14),"")</f>
        <v>3</v>
      </c>
      <c r="B14" s="151"/>
      <c r="C14" s="408" t="s">
        <v>534</v>
      </c>
      <c r="D14" s="370" t="s">
        <v>551</v>
      </c>
      <c r="E14" s="370" t="s">
        <v>552</v>
      </c>
      <c r="F14" s="370" t="s">
        <v>553</v>
      </c>
      <c r="G14" s="370" t="s">
        <v>47</v>
      </c>
      <c r="H14" s="293"/>
      <c r="I14" s="370" t="s">
        <v>552</v>
      </c>
      <c r="J14" s="370" t="s">
        <v>553</v>
      </c>
      <c r="K14" s="370" t="s">
        <v>47</v>
      </c>
      <c r="M14" s="370" t="s">
        <v>65</v>
      </c>
      <c r="N14" s="370" t="s">
        <v>325</v>
      </c>
      <c r="O14" s="369"/>
      <c r="P14" s="369"/>
      <c r="Q14" s="369"/>
      <c r="R14" s="369"/>
      <c r="S14" s="369"/>
      <c r="T14" s="369"/>
      <c r="U14" s="369"/>
      <c r="V14" s="369"/>
      <c r="W14" s="369"/>
      <c r="X14" s="369"/>
      <c r="Y14" s="369"/>
      <c r="Z14" s="369"/>
    </row>
    <row r="15" spans="1:26" ht="14" x14ac:dyDescent="0.3">
      <c r="A15" s="151">
        <f>IF(C15&lt;&gt;"",COUNTA($C$12:C15),"")</f>
        <v>4</v>
      </c>
      <c r="B15" s="151"/>
      <c r="C15" s="371">
        <v>100</v>
      </c>
      <c r="D15" s="409">
        <f>+C15*350</f>
        <v>35000</v>
      </c>
      <c r="E15" s="372">
        <f t="shared" ref="E15:E24" si="0">ROUND($G$41+$C15*SUM($G$42,$G$44)+(SUM($G$45:$G$60,$G$61:$G$63)*$D15),2)</f>
        <v>2810.1</v>
      </c>
      <c r="F15" s="372">
        <f t="shared" ref="F15:F24" si="1">ROUND($G$64*D15,2)</f>
        <v>4641</v>
      </c>
      <c r="G15" s="372">
        <f t="shared" ref="G15:G24" si="2">SUM(E15:F15)</f>
        <v>7451.1</v>
      </c>
      <c r="H15" s="373"/>
      <c r="I15" s="372">
        <f t="shared" ref="I15:I24" si="3">ROUND($I$41+$C15*SUM($I$42,$I$44)+(SUM($I$45:$I$60,$I$61:$I$63)*$D15),2)</f>
        <v>2725.55</v>
      </c>
      <c r="J15" s="372">
        <f t="shared" ref="J15:J24" si="4">ROUND($I$64*D15,2)</f>
        <v>6042.75</v>
      </c>
      <c r="K15" s="372">
        <f t="shared" ref="K15:K24" si="5">SUM(I15:J15)</f>
        <v>8768.2999999999993</v>
      </c>
      <c r="L15" s="374"/>
      <c r="M15" s="375">
        <f t="shared" ref="M15:M24" si="6">+K15-G15</f>
        <v>1317.1999999999989</v>
      </c>
      <c r="N15" s="376">
        <f t="shared" ref="N15:N24" si="7">+M15/G15</f>
        <v>0.17677926749070591</v>
      </c>
      <c r="O15" s="377"/>
      <c r="P15" s="322"/>
      <c r="Q15" s="322"/>
      <c r="R15" s="322"/>
      <c r="S15" s="377"/>
      <c r="T15" s="378"/>
      <c r="U15" s="377"/>
      <c r="V15" s="325"/>
      <c r="W15" s="322"/>
      <c r="X15" s="322"/>
      <c r="Y15" s="377"/>
      <c r="Z15" s="374"/>
    </row>
    <row r="16" spans="1:26" ht="14" x14ac:dyDescent="0.3">
      <c r="A16" s="151">
        <f>IF(C16&lt;&gt;"",COUNTA($C$12:C16),"")</f>
        <v>5</v>
      </c>
      <c r="B16" s="151"/>
      <c r="C16" s="371">
        <v>250</v>
      </c>
      <c r="D16" s="409">
        <f t="shared" ref="D16:D24" si="8">+C16*350</f>
        <v>87500</v>
      </c>
      <c r="E16" s="372">
        <f t="shared" si="0"/>
        <v>6650.25</v>
      </c>
      <c r="F16" s="372">
        <f t="shared" si="1"/>
        <v>11602.5</v>
      </c>
      <c r="G16" s="372">
        <f t="shared" si="2"/>
        <v>18252.75</v>
      </c>
      <c r="H16" s="373"/>
      <c r="I16" s="372">
        <f t="shared" si="3"/>
        <v>6438.88</v>
      </c>
      <c r="J16" s="372">
        <f t="shared" si="4"/>
        <v>15106.88</v>
      </c>
      <c r="K16" s="372">
        <f t="shared" si="5"/>
        <v>21545.759999999998</v>
      </c>
      <c r="L16" s="374"/>
      <c r="M16" s="375">
        <f t="shared" si="6"/>
        <v>3293.0099999999984</v>
      </c>
      <c r="N16" s="376">
        <f t="shared" si="7"/>
        <v>0.18041171878210124</v>
      </c>
      <c r="O16" s="377"/>
      <c r="P16" s="322"/>
      <c r="Q16" s="322"/>
      <c r="R16" s="322"/>
      <c r="S16" s="377"/>
      <c r="T16" s="378"/>
      <c r="U16" s="377"/>
      <c r="V16" s="325"/>
      <c r="W16" s="322"/>
      <c r="X16" s="322"/>
      <c r="Y16" s="377"/>
      <c r="Z16" s="374"/>
    </row>
    <row r="17" spans="1:26" ht="14" x14ac:dyDescent="0.3">
      <c r="A17" s="151">
        <f>IF(C17&lt;&gt;"",COUNTA($C$12:C17),"")</f>
        <v>6</v>
      </c>
      <c r="B17" s="151"/>
      <c r="C17" s="371">
        <v>400</v>
      </c>
      <c r="D17" s="409">
        <f t="shared" si="8"/>
        <v>140000</v>
      </c>
      <c r="E17" s="372">
        <f t="shared" si="0"/>
        <v>10490.4</v>
      </c>
      <c r="F17" s="372">
        <f t="shared" si="1"/>
        <v>18564</v>
      </c>
      <c r="G17" s="372">
        <f t="shared" si="2"/>
        <v>29054.400000000001</v>
      </c>
      <c r="H17" s="373"/>
      <c r="I17" s="372">
        <f t="shared" si="3"/>
        <v>10152.200000000001</v>
      </c>
      <c r="J17" s="372">
        <f t="shared" si="4"/>
        <v>24171</v>
      </c>
      <c r="K17" s="372">
        <f t="shared" si="5"/>
        <v>34323.199999999997</v>
      </c>
      <c r="L17" s="374"/>
      <c r="M17" s="375">
        <f t="shared" si="6"/>
        <v>5268.7999999999956</v>
      </c>
      <c r="N17" s="376">
        <f t="shared" si="7"/>
        <v>0.18134258494410468</v>
      </c>
      <c r="O17" s="377"/>
      <c r="P17" s="322"/>
      <c r="Q17" s="322"/>
      <c r="R17" s="322"/>
      <c r="S17" s="377"/>
      <c r="T17" s="378"/>
      <c r="U17" s="377"/>
      <c r="V17" s="325"/>
      <c r="W17" s="322"/>
      <c r="X17" s="322"/>
      <c r="Y17" s="377"/>
      <c r="Z17" s="374"/>
    </row>
    <row r="18" spans="1:26" ht="14" x14ac:dyDescent="0.3">
      <c r="A18" s="151">
        <f>IF(C18&lt;&gt;"",COUNTA($C$12:C18),"")</f>
        <v>7</v>
      </c>
      <c r="B18" s="151"/>
      <c r="C18" s="371">
        <v>550</v>
      </c>
      <c r="D18" s="409">
        <f t="shared" si="8"/>
        <v>192500</v>
      </c>
      <c r="E18" s="372">
        <f t="shared" si="0"/>
        <v>14330.55</v>
      </c>
      <c r="F18" s="372">
        <f t="shared" si="1"/>
        <v>25525.5</v>
      </c>
      <c r="G18" s="372">
        <f t="shared" si="2"/>
        <v>39856.050000000003</v>
      </c>
      <c r="H18" s="373"/>
      <c r="I18" s="372">
        <f t="shared" si="3"/>
        <v>13865.53</v>
      </c>
      <c r="J18" s="372">
        <f t="shared" si="4"/>
        <v>33235.129999999997</v>
      </c>
      <c r="K18" s="372">
        <f t="shared" si="5"/>
        <v>47100.659999999996</v>
      </c>
      <c r="L18" s="374"/>
      <c r="M18" s="375">
        <f t="shared" si="6"/>
        <v>7244.6099999999933</v>
      </c>
      <c r="N18" s="376">
        <f t="shared" si="7"/>
        <v>0.18176939260162492</v>
      </c>
      <c r="O18" s="377"/>
      <c r="P18" s="322"/>
      <c r="Q18" s="322"/>
      <c r="R18" s="322"/>
      <c r="S18" s="377"/>
      <c r="T18" s="378"/>
      <c r="U18" s="377"/>
      <c r="V18" s="325"/>
      <c r="W18" s="322"/>
      <c r="X18" s="322"/>
      <c r="Y18" s="377"/>
      <c r="Z18" s="374"/>
    </row>
    <row r="19" spans="1:26" ht="14" x14ac:dyDescent="0.3">
      <c r="A19" s="151">
        <f>IF(C19&lt;&gt;"",COUNTA($C$12:C19),"")</f>
        <v>8</v>
      </c>
      <c r="B19" s="151"/>
      <c r="C19" s="379">
        <v>700</v>
      </c>
      <c r="D19" s="409">
        <f t="shared" si="8"/>
        <v>245000</v>
      </c>
      <c r="E19" s="372">
        <f t="shared" si="0"/>
        <v>18170.7</v>
      </c>
      <c r="F19" s="380">
        <f t="shared" si="1"/>
        <v>32487</v>
      </c>
      <c r="G19" s="380">
        <f t="shared" si="2"/>
        <v>50657.7</v>
      </c>
      <c r="H19" s="381"/>
      <c r="I19" s="372">
        <f t="shared" si="3"/>
        <v>17578.849999999999</v>
      </c>
      <c r="J19" s="380">
        <f t="shared" si="4"/>
        <v>42299.25</v>
      </c>
      <c r="K19" s="380">
        <f t="shared" si="5"/>
        <v>59878.1</v>
      </c>
      <c r="L19" s="382"/>
      <c r="M19" s="383">
        <f t="shared" si="6"/>
        <v>9220.4000000000015</v>
      </c>
      <c r="N19" s="384">
        <f t="shared" si="7"/>
        <v>0.18201379059846778</v>
      </c>
      <c r="O19" s="377"/>
      <c r="P19" s="322"/>
      <c r="Q19" s="322"/>
      <c r="R19" s="322"/>
      <c r="S19" s="377"/>
      <c r="T19" s="378"/>
      <c r="U19" s="377"/>
      <c r="V19" s="325"/>
      <c r="W19" s="322"/>
      <c r="X19" s="322"/>
      <c r="Y19" s="377"/>
      <c r="Z19" s="374"/>
    </row>
    <row r="20" spans="1:26" ht="14" x14ac:dyDescent="0.3">
      <c r="A20" s="151">
        <f>IF(C20&lt;&gt;"",COUNTA($C$12:C20),"")</f>
        <v>9</v>
      </c>
      <c r="B20" s="151"/>
      <c r="C20" s="379">
        <v>1000</v>
      </c>
      <c r="D20" s="409">
        <f t="shared" si="8"/>
        <v>350000</v>
      </c>
      <c r="E20" s="372">
        <f t="shared" si="0"/>
        <v>25851</v>
      </c>
      <c r="F20" s="380">
        <f t="shared" si="1"/>
        <v>46410</v>
      </c>
      <c r="G20" s="380">
        <f t="shared" si="2"/>
        <v>72261</v>
      </c>
      <c r="H20" s="381"/>
      <c r="I20" s="372">
        <f t="shared" si="3"/>
        <v>25005.5</v>
      </c>
      <c r="J20" s="380">
        <f t="shared" si="4"/>
        <v>60427.5</v>
      </c>
      <c r="K20" s="380">
        <f t="shared" si="5"/>
        <v>85433</v>
      </c>
      <c r="L20" s="382"/>
      <c r="M20" s="383">
        <f t="shared" si="6"/>
        <v>13172</v>
      </c>
      <c r="N20" s="384">
        <f t="shared" si="7"/>
        <v>0.1822836661546339</v>
      </c>
      <c r="O20" s="377"/>
      <c r="P20" s="322"/>
      <c r="Q20" s="322"/>
      <c r="R20" s="322"/>
      <c r="S20" s="377"/>
      <c r="T20" s="378"/>
      <c r="U20" s="377"/>
      <c r="V20" s="325"/>
      <c r="W20" s="322"/>
      <c r="X20" s="322"/>
      <c r="Y20" s="377"/>
      <c r="Z20" s="374"/>
    </row>
    <row r="21" spans="1:26" ht="14" x14ac:dyDescent="0.3">
      <c r="A21" s="151">
        <f>IF(C21&lt;&gt;"",COUNTA($C$12:C21),"")</f>
        <v>10</v>
      </c>
      <c r="B21" s="151"/>
      <c r="C21" s="379">
        <v>1500</v>
      </c>
      <c r="D21" s="409">
        <f t="shared" si="8"/>
        <v>525000</v>
      </c>
      <c r="E21" s="372">
        <f t="shared" si="0"/>
        <v>38651.5</v>
      </c>
      <c r="F21" s="380">
        <f t="shared" si="1"/>
        <v>69615</v>
      </c>
      <c r="G21" s="380">
        <f t="shared" si="2"/>
        <v>108266.5</v>
      </c>
      <c r="H21" s="381"/>
      <c r="I21" s="372">
        <f t="shared" si="3"/>
        <v>37383.25</v>
      </c>
      <c r="J21" s="380">
        <f t="shared" si="4"/>
        <v>90641.25</v>
      </c>
      <c r="K21" s="380">
        <f t="shared" si="5"/>
        <v>128024.5</v>
      </c>
      <c r="L21" s="382"/>
      <c r="M21" s="383">
        <f t="shared" si="6"/>
        <v>19758</v>
      </c>
      <c r="N21" s="384">
        <f t="shared" si="7"/>
        <v>0.18249412329760359</v>
      </c>
      <c r="O21" s="377"/>
      <c r="P21" s="322"/>
      <c r="Q21" s="322"/>
      <c r="R21" s="322"/>
      <c r="S21" s="377"/>
      <c r="T21" s="378"/>
      <c r="U21" s="377"/>
      <c r="V21" s="325"/>
      <c r="W21" s="322"/>
      <c r="X21" s="322"/>
      <c r="Y21" s="377"/>
      <c r="Z21" s="374"/>
    </row>
    <row r="22" spans="1:26" ht="14" x14ac:dyDescent="0.3">
      <c r="A22" s="151">
        <f>IF(C22&lt;&gt;"",COUNTA($C$12:C22),"")</f>
        <v>11</v>
      </c>
      <c r="B22" s="151"/>
      <c r="C22" s="379">
        <v>2500</v>
      </c>
      <c r="D22" s="409">
        <f t="shared" si="8"/>
        <v>875000</v>
      </c>
      <c r="E22" s="372">
        <f t="shared" si="0"/>
        <v>64252.5</v>
      </c>
      <c r="F22" s="380">
        <f t="shared" si="1"/>
        <v>116025</v>
      </c>
      <c r="G22" s="380">
        <f t="shared" si="2"/>
        <v>180277.5</v>
      </c>
      <c r="H22" s="381"/>
      <c r="I22" s="372">
        <f t="shared" si="3"/>
        <v>62138.75</v>
      </c>
      <c r="J22" s="380">
        <f t="shared" si="4"/>
        <v>151068.75</v>
      </c>
      <c r="K22" s="380">
        <f t="shared" si="5"/>
        <v>213207.5</v>
      </c>
      <c r="L22" s="382"/>
      <c r="M22" s="383">
        <f t="shared" si="6"/>
        <v>32930</v>
      </c>
      <c r="N22" s="384">
        <f t="shared" si="7"/>
        <v>0.18266283923395876</v>
      </c>
      <c r="O22" s="377"/>
      <c r="P22" s="322"/>
      <c r="Q22" s="322"/>
      <c r="R22" s="322"/>
      <c r="S22" s="377"/>
      <c r="T22" s="378"/>
      <c r="U22" s="377"/>
      <c r="V22" s="325"/>
      <c r="W22" s="322"/>
      <c r="X22" s="322"/>
      <c r="Y22" s="377"/>
      <c r="Z22" s="374"/>
    </row>
    <row r="23" spans="1:26" ht="14" x14ac:dyDescent="0.3">
      <c r="A23" s="151">
        <f>IF(C23&lt;&gt;"",COUNTA($C$12:C23),"")</f>
        <v>12</v>
      </c>
      <c r="B23" s="151"/>
      <c r="C23" s="389">
        <v>5000</v>
      </c>
      <c r="D23" s="409">
        <f t="shared" si="8"/>
        <v>1750000</v>
      </c>
      <c r="E23" s="372">
        <f t="shared" si="0"/>
        <v>128255</v>
      </c>
      <c r="F23" s="380">
        <f t="shared" si="1"/>
        <v>232050</v>
      </c>
      <c r="G23" s="380">
        <f t="shared" si="2"/>
        <v>360305</v>
      </c>
      <c r="H23" s="381"/>
      <c r="I23" s="372">
        <f t="shared" si="3"/>
        <v>124027.5</v>
      </c>
      <c r="J23" s="380">
        <f t="shared" si="4"/>
        <v>302137.5</v>
      </c>
      <c r="K23" s="380">
        <f t="shared" si="5"/>
        <v>426165</v>
      </c>
      <c r="L23" s="382"/>
      <c r="M23" s="383">
        <f t="shared" si="6"/>
        <v>65860</v>
      </c>
      <c r="N23" s="384">
        <f t="shared" si="7"/>
        <v>0.18278958104938872</v>
      </c>
      <c r="O23" s="377"/>
      <c r="P23" s="322"/>
      <c r="Q23" s="322"/>
      <c r="R23" s="322"/>
      <c r="S23" s="377"/>
      <c r="T23" s="378"/>
      <c r="U23" s="377"/>
      <c r="V23" s="325"/>
      <c r="W23" s="322"/>
      <c r="X23" s="322"/>
      <c r="Y23" s="377"/>
      <c r="Z23" s="374"/>
    </row>
    <row r="24" spans="1:26" ht="14" x14ac:dyDescent="0.3">
      <c r="A24" s="151">
        <f>IF(C24&lt;&gt;"",COUNTA($C$12:C24),"")</f>
        <v>13</v>
      </c>
      <c r="B24" s="151" t="s">
        <v>554</v>
      </c>
      <c r="C24" s="417">
        <v>430</v>
      </c>
      <c r="D24" s="409">
        <f t="shared" si="8"/>
        <v>150500</v>
      </c>
      <c r="E24" s="372">
        <f t="shared" si="0"/>
        <v>11258.43</v>
      </c>
      <c r="F24" s="380">
        <f t="shared" si="1"/>
        <v>19956.3</v>
      </c>
      <c r="G24" s="380">
        <f t="shared" si="2"/>
        <v>31214.73</v>
      </c>
      <c r="H24" s="381"/>
      <c r="I24" s="372">
        <f t="shared" si="3"/>
        <v>10894.87</v>
      </c>
      <c r="J24" s="380">
        <f t="shared" si="4"/>
        <v>25983.83</v>
      </c>
      <c r="K24" s="380">
        <f t="shared" si="5"/>
        <v>36878.700000000004</v>
      </c>
      <c r="L24" s="382"/>
      <c r="M24" s="383">
        <f t="shared" si="6"/>
        <v>5663.9700000000048</v>
      </c>
      <c r="N24" s="384">
        <f t="shared" si="7"/>
        <v>0.18145183379769758</v>
      </c>
      <c r="O24" s="377"/>
      <c r="P24" s="322"/>
      <c r="Q24" s="322"/>
      <c r="R24" s="322"/>
      <c r="S24" s="377"/>
      <c r="T24" s="378"/>
      <c r="U24" s="377"/>
      <c r="V24" s="325"/>
      <c r="W24" s="322"/>
      <c r="X24" s="322"/>
      <c r="Y24" s="377"/>
      <c r="Z24" s="374"/>
    </row>
    <row r="25" spans="1:26" ht="14" x14ac:dyDescent="0.3">
      <c r="A25" s="151" t="str">
        <f>IF(C25&lt;&gt;"",COUNTA($C$12:C25),"")</f>
        <v/>
      </c>
      <c r="B25" s="151"/>
      <c r="C25" s="433"/>
      <c r="D25" s="389"/>
      <c r="E25" s="380"/>
      <c r="F25" s="380"/>
      <c r="G25" s="380"/>
      <c r="H25" s="381"/>
      <c r="I25" s="382"/>
      <c r="J25" s="382"/>
      <c r="K25" s="382"/>
      <c r="L25" s="382"/>
      <c r="M25" s="382"/>
      <c r="N25" s="385"/>
      <c r="O25" s="377"/>
      <c r="P25" s="322"/>
      <c r="Q25" s="322"/>
      <c r="R25" s="322"/>
      <c r="S25" s="377"/>
      <c r="T25" s="378"/>
      <c r="U25" s="377"/>
      <c r="V25" s="322"/>
      <c r="W25" s="322"/>
      <c r="X25" s="322"/>
      <c r="Y25" s="377"/>
      <c r="Z25" s="374"/>
    </row>
    <row r="26" spans="1:26" ht="14" x14ac:dyDescent="0.3">
      <c r="A26" s="151">
        <f>IF(C26&lt;&gt;"",COUNTA($C$12:C26),"")</f>
        <v>14</v>
      </c>
      <c r="B26" s="151"/>
      <c r="C26" s="417" t="s">
        <v>46</v>
      </c>
      <c r="D26" s="417"/>
      <c r="E26" s="760" t="str">
        <f>+'Bill_Bos G1 nonDem'!D26</f>
        <v>Current Monthly Bill (Summer)</v>
      </c>
      <c r="F26" s="760"/>
      <c r="G26" s="760"/>
      <c r="H26" s="386"/>
      <c r="I26" s="760" t="str">
        <f>+'Bill_Bos G1 nonDem'!H26</f>
        <v>Proposed Monthly Bill (Summer)</v>
      </c>
      <c r="J26" s="760"/>
      <c r="K26" s="760"/>
      <c r="L26" s="382"/>
      <c r="M26" s="761" t="s">
        <v>550</v>
      </c>
      <c r="N26" s="761"/>
      <c r="O26" s="415"/>
      <c r="P26" s="415"/>
      <c r="Q26" s="416"/>
      <c r="R26" s="369"/>
      <c r="S26" s="369"/>
      <c r="T26" s="378"/>
      <c r="U26" s="415"/>
      <c r="V26" s="415"/>
      <c r="W26" s="416"/>
      <c r="X26" s="369"/>
      <c r="Y26" s="369"/>
      <c r="Z26" s="369"/>
    </row>
    <row r="27" spans="1:26" ht="14" x14ac:dyDescent="0.3">
      <c r="A27" s="151">
        <f>IF(C27&lt;&gt;"",COUNTA($C$12:C27),"")</f>
        <v>15</v>
      </c>
      <c r="B27" s="151"/>
      <c r="C27" s="387" t="str">
        <f>+C13</f>
        <v>Monthly</v>
      </c>
      <c r="D27" s="387" t="str">
        <f>+D13</f>
        <v>Monthly</v>
      </c>
      <c r="E27" s="388" t="s">
        <v>552</v>
      </c>
      <c r="F27" s="388" t="s">
        <v>553</v>
      </c>
      <c r="G27" s="388" t="s">
        <v>47</v>
      </c>
      <c r="H27" s="386"/>
      <c r="I27" s="388" t="s">
        <v>552</v>
      </c>
      <c r="J27" s="388" t="s">
        <v>553</v>
      </c>
      <c r="K27" s="388" t="s">
        <v>47</v>
      </c>
      <c r="L27" s="382"/>
      <c r="M27" s="388" t="s">
        <v>65</v>
      </c>
      <c r="N27" s="387" t="s">
        <v>325</v>
      </c>
      <c r="O27" s="378"/>
      <c r="P27" s="369"/>
      <c r="Q27" s="369"/>
      <c r="R27" s="369"/>
      <c r="S27" s="369"/>
      <c r="T27" s="369"/>
      <c r="U27" s="378"/>
      <c r="V27" s="369"/>
      <c r="W27" s="369"/>
      <c r="X27" s="369"/>
      <c r="Y27" s="369"/>
      <c r="Z27" s="369"/>
    </row>
    <row r="28" spans="1:26" ht="14" x14ac:dyDescent="0.3">
      <c r="A28" s="151">
        <f>IF(C28&lt;&gt;"",COUNTA($C$12:C28),"")</f>
        <v>16</v>
      </c>
      <c r="B28" s="151"/>
      <c r="C28" s="389">
        <f>+C15</f>
        <v>100</v>
      </c>
      <c r="D28" s="409">
        <f>+C28*350</f>
        <v>35000</v>
      </c>
      <c r="E28" s="380">
        <f t="shared" ref="E28:E37" si="9">ROUND($G$41+$C28*SUM($G$43,$G$44)+(SUM($G$45:$G$60,$G$61:$G$63)*$D28),2)</f>
        <v>3406.1</v>
      </c>
      <c r="F28" s="380">
        <f t="shared" ref="F28:F37" si="10">ROUND($G$64*D28,2)</f>
        <v>4641</v>
      </c>
      <c r="G28" s="380">
        <f t="shared" ref="G28:G37" si="11">SUM(E28:F28)</f>
        <v>8047.1</v>
      </c>
      <c r="H28" s="381"/>
      <c r="I28" s="380">
        <f t="shared" ref="I28:I37" si="12">ROUND($I$41+$C28*SUM($I$43,$I$44)+(SUM($I$45:$I$60,$I$61:$I$63)*$D28),2)</f>
        <v>3342.55</v>
      </c>
      <c r="J28" s="380">
        <f t="shared" ref="J28:J37" si="13">ROUND($I$64*D28,2)</f>
        <v>6042.75</v>
      </c>
      <c r="K28" s="380">
        <f t="shared" ref="K28:K37" si="14">SUM(I28:J28)</f>
        <v>9385.2999999999993</v>
      </c>
      <c r="L28" s="382"/>
      <c r="M28" s="383">
        <f t="shared" ref="M28:M37" si="15">+K28-G28</f>
        <v>1338.1999999999989</v>
      </c>
      <c r="N28" s="384">
        <f t="shared" ref="N28:N37" si="16">+M28/G28</f>
        <v>0.16629593269625068</v>
      </c>
      <c r="O28" s="377"/>
      <c r="P28" s="322"/>
      <c r="Q28" s="322"/>
      <c r="R28" s="322"/>
      <c r="S28" s="377"/>
      <c r="T28" s="378"/>
      <c r="U28" s="377"/>
      <c r="V28" s="325"/>
      <c r="W28" s="322"/>
      <c r="X28" s="322"/>
      <c r="Y28" s="377"/>
      <c r="Z28" s="374"/>
    </row>
    <row r="29" spans="1:26" ht="14" x14ac:dyDescent="0.3">
      <c r="A29" s="151">
        <f>IF(C29&lt;&gt;"",COUNTA($C$12:C29),"")</f>
        <v>17</v>
      </c>
      <c r="B29" s="151"/>
      <c r="C29" s="389">
        <f t="shared" ref="C29:C36" si="17">+C16</f>
        <v>250</v>
      </c>
      <c r="D29" s="409">
        <f t="shared" ref="D29:D37" si="18">+C29*350</f>
        <v>87500</v>
      </c>
      <c r="E29" s="380">
        <f t="shared" si="9"/>
        <v>8140.25</v>
      </c>
      <c r="F29" s="380">
        <f t="shared" si="10"/>
        <v>11602.5</v>
      </c>
      <c r="G29" s="380">
        <f t="shared" si="11"/>
        <v>19742.75</v>
      </c>
      <c r="H29" s="381"/>
      <c r="I29" s="380">
        <f t="shared" si="12"/>
        <v>7981.38</v>
      </c>
      <c r="J29" s="380">
        <f t="shared" si="13"/>
        <v>15106.88</v>
      </c>
      <c r="K29" s="380">
        <f t="shared" si="14"/>
        <v>23088.26</v>
      </c>
      <c r="L29" s="382"/>
      <c r="M29" s="383">
        <f t="shared" si="15"/>
        <v>3345.5099999999984</v>
      </c>
      <c r="N29" s="384">
        <f t="shared" si="16"/>
        <v>0.16945511643514699</v>
      </c>
      <c r="O29" s="377"/>
      <c r="P29" s="322"/>
      <c r="Q29" s="322"/>
      <c r="R29" s="322"/>
      <c r="S29" s="377"/>
      <c r="T29" s="378"/>
      <c r="U29" s="377"/>
      <c r="V29" s="325"/>
      <c r="W29" s="322"/>
      <c r="X29" s="322"/>
      <c r="Y29" s="377"/>
      <c r="Z29" s="374"/>
    </row>
    <row r="30" spans="1:26" ht="14" x14ac:dyDescent="0.3">
      <c r="A30" s="151">
        <f>IF(C30&lt;&gt;"",COUNTA($C$12:C30),"")</f>
        <v>18</v>
      </c>
      <c r="B30" s="151"/>
      <c r="C30" s="389">
        <f t="shared" si="17"/>
        <v>400</v>
      </c>
      <c r="D30" s="409">
        <f t="shared" si="18"/>
        <v>140000</v>
      </c>
      <c r="E30" s="380">
        <f t="shared" si="9"/>
        <v>12874.4</v>
      </c>
      <c r="F30" s="380">
        <f t="shared" si="10"/>
        <v>18564</v>
      </c>
      <c r="G30" s="380">
        <f t="shared" si="11"/>
        <v>31438.400000000001</v>
      </c>
      <c r="H30" s="381"/>
      <c r="I30" s="380">
        <f t="shared" si="12"/>
        <v>12620.2</v>
      </c>
      <c r="J30" s="380">
        <f t="shared" si="13"/>
        <v>24171</v>
      </c>
      <c r="K30" s="380">
        <f t="shared" si="14"/>
        <v>36791.199999999997</v>
      </c>
      <c r="L30" s="382"/>
      <c r="M30" s="383">
        <f t="shared" si="15"/>
        <v>5352.7999999999956</v>
      </c>
      <c r="N30" s="384">
        <f t="shared" si="16"/>
        <v>0.17026311771591415</v>
      </c>
      <c r="O30" s="377"/>
      <c r="P30" s="322"/>
      <c r="Q30" s="322"/>
      <c r="R30" s="322"/>
      <c r="S30" s="377"/>
      <c r="T30" s="378"/>
      <c r="U30" s="377"/>
      <c r="V30" s="325"/>
      <c r="W30" s="322"/>
      <c r="X30" s="322"/>
      <c r="Y30" s="377"/>
      <c r="Z30" s="374"/>
    </row>
    <row r="31" spans="1:26" ht="14" x14ac:dyDescent="0.3">
      <c r="A31" s="151">
        <f>IF(C31&lt;&gt;"",COUNTA($C$12:C31),"")</f>
        <v>19</v>
      </c>
      <c r="B31" s="151"/>
      <c r="C31" s="389">
        <f t="shared" si="17"/>
        <v>550</v>
      </c>
      <c r="D31" s="409">
        <f t="shared" si="18"/>
        <v>192500</v>
      </c>
      <c r="E31" s="380">
        <f t="shared" si="9"/>
        <v>17608.55</v>
      </c>
      <c r="F31" s="380">
        <f t="shared" si="10"/>
        <v>25525.5</v>
      </c>
      <c r="G31" s="380">
        <f t="shared" si="11"/>
        <v>43134.05</v>
      </c>
      <c r="H31" s="381"/>
      <c r="I31" s="380">
        <f t="shared" si="12"/>
        <v>17259.03</v>
      </c>
      <c r="J31" s="380">
        <f t="shared" si="13"/>
        <v>33235.129999999997</v>
      </c>
      <c r="K31" s="380">
        <f t="shared" si="14"/>
        <v>50494.159999999996</v>
      </c>
      <c r="L31" s="382"/>
      <c r="M31" s="383">
        <f t="shared" si="15"/>
        <v>7360.1099999999933</v>
      </c>
      <c r="N31" s="384">
        <f t="shared" si="16"/>
        <v>0.17063340910487174</v>
      </c>
      <c r="O31" s="377"/>
      <c r="P31" s="322"/>
      <c r="Q31" s="322"/>
      <c r="R31" s="322"/>
      <c r="S31" s="377"/>
      <c r="T31" s="378"/>
      <c r="U31" s="377"/>
      <c r="V31" s="325"/>
      <c r="W31" s="322"/>
      <c r="X31" s="322"/>
      <c r="Y31" s="377"/>
      <c r="Z31" s="374"/>
    </row>
    <row r="32" spans="1:26" ht="14" x14ac:dyDescent="0.3">
      <c r="A32" s="151">
        <f>IF(C32&lt;&gt;"",COUNTA($C$12:C32),"")</f>
        <v>20</v>
      </c>
      <c r="B32" s="151"/>
      <c r="C32" s="389">
        <f t="shared" si="17"/>
        <v>700</v>
      </c>
      <c r="D32" s="409">
        <f t="shared" si="18"/>
        <v>245000</v>
      </c>
      <c r="E32" s="380">
        <f t="shared" si="9"/>
        <v>22342.7</v>
      </c>
      <c r="F32" s="380">
        <f t="shared" si="10"/>
        <v>32487</v>
      </c>
      <c r="G32" s="380">
        <f t="shared" si="11"/>
        <v>54829.7</v>
      </c>
      <c r="H32" s="381"/>
      <c r="I32" s="380">
        <f t="shared" si="12"/>
        <v>21897.85</v>
      </c>
      <c r="J32" s="380">
        <f t="shared" si="13"/>
        <v>42299.25</v>
      </c>
      <c r="K32" s="380">
        <f t="shared" si="14"/>
        <v>64197.1</v>
      </c>
      <c r="L32" s="382"/>
      <c r="M32" s="383">
        <f t="shared" si="15"/>
        <v>9367.4000000000015</v>
      </c>
      <c r="N32" s="384">
        <f t="shared" si="16"/>
        <v>0.17084536300581624</v>
      </c>
      <c r="O32" s="377"/>
      <c r="P32" s="322"/>
      <c r="Q32" s="322"/>
      <c r="R32" s="322"/>
      <c r="S32" s="377"/>
      <c r="T32" s="378"/>
      <c r="U32" s="377"/>
      <c r="V32" s="325"/>
      <c r="W32" s="322"/>
      <c r="X32" s="322"/>
      <c r="Y32" s="377"/>
      <c r="Z32" s="374"/>
    </row>
    <row r="33" spans="1:26" ht="14" x14ac:dyDescent="0.3">
      <c r="A33" s="151">
        <f>IF(C33&lt;&gt;"",COUNTA($C$12:C33),"")</f>
        <v>21</v>
      </c>
      <c r="B33" s="151"/>
      <c r="C33" s="389">
        <f t="shared" si="17"/>
        <v>1000</v>
      </c>
      <c r="D33" s="409">
        <f t="shared" si="18"/>
        <v>350000</v>
      </c>
      <c r="E33" s="380">
        <f t="shared" si="9"/>
        <v>31811</v>
      </c>
      <c r="F33" s="372">
        <f t="shared" si="10"/>
        <v>46410</v>
      </c>
      <c r="G33" s="372">
        <f t="shared" si="11"/>
        <v>78221</v>
      </c>
      <c r="H33" s="373"/>
      <c r="I33" s="380">
        <f t="shared" si="12"/>
        <v>31175.5</v>
      </c>
      <c r="J33" s="372">
        <f t="shared" si="13"/>
        <v>60427.5</v>
      </c>
      <c r="K33" s="372">
        <f t="shared" si="14"/>
        <v>91603</v>
      </c>
      <c r="L33" s="374"/>
      <c r="M33" s="375">
        <f t="shared" si="15"/>
        <v>13382</v>
      </c>
      <c r="N33" s="376">
        <f t="shared" si="16"/>
        <v>0.1710793776607305</v>
      </c>
      <c r="O33" s="377"/>
      <c r="P33" s="322"/>
      <c r="Q33" s="322"/>
      <c r="R33" s="322"/>
      <c r="S33" s="377"/>
      <c r="T33" s="378"/>
      <c r="U33" s="377"/>
      <c r="V33" s="325"/>
      <c r="W33" s="322"/>
      <c r="X33" s="322"/>
      <c r="Y33" s="377"/>
      <c r="Z33" s="374"/>
    </row>
    <row r="34" spans="1:26" ht="14" x14ac:dyDescent="0.3">
      <c r="A34" s="151">
        <f>IF(C34&lt;&gt;"",COUNTA($C$12:C34),"")</f>
        <v>22</v>
      </c>
      <c r="B34" s="151"/>
      <c r="C34" s="389">
        <f t="shared" si="17"/>
        <v>1500</v>
      </c>
      <c r="D34" s="409">
        <f t="shared" si="18"/>
        <v>525000</v>
      </c>
      <c r="E34" s="380">
        <f t="shared" si="9"/>
        <v>47591.5</v>
      </c>
      <c r="F34" s="372">
        <f t="shared" si="10"/>
        <v>69615</v>
      </c>
      <c r="G34" s="372">
        <f t="shared" si="11"/>
        <v>117206.5</v>
      </c>
      <c r="H34" s="373"/>
      <c r="I34" s="380">
        <f t="shared" si="12"/>
        <v>46638.25</v>
      </c>
      <c r="J34" s="372">
        <f t="shared" si="13"/>
        <v>90641.25</v>
      </c>
      <c r="K34" s="372">
        <f t="shared" si="14"/>
        <v>137279.5</v>
      </c>
      <c r="L34" s="374"/>
      <c r="M34" s="375">
        <f t="shared" si="15"/>
        <v>20073</v>
      </c>
      <c r="N34" s="376">
        <f t="shared" si="16"/>
        <v>0.17126183274818377</v>
      </c>
      <c r="O34" s="377"/>
      <c r="P34" s="322"/>
      <c r="Q34" s="322"/>
      <c r="R34" s="322"/>
      <c r="S34" s="377"/>
      <c r="T34" s="378"/>
      <c r="U34" s="377"/>
      <c r="V34" s="325"/>
      <c r="W34" s="322"/>
      <c r="X34" s="322"/>
      <c r="Y34" s="377"/>
      <c r="Z34" s="374"/>
    </row>
    <row r="35" spans="1:26" ht="14" x14ac:dyDescent="0.3">
      <c r="A35" s="151">
        <f>IF(C35&lt;&gt;"",COUNTA($C$12:C35),"")</f>
        <v>23</v>
      </c>
      <c r="B35" s="151"/>
      <c r="C35" s="389">
        <f t="shared" si="17"/>
        <v>2500</v>
      </c>
      <c r="D35" s="409">
        <f t="shared" si="18"/>
        <v>875000</v>
      </c>
      <c r="E35" s="380">
        <f t="shared" si="9"/>
        <v>79152.5</v>
      </c>
      <c r="F35" s="372">
        <f t="shared" si="10"/>
        <v>116025</v>
      </c>
      <c r="G35" s="372">
        <f t="shared" si="11"/>
        <v>195177.5</v>
      </c>
      <c r="H35" s="373"/>
      <c r="I35" s="380">
        <f t="shared" si="12"/>
        <v>77563.75</v>
      </c>
      <c r="J35" s="372">
        <f t="shared" si="13"/>
        <v>151068.75</v>
      </c>
      <c r="K35" s="372">
        <f t="shared" si="14"/>
        <v>228632.5</v>
      </c>
      <c r="L35" s="374"/>
      <c r="M35" s="375">
        <f t="shared" si="15"/>
        <v>33455</v>
      </c>
      <c r="N35" s="376">
        <f t="shared" si="16"/>
        <v>0.17140807726300419</v>
      </c>
      <c r="O35" s="377"/>
      <c r="P35" s="322"/>
      <c r="Q35" s="322"/>
      <c r="R35" s="322"/>
      <c r="S35" s="377"/>
      <c r="T35" s="378"/>
      <c r="U35" s="377"/>
      <c r="V35" s="325"/>
      <c r="W35" s="322"/>
      <c r="X35" s="322"/>
      <c r="Y35" s="377"/>
      <c r="Z35" s="374"/>
    </row>
    <row r="36" spans="1:26" ht="14" x14ac:dyDescent="0.3">
      <c r="A36" s="151">
        <f>IF(C36&lt;&gt;"",COUNTA($C$12:C36),"")</f>
        <v>24</v>
      </c>
      <c r="B36" s="151"/>
      <c r="C36" s="389">
        <f t="shared" si="17"/>
        <v>5000</v>
      </c>
      <c r="D36" s="409">
        <f t="shared" si="18"/>
        <v>1750000</v>
      </c>
      <c r="E36" s="380">
        <f t="shared" si="9"/>
        <v>158055</v>
      </c>
      <c r="F36" s="372">
        <f t="shared" si="10"/>
        <v>232050</v>
      </c>
      <c r="G36" s="372">
        <f t="shared" si="11"/>
        <v>390105</v>
      </c>
      <c r="H36" s="373"/>
      <c r="I36" s="380">
        <f t="shared" si="12"/>
        <v>154877.5</v>
      </c>
      <c r="J36" s="372">
        <f t="shared" si="13"/>
        <v>302137.5</v>
      </c>
      <c r="K36" s="372">
        <f t="shared" si="14"/>
        <v>457015</v>
      </c>
      <c r="L36" s="374"/>
      <c r="M36" s="375">
        <f t="shared" si="15"/>
        <v>66910</v>
      </c>
      <c r="N36" s="376">
        <f t="shared" si="16"/>
        <v>0.17151792466130913</v>
      </c>
      <c r="O36" s="377"/>
      <c r="P36" s="322"/>
      <c r="Q36" s="322"/>
      <c r="R36" s="322"/>
      <c r="S36" s="377"/>
      <c r="T36" s="378"/>
      <c r="U36" s="377"/>
      <c r="V36" s="325"/>
      <c r="W36" s="322"/>
      <c r="X36" s="322"/>
      <c r="Y36" s="377"/>
      <c r="Z36" s="374"/>
    </row>
    <row r="37" spans="1:26" ht="14" x14ac:dyDescent="0.3">
      <c r="A37" s="151">
        <f>IF(C37&lt;&gt;"",COUNTA($C$12:C37),"")</f>
        <v>25</v>
      </c>
      <c r="B37" s="151" t="s">
        <v>554</v>
      </c>
      <c r="C37" s="389">
        <v>506</v>
      </c>
      <c r="D37" s="409">
        <f t="shared" si="18"/>
        <v>177100</v>
      </c>
      <c r="E37" s="380">
        <f t="shared" si="9"/>
        <v>16219.87</v>
      </c>
      <c r="F37" s="372">
        <f t="shared" si="10"/>
        <v>23483.46</v>
      </c>
      <c r="G37" s="372">
        <f t="shared" si="11"/>
        <v>39703.33</v>
      </c>
      <c r="H37" s="373"/>
      <c r="I37" s="380">
        <f t="shared" si="12"/>
        <v>15898.3</v>
      </c>
      <c r="J37" s="372">
        <f t="shared" si="13"/>
        <v>30576.32</v>
      </c>
      <c r="K37" s="372">
        <f t="shared" si="14"/>
        <v>46474.619999999995</v>
      </c>
      <c r="L37" s="374"/>
      <c r="M37" s="375">
        <f t="shared" si="15"/>
        <v>6771.2899999999936</v>
      </c>
      <c r="N37" s="376">
        <f t="shared" si="16"/>
        <v>0.17054715561641789</v>
      </c>
      <c r="O37" s="377"/>
      <c r="P37" s="322"/>
      <c r="Q37" s="322"/>
      <c r="R37" s="322"/>
      <c r="S37" s="377"/>
      <c r="T37" s="378"/>
      <c r="U37" s="377"/>
      <c r="V37" s="325"/>
      <c r="W37" s="322"/>
      <c r="X37" s="322"/>
      <c r="Y37" s="377"/>
      <c r="Z37" s="374"/>
    </row>
    <row r="38" spans="1:26" ht="14" x14ac:dyDescent="0.3">
      <c r="A38" s="151" t="str">
        <f>IF(C38&lt;&gt;"",COUNTA($C$12:C38),"")</f>
        <v/>
      </c>
      <c r="B38" s="151"/>
      <c r="C38" s="293"/>
      <c r="D38" s="293"/>
      <c r="E38" s="293"/>
      <c r="F38" s="293"/>
      <c r="G38" s="393"/>
      <c r="H38" s="394"/>
      <c r="O38" s="377"/>
      <c r="P38" s="322"/>
      <c r="Q38" s="322"/>
      <c r="R38" s="322"/>
      <c r="S38" s="377"/>
      <c r="T38" s="378"/>
      <c r="U38" s="377"/>
      <c r="V38" s="322"/>
      <c r="W38" s="322"/>
      <c r="X38" s="322"/>
      <c r="Y38" s="377"/>
      <c r="Z38" s="374"/>
    </row>
    <row r="39" spans="1:26" ht="14" x14ac:dyDescent="0.3">
      <c r="A39" s="151">
        <f>IF(C39&lt;&gt;"",COUNTA($C$12:C39),"")</f>
        <v>26</v>
      </c>
      <c r="B39" s="151"/>
      <c r="C39" s="293" t="s">
        <v>46</v>
      </c>
      <c r="D39" s="293"/>
      <c r="E39" s="293"/>
      <c r="G39" s="395" t="str">
        <f>+'Bill_Bos G2 p1'!G42</f>
        <v>Current</v>
      </c>
      <c r="I39" s="395" t="str">
        <f>+'Bill_Bos G2 p1'!I42</f>
        <v>Proposed</v>
      </c>
      <c r="J39" s="420"/>
      <c r="O39" s="377"/>
      <c r="P39" s="322"/>
      <c r="Q39" s="322"/>
      <c r="R39" s="322"/>
      <c r="S39" s="377"/>
      <c r="T39" s="378"/>
      <c r="U39" s="377"/>
      <c r="V39" s="322"/>
      <c r="W39" s="322"/>
      <c r="X39" s="322"/>
      <c r="Y39" s="377"/>
      <c r="Z39" s="374"/>
    </row>
    <row r="40" spans="1:26" ht="17" x14ac:dyDescent="0.6">
      <c r="A40" s="151">
        <f>IF(C40&lt;&gt;"",COUNTA($C$12:C40),"")</f>
        <v>27</v>
      </c>
      <c r="B40" s="151"/>
      <c r="C40" s="274" t="s">
        <v>46</v>
      </c>
      <c r="D40" s="274"/>
      <c r="E40" s="293"/>
      <c r="G40" s="396" t="str">
        <f>+'Bill_Bos G2 p1'!G43</f>
        <v>Rates</v>
      </c>
      <c r="I40" s="396" t="str">
        <f>+'Bill_Bos G2 p1'!I43</f>
        <v>Rates</v>
      </c>
      <c r="J40" s="396" t="str">
        <f>+'Bill_Bos G2 p1'!J43</f>
        <v>Change</v>
      </c>
      <c r="O40" s="233"/>
      <c r="P40" s="422"/>
      <c r="Q40" s="422"/>
    </row>
    <row r="41" spans="1:26" ht="14" x14ac:dyDescent="0.3">
      <c r="A41" s="151">
        <f>IF(C41&lt;&gt;"",COUNTA($C$12:C41),"")</f>
        <v>28</v>
      </c>
      <c r="B41" s="151"/>
      <c r="C41" s="293" t="s">
        <v>296</v>
      </c>
      <c r="D41" s="293"/>
      <c r="E41" s="274"/>
      <c r="G41" s="454">
        <v>250</v>
      </c>
      <c r="H41" s="455"/>
      <c r="I41" s="454">
        <f>+G41</f>
        <v>250</v>
      </c>
      <c r="J41" s="421">
        <f>I41-G41</f>
        <v>0</v>
      </c>
      <c r="O41" s="233"/>
      <c r="P41" s="424"/>
      <c r="Q41" s="424"/>
    </row>
    <row r="42" spans="1:26" ht="14" x14ac:dyDescent="0.3">
      <c r="A42" s="151">
        <f>IF(C42&lt;&gt;"",COUNTA($C$12:C42),"")</f>
        <v>29</v>
      </c>
      <c r="B42" s="151"/>
      <c r="C42" s="293" t="s">
        <v>404</v>
      </c>
      <c r="D42" s="293"/>
      <c r="E42" s="274"/>
      <c r="G42" s="454">
        <v>8.58</v>
      </c>
      <c r="H42" s="455"/>
      <c r="I42" s="454">
        <v>8.8699999999999992</v>
      </c>
      <c r="J42" s="421">
        <f t="shared" ref="J42:J64" si="19">I42-G42</f>
        <v>0.28999999999999915</v>
      </c>
      <c r="O42" s="233"/>
      <c r="P42" s="422"/>
      <c r="Q42" s="423"/>
    </row>
    <row r="43" spans="1:26" ht="14" x14ac:dyDescent="0.3">
      <c r="A43" s="151">
        <f>IF(C43&lt;&gt;"",COUNTA($C$12:C43),"")</f>
        <v>30</v>
      </c>
      <c r="B43" s="151"/>
      <c r="C43" s="293" t="s">
        <v>406</v>
      </c>
      <c r="D43" s="293"/>
      <c r="E43" s="274"/>
      <c r="G43" s="454">
        <v>14.54</v>
      </c>
      <c r="H43" s="455"/>
      <c r="I43" s="454">
        <v>15.04</v>
      </c>
      <c r="J43" s="421">
        <f t="shared" si="19"/>
        <v>0.5</v>
      </c>
      <c r="O43" s="233"/>
      <c r="P43" s="426"/>
      <c r="Q43" s="426"/>
    </row>
    <row r="44" spans="1:26" ht="14" x14ac:dyDescent="0.3">
      <c r="A44" s="151">
        <f>IF(C44&lt;&gt;"",COUNTA($C$12:C44),"")</f>
        <v>31</v>
      </c>
      <c r="B44" s="151"/>
      <c r="C44" s="293" t="s">
        <v>408</v>
      </c>
      <c r="D44" s="293"/>
      <c r="E44" s="274"/>
      <c r="G44" s="454">
        <v>10.28</v>
      </c>
      <c r="H44" s="448"/>
      <c r="I44" s="454">
        <v>9.0500000000000007</v>
      </c>
      <c r="J44" s="421">
        <f>I44-G44</f>
        <v>-1.2299999999999986</v>
      </c>
      <c r="O44" s="233"/>
      <c r="P44" s="426"/>
      <c r="Q44" s="426"/>
    </row>
    <row r="45" spans="1:26" ht="14" x14ac:dyDescent="0.3">
      <c r="A45" s="151">
        <f>IF(C45&lt;&gt;"",COUNTA($C$12:C45),"")</f>
        <v>32</v>
      </c>
      <c r="B45" s="151"/>
      <c r="C45" s="293" t="s">
        <v>298</v>
      </c>
      <c r="D45" s="293"/>
      <c r="E45" s="274"/>
      <c r="G45" s="308">
        <v>0</v>
      </c>
      <c r="H45" s="400"/>
      <c r="I45" s="308">
        <v>0</v>
      </c>
      <c r="J45" s="354">
        <f t="shared" si="19"/>
        <v>0</v>
      </c>
      <c r="O45" s="233"/>
      <c r="P45" s="426"/>
      <c r="Q45" s="426"/>
    </row>
    <row r="46" spans="1:26" ht="14" x14ac:dyDescent="0.3">
      <c r="A46" s="151">
        <f>IF(C46&lt;&gt;"",COUNTA($C$12:C46),"")</f>
        <v>33</v>
      </c>
      <c r="B46" s="151"/>
      <c r="C46" s="293" t="str">
        <f>'Bill_Bos G1 nonDem'!C46</f>
        <v>Revenue Decoupling</v>
      </c>
      <c r="D46" s="293"/>
      <c r="E46" s="274"/>
      <c r="G46" s="308">
        <v>0</v>
      </c>
      <c r="H46" s="277"/>
      <c r="I46" s="277">
        <v>-2.4000000000000001E-4</v>
      </c>
      <c r="J46" s="354">
        <f t="shared" si="19"/>
        <v>-2.4000000000000001E-4</v>
      </c>
      <c r="O46" s="233"/>
      <c r="P46" s="426"/>
      <c r="Q46" s="426"/>
    </row>
    <row r="47" spans="1:26" ht="14" x14ac:dyDescent="0.3">
      <c r="A47" s="151">
        <f>IF(C47&lt;&gt;"",COUNTA($C$12:C47),"")</f>
        <v>34</v>
      </c>
      <c r="B47" s="151"/>
      <c r="C47" s="293" t="str">
        <f>'Bill_Bos G1 nonDem'!C47</f>
        <v>Residential Assistance Adjustment Factor</v>
      </c>
      <c r="D47" s="293"/>
      <c r="E47" s="274"/>
      <c r="G47" s="277">
        <v>1.47E-3</v>
      </c>
      <c r="H47" s="277"/>
      <c r="I47" s="277">
        <v>2.0300000000000001E-3</v>
      </c>
      <c r="J47" s="354">
        <f t="shared" si="19"/>
        <v>5.6000000000000017E-4</v>
      </c>
      <c r="O47" s="233"/>
      <c r="P47" s="426"/>
      <c r="Q47" s="426"/>
    </row>
    <row r="48" spans="1:26" ht="14" x14ac:dyDescent="0.3">
      <c r="A48" s="151">
        <f>IF(C48&lt;&gt;"",COUNTA($C$12:C48),"")</f>
        <v>35</v>
      </c>
      <c r="B48" s="151"/>
      <c r="C48" s="293" t="str">
        <f>'Bill_Bos G1 nonDem'!C48</f>
        <v>Pension Adjustment Factor</v>
      </c>
      <c r="D48" s="293"/>
      <c r="E48" s="274"/>
      <c r="G48" s="277">
        <v>-3.0000000000000001E-5</v>
      </c>
      <c r="H48" s="277"/>
      <c r="I48" s="277">
        <v>2.9999999999999997E-4</v>
      </c>
      <c r="J48" s="354">
        <f t="shared" si="19"/>
        <v>3.3E-4</v>
      </c>
      <c r="O48" s="233"/>
      <c r="P48" s="426"/>
      <c r="Q48" s="426"/>
    </row>
    <row r="49" spans="1:17" ht="14" x14ac:dyDescent="0.3">
      <c r="A49" s="151">
        <f>IF(C49&lt;&gt;"",COUNTA($C$12:C49),"")</f>
        <v>36</v>
      </c>
      <c r="B49" s="151"/>
      <c r="C49" s="293" t="str">
        <f>'Bill_Bos G1 nonDem'!C49</f>
        <v>Net Metering Recovery Surcharge</v>
      </c>
      <c r="D49" s="293"/>
      <c r="E49" s="274"/>
      <c r="G49" s="277">
        <v>2.8999999999999998E-3</v>
      </c>
      <c r="H49" s="277"/>
      <c r="I49" s="277">
        <v>2.64E-3</v>
      </c>
      <c r="J49" s="354">
        <f t="shared" si="19"/>
        <v>-2.5999999999999981E-4</v>
      </c>
      <c r="O49" s="233"/>
      <c r="P49" s="426"/>
      <c r="Q49" s="426"/>
    </row>
    <row r="50" spans="1:17" ht="14" x14ac:dyDescent="0.3">
      <c r="A50" s="151">
        <f>IF(C50&lt;&gt;"",COUNTA($C$12:C50),"")</f>
        <v>37</v>
      </c>
      <c r="B50" s="151"/>
      <c r="C50" s="293" t="str">
        <f>'Bill_Bos G1 nonDem'!C50</f>
        <v>Long Term Renewable Contract Adjustment</v>
      </c>
      <c r="D50" s="293"/>
      <c r="E50" s="274"/>
      <c r="G50" s="277">
        <v>2.3600000000000001E-3</v>
      </c>
      <c r="H50" s="277"/>
      <c r="I50" s="277">
        <v>1.74E-3</v>
      </c>
      <c r="J50" s="354">
        <f t="shared" si="19"/>
        <v>-6.2000000000000011E-4</v>
      </c>
      <c r="O50" s="233"/>
      <c r="P50" s="426"/>
      <c r="Q50" s="426"/>
    </row>
    <row r="51" spans="1:17" ht="14" x14ac:dyDescent="0.3">
      <c r="A51" s="151">
        <f>IF(C51&lt;&gt;"",COUNTA($C$12:C51),"")</f>
        <v>38</v>
      </c>
      <c r="B51" s="151"/>
      <c r="C51" s="293" t="str">
        <f>'Bill_Bos G1 nonDem'!C51</f>
        <v>AG Consulting Expense</v>
      </c>
      <c r="D51" s="293"/>
      <c r="E51" s="274"/>
      <c r="G51" s="277">
        <v>2.0000000000000002E-5</v>
      </c>
      <c r="H51" s="277"/>
      <c r="I51" s="277">
        <v>0</v>
      </c>
      <c r="J51" s="354">
        <f t="shared" si="19"/>
        <v>-2.0000000000000002E-5</v>
      </c>
      <c r="O51" s="233"/>
      <c r="P51" s="426"/>
      <c r="Q51" s="426"/>
    </row>
    <row r="52" spans="1:17" ht="14" x14ac:dyDescent="0.3">
      <c r="A52" s="151">
        <f>IF(C52&lt;&gt;"",COUNTA($C$12:C52),"")</f>
        <v>39</v>
      </c>
      <c r="B52" s="151"/>
      <c r="C52" s="293" t="str">
        <f>'Bill_Bos G1 nonDem'!C52</f>
        <v>Storm Cost Recovery Adjustment Factor</v>
      </c>
      <c r="D52" s="293"/>
      <c r="E52" s="274"/>
      <c r="G52" s="277">
        <v>9.1E-4</v>
      </c>
      <c r="H52" s="277"/>
      <c r="I52" s="277">
        <v>1.5399999999999999E-3</v>
      </c>
      <c r="J52" s="354">
        <f t="shared" si="19"/>
        <v>6.2999999999999992E-4</v>
      </c>
      <c r="O52" s="233"/>
      <c r="P52" s="426"/>
      <c r="Q52" s="426"/>
    </row>
    <row r="53" spans="1:17" ht="14" x14ac:dyDescent="0.3">
      <c r="A53" s="151">
        <f>IF(C53&lt;&gt;"",COUNTA($C$12:C53),"")</f>
        <v>40</v>
      </c>
      <c r="B53" s="151"/>
      <c r="C53" s="293" t="str">
        <f>'Bill_Bos G1 nonDem'!C53</f>
        <v>Storm Reserve Adjustment</v>
      </c>
      <c r="D53" s="293"/>
      <c r="E53" s="274"/>
      <c r="G53" s="277">
        <v>0</v>
      </c>
      <c r="H53" s="277"/>
      <c r="I53" s="277">
        <v>0</v>
      </c>
      <c r="J53" s="354">
        <f t="shared" si="19"/>
        <v>0</v>
      </c>
      <c r="O53" s="233"/>
      <c r="P53" s="426"/>
      <c r="Q53" s="426"/>
    </row>
    <row r="54" spans="1:17" ht="14" x14ac:dyDescent="0.3">
      <c r="A54" s="151">
        <f>IF(C54&lt;&gt;"",COUNTA($C$12:C54),"")</f>
        <v>41</v>
      </c>
      <c r="B54" s="151"/>
      <c r="C54" s="293" t="str">
        <f>'Bill_Bos G1 nonDem'!C54</f>
        <v>Basic Service Cost True Up Factor</v>
      </c>
      <c r="G54" s="277">
        <v>7.7999999999999999E-4</v>
      </c>
      <c r="H54" s="277"/>
      <c r="I54" s="277">
        <v>-1E-4</v>
      </c>
      <c r="J54" s="354">
        <f t="shared" si="19"/>
        <v>-8.8000000000000003E-4</v>
      </c>
      <c r="O54" s="233"/>
      <c r="P54" s="426"/>
      <c r="Q54" s="426"/>
    </row>
    <row r="55" spans="1:17" ht="14" x14ac:dyDescent="0.3">
      <c r="A55" s="151">
        <f>IF(C55&lt;&gt;"",COUNTA($C$12:C55),"")</f>
        <v>42</v>
      </c>
      <c r="B55" s="151"/>
      <c r="C55" s="293" t="str">
        <f>'Bill_Bos G1 nonDem'!C55</f>
        <v>Solar Program Cost Adjustment Factor</v>
      </c>
      <c r="D55" s="293"/>
      <c r="E55" s="274"/>
      <c r="G55" s="277">
        <v>0</v>
      </c>
      <c r="H55" s="277"/>
      <c r="I55" s="277">
        <v>2.0000000000000002E-5</v>
      </c>
      <c r="J55" s="354">
        <f t="shared" si="19"/>
        <v>2.0000000000000002E-5</v>
      </c>
      <c r="O55" s="233"/>
      <c r="P55" s="426"/>
      <c r="Q55" s="426"/>
    </row>
    <row r="56" spans="1:17" ht="14" x14ac:dyDescent="0.3">
      <c r="A56" s="151">
        <f>IF(C56&lt;&gt;"",COUNTA($C$12:C56),"")</f>
        <v>43</v>
      </c>
      <c r="B56" s="151"/>
      <c r="C56" s="293" t="str">
        <f>'Bill_Bos G1 nonDem'!C56</f>
        <v>Solar Expansion Cost Recovery Factor</v>
      </c>
      <c r="D56" s="293"/>
      <c r="E56" s="274"/>
      <c r="G56" s="277">
        <v>0</v>
      </c>
      <c r="H56" s="277"/>
      <c r="I56" s="277">
        <v>3.2000000000000003E-4</v>
      </c>
      <c r="J56" s="354">
        <f t="shared" si="19"/>
        <v>3.2000000000000003E-4</v>
      </c>
      <c r="O56" s="233"/>
      <c r="P56" s="426"/>
      <c r="Q56" s="426"/>
    </row>
    <row r="57" spans="1:17" ht="14" x14ac:dyDescent="0.3">
      <c r="A57" s="151">
        <f>IF(C57&lt;&gt;"",COUNTA($C$12:C57),"")</f>
        <v>44</v>
      </c>
      <c r="B57" s="151"/>
      <c r="C57" s="293" t="str">
        <f>'Bill_Bos G1 nonDem'!C57</f>
        <v>Vegetation Management</v>
      </c>
      <c r="D57" s="293"/>
      <c r="E57" s="274"/>
      <c r="G57" s="277">
        <v>0</v>
      </c>
      <c r="H57" s="277"/>
      <c r="I57" s="277">
        <v>5.2999999999999998E-4</v>
      </c>
      <c r="J57" s="354">
        <f t="shared" si="19"/>
        <v>5.2999999999999998E-4</v>
      </c>
      <c r="O57" s="233"/>
      <c r="P57" s="426"/>
      <c r="Q57" s="426"/>
    </row>
    <row r="58" spans="1:17" ht="14" x14ac:dyDescent="0.3">
      <c r="A58" s="151">
        <f>IF(C58&lt;&gt;"",COUNTA($C$12:C58),"")</f>
        <v>45</v>
      </c>
      <c r="B58" s="151"/>
      <c r="C58" s="293" t="str">
        <f>'Bill_Bos G1 nonDem'!C58</f>
        <v>Solar Massachusetts Renewable Target</v>
      </c>
      <c r="D58" s="339"/>
      <c r="E58" s="339"/>
      <c r="F58" s="277"/>
      <c r="G58" s="277">
        <v>0</v>
      </c>
      <c r="H58" s="277"/>
      <c r="I58" s="277">
        <v>3.6999999999999999E-4</v>
      </c>
      <c r="J58" s="354">
        <f t="shared" si="19"/>
        <v>3.6999999999999999E-4</v>
      </c>
      <c r="K58" s="339"/>
      <c r="L58" s="339"/>
      <c r="O58" s="233"/>
      <c r="P58" s="426"/>
      <c r="Q58" s="426"/>
    </row>
    <row r="59" spans="1:17" ht="14" x14ac:dyDescent="0.3">
      <c r="A59" s="151">
        <f>IF(C59&lt;&gt;"",COUNTA($C$12:C59),"")</f>
        <v>46</v>
      </c>
      <c r="B59" s="151"/>
      <c r="C59" s="293" t="str">
        <f>'Bill_Bos G1 nonDem'!C59</f>
        <v>Tax Act Credit Factor</v>
      </c>
      <c r="D59" s="339"/>
      <c r="E59" s="339"/>
      <c r="F59" s="277"/>
      <c r="G59" s="277">
        <v>0</v>
      </c>
      <c r="H59" s="277"/>
      <c r="I59" s="277">
        <v>-5.5999999999999995E-4</v>
      </c>
      <c r="J59" s="354">
        <f t="shared" si="19"/>
        <v>-5.5999999999999995E-4</v>
      </c>
      <c r="K59" s="339"/>
      <c r="L59" s="339"/>
      <c r="O59" s="233"/>
      <c r="P59" s="426"/>
      <c r="Q59" s="426"/>
    </row>
    <row r="60" spans="1:17" ht="14" x14ac:dyDescent="0.3">
      <c r="A60" s="151">
        <f>IF(C60&lt;&gt;"",COUNTA($C$12:C60),"")</f>
        <v>47</v>
      </c>
      <c r="B60" s="151"/>
      <c r="C60" s="293" t="str">
        <f>'Bill_Bos G1 nonDem'!C60</f>
        <v>Transition</v>
      </c>
      <c r="D60" s="293"/>
      <c r="E60" s="274"/>
      <c r="G60" s="308">
        <v>-6.0999999999999997E-4</v>
      </c>
      <c r="H60" s="277"/>
      <c r="I60" s="277">
        <v>-5.1999999999999995E-4</v>
      </c>
      <c r="J60" s="354">
        <f t="shared" si="19"/>
        <v>9.0000000000000019E-5</v>
      </c>
      <c r="O60" s="233"/>
      <c r="P60" s="426"/>
      <c r="Q60" s="426"/>
    </row>
    <row r="61" spans="1:17" ht="14" x14ac:dyDescent="0.3">
      <c r="A61" s="151">
        <f>IF(C61&lt;&gt;"",COUNTA($C$12:C61),"")</f>
        <v>48</v>
      </c>
      <c r="B61" s="151"/>
      <c r="C61" s="293" t="str">
        <f>'Bill_Bos G1 nonDem'!C62</f>
        <v>Energy Efficiency Reconciliation Factor</v>
      </c>
      <c r="D61" s="293"/>
      <c r="E61" s="274"/>
      <c r="G61" s="308">
        <v>8.4600000000000005E-3</v>
      </c>
      <c r="H61" s="400"/>
      <c r="I61" s="308">
        <v>8.4600000000000005E-3</v>
      </c>
      <c r="J61" s="354">
        <f t="shared" si="19"/>
        <v>0</v>
      </c>
      <c r="O61" s="233"/>
      <c r="P61" s="426"/>
      <c r="Q61" s="426"/>
    </row>
    <row r="62" spans="1:17" ht="14" x14ac:dyDescent="0.3">
      <c r="A62" s="151">
        <f>IF(C62&lt;&gt;"",COUNTA($C$12:C62),"")</f>
        <v>49</v>
      </c>
      <c r="B62" s="151"/>
      <c r="C62" s="293" t="str">
        <f>'Bill_Bos G1 nonDem'!C63</f>
        <v>System Benefits Charge</v>
      </c>
      <c r="D62" s="293"/>
      <c r="E62" s="274"/>
      <c r="G62" s="308">
        <v>2.5000000000000001E-3</v>
      </c>
      <c r="H62" s="400"/>
      <c r="I62" s="308">
        <f>+G62</f>
        <v>2.5000000000000001E-3</v>
      </c>
      <c r="J62" s="354">
        <f t="shared" si="19"/>
        <v>0</v>
      </c>
      <c r="O62" s="233"/>
      <c r="P62" s="426"/>
      <c r="Q62" s="426"/>
    </row>
    <row r="63" spans="1:17" ht="14" x14ac:dyDescent="0.3">
      <c r="A63" s="151">
        <f>IF(C63&lt;&gt;"",COUNTA($C$12:C63),"")</f>
        <v>50</v>
      </c>
      <c r="B63" s="151"/>
      <c r="C63" s="293" t="str">
        <f>'Bill_Bos G1 nonDem'!C64</f>
        <v>Renewable Energy Charge</v>
      </c>
      <c r="D63" s="293"/>
      <c r="E63" s="274"/>
      <c r="G63" s="308">
        <v>5.0000000000000001E-4</v>
      </c>
      <c r="H63" s="400"/>
      <c r="I63" s="308">
        <f>+G63</f>
        <v>5.0000000000000001E-4</v>
      </c>
      <c r="J63" s="354">
        <f t="shared" si="19"/>
        <v>0</v>
      </c>
      <c r="O63" s="274"/>
      <c r="P63" s="456"/>
      <c r="Q63" s="456"/>
    </row>
    <row r="64" spans="1:17" ht="14" x14ac:dyDescent="0.3">
      <c r="A64" s="151">
        <f>IF(C64&lt;&gt;"",COUNTA($C$12:C64),"")</f>
        <v>51</v>
      </c>
      <c r="B64" s="151"/>
      <c r="C64" s="293" t="str">
        <f>'Bill_Bos G1 nonDem'!C65</f>
        <v>Basic Service Charge</v>
      </c>
      <c r="D64" s="293"/>
      <c r="E64" s="274"/>
      <c r="G64" s="308">
        <v>0.1326</v>
      </c>
      <c r="H64" s="400"/>
      <c r="I64" s="308">
        <v>0.17265000000000003</v>
      </c>
      <c r="J64" s="354">
        <f t="shared" si="19"/>
        <v>4.005000000000003E-2</v>
      </c>
      <c r="O64" s="274"/>
      <c r="P64" s="457"/>
      <c r="Q64" s="457"/>
    </row>
    <row r="65" spans="1:17" ht="14" x14ac:dyDescent="0.3">
      <c r="A65" s="151"/>
      <c r="B65" s="151"/>
      <c r="G65" s="403"/>
      <c r="H65" s="403"/>
      <c r="I65" s="403"/>
      <c r="J65" s="403"/>
      <c r="O65" s="274"/>
      <c r="P65" s="457"/>
      <c r="Q65" s="457"/>
    </row>
    <row r="66" spans="1:17" ht="14" x14ac:dyDescent="0.3">
      <c r="A66" s="151"/>
      <c r="B66" s="151"/>
      <c r="C66" s="458"/>
      <c r="D66" s="459"/>
      <c r="E66" s="460"/>
      <c r="F66" s="461"/>
      <c r="G66" s="403"/>
      <c r="H66" s="403"/>
      <c r="I66" s="462"/>
      <c r="J66" s="462"/>
      <c r="O66" s="274"/>
      <c r="P66" s="463"/>
      <c r="Q66" s="463"/>
    </row>
    <row r="67" spans="1:17" ht="14" x14ac:dyDescent="0.3">
      <c r="A67" s="151"/>
      <c r="B67" s="151"/>
      <c r="C67" s="369" t="s">
        <v>581</v>
      </c>
      <c r="D67" s="459"/>
      <c r="E67" s="460"/>
      <c r="F67" s="461"/>
      <c r="G67" s="374">
        <f>G42+G44</f>
        <v>18.86</v>
      </c>
      <c r="H67" s="374"/>
      <c r="I67" s="374">
        <f>I42+I44</f>
        <v>17.920000000000002</v>
      </c>
      <c r="J67" s="421">
        <f t="shared" ref="J67:J70" si="20">I67-G67</f>
        <v>-0.93999999999999773</v>
      </c>
      <c r="O67" s="274"/>
      <c r="P67" s="464"/>
      <c r="Q67" s="464"/>
    </row>
    <row r="68" spans="1:17" ht="14" x14ac:dyDescent="0.3">
      <c r="C68" s="369" t="s">
        <v>582</v>
      </c>
      <c r="G68" s="374">
        <f>G43+G44</f>
        <v>24.82</v>
      </c>
      <c r="H68" s="374"/>
      <c r="I68" s="374">
        <f>I43+I44</f>
        <v>24.09</v>
      </c>
      <c r="J68" s="421">
        <f t="shared" si="20"/>
        <v>-0.73000000000000043</v>
      </c>
    </row>
    <row r="69" spans="1:17" ht="14" x14ac:dyDescent="0.3">
      <c r="C69" s="369" t="str">
        <f>'Bill_EMA R1'!C55</f>
        <v>Total Energy</v>
      </c>
      <c r="G69" s="403">
        <f>SUM(G45:G60,G61:G63)</f>
        <v>1.9259999999999999E-2</v>
      </c>
      <c r="H69" s="403"/>
      <c r="I69" s="403">
        <f>SUM(I45:I60,I61:I63)</f>
        <v>1.9530000000000002E-2</v>
      </c>
      <c r="J69" s="354">
        <f t="shared" si="20"/>
        <v>2.7000000000000288E-4</v>
      </c>
    </row>
    <row r="70" spans="1:17" ht="14" x14ac:dyDescent="0.3">
      <c r="C70" s="369" t="str">
        <f>'Bill_EMA R1'!C56</f>
        <v>Total Basic Service</v>
      </c>
      <c r="G70" s="403">
        <f>G64</f>
        <v>0.1326</v>
      </c>
      <c r="H70" s="403"/>
      <c r="I70" s="403">
        <f>I64</f>
        <v>0.17265000000000003</v>
      </c>
      <c r="J70" s="354">
        <f t="shared" si="20"/>
        <v>4.005000000000003E-2</v>
      </c>
    </row>
  </sheetData>
  <mergeCells count="12">
    <mergeCell ref="E13:G13"/>
    <mergeCell ref="I13:K13"/>
    <mergeCell ref="M13:N13"/>
    <mergeCell ref="E26:G26"/>
    <mergeCell ref="I26:K26"/>
    <mergeCell ref="M26:N26"/>
    <mergeCell ref="A9:N9"/>
    <mergeCell ref="A4:N4"/>
    <mergeCell ref="A5:N5"/>
    <mergeCell ref="A6:N6"/>
    <mergeCell ref="A7:N7"/>
    <mergeCell ref="A8:N8"/>
  </mergeCells>
  <pageMargins left="0.7" right="0.7" top="0.75" bottom="0.75" header="0.3" footer="0.3"/>
  <pageSetup scale="64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B835D-EFFA-4D03-AE25-3B22806F8C4D}">
  <sheetPr>
    <tabColor theme="3" tint="0.59999389629810485"/>
    <pageSetUpPr fitToPage="1"/>
  </sheetPr>
  <dimension ref="A4:AF94"/>
  <sheetViews>
    <sheetView zoomScaleNormal="100" zoomScaleSheetLayoutView="71" workbookViewId="0"/>
  </sheetViews>
  <sheetFormatPr defaultRowHeight="12.5" x14ac:dyDescent="0.25"/>
  <cols>
    <col min="1" max="1" width="3.81640625" customWidth="1"/>
    <col min="2" max="2" width="4.453125" bestFit="1" customWidth="1"/>
    <col min="3" max="3" width="9.453125" customWidth="1"/>
    <col min="4" max="4" width="11" bestFit="1" customWidth="1"/>
    <col min="5" max="7" width="14.7265625" customWidth="1"/>
    <col min="8" max="8" width="1.81640625" customWidth="1"/>
    <col min="9" max="11" width="14.7265625" customWidth="1"/>
    <col min="12" max="12" width="1.81640625" customWidth="1"/>
    <col min="13" max="13" width="12.81640625" bestFit="1" customWidth="1"/>
    <col min="14" max="15" width="10.81640625" bestFit="1" customWidth="1"/>
    <col min="16" max="16" width="14" bestFit="1" customWidth="1"/>
    <col min="17" max="17" width="13.7265625" bestFit="1" customWidth="1"/>
    <col min="18" max="18" width="14.81640625" bestFit="1" customWidth="1"/>
    <col min="19" max="19" width="14.1796875" bestFit="1" customWidth="1"/>
    <col min="20" max="20" width="7.7265625" bestFit="1" customWidth="1"/>
    <col min="21" max="21" width="10.81640625" bestFit="1" customWidth="1"/>
    <col min="22" max="22" width="13.26953125" bestFit="1" customWidth="1"/>
    <col min="23" max="23" width="13.7265625" bestFit="1" customWidth="1"/>
    <col min="24" max="24" width="14.81640625" bestFit="1" customWidth="1"/>
    <col min="25" max="25" width="14.1796875" bestFit="1" customWidth="1"/>
    <col min="26" max="26" width="8.453125" bestFit="1" customWidth="1"/>
  </cols>
  <sheetData>
    <row r="4" spans="1:32" ht="14" x14ac:dyDescent="0.3">
      <c r="A4" s="762" t="str">
        <f>'Bill_Bos G3 p1'!A4:N4</f>
        <v>Eastern Massachusetts</v>
      </c>
      <c r="B4" s="762"/>
      <c r="C4" s="762"/>
      <c r="D4" s="762"/>
      <c r="E4" s="762"/>
      <c r="F4" s="762"/>
      <c r="G4" s="762"/>
      <c r="H4" s="762"/>
      <c r="I4" s="762"/>
      <c r="J4" s="762"/>
      <c r="K4" s="762"/>
      <c r="L4" s="762"/>
      <c r="M4" s="762"/>
      <c r="N4" s="762"/>
    </row>
    <row r="5" spans="1:32" ht="14" x14ac:dyDescent="0.3">
      <c r="A5" s="762" t="str">
        <f>+'Bill_Bos G1 nonDem'!A5</f>
        <v>Calculation of Monthly Typical Bill</v>
      </c>
      <c r="B5" s="762"/>
      <c r="C5" s="762"/>
      <c r="D5" s="762"/>
      <c r="E5" s="762"/>
      <c r="F5" s="762"/>
      <c r="G5" s="762"/>
      <c r="H5" s="762"/>
      <c r="I5" s="762"/>
      <c r="J5" s="762"/>
      <c r="K5" s="762"/>
      <c r="L5" s="762"/>
      <c r="M5" s="762"/>
      <c r="N5" s="762"/>
    </row>
    <row r="6" spans="1:32" ht="14" x14ac:dyDescent="0.3">
      <c r="A6" s="762" t="str">
        <f>+'Bill_Bos G1 nonDem'!A6</f>
        <v>Proposed January 1, 2019</v>
      </c>
      <c r="B6" s="762"/>
      <c r="C6" s="762"/>
      <c r="D6" s="762"/>
      <c r="E6" s="762"/>
      <c r="F6" s="762"/>
      <c r="G6" s="762"/>
      <c r="H6" s="762"/>
      <c r="I6" s="762"/>
      <c r="J6" s="762"/>
      <c r="K6" s="762"/>
      <c r="L6" s="762"/>
      <c r="M6" s="762"/>
      <c r="N6" s="762"/>
    </row>
    <row r="7" spans="1:32" ht="14" x14ac:dyDescent="0.3">
      <c r="A7" s="762"/>
      <c r="B7" s="762"/>
      <c r="C7" s="762"/>
      <c r="D7" s="762"/>
      <c r="E7" s="762"/>
      <c r="F7" s="762"/>
      <c r="G7" s="762"/>
      <c r="H7" s="762"/>
      <c r="I7" s="762"/>
      <c r="J7" s="762"/>
      <c r="K7" s="762"/>
      <c r="L7" s="762"/>
      <c r="M7" s="762"/>
      <c r="N7" s="762"/>
    </row>
    <row r="8" spans="1:32" ht="14" x14ac:dyDescent="0.3">
      <c r="A8" s="762" t="str">
        <f>+'Bill_Bos G1 nonDem'!A8</f>
        <v>Greater Boston Service Area</v>
      </c>
      <c r="B8" s="762"/>
      <c r="C8" s="762"/>
      <c r="D8" s="762"/>
      <c r="E8" s="762"/>
      <c r="F8" s="762"/>
      <c r="G8" s="762"/>
      <c r="H8" s="762"/>
      <c r="I8" s="762"/>
      <c r="J8" s="762"/>
      <c r="K8" s="762"/>
      <c r="L8" s="762"/>
      <c r="M8" s="762"/>
      <c r="N8" s="762"/>
    </row>
    <row r="9" spans="1:32" ht="14" x14ac:dyDescent="0.3">
      <c r="A9" s="762" t="str">
        <f>+'Bill_Bos G3 p1'!A9</f>
        <v>Rate G-3 Large General Service - NEMA</v>
      </c>
      <c r="B9" s="762"/>
      <c r="C9" s="762"/>
      <c r="D9" s="762"/>
      <c r="E9" s="762"/>
      <c r="F9" s="762"/>
      <c r="G9" s="762"/>
      <c r="H9" s="762"/>
      <c r="I9" s="762"/>
      <c r="J9" s="762"/>
      <c r="K9" s="762"/>
      <c r="L9" s="762"/>
      <c r="M9" s="762"/>
      <c r="N9" s="762"/>
    </row>
    <row r="10" spans="1:32" ht="14" x14ac:dyDescent="0.3">
      <c r="A10" s="366"/>
      <c r="B10" s="366"/>
      <c r="D10" s="293"/>
      <c r="E10" s="293"/>
      <c r="F10" s="293"/>
      <c r="G10" s="367"/>
      <c r="H10" s="293"/>
    </row>
    <row r="11" spans="1:32" ht="14" x14ac:dyDescent="0.3">
      <c r="A11" s="366"/>
      <c r="B11" s="366"/>
      <c r="C11" s="293"/>
      <c r="D11" s="293"/>
      <c r="E11" s="293"/>
      <c r="F11" s="293"/>
      <c r="G11" s="368"/>
      <c r="H11" s="293"/>
    </row>
    <row r="12" spans="1:32" ht="14" x14ac:dyDescent="0.3">
      <c r="A12" s="151">
        <f>IF(C12&lt;&gt;"",COUNTA($C12:C$12),"")</f>
        <v>1</v>
      </c>
      <c r="B12" s="151"/>
      <c r="C12" s="405" t="s">
        <v>578</v>
      </c>
      <c r="D12" s="293"/>
      <c r="E12" s="293"/>
      <c r="F12" s="293"/>
      <c r="G12" s="368"/>
      <c r="H12" s="293"/>
    </row>
    <row r="13" spans="1:32" ht="14" x14ac:dyDescent="0.3">
      <c r="A13" s="151">
        <f>IF(C13&lt;&gt;"",COUNTA($C$12:C13),"")</f>
        <v>2</v>
      </c>
      <c r="B13" s="151"/>
      <c r="C13" s="406" t="str">
        <f>+'Bill_Bos G1 Dmd p1'!C13</f>
        <v>Monthly</v>
      </c>
      <c r="D13" s="366" t="str">
        <f>+C13</f>
        <v>Monthly</v>
      </c>
      <c r="E13" s="760" t="str">
        <f>+'Bill_Bos G1 nonDem'!D12</f>
        <v>Current Monthly Bill (Winter)</v>
      </c>
      <c r="F13" s="760"/>
      <c r="G13" s="760"/>
      <c r="H13" s="293"/>
      <c r="I13" s="760" t="str">
        <f>+'Bill_Bos G1 nonDem'!H12</f>
        <v>Proposed Monthly Bill (Winter)</v>
      </c>
      <c r="J13" s="760"/>
      <c r="K13" s="760"/>
      <c r="M13" s="760" t="s">
        <v>550</v>
      </c>
      <c r="N13" s="760"/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  <c r="AA13" s="369"/>
      <c r="AB13" s="369"/>
      <c r="AC13" s="369"/>
      <c r="AD13" s="369"/>
      <c r="AE13" s="369"/>
      <c r="AF13" s="369"/>
    </row>
    <row r="14" spans="1:32" ht="14" x14ac:dyDescent="0.3">
      <c r="A14" s="151">
        <f>IF(C14&lt;&gt;"",COUNTA($C$12:C14),"")</f>
        <v>3</v>
      </c>
      <c r="B14" s="151"/>
      <c r="C14" s="408" t="s">
        <v>534</v>
      </c>
      <c r="D14" s="370" t="s">
        <v>551</v>
      </c>
      <c r="E14" s="370" t="s">
        <v>552</v>
      </c>
      <c r="F14" s="370" t="s">
        <v>553</v>
      </c>
      <c r="G14" s="370" t="s">
        <v>47</v>
      </c>
      <c r="H14" s="293"/>
      <c r="I14" s="370" t="s">
        <v>552</v>
      </c>
      <c r="J14" s="370" t="s">
        <v>553</v>
      </c>
      <c r="K14" s="370" t="s">
        <v>47</v>
      </c>
      <c r="M14" s="370" t="s">
        <v>65</v>
      </c>
      <c r="N14" s="370" t="s">
        <v>325</v>
      </c>
      <c r="O14" s="369"/>
      <c r="P14" s="369"/>
      <c r="Q14" s="369"/>
      <c r="R14" s="369"/>
      <c r="S14" s="369"/>
      <c r="T14" s="369"/>
      <c r="U14" s="369"/>
      <c r="V14" s="369"/>
      <c r="W14" s="369"/>
      <c r="X14" s="369"/>
      <c r="Y14" s="369"/>
      <c r="Z14" s="369"/>
      <c r="AA14" s="369"/>
      <c r="AB14" s="369"/>
      <c r="AC14" s="369"/>
      <c r="AD14" s="369"/>
      <c r="AE14" s="369"/>
      <c r="AF14" s="369"/>
    </row>
    <row r="15" spans="1:32" ht="14" x14ac:dyDescent="0.3">
      <c r="A15" s="151">
        <f>IF(C15&lt;&gt;"",COUNTA($C$12:C15),"")</f>
        <v>4</v>
      </c>
      <c r="B15" s="151"/>
      <c r="C15" s="409">
        <f>+'Bill_Bos G3 p1'!C15</f>
        <v>100</v>
      </c>
      <c r="D15" s="409">
        <f>+C15*450</f>
        <v>45000</v>
      </c>
      <c r="E15" s="372">
        <f t="shared" ref="E15:E24" si="0">ROUND($G$41+$C15*SUM($G$42,$G$44)+(SUM($G$45:$G$60,$G$61:$G$63)*$D15),2)</f>
        <v>3002.7</v>
      </c>
      <c r="F15" s="372">
        <f t="shared" ref="F15:F24" si="1">ROUND($G$64*D15,2)</f>
        <v>5967</v>
      </c>
      <c r="G15" s="372">
        <f t="shared" ref="G15:G24" si="2">SUM(E15:F15)</f>
        <v>8969.7000000000007</v>
      </c>
      <c r="H15" s="373"/>
      <c r="I15" s="372">
        <f t="shared" ref="I15:I24" si="3">ROUND($I$41+$C15*SUM($I$42,$I$44)+(SUM($I$45:$I$60,$I$61:$I$63)*$D15),2)</f>
        <v>2920.85</v>
      </c>
      <c r="J15" s="372">
        <f t="shared" ref="J15:J24" si="4">ROUND($I$64*D15,2)</f>
        <v>7769.25</v>
      </c>
      <c r="K15" s="372">
        <f t="shared" ref="K15:K24" si="5">SUM(I15:J15)</f>
        <v>10690.1</v>
      </c>
      <c r="L15" s="374"/>
      <c r="M15" s="375">
        <f t="shared" ref="M15:M24" si="6">+K15-G15</f>
        <v>1720.3999999999996</v>
      </c>
      <c r="N15" s="376">
        <f t="shared" ref="N15:N24" si="7">+M15/G15</f>
        <v>0.19180128655361936</v>
      </c>
      <c r="O15" s="377"/>
      <c r="P15" s="322"/>
      <c r="Q15" s="322"/>
      <c r="R15" s="322"/>
      <c r="S15" s="377"/>
      <c r="T15" s="378"/>
      <c r="U15" s="377"/>
      <c r="V15" s="325"/>
      <c r="W15" s="322"/>
      <c r="X15" s="322"/>
      <c r="Y15" s="377"/>
      <c r="Z15" s="374"/>
      <c r="AA15" s="322"/>
      <c r="AB15" s="322"/>
      <c r="AC15" s="322"/>
      <c r="AD15" s="322"/>
      <c r="AE15" s="377"/>
      <c r="AF15" s="374"/>
    </row>
    <row r="16" spans="1:32" ht="14" x14ac:dyDescent="0.3">
      <c r="A16" s="151">
        <f>IF(C16&lt;&gt;"",COUNTA($C$12:C16),"")</f>
        <v>5</v>
      </c>
      <c r="B16" s="151"/>
      <c r="C16" s="409">
        <f>+'Bill_Bos G3 p1'!C16</f>
        <v>250</v>
      </c>
      <c r="D16" s="409">
        <f t="shared" ref="D16:D24" si="8">+C16*450</f>
        <v>112500</v>
      </c>
      <c r="E16" s="372">
        <f t="shared" si="0"/>
        <v>7131.75</v>
      </c>
      <c r="F16" s="372">
        <f t="shared" si="1"/>
        <v>14917.5</v>
      </c>
      <c r="G16" s="372">
        <f t="shared" si="2"/>
        <v>22049.25</v>
      </c>
      <c r="H16" s="373"/>
      <c r="I16" s="372">
        <f t="shared" si="3"/>
        <v>6927.13</v>
      </c>
      <c r="J16" s="372">
        <f t="shared" si="4"/>
        <v>19423.13</v>
      </c>
      <c r="K16" s="372">
        <f t="shared" si="5"/>
        <v>26350.260000000002</v>
      </c>
      <c r="L16" s="374"/>
      <c r="M16" s="375">
        <f t="shared" si="6"/>
        <v>4301.010000000002</v>
      </c>
      <c r="N16" s="376">
        <f t="shared" si="7"/>
        <v>0.195063777679513</v>
      </c>
      <c r="O16" s="377"/>
      <c r="P16" s="322"/>
      <c r="Q16" s="322"/>
      <c r="R16" s="322"/>
      <c r="S16" s="377"/>
      <c r="T16" s="378"/>
      <c r="U16" s="377"/>
      <c r="V16" s="325"/>
      <c r="W16" s="322"/>
      <c r="X16" s="322"/>
      <c r="Y16" s="377"/>
      <c r="Z16" s="374"/>
      <c r="AA16" s="322"/>
      <c r="AB16" s="322"/>
      <c r="AC16" s="322"/>
      <c r="AD16" s="322"/>
      <c r="AE16" s="377"/>
      <c r="AF16" s="374"/>
    </row>
    <row r="17" spans="1:32" ht="14" x14ac:dyDescent="0.3">
      <c r="A17" s="151">
        <f>IF(C17&lt;&gt;"",COUNTA($C$12:C17),"")</f>
        <v>6</v>
      </c>
      <c r="B17" s="151"/>
      <c r="C17" s="409">
        <f>+'Bill_Bos G3 p1'!C17</f>
        <v>400</v>
      </c>
      <c r="D17" s="409">
        <f t="shared" si="8"/>
        <v>180000</v>
      </c>
      <c r="E17" s="372">
        <f t="shared" si="0"/>
        <v>11260.8</v>
      </c>
      <c r="F17" s="372">
        <f t="shared" si="1"/>
        <v>23868</v>
      </c>
      <c r="G17" s="372">
        <f t="shared" si="2"/>
        <v>35128.800000000003</v>
      </c>
      <c r="H17" s="373"/>
      <c r="I17" s="372">
        <f t="shared" si="3"/>
        <v>10933.4</v>
      </c>
      <c r="J17" s="372">
        <f t="shared" si="4"/>
        <v>31077</v>
      </c>
      <c r="K17" s="372">
        <f t="shared" si="5"/>
        <v>42010.400000000001</v>
      </c>
      <c r="L17" s="374"/>
      <c r="M17" s="375">
        <f t="shared" si="6"/>
        <v>6881.5999999999985</v>
      </c>
      <c r="N17" s="376">
        <f t="shared" si="7"/>
        <v>0.19589624467673242</v>
      </c>
      <c r="O17" s="377"/>
      <c r="P17" s="322"/>
      <c r="Q17" s="322"/>
      <c r="R17" s="322"/>
      <c r="S17" s="377"/>
      <c r="T17" s="378"/>
      <c r="U17" s="377"/>
      <c r="V17" s="325"/>
      <c r="W17" s="322"/>
      <c r="X17" s="322"/>
      <c r="Y17" s="377"/>
      <c r="Z17" s="374"/>
      <c r="AA17" s="322"/>
      <c r="AB17" s="322"/>
      <c r="AC17" s="322"/>
      <c r="AD17" s="322"/>
      <c r="AE17" s="377"/>
      <c r="AF17" s="374"/>
    </row>
    <row r="18" spans="1:32" ht="14" x14ac:dyDescent="0.3">
      <c r="A18" s="151">
        <f>IF(C18&lt;&gt;"",COUNTA($C$12:C18),"")</f>
        <v>7</v>
      </c>
      <c r="B18" s="151"/>
      <c r="C18" s="409">
        <f>+'Bill_Bos G3 p1'!C18</f>
        <v>550</v>
      </c>
      <c r="D18" s="409">
        <f t="shared" si="8"/>
        <v>247500</v>
      </c>
      <c r="E18" s="372">
        <f t="shared" si="0"/>
        <v>15389.85</v>
      </c>
      <c r="F18" s="372">
        <f t="shared" si="1"/>
        <v>32818.5</v>
      </c>
      <c r="G18" s="372">
        <f t="shared" si="2"/>
        <v>48208.35</v>
      </c>
      <c r="H18" s="373"/>
      <c r="I18" s="372">
        <f t="shared" si="3"/>
        <v>14939.68</v>
      </c>
      <c r="J18" s="372">
        <f t="shared" si="4"/>
        <v>42730.879999999997</v>
      </c>
      <c r="K18" s="372">
        <f t="shared" si="5"/>
        <v>57670.559999999998</v>
      </c>
      <c r="L18" s="374"/>
      <c r="M18" s="375">
        <f t="shared" si="6"/>
        <v>9462.2099999999991</v>
      </c>
      <c r="N18" s="376">
        <f t="shared" si="7"/>
        <v>0.1962774083742754</v>
      </c>
      <c r="O18" s="377"/>
      <c r="P18" s="322"/>
      <c r="Q18" s="322"/>
      <c r="R18" s="322"/>
      <c r="S18" s="377"/>
      <c r="T18" s="378"/>
      <c r="U18" s="377"/>
      <c r="V18" s="325"/>
      <c r="W18" s="322"/>
      <c r="X18" s="322"/>
      <c r="Y18" s="377"/>
      <c r="Z18" s="374"/>
      <c r="AA18" s="322"/>
      <c r="AB18" s="322"/>
      <c r="AC18" s="322"/>
      <c r="AD18" s="322"/>
      <c r="AE18" s="377"/>
      <c r="AF18" s="374"/>
    </row>
    <row r="19" spans="1:32" ht="14" x14ac:dyDescent="0.3">
      <c r="A19" s="151">
        <f>IF(C19&lt;&gt;"",COUNTA($C$12:C19),"")</f>
        <v>8</v>
      </c>
      <c r="B19" s="151"/>
      <c r="C19" s="409">
        <f>+'Bill_Bos G3 p1'!C19</f>
        <v>700</v>
      </c>
      <c r="D19" s="409">
        <f t="shared" si="8"/>
        <v>315000</v>
      </c>
      <c r="E19" s="372">
        <f t="shared" si="0"/>
        <v>19518.900000000001</v>
      </c>
      <c r="F19" s="372">
        <f t="shared" si="1"/>
        <v>41769</v>
      </c>
      <c r="G19" s="372">
        <f t="shared" si="2"/>
        <v>61287.9</v>
      </c>
      <c r="H19" s="373"/>
      <c r="I19" s="372">
        <f t="shared" si="3"/>
        <v>18945.95</v>
      </c>
      <c r="J19" s="372">
        <f t="shared" si="4"/>
        <v>54384.75</v>
      </c>
      <c r="K19" s="372">
        <f t="shared" si="5"/>
        <v>73330.7</v>
      </c>
      <c r="L19" s="374"/>
      <c r="M19" s="375">
        <f t="shared" si="6"/>
        <v>12042.799999999996</v>
      </c>
      <c r="N19" s="376">
        <f t="shared" si="7"/>
        <v>0.19649555621909048</v>
      </c>
      <c r="O19" s="377"/>
      <c r="P19" s="322"/>
      <c r="Q19" s="322"/>
      <c r="R19" s="322"/>
      <c r="S19" s="377"/>
      <c r="T19" s="378"/>
      <c r="U19" s="377"/>
      <c r="V19" s="325"/>
      <c r="W19" s="322"/>
      <c r="X19" s="322"/>
      <c r="Y19" s="377"/>
      <c r="Z19" s="374"/>
      <c r="AA19" s="322"/>
      <c r="AB19" s="322"/>
      <c r="AC19" s="322"/>
      <c r="AD19" s="322"/>
      <c r="AE19" s="377"/>
      <c r="AF19" s="374"/>
    </row>
    <row r="20" spans="1:32" ht="14" x14ac:dyDescent="0.3">
      <c r="A20" s="151">
        <f>IF(C20&lt;&gt;"",COUNTA($C$12:C20),"")</f>
        <v>9</v>
      </c>
      <c r="B20" s="151"/>
      <c r="C20" s="409">
        <f>+'Bill_Bos G3 p1'!C20</f>
        <v>1000</v>
      </c>
      <c r="D20" s="409">
        <f t="shared" si="8"/>
        <v>450000</v>
      </c>
      <c r="E20" s="372">
        <f t="shared" si="0"/>
        <v>27777</v>
      </c>
      <c r="F20" s="372">
        <f t="shared" si="1"/>
        <v>59670</v>
      </c>
      <c r="G20" s="372">
        <f t="shared" si="2"/>
        <v>87447</v>
      </c>
      <c r="H20" s="373"/>
      <c r="I20" s="372">
        <f t="shared" si="3"/>
        <v>26958.5</v>
      </c>
      <c r="J20" s="372">
        <f t="shared" si="4"/>
        <v>77692.5</v>
      </c>
      <c r="K20" s="372">
        <f t="shared" si="5"/>
        <v>104651</v>
      </c>
      <c r="L20" s="374"/>
      <c r="M20" s="375">
        <f t="shared" si="6"/>
        <v>17204</v>
      </c>
      <c r="N20" s="376">
        <f t="shared" si="7"/>
        <v>0.19673630884993196</v>
      </c>
      <c r="O20" s="377"/>
      <c r="P20" s="322"/>
      <c r="Q20" s="322"/>
      <c r="R20" s="322"/>
      <c r="S20" s="377"/>
      <c r="T20" s="378"/>
      <c r="U20" s="377"/>
      <c r="V20" s="325"/>
      <c r="W20" s="322"/>
      <c r="X20" s="322"/>
      <c r="Y20" s="377"/>
      <c r="Z20" s="374"/>
      <c r="AA20" s="322"/>
      <c r="AB20" s="322"/>
      <c r="AC20" s="322"/>
      <c r="AD20" s="322"/>
      <c r="AE20" s="377"/>
      <c r="AF20" s="374"/>
    </row>
    <row r="21" spans="1:32" ht="14" x14ac:dyDescent="0.3">
      <c r="A21" s="151">
        <f>IF(C21&lt;&gt;"",COUNTA($C$12:C21),"")</f>
        <v>10</v>
      </c>
      <c r="B21" s="151"/>
      <c r="C21" s="409">
        <f>+'Bill_Bos G3 p1'!C21</f>
        <v>1500</v>
      </c>
      <c r="D21" s="409">
        <f t="shared" si="8"/>
        <v>675000</v>
      </c>
      <c r="E21" s="372">
        <f t="shared" si="0"/>
        <v>41540.5</v>
      </c>
      <c r="F21" s="372">
        <f t="shared" si="1"/>
        <v>89505</v>
      </c>
      <c r="G21" s="372">
        <f t="shared" si="2"/>
        <v>131045.5</v>
      </c>
      <c r="H21" s="373"/>
      <c r="I21" s="372">
        <f t="shared" si="3"/>
        <v>40312.75</v>
      </c>
      <c r="J21" s="372">
        <f t="shared" si="4"/>
        <v>116538.75</v>
      </c>
      <c r="K21" s="372">
        <f t="shared" si="5"/>
        <v>156851.5</v>
      </c>
      <c r="L21" s="374"/>
      <c r="M21" s="375">
        <f t="shared" si="6"/>
        <v>25806</v>
      </c>
      <c r="N21" s="376">
        <f t="shared" si="7"/>
        <v>0.19692396915575125</v>
      </c>
      <c r="O21" s="377"/>
      <c r="P21" s="322"/>
      <c r="Q21" s="322"/>
      <c r="R21" s="322"/>
      <c r="S21" s="377"/>
      <c r="T21" s="378"/>
      <c r="U21" s="377"/>
      <c r="V21" s="325"/>
      <c r="W21" s="322"/>
      <c r="X21" s="322"/>
      <c r="Y21" s="377"/>
      <c r="Z21" s="374"/>
      <c r="AA21" s="322"/>
      <c r="AB21" s="322"/>
      <c r="AC21" s="322"/>
      <c r="AD21" s="322"/>
      <c r="AE21" s="377"/>
      <c r="AF21" s="374"/>
    </row>
    <row r="22" spans="1:32" ht="14" x14ac:dyDescent="0.3">
      <c r="A22" s="151">
        <f>IF(C22&lt;&gt;"",COUNTA($C$12:C22),"")</f>
        <v>11</v>
      </c>
      <c r="B22" s="151"/>
      <c r="C22" s="409">
        <f>+'Bill_Bos G3 p1'!C22</f>
        <v>2500</v>
      </c>
      <c r="D22" s="409">
        <f t="shared" si="8"/>
        <v>1125000</v>
      </c>
      <c r="E22" s="372">
        <f t="shared" si="0"/>
        <v>69067.5</v>
      </c>
      <c r="F22" s="372">
        <f t="shared" si="1"/>
        <v>149175</v>
      </c>
      <c r="G22" s="372">
        <f t="shared" si="2"/>
        <v>218242.5</v>
      </c>
      <c r="H22" s="373"/>
      <c r="I22" s="372">
        <f t="shared" si="3"/>
        <v>67021.25</v>
      </c>
      <c r="J22" s="372">
        <f t="shared" si="4"/>
        <v>194231.25</v>
      </c>
      <c r="K22" s="372">
        <f t="shared" si="5"/>
        <v>261252.5</v>
      </c>
      <c r="L22" s="374"/>
      <c r="M22" s="375">
        <f t="shared" si="6"/>
        <v>43010</v>
      </c>
      <c r="N22" s="376">
        <f t="shared" si="7"/>
        <v>0.19707435536158172</v>
      </c>
      <c r="O22" s="377"/>
      <c r="P22" s="322"/>
      <c r="Q22" s="322"/>
      <c r="R22" s="322"/>
      <c r="S22" s="377"/>
      <c r="T22" s="378"/>
      <c r="U22" s="377"/>
      <c r="V22" s="325"/>
      <c r="W22" s="322"/>
      <c r="X22" s="322"/>
      <c r="Y22" s="377"/>
      <c r="Z22" s="374"/>
      <c r="AA22" s="322"/>
      <c r="AB22" s="322"/>
      <c r="AC22" s="322"/>
      <c r="AD22" s="322"/>
      <c r="AE22" s="377"/>
      <c r="AF22" s="374"/>
    </row>
    <row r="23" spans="1:32" ht="14" x14ac:dyDescent="0.3">
      <c r="A23" s="151">
        <f>IF(C23&lt;&gt;"",COUNTA($C$12:C23),"")</f>
        <v>12</v>
      </c>
      <c r="B23" s="151"/>
      <c r="C23" s="409">
        <f>+'Bill_Bos G3 p1'!C23</f>
        <v>5000</v>
      </c>
      <c r="D23" s="409">
        <f t="shared" si="8"/>
        <v>2250000</v>
      </c>
      <c r="E23" s="372">
        <f t="shared" si="0"/>
        <v>137885</v>
      </c>
      <c r="F23" s="372">
        <f t="shared" si="1"/>
        <v>298350</v>
      </c>
      <c r="G23" s="372">
        <f t="shared" si="2"/>
        <v>436235</v>
      </c>
      <c r="H23" s="373"/>
      <c r="I23" s="372">
        <f t="shared" si="3"/>
        <v>133792.5</v>
      </c>
      <c r="J23" s="372">
        <f t="shared" si="4"/>
        <v>388462.5</v>
      </c>
      <c r="K23" s="372">
        <f t="shared" si="5"/>
        <v>522255</v>
      </c>
      <c r="L23" s="374"/>
      <c r="M23" s="375">
        <f t="shared" si="6"/>
        <v>86020</v>
      </c>
      <c r="N23" s="376">
        <f t="shared" si="7"/>
        <v>0.19718729583825231</v>
      </c>
      <c r="O23" s="377"/>
      <c r="P23" s="322"/>
      <c r="Q23" s="322"/>
      <c r="R23" s="322"/>
      <c r="S23" s="377"/>
      <c r="T23" s="378"/>
      <c r="U23" s="377"/>
      <c r="V23" s="325"/>
      <c r="W23" s="322"/>
      <c r="X23" s="322"/>
      <c r="Y23" s="377"/>
      <c r="Z23" s="374"/>
      <c r="AA23" s="322"/>
      <c r="AB23" s="322"/>
      <c r="AC23" s="322"/>
      <c r="AD23" s="322"/>
      <c r="AE23" s="377"/>
      <c r="AF23" s="374"/>
    </row>
    <row r="24" spans="1:32" ht="14" x14ac:dyDescent="0.3">
      <c r="A24" s="151">
        <f>IF(C24&lt;&gt;"",COUNTA($C$12:C24),"")</f>
        <v>13</v>
      </c>
      <c r="B24" s="151" t="s">
        <v>554</v>
      </c>
      <c r="C24" s="366">
        <v>800</v>
      </c>
      <c r="D24" s="409">
        <f t="shared" si="8"/>
        <v>360000</v>
      </c>
      <c r="E24" s="372">
        <f t="shared" si="0"/>
        <v>22271.599999999999</v>
      </c>
      <c r="F24" s="372">
        <f t="shared" si="1"/>
        <v>47736</v>
      </c>
      <c r="G24" s="372">
        <f t="shared" si="2"/>
        <v>70007.600000000006</v>
      </c>
      <c r="H24" s="373"/>
      <c r="I24" s="372">
        <f t="shared" si="3"/>
        <v>21616.799999999999</v>
      </c>
      <c r="J24" s="372">
        <f t="shared" si="4"/>
        <v>62154</v>
      </c>
      <c r="K24" s="372">
        <f t="shared" si="5"/>
        <v>83770.8</v>
      </c>
      <c r="L24" s="374"/>
      <c r="M24" s="375">
        <f t="shared" si="6"/>
        <v>13763.199999999997</v>
      </c>
      <c r="N24" s="376">
        <f t="shared" si="7"/>
        <v>0.19659579817048428</v>
      </c>
      <c r="O24" s="377"/>
      <c r="P24" s="322"/>
      <c r="Q24" s="322"/>
      <c r="R24" s="322"/>
      <c r="S24" s="377"/>
      <c r="T24" s="378"/>
      <c r="U24" s="377"/>
      <c r="V24" s="325"/>
      <c r="W24" s="322"/>
      <c r="X24" s="322"/>
      <c r="Y24" s="377"/>
      <c r="Z24" s="374"/>
      <c r="AA24" s="322"/>
      <c r="AB24" s="322"/>
      <c r="AC24" s="322"/>
      <c r="AD24" s="322"/>
      <c r="AE24" s="377"/>
      <c r="AF24" s="374"/>
    </row>
    <row r="25" spans="1:32" ht="14" x14ac:dyDescent="0.3">
      <c r="A25" s="151" t="str">
        <f>IF(C25&lt;&gt;"",COUNTA($C$12:C25),"")</f>
        <v/>
      </c>
      <c r="B25" s="151"/>
      <c r="C25" s="293"/>
      <c r="D25" s="409"/>
      <c r="E25" s="372"/>
      <c r="F25" s="372"/>
      <c r="G25" s="372"/>
      <c r="H25" s="373"/>
      <c r="I25" s="374"/>
      <c r="J25" s="374"/>
      <c r="K25" s="374"/>
      <c r="L25" s="374"/>
      <c r="M25" s="374"/>
      <c r="O25" s="377"/>
      <c r="P25" s="322"/>
      <c r="Q25" s="322"/>
      <c r="R25" s="322"/>
      <c r="S25" s="377"/>
      <c r="T25" s="378"/>
      <c r="U25" s="377"/>
      <c r="V25" s="322"/>
      <c r="W25" s="322"/>
      <c r="X25" s="322"/>
      <c r="Y25" s="377"/>
      <c r="Z25" s="374"/>
      <c r="AA25" s="322"/>
      <c r="AB25" s="322"/>
      <c r="AC25" s="322"/>
      <c r="AD25" s="322"/>
      <c r="AE25" s="377"/>
      <c r="AF25" s="374"/>
    </row>
    <row r="26" spans="1:32" ht="14" x14ac:dyDescent="0.3">
      <c r="A26" s="151">
        <f>IF(C26&lt;&gt;"",COUNTA($C$12:C26),"")</f>
        <v>14</v>
      </c>
      <c r="B26" s="151"/>
      <c r="C26" s="366" t="str">
        <f>+C13</f>
        <v>Monthly</v>
      </c>
      <c r="D26" s="366" t="str">
        <f>+D13</f>
        <v>Monthly</v>
      </c>
      <c r="E26" s="760" t="str">
        <f>+'Bill_Bos G1 nonDem'!D26</f>
        <v>Current Monthly Bill (Summer)</v>
      </c>
      <c r="F26" s="760"/>
      <c r="G26" s="760"/>
      <c r="H26" s="448"/>
      <c r="I26" s="760" t="str">
        <f>+'Bill_Bos G1 nonDem'!H26</f>
        <v>Proposed Monthly Bill (Summer)</v>
      </c>
      <c r="J26" s="760"/>
      <c r="K26" s="760"/>
      <c r="L26" s="374"/>
      <c r="M26" s="763" t="s">
        <v>550</v>
      </c>
      <c r="N26" s="763"/>
      <c r="O26" s="415"/>
      <c r="P26" s="415"/>
      <c r="Q26" s="416"/>
      <c r="R26" s="369"/>
      <c r="S26" s="369"/>
      <c r="T26" s="378"/>
      <c r="U26" s="415"/>
      <c r="V26" s="415"/>
      <c r="W26" s="416"/>
      <c r="X26" s="369"/>
      <c r="Y26" s="369"/>
      <c r="Z26" s="369"/>
      <c r="AA26" s="369"/>
      <c r="AB26" s="369"/>
      <c r="AC26" s="322"/>
      <c r="AD26" s="322"/>
      <c r="AE26" s="369"/>
      <c r="AF26" s="369"/>
    </row>
    <row r="27" spans="1:32" ht="14" x14ac:dyDescent="0.3">
      <c r="A27" s="151">
        <f>IF(C27&lt;&gt;"",COUNTA($C$12:C27),"")</f>
        <v>15</v>
      </c>
      <c r="B27" s="151"/>
      <c r="C27" s="370" t="s">
        <v>534</v>
      </c>
      <c r="D27" s="370" t="s">
        <v>551</v>
      </c>
      <c r="E27" s="442" t="s">
        <v>552</v>
      </c>
      <c r="F27" s="442" t="s">
        <v>553</v>
      </c>
      <c r="G27" s="442" t="s">
        <v>47</v>
      </c>
      <c r="H27" s="448"/>
      <c r="I27" s="442" t="s">
        <v>552</v>
      </c>
      <c r="J27" s="442" t="s">
        <v>553</v>
      </c>
      <c r="K27" s="442" t="s">
        <v>47</v>
      </c>
      <c r="L27" s="374"/>
      <c r="M27" s="442" t="s">
        <v>65</v>
      </c>
      <c r="N27" s="370" t="s">
        <v>325</v>
      </c>
      <c r="O27" s="378"/>
      <c r="P27" s="369"/>
      <c r="Q27" s="369"/>
      <c r="R27" s="369"/>
      <c r="S27" s="369"/>
      <c r="T27" s="369"/>
      <c r="U27" s="378"/>
      <c r="V27" s="369"/>
      <c r="W27" s="369"/>
      <c r="X27" s="369"/>
      <c r="Y27" s="369"/>
      <c r="Z27" s="369"/>
      <c r="AA27" s="369"/>
      <c r="AB27" s="369"/>
      <c r="AC27" s="322"/>
      <c r="AD27" s="322"/>
      <c r="AE27" s="369"/>
      <c r="AF27" s="369"/>
    </row>
    <row r="28" spans="1:32" ht="14" x14ac:dyDescent="0.3">
      <c r="A28" s="151">
        <f>IF(C28&lt;&gt;"",COUNTA($C$12:C28),"")</f>
        <v>16</v>
      </c>
      <c r="B28" s="151"/>
      <c r="C28" s="409">
        <f>+'Bill_Bos G3 p1'!C28</f>
        <v>100</v>
      </c>
      <c r="D28" s="409">
        <f>+C28*450</f>
        <v>45000</v>
      </c>
      <c r="E28" s="372">
        <f t="shared" ref="E28:E37" si="9">ROUND($G$41+$C28*SUM($G$43,$G$44)+(SUM($G$45:$G$60,$G$61:$G$63)*$D28),2)</f>
        <v>3598.7</v>
      </c>
      <c r="F28" s="372">
        <f t="shared" ref="F28:F37" si="10">ROUND($G$64*D28,2)</f>
        <v>5967</v>
      </c>
      <c r="G28" s="372">
        <f t="shared" ref="G28:G37" si="11">SUM(E28:F28)</f>
        <v>9565.7000000000007</v>
      </c>
      <c r="H28" s="373"/>
      <c r="I28" s="372">
        <f t="shared" ref="I28:I37" si="12">ROUND($I$41+$C28*SUM($I$43,$I$44)+(SUM($I$45:$I$60,$I$61:$I$63)*$D28),2)</f>
        <v>3537.85</v>
      </c>
      <c r="J28" s="372">
        <f t="shared" ref="J28:J37" si="13">ROUND($I$64*D28,2)</f>
        <v>7769.25</v>
      </c>
      <c r="K28" s="372">
        <f t="shared" ref="K28:K37" si="14">SUM(I28:J28)</f>
        <v>11307.1</v>
      </c>
      <c r="L28" s="374"/>
      <c r="M28" s="375">
        <f t="shared" ref="M28:M37" si="15">+K28-G28</f>
        <v>1741.3999999999996</v>
      </c>
      <c r="N28" s="376">
        <f t="shared" ref="N28:N37" si="16">+M28/G28</f>
        <v>0.182046269483676</v>
      </c>
      <c r="O28" s="377"/>
      <c r="P28" s="322"/>
      <c r="Q28" s="322"/>
      <c r="R28" s="322"/>
      <c r="S28" s="377"/>
      <c r="T28" s="378"/>
      <c r="U28" s="377"/>
      <c r="V28" s="325"/>
      <c r="W28" s="322"/>
      <c r="X28" s="322"/>
      <c r="Y28" s="377"/>
      <c r="Z28" s="374"/>
      <c r="AA28" s="369"/>
      <c r="AB28" s="369"/>
      <c r="AC28" s="322"/>
      <c r="AD28" s="322"/>
      <c r="AE28" s="369"/>
      <c r="AF28" s="369"/>
    </row>
    <row r="29" spans="1:32" ht="14" x14ac:dyDescent="0.3">
      <c r="A29" s="151">
        <f>IF(C29&lt;&gt;"",COUNTA($C$12:C29),"")</f>
        <v>17</v>
      </c>
      <c r="B29" s="151"/>
      <c r="C29" s="409">
        <f>+'Bill_Bos G3 p1'!C29</f>
        <v>250</v>
      </c>
      <c r="D29" s="409">
        <f t="shared" ref="D29:D37" si="17">+C29*450</f>
        <v>112500</v>
      </c>
      <c r="E29" s="372">
        <f t="shared" si="9"/>
        <v>8621.75</v>
      </c>
      <c r="F29" s="372">
        <f t="shared" si="10"/>
        <v>14917.5</v>
      </c>
      <c r="G29" s="372">
        <f t="shared" si="11"/>
        <v>23539.25</v>
      </c>
      <c r="H29" s="373"/>
      <c r="I29" s="372">
        <f t="shared" si="12"/>
        <v>8469.6299999999992</v>
      </c>
      <c r="J29" s="372">
        <f t="shared" si="13"/>
        <v>19423.13</v>
      </c>
      <c r="K29" s="372">
        <f t="shared" si="14"/>
        <v>27892.760000000002</v>
      </c>
      <c r="L29" s="374"/>
      <c r="M29" s="375">
        <f t="shared" si="15"/>
        <v>4353.510000000002</v>
      </c>
      <c r="N29" s="376">
        <f t="shared" si="16"/>
        <v>0.18494684410081044</v>
      </c>
      <c r="O29" s="377"/>
      <c r="P29" s="322"/>
      <c r="Q29" s="322"/>
      <c r="R29" s="322"/>
      <c r="S29" s="377"/>
      <c r="T29" s="378"/>
      <c r="U29" s="377"/>
      <c r="V29" s="325"/>
      <c r="W29" s="322"/>
      <c r="X29" s="322"/>
      <c r="Y29" s="377"/>
      <c r="Z29" s="374"/>
      <c r="AA29" s="322"/>
      <c r="AB29" s="322"/>
      <c r="AC29" s="322"/>
      <c r="AD29" s="322"/>
      <c r="AE29" s="377"/>
      <c r="AF29" s="374"/>
    </row>
    <row r="30" spans="1:32" ht="14" x14ac:dyDescent="0.3">
      <c r="A30" s="151">
        <f>IF(C30&lt;&gt;"",COUNTA($C$12:C30),"")</f>
        <v>18</v>
      </c>
      <c r="B30" s="151"/>
      <c r="C30" s="409">
        <f>+'Bill_Bos G3 p1'!C30</f>
        <v>400</v>
      </c>
      <c r="D30" s="409">
        <f t="shared" si="17"/>
        <v>180000</v>
      </c>
      <c r="E30" s="372">
        <f t="shared" si="9"/>
        <v>13644.8</v>
      </c>
      <c r="F30" s="372">
        <f t="shared" si="10"/>
        <v>23868</v>
      </c>
      <c r="G30" s="372">
        <f t="shared" si="11"/>
        <v>37512.800000000003</v>
      </c>
      <c r="H30" s="373"/>
      <c r="I30" s="372">
        <f t="shared" si="12"/>
        <v>13401.4</v>
      </c>
      <c r="J30" s="372">
        <f t="shared" si="13"/>
        <v>31077</v>
      </c>
      <c r="K30" s="372">
        <f t="shared" si="14"/>
        <v>44478.400000000001</v>
      </c>
      <c r="L30" s="374"/>
      <c r="M30" s="375">
        <f t="shared" si="15"/>
        <v>6965.5999999999985</v>
      </c>
      <c r="N30" s="376">
        <f t="shared" si="16"/>
        <v>0.18568595252820366</v>
      </c>
      <c r="O30" s="377"/>
      <c r="P30" s="322"/>
      <c r="Q30" s="322"/>
      <c r="R30" s="322"/>
      <c r="S30" s="377"/>
      <c r="T30" s="378"/>
      <c r="U30" s="377"/>
      <c r="V30" s="325"/>
      <c r="W30" s="322"/>
      <c r="X30" s="322"/>
      <c r="Y30" s="377"/>
      <c r="Z30" s="374"/>
      <c r="AA30" s="322"/>
      <c r="AB30" s="322"/>
      <c r="AC30" s="322"/>
      <c r="AD30" s="322"/>
      <c r="AE30" s="377"/>
      <c r="AF30" s="374"/>
    </row>
    <row r="31" spans="1:32" ht="14" x14ac:dyDescent="0.3">
      <c r="A31" s="151">
        <f>IF(C31&lt;&gt;"",COUNTA($C$12:C31),"")</f>
        <v>19</v>
      </c>
      <c r="B31" s="151"/>
      <c r="C31" s="409">
        <f>+'Bill_Bos G3 p1'!C31</f>
        <v>550</v>
      </c>
      <c r="D31" s="409">
        <f t="shared" si="17"/>
        <v>247500</v>
      </c>
      <c r="E31" s="372">
        <f t="shared" si="9"/>
        <v>18667.849999999999</v>
      </c>
      <c r="F31" s="372">
        <f t="shared" si="10"/>
        <v>32818.5</v>
      </c>
      <c r="G31" s="372">
        <f t="shared" si="11"/>
        <v>51486.35</v>
      </c>
      <c r="H31" s="373"/>
      <c r="I31" s="372">
        <f t="shared" si="12"/>
        <v>18333.18</v>
      </c>
      <c r="J31" s="372">
        <f t="shared" si="13"/>
        <v>42730.879999999997</v>
      </c>
      <c r="K31" s="372">
        <f t="shared" si="14"/>
        <v>61064.06</v>
      </c>
      <c r="L31" s="374"/>
      <c r="M31" s="375">
        <f t="shared" si="15"/>
        <v>9577.7099999999991</v>
      </c>
      <c r="N31" s="376">
        <f t="shared" si="16"/>
        <v>0.18602425691469679</v>
      </c>
      <c r="O31" s="377"/>
      <c r="P31" s="322"/>
      <c r="Q31" s="322"/>
      <c r="R31" s="322"/>
      <c r="S31" s="377"/>
      <c r="T31" s="378"/>
      <c r="U31" s="377"/>
      <c r="V31" s="325"/>
      <c r="W31" s="322"/>
      <c r="X31" s="322"/>
      <c r="Y31" s="377"/>
      <c r="Z31" s="374"/>
      <c r="AA31" s="322"/>
      <c r="AB31" s="322"/>
      <c r="AC31" s="322"/>
      <c r="AD31" s="322"/>
      <c r="AE31" s="377"/>
      <c r="AF31" s="374"/>
    </row>
    <row r="32" spans="1:32" ht="14" x14ac:dyDescent="0.3">
      <c r="A32" s="151">
        <f>IF(C32&lt;&gt;"",COUNTA($C$12:C32),"")</f>
        <v>20</v>
      </c>
      <c r="B32" s="151"/>
      <c r="C32" s="409">
        <f>+'Bill_Bos G3 p1'!C32</f>
        <v>700</v>
      </c>
      <c r="D32" s="409">
        <f t="shared" si="17"/>
        <v>315000</v>
      </c>
      <c r="E32" s="372">
        <f t="shared" si="9"/>
        <v>23690.9</v>
      </c>
      <c r="F32" s="372">
        <f t="shared" si="10"/>
        <v>41769</v>
      </c>
      <c r="G32" s="372">
        <f t="shared" si="11"/>
        <v>65459.9</v>
      </c>
      <c r="H32" s="373"/>
      <c r="I32" s="372">
        <f t="shared" si="12"/>
        <v>23264.95</v>
      </c>
      <c r="J32" s="372">
        <f t="shared" si="13"/>
        <v>54384.75</v>
      </c>
      <c r="K32" s="372">
        <f t="shared" si="14"/>
        <v>77649.7</v>
      </c>
      <c r="L32" s="374"/>
      <c r="M32" s="375">
        <f t="shared" si="15"/>
        <v>12189.799999999996</v>
      </c>
      <c r="N32" s="376">
        <f t="shared" si="16"/>
        <v>0.18621782190318034</v>
      </c>
      <c r="O32" s="377"/>
      <c r="P32" s="322"/>
      <c r="Q32" s="322"/>
      <c r="R32" s="322"/>
      <c r="S32" s="377"/>
      <c r="T32" s="378"/>
      <c r="U32" s="377"/>
      <c r="V32" s="325"/>
      <c r="W32" s="322"/>
      <c r="X32" s="322"/>
      <c r="Y32" s="377"/>
      <c r="Z32" s="374"/>
      <c r="AA32" s="322"/>
      <c r="AB32" s="322"/>
      <c r="AC32" s="322"/>
      <c r="AD32" s="322"/>
      <c r="AE32" s="377"/>
      <c r="AF32" s="374"/>
    </row>
    <row r="33" spans="1:32" ht="14" x14ac:dyDescent="0.3">
      <c r="A33" s="151">
        <f>IF(C33&lt;&gt;"",COUNTA($C$12:C33),"")</f>
        <v>21</v>
      </c>
      <c r="B33" s="151"/>
      <c r="C33" s="409">
        <f>+'Bill_Bos G3 p1'!C33</f>
        <v>1000</v>
      </c>
      <c r="D33" s="409">
        <f t="shared" si="17"/>
        <v>450000</v>
      </c>
      <c r="E33" s="372">
        <f t="shared" si="9"/>
        <v>33737</v>
      </c>
      <c r="F33" s="372">
        <f t="shared" si="10"/>
        <v>59670</v>
      </c>
      <c r="G33" s="372">
        <f t="shared" si="11"/>
        <v>93407</v>
      </c>
      <c r="H33" s="373"/>
      <c r="I33" s="372">
        <f t="shared" si="12"/>
        <v>33128.5</v>
      </c>
      <c r="J33" s="372">
        <f t="shared" si="13"/>
        <v>77692.5</v>
      </c>
      <c r="K33" s="372">
        <f t="shared" si="14"/>
        <v>110821</v>
      </c>
      <c r="L33" s="374"/>
      <c r="M33" s="375">
        <f t="shared" si="15"/>
        <v>17414</v>
      </c>
      <c r="N33" s="376">
        <f t="shared" si="16"/>
        <v>0.18643142376909652</v>
      </c>
      <c r="O33" s="377"/>
      <c r="P33" s="322"/>
      <c r="Q33" s="322"/>
      <c r="R33" s="322"/>
      <c r="S33" s="377"/>
      <c r="T33" s="378"/>
      <c r="U33" s="377"/>
      <c r="V33" s="325"/>
      <c r="W33" s="322"/>
      <c r="X33" s="322"/>
      <c r="Y33" s="377"/>
      <c r="Z33" s="374"/>
      <c r="AA33" s="322"/>
      <c r="AB33" s="322"/>
      <c r="AC33" s="322"/>
      <c r="AD33" s="322"/>
      <c r="AE33" s="377"/>
      <c r="AF33" s="374"/>
    </row>
    <row r="34" spans="1:32" ht="14" x14ac:dyDescent="0.3">
      <c r="A34" s="151">
        <f>IF(C34&lt;&gt;"",COUNTA($C$12:C34),"")</f>
        <v>22</v>
      </c>
      <c r="B34" s="151"/>
      <c r="C34" s="409">
        <f>+'Bill_Bos G3 p1'!C34</f>
        <v>1500</v>
      </c>
      <c r="D34" s="409">
        <f t="shared" si="17"/>
        <v>675000</v>
      </c>
      <c r="E34" s="372">
        <f t="shared" si="9"/>
        <v>50480.5</v>
      </c>
      <c r="F34" s="372">
        <f t="shared" si="10"/>
        <v>89505</v>
      </c>
      <c r="G34" s="372">
        <f t="shared" si="11"/>
        <v>139985.5</v>
      </c>
      <c r="H34" s="373"/>
      <c r="I34" s="372">
        <f t="shared" si="12"/>
        <v>49567.75</v>
      </c>
      <c r="J34" s="372">
        <f t="shared" si="13"/>
        <v>116538.75</v>
      </c>
      <c r="K34" s="372">
        <f t="shared" si="14"/>
        <v>166106.5</v>
      </c>
      <c r="L34" s="374"/>
      <c r="M34" s="375">
        <f t="shared" si="15"/>
        <v>26121</v>
      </c>
      <c r="N34" s="376">
        <f t="shared" si="16"/>
        <v>0.18659789763939835</v>
      </c>
      <c r="O34" s="377"/>
      <c r="P34" s="322"/>
      <c r="Q34" s="322"/>
      <c r="R34" s="322"/>
      <c r="S34" s="377"/>
      <c r="T34" s="378"/>
      <c r="U34" s="377"/>
      <c r="V34" s="325"/>
      <c r="W34" s="322"/>
      <c r="X34" s="322"/>
      <c r="Y34" s="377"/>
      <c r="Z34" s="374"/>
      <c r="AA34" s="322"/>
      <c r="AB34" s="322"/>
      <c r="AC34" s="322"/>
      <c r="AD34" s="322"/>
      <c r="AE34" s="377"/>
      <c r="AF34" s="374"/>
    </row>
    <row r="35" spans="1:32" ht="14" x14ac:dyDescent="0.3">
      <c r="A35" s="151">
        <f>IF(C35&lt;&gt;"",COUNTA($C$12:C35),"")</f>
        <v>23</v>
      </c>
      <c r="B35" s="151"/>
      <c r="C35" s="409">
        <f>+'Bill_Bos G3 p1'!C35</f>
        <v>2500</v>
      </c>
      <c r="D35" s="409">
        <f t="shared" si="17"/>
        <v>1125000</v>
      </c>
      <c r="E35" s="372">
        <f t="shared" si="9"/>
        <v>83967.5</v>
      </c>
      <c r="F35" s="372">
        <f t="shared" si="10"/>
        <v>149175</v>
      </c>
      <c r="G35" s="372">
        <f t="shared" si="11"/>
        <v>233142.5</v>
      </c>
      <c r="H35" s="373"/>
      <c r="I35" s="372">
        <f t="shared" si="12"/>
        <v>82446.25</v>
      </c>
      <c r="J35" s="372">
        <f t="shared" si="13"/>
        <v>194231.25</v>
      </c>
      <c r="K35" s="372">
        <f t="shared" si="14"/>
        <v>276677.5</v>
      </c>
      <c r="L35" s="374"/>
      <c r="M35" s="375">
        <f t="shared" si="15"/>
        <v>43535</v>
      </c>
      <c r="N35" s="376">
        <f t="shared" si="16"/>
        <v>0.18673129094866872</v>
      </c>
      <c r="O35" s="377"/>
      <c r="P35" s="322"/>
      <c r="Q35" s="322"/>
      <c r="R35" s="322"/>
      <c r="S35" s="377"/>
      <c r="T35" s="378"/>
      <c r="U35" s="377"/>
      <c r="V35" s="325"/>
      <c r="W35" s="322"/>
      <c r="X35" s="322"/>
      <c r="Y35" s="377"/>
      <c r="Z35" s="374"/>
      <c r="AA35" s="322"/>
      <c r="AB35" s="322"/>
      <c r="AC35" s="322"/>
      <c r="AD35" s="322"/>
      <c r="AE35" s="377"/>
      <c r="AF35" s="374"/>
    </row>
    <row r="36" spans="1:32" ht="14" x14ac:dyDescent="0.3">
      <c r="A36" s="151">
        <f>IF(C36&lt;&gt;"",COUNTA($C$12:C36),"")</f>
        <v>24</v>
      </c>
      <c r="B36" s="151"/>
      <c r="C36" s="409">
        <f>+'Bill_Bos G3 p1'!C36</f>
        <v>5000</v>
      </c>
      <c r="D36" s="409">
        <f t="shared" si="17"/>
        <v>2250000</v>
      </c>
      <c r="E36" s="372">
        <f t="shared" si="9"/>
        <v>167685</v>
      </c>
      <c r="F36" s="372">
        <f t="shared" si="10"/>
        <v>298350</v>
      </c>
      <c r="G36" s="372">
        <f t="shared" si="11"/>
        <v>466035</v>
      </c>
      <c r="H36" s="373"/>
      <c r="I36" s="372">
        <f t="shared" si="12"/>
        <v>164642.5</v>
      </c>
      <c r="J36" s="372">
        <f t="shared" si="13"/>
        <v>388462.5</v>
      </c>
      <c r="K36" s="372">
        <f t="shared" si="14"/>
        <v>553105</v>
      </c>
      <c r="L36" s="374"/>
      <c r="M36" s="375">
        <f t="shared" si="15"/>
        <v>87070</v>
      </c>
      <c r="N36" s="376">
        <f t="shared" si="16"/>
        <v>0.18683146115635091</v>
      </c>
      <c r="O36" s="377"/>
      <c r="P36" s="322"/>
      <c r="Q36" s="322"/>
      <c r="R36" s="322"/>
      <c r="S36" s="377"/>
      <c r="T36" s="378"/>
      <c r="U36" s="377"/>
      <c r="V36" s="325"/>
      <c r="W36" s="322"/>
      <c r="X36" s="322"/>
      <c r="Y36" s="377"/>
      <c r="Z36" s="374"/>
      <c r="AA36" s="322"/>
      <c r="AB36" s="322"/>
      <c r="AC36" s="322"/>
      <c r="AD36" s="322"/>
      <c r="AE36" s="377"/>
      <c r="AF36" s="374"/>
    </row>
    <row r="37" spans="1:32" ht="14" x14ac:dyDescent="0.3">
      <c r="A37" s="151">
        <f>IF(C37&lt;&gt;"",COUNTA($C$12:C37),"")</f>
        <v>25</v>
      </c>
      <c r="B37" s="151" t="s">
        <v>554</v>
      </c>
      <c r="C37" s="409">
        <v>1060</v>
      </c>
      <c r="D37" s="409">
        <f t="shared" si="17"/>
        <v>477000</v>
      </c>
      <c r="E37" s="372">
        <f t="shared" si="9"/>
        <v>35746.22</v>
      </c>
      <c r="F37" s="372">
        <f t="shared" si="10"/>
        <v>63250.2</v>
      </c>
      <c r="G37" s="372">
        <f t="shared" si="11"/>
        <v>98996.42</v>
      </c>
      <c r="H37" s="373"/>
      <c r="I37" s="372">
        <f t="shared" si="12"/>
        <v>35101.21</v>
      </c>
      <c r="J37" s="372">
        <f t="shared" si="13"/>
        <v>82354.05</v>
      </c>
      <c r="K37" s="372">
        <f t="shared" si="14"/>
        <v>117455.26000000001</v>
      </c>
      <c r="L37" s="374"/>
      <c r="M37" s="375">
        <f t="shared" si="15"/>
        <v>18458.840000000011</v>
      </c>
      <c r="N37" s="376">
        <f t="shared" si="16"/>
        <v>0.18645967197601704</v>
      </c>
      <c r="O37" s="377"/>
      <c r="P37" s="322"/>
      <c r="Q37" s="322"/>
      <c r="R37" s="322"/>
      <c r="S37" s="377"/>
      <c r="T37" s="378"/>
      <c r="U37" s="377"/>
      <c r="V37" s="325"/>
      <c r="W37" s="322"/>
      <c r="X37" s="322"/>
      <c r="Y37" s="377"/>
      <c r="Z37" s="374"/>
      <c r="AA37" s="322"/>
      <c r="AB37" s="322"/>
      <c r="AC37" s="322"/>
      <c r="AD37" s="322"/>
      <c r="AE37" s="377"/>
      <c r="AF37" s="374"/>
    </row>
    <row r="38" spans="1:32" ht="14" x14ac:dyDescent="0.3">
      <c r="A38" s="151" t="str">
        <f>IF(C38&lt;&gt;"",COUNTA($C$12:C38),"")</f>
        <v/>
      </c>
      <c r="B38" s="151"/>
      <c r="C38" s="293"/>
      <c r="D38" s="293"/>
      <c r="E38" s="293"/>
      <c r="F38" s="293"/>
      <c r="G38" s="393"/>
      <c r="H38" s="394"/>
      <c r="O38" s="377"/>
      <c r="P38" s="322"/>
      <c r="Q38" s="322"/>
      <c r="R38" s="322"/>
      <c r="S38" s="322"/>
      <c r="T38" s="322"/>
      <c r="U38" s="322"/>
      <c r="V38" s="377"/>
      <c r="W38" s="378"/>
      <c r="X38" s="377"/>
      <c r="Y38" s="322"/>
      <c r="Z38" s="322"/>
      <c r="AA38" s="322"/>
      <c r="AB38" s="322"/>
      <c r="AC38" s="322"/>
      <c r="AD38" s="322"/>
      <c r="AE38" s="377"/>
      <c r="AF38" s="374"/>
    </row>
    <row r="39" spans="1:32" ht="14" x14ac:dyDescent="0.3">
      <c r="A39" s="151">
        <f>IF(C39&lt;&gt;"",COUNTA($C$12:C39),"")</f>
        <v>26</v>
      </c>
      <c r="B39" s="151"/>
      <c r="C39" s="394" t="s">
        <v>46</v>
      </c>
      <c r="D39" s="394"/>
      <c r="E39" s="394"/>
      <c r="G39" s="395" t="str">
        <f>+'Bill_Bos G2 p1'!G42</f>
        <v>Current</v>
      </c>
      <c r="I39" s="395" t="str">
        <f>+'Bill_Bos G2 p1'!I42</f>
        <v>Proposed</v>
      </c>
      <c r="J39" s="420"/>
      <c r="O39" s="377"/>
      <c r="P39" s="322"/>
      <c r="Q39" s="322"/>
      <c r="R39" s="322"/>
      <c r="S39" s="322"/>
      <c r="T39" s="322"/>
      <c r="U39" s="322"/>
      <c r="V39" s="377"/>
      <c r="W39" s="378"/>
      <c r="X39" s="377"/>
      <c r="Y39" s="322"/>
      <c r="Z39" s="322"/>
      <c r="AA39" s="322"/>
      <c r="AB39" s="322"/>
      <c r="AC39" s="322"/>
      <c r="AD39" s="322"/>
      <c r="AE39" s="377"/>
      <c r="AF39" s="374"/>
    </row>
    <row r="40" spans="1:32" ht="17" x14ac:dyDescent="0.6">
      <c r="A40" s="151">
        <f>IF(C40&lt;&gt;"",COUNTA($C$12:C40),"")</f>
        <v>27</v>
      </c>
      <c r="B40" s="151"/>
      <c r="C40" s="456" t="s">
        <v>46</v>
      </c>
      <c r="D40" s="456"/>
      <c r="E40" s="394"/>
      <c r="G40" s="396" t="str">
        <f>+'Bill_Bos G2 p1'!G43</f>
        <v>Rates</v>
      </c>
      <c r="I40" s="396" t="str">
        <f>+'Bill_Bos G2 p1'!I43</f>
        <v>Rates</v>
      </c>
      <c r="J40" s="396" t="str">
        <f>+'Bill_Bos G2 p1'!J43</f>
        <v>Change</v>
      </c>
    </row>
    <row r="41" spans="1:32" ht="14" x14ac:dyDescent="0.3">
      <c r="A41" s="151">
        <f>IF(C41&lt;&gt;"",COUNTA($C$12:C41),"")</f>
        <v>28</v>
      </c>
      <c r="B41" s="151"/>
      <c r="C41" s="394" t="str">
        <f>'Bill_Bos G3 p1'!C41</f>
        <v>Customer Charge</v>
      </c>
      <c r="D41" s="394"/>
      <c r="E41" s="456"/>
      <c r="G41" s="454">
        <v>250</v>
      </c>
      <c r="H41" s="455"/>
      <c r="I41" s="454">
        <f>+G41</f>
        <v>250</v>
      </c>
      <c r="J41" s="421">
        <f>I41-G41</f>
        <v>0</v>
      </c>
    </row>
    <row r="42" spans="1:32" ht="14" x14ac:dyDescent="0.3">
      <c r="A42" s="151">
        <f>IF(C42&lt;&gt;"",COUNTA($C$12:C42),"")</f>
        <v>29</v>
      </c>
      <c r="B42" s="151"/>
      <c r="C42" s="394" t="str">
        <f>'Bill_Bos G3 p1'!C42</f>
        <v>Distribution Demand - Winter</v>
      </c>
      <c r="D42" s="394"/>
      <c r="E42" s="456"/>
      <c r="G42" s="454">
        <v>8.58</v>
      </c>
      <c r="H42" s="455"/>
      <c r="I42" s="454">
        <v>8.8699999999999992</v>
      </c>
      <c r="J42" s="421">
        <f t="shared" ref="J42:J64" si="18">I42-G42</f>
        <v>0.28999999999999915</v>
      </c>
    </row>
    <row r="43" spans="1:32" ht="14" x14ac:dyDescent="0.3">
      <c r="A43" s="151">
        <f>IF(C43&lt;&gt;"",COUNTA($C$12:C43),"")</f>
        <v>30</v>
      </c>
      <c r="B43" s="151"/>
      <c r="C43" s="394" t="str">
        <f>'Bill_Bos G3 p1'!C43</f>
        <v>Distribution Demand - Summer</v>
      </c>
      <c r="D43" s="394"/>
      <c r="E43" s="456"/>
      <c r="G43" s="454">
        <v>14.54</v>
      </c>
      <c r="H43" s="455"/>
      <c r="I43" s="454">
        <v>15.04</v>
      </c>
      <c r="J43" s="421">
        <f t="shared" si="18"/>
        <v>0.5</v>
      </c>
    </row>
    <row r="44" spans="1:32" ht="14" x14ac:dyDescent="0.3">
      <c r="A44" s="151">
        <f>IF(C44&lt;&gt;"",COUNTA($C$12:C44),"")</f>
        <v>31</v>
      </c>
      <c r="B44" s="151"/>
      <c r="C44" s="394" t="str">
        <f>'Bill_Bos G3 p1'!C44</f>
        <v>Transmission Demand</v>
      </c>
      <c r="D44" s="394"/>
      <c r="E44" s="456"/>
      <c r="G44" s="454">
        <v>10.28</v>
      </c>
      <c r="H44" s="448"/>
      <c r="I44" s="454">
        <v>9.0500000000000007</v>
      </c>
      <c r="J44" s="421">
        <f>I44-G44</f>
        <v>-1.2299999999999986</v>
      </c>
    </row>
    <row r="45" spans="1:32" ht="14" x14ac:dyDescent="0.3">
      <c r="A45" s="151">
        <f>IF(C45&lt;&gt;"",COUNTA($C$12:C45),"")</f>
        <v>32</v>
      </c>
      <c r="B45" s="151"/>
      <c r="C45" s="394" t="str">
        <f>'Bill_Bos G3 p1'!C45</f>
        <v>Distribution Energy</v>
      </c>
      <c r="D45" s="394"/>
      <c r="E45" s="456"/>
      <c r="G45" s="308">
        <v>0</v>
      </c>
      <c r="H45" s="400"/>
      <c r="I45" s="308">
        <v>0</v>
      </c>
      <c r="J45" s="354">
        <f t="shared" si="18"/>
        <v>0</v>
      </c>
    </row>
    <row r="46" spans="1:32" ht="14" x14ac:dyDescent="0.3">
      <c r="A46" s="151">
        <f>IF(C46&lt;&gt;"",COUNTA($C$12:C46),"")</f>
        <v>33</v>
      </c>
      <c r="B46" s="151"/>
      <c r="C46" s="394" t="str">
        <f>'Bill_Bos G3 p1'!C46</f>
        <v>Revenue Decoupling</v>
      </c>
      <c r="D46" s="394"/>
      <c r="E46" s="456"/>
      <c r="G46" s="308">
        <v>0</v>
      </c>
      <c r="H46" s="277"/>
      <c r="I46" s="277">
        <v>-2.4000000000000001E-4</v>
      </c>
      <c r="J46" s="354">
        <f t="shared" si="18"/>
        <v>-2.4000000000000001E-4</v>
      </c>
    </row>
    <row r="47" spans="1:32" ht="14" x14ac:dyDescent="0.3">
      <c r="A47" s="151">
        <f>IF(C47&lt;&gt;"",COUNTA($C$12:C47),"")</f>
        <v>34</v>
      </c>
      <c r="B47" s="151"/>
      <c r="C47" s="394" t="str">
        <f>'Bill_Bos G3 p1'!C47</f>
        <v>Residential Assistance Adjustment Factor</v>
      </c>
      <c r="D47" s="394"/>
      <c r="E47" s="456"/>
      <c r="G47" s="277">
        <v>1.47E-3</v>
      </c>
      <c r="H47" s="277"/>
      <c r="I47" s="277">
        <v>2.0300000000000001E-3</v>
      </c>
      <c r="J47" s="354">
        <f t="shared" si="18"/>
        <v>5.6000000000000017E-4</v>
      </c>
    </row>
    <row r="48" spans="1:32" ht="14" x14ac:dyDescent="0.3">
      <c r="A48" s="151">
        <f>IF(C48&lt;&gt;"",COUNTA($C$12:C48),"")</f>
        <v>35</v>
      </c>
      <c r="B48" s="151"/>
      <c r="C48" s="394" t="str">
        <f>'Bill_Bos G3 p1'!C48</f>
        <v>Pension Adjustment Factor</v>
      </c>
      <c r="D48" s="394"/>
      <c r="E48" s="456"/>
      <c r="G48" s="277">
        <v>-3.0000000000000001E-5</v>
      </c>
      <c r="H48" s="277"/>
      <c r="I48" s="277">
        <v>2.9999999999999997E-4</v>
      </c>
      <c r="J48" s="354">
        <f t="shared" si="18"/>
        <v>3.3E-4</v>
      </c>
    </row>
    <row r="49" spans="1:12" ht="14" x14ac:dyDescent="0.3">
      <c r="A49" s="151">
        <f>IF(C49&lt;&gt;"",COUNTA($C$12:C49),"")</f>
        <v>36</v>
      </c>
      <c r="B49" s="151"/>
      <c r="C49" s="394" t="str">
        <f>'Bill_Bos G3 p1'!C49</f>
        <v>Net Metering Recovery Surcharge</v>
      </c>
      <c r="D49" s="394"/>
      <c r="E49" s="456"/>
      <c r="G49" s="277">
        <v>2.8999999999999998E-3</v>
      </c>
      <c r="H49" s="277"/>
      <c r="I49" s="277">
        <v>2.64E-3</v>
      </c>
      <c r="J49" s="354">
        <f t="shared" si="18"/>
        <v>-2.5999999999999981E-4</v>
      </c>
    </row>
    <row r="50" spans="1:12" ht="14" x14ac:dyDescent="0.3">
      <c r="A50" s="151">
        <f>IF(C50&lt;&gt;"",COUNTA($C$12:C50),"")</f>
        <v>37</v>
      </c>
      <c r="B50" s="151"/>
      <c r="C50" s="394" t="str">
        <f>'Bill_Bos G3 p1'!C50</f>
        <v>Long Term Renewable Contract Adjustment</v>
      </c>
      <c r="D50" s="394"/>
      <c r="E50" s="456"/>
      <c r="G50" s="277">
        <v>2.3600000000000001E-3</v>
      </c>
      <c r="H50" s="277"/>
      <c r="I50" s="277">
        <v>1.74E-3</v>
      </c>
      <c r="J50" s="354">
        <f t="shared" si="18"/>
        <v>-6.2000000000000011E-4</v>
      </c>
    </row>
    <row r="51" spans="1:12" ht="14" x14ac:dyDescent="0.3">
      <c r="A51" s="151">
        <f>IF(C51&lt;&gt;"",COUNTA($C$12:C51),"")</f>
        <v>38</v>
      </c>
      <c r="B51" s="151"/>
      <c r="C51" s="394" t="str">
        <f>'Bill_Bos G3 p1'!C51</f>
        <v>AG Consulting Expense</v>
      </c>
      <c r="D51" s="394"/>
      <c r="E51" s="456"/>
      <c r="G51" s="277">
        <v>2.0000000000000002E-5</v>
      </c>
      <c r="H51" s="277"/>
      <c r="I51" s="277">
        <v>0</v>
      </c>
      <c r="J51" s="354">
        <f t="shared" si="18"/>
        <v>-2.0000000000000002E-5</v>
      </c>
    </row>
    <row r="52" spans="1:12" ht="14" x14ac:dyDescent="0.3">
      <c r="A52" s="151">
        <f>IF(C52&lt;&gt;"",COUNTA($C$12:C52),"")</f>
        <v>39</v>
      </c>
      <c r="B52" s="151"/>
      <c r="C52" s="394" t="str">
        <f>'Bill_Bos G3 p1'!C52</f>
        <v>Storm Cost Recovery Adjustment Factor</v>
      </c>
      <c r="D52" s="394"/>
      <c r="E52" s="456"/>
      <c r="G52" s="277">
        <v>9.1E-4</v>
      </c>
      <c r="H52" s="277"/>
      <c r="I52" s="277">
        <v>1.5399999999999999E-3</v>
      </c>
      <c r="J52" s="354">
        <f t="shared" si="18"/>
        <v>6.2999999999999992E-4</v>
      </c>
    </row>
    <row r="53" spans="1:12" ht="14" x14ac:dyDescent="0.3">
      <c r="A53" s="151">
        <f>IF(C53&lt;&gt;"",COUNTA($C$12:C53),"")</f>
        <v>40</v>
      </c>
      <c r="B53" s="151"/>
      <c r="C53" s="394" t="str">
        <f>'Bill_Bos G3 p1'!C53</f>
        <v>Storm Reserve Adjustment</v>
      </c>
      <c r="D53" s="394"/>
      <c r="E53" s="456"/>
      <c r="G53" s="277">
        <v>0</v>
      </c>
      <c r="H53" s="277"/>
      <c r="I53" s="277">
        <v>0</v>
      </c>
      <c r="J53" s="354">
        <f t="shared" si="18"/>
        <v>0</v>
      </c>
    </row>
    <row r="54" spans="1:12" ht="14" x14ac:dyDescent="0.3">
      <c r="A54" s="151">
        <f>IF(C54&lt;&gt;"",COUNTA($C$12:C54),"")</f>
        <v>41</v>
      </c>
      <c r="B54" s="151"/>
      <c r="C54" s="394" t="str">
        <f>'Bill_Bos G3 p1'!C54</f>
        <v>Basic Service Cost True Up Factor</v>
      </c>
      <c r="D54" s="447"/>
      <c r="E54" s="447"/>
      <c r="G54" s="277">
        <v>7.7999999999999999E-4</v>
      </c>
      <c r="H54" s="277"/>
      <c r="I54" s="277">
        <v>-1E-4</v>
      </c>
      <c r="J54" s="354">
        <f t="shared" si="18"/>
        <v>-8.8000000000000003E-4</v>
      </c>
    </row>
    <row r="55" spans="1:12" ht="14" x14ac:dyDescent="0.3">
      <c r="A55" s="151">
        <f>IF(C55&lt;&gt;"",COUNTA($C$12:C55),"")</f>
        <v>42</v>
      </c>
      <c r="B55" s="151"/>
      <c r="C55" s="394" t="str">
        <f>'Bill_Bos G3 p1'!C55</f>
        <v>Solar Program Cost Adjustment Factor</v>
      </c>
      <c r="D55" s="394"/>
      <c r="E55" s="456"/>
      <c r="G55" s="277">
        <v>0</v>
      </c>
      <c r="H55" s="277"/>
      <c r="I55" s="277">
        <v>2.0000000000000002E-5</v>
      </c>
      <c r="J55" s="354">
        <f t="shared" si="18"/>
        <v>2.0000000000000002E-5</v>
      </c>
    </row>
    <row r="56" spans="1:12" ht="14" x14ac:dyDescent="0.3">
      <c r="A56" s="151">
        <f>IF(C56&lt;&gt;"",COUNTA($C$12:C56),"")</f>
        <v>43</v>
      </c>
      <c r="B56" s="151"/>
      <c r="C56" s="394" t="str">
        <f>'Bill_Bos G3 p1'!C56</f>
        <v>Solar Expansion Cost Recovery Factor</v>
      </c>
      <c r="D56" s="394"/>
      <c r="E56" s="456"/>
      <c r="G56" s="277">
        <v>0</v>
      </c>
      <c r="H56" s="277"/>
      <c r="I56" s="277">
        <v>3.2000000000000003E-4</v>
      </c>
      <c r="J56" s="354">
        <f t="shared" si="18"/>
        <v>3.2000000000000003E-4</v>
      </c>
    </row>
    <row r="57" spans="1:12" ht="14" x14ac:dyDescent="0.3">
      <c r="A57" s="151">
        <f>IF(C57&lt;&gt;"",COUNTA($C$12:C57),"")</f>
        <v>44</v>
      </c>
      <c r="B57" s="151"/>
      <c r="C57" s="394" t="str">
        <f>'Bill_Bos G3 p1'!C57</f>
        <v>Vegetation Management</v>
      </c>
      <c r="D57" s="394"/>
      <c r="E57" s="456"/>
      <c r="G57" s="277">
        <v>0</v>
      </c>
      <c r="H57" s="277"/>
      <c r="I57" s="277">
        <v>5.2999999999999998E-4</v>
      </c>
      <c r="J57" s="354">
        <f t="shared" si="18"/>
        <v>5.2999999999999998E-4</v>
      </c>
    </row>
    <row r="58" spans="1:12" ht="14" x14ac:dyDescent="0.3">
      <c r="A58" s="151">
        <f>IF(C58&lt;&gt;"",COUNTA($C$12:C58),"")</f>
        <v>45</v>
      </c>
      <c r="B58" s="151"/>
      <c r="C58" s="394" t="str">
        <f>'Bill_Bos G3 p1'!C58</f>
        <v>Solar Massachusetts Renewable Target</v>
      </c>
      <c r="D58" s="339"/>
      <c r="E58" s="339"/>
      <c r="F58" s="277"/>
      <c r="G58" s="277">
        <v>0</v>
      </c>
      <c r="H58" s="277"/>
      <c r="I58" s="277">
        <v>3.6999999999999999E-4</v>
      </c>
      <c r="J58" s="354">
        <f t="shared" si="18"/>
        <v>3.6999999999999999E-4</v>
      </c>
      <c r="K58" s="339"/>
      <c r="L58" s="339"/>
    </row>
    <row r="59" spans="1:12" ht="14" x14ac:dyDescent="0.3">
      <c r="A59" s="151">
        <f>IF(C59&lt;&gt;"",COUNTA($C$12:C59),"")</f>
        <v>46</v>
      </c>
      <c r="B59" s="151"/>
      <c r="C59" s="394" t="str">
        <f>'Bill_Bos G3 p1'!C59</f>
        <v>Tax Act Credit Factor</v>
      </c>
      <c r="D59" s="339"/>
      <c r="E59" s="339"/>
      <c r="F59" s="277"/>
      <c r="G59" s="277">
        <v>0</v>
      </c>
      <c r="H59" s="277"/>
      <c r="I59" s="277">
        <v>-5.5999999999999995E-4</v>
      </c>
      <c r="J59" s="354">
        <f t="shared" si="18"/>
        <v>-5.5999999999999995E-4</v>
      </c>
      <c r="K59" s="339"/>
      <c r="L59" s="339"/>
    </row>
    <row r="60" spans="1:12" ht="14" x14ac:dyDescent="0.3">
      <c r="A60" s="151">
        <f>IF(C60&lt;&gt;"",COUNTA($C$12:C60),"")</f>
        <v>47</v>
      </c>
      <c r="B60" s="151"/>
      <c r="C60" s="394" t="str">
        <f>'Bill_Bos G3 p1'!C60</f>
        <v>Transition</v>
      </c>
      <c r="D60" s="394"/>
      <c r="E60" s="456"/>
      <c r="G60" s="308">
        <v>-6.0999999999999997E-4</v>
      </c>
      <c r="H60" s="277"/>
      <c r="I60" s="277">
        <v>-5.1999999999999995E-4</v>
      </c>
      <c r="J60" s="354">
        <f t="shared" si="18"/>
        <v>9.0000000000000019E-5</v>
      </c>
    </row>
    <row r="61" spans="1:12" ht="14" x14ac:dyDescent="0.3">
      <c r="A61" s="151">
        <f>IF(C61&lt;&gt;"",COUNTA($C$12:C61),"")</f>
        <v>48</v>
      </c>
      <c r="B61" s="151"/>
      <c r="C61" s="394" t="str">
        <f>'Bill_Bos G3 p1'!C61</f>
        <v>Energy Efficiency Reconciliation Factor</v>
      </c>
      <c r="D61" s="394"/>
      <c r="E61" s="456"/>
      <c r="G61" s="308">
        <v>8.4600000000000005E-3</v>
      </c>
      <c r="H61" s="400"/>
      <c r="I61" s="308">
        <v>8.4600000000000005E-3</v>
      </c>
      <c r="J61" s="354">
        <f t="shared" si="18"/>
        <v>0</v>
      </c>
    </row>
    <row r="62" spans="1:12" ht="14" x14ac:dyDescent="0.3">
      <c r="A62" s="151">
        <f>IF(C62&lt;&gt;"",COUNTA($C$12:C62),"")</f>
        <v>49</v>
      </c>
      <c r="B62" s="151"/>
      <c r="C62" s="394" t="str">
        <f>'Bill_Bos G3 p1'!C62</f>
        <v>System Benefits Charge</v>
      </c>
      <c r="D62" s="394"/>
      <c r="E62" s="456"/>
      <c r="G62" s="308">
        <v>2.5000000000000001E-3</v>
      </c>
      <c r="H62" s="400"/>
      <c r="I62" s="308">
        <f>+G62</f>
        <v>2.5000000000000001E-3</v>
      </c>
      <c r="J62" s="354">
        <f t="shared" si="18"/>
        <v>0</v>
      </c>
    </row>
    <row r="63" spans="1:12" ht="14" x14ac:dyDescent="0.3">
      <c r="A63" s="151">
        <f>IF(C63&lt;&gt;"",COUNTA($C$12:C63),"")</f>
        <v>50</v>
      </c>
      <c r="B63" s="151"/>
      <c r="C63" s="394" t="str">
        <f>'Bill_Bos G3 p1'!C63</f>
        <v>Renewable Energy Charge</v>
      </c>
      <c r="D63" s="394"/>
      <c r="E63" s="456"/>
      <c r="G63" s="308">
        <v>5.0000000000000001E-4</v>
      </c>
      <c r="H63" s="400"/>
      <c r="I63" s="308">
        <f>+G63</f>
        <v>5.0000000000000001E-4</v>
      </c>
      <c r="J63" s="354">
        <f t="shared" si="18"/>
        <v>0</v>
      </c>
    </row>
    <row r="64" spans="1:12" ht="14" x14ac:dyDescent="0.3">
      <c r="A64" s="151">
        <f>IF(C64&lt;&gt;"",COUNTA($C$12:C64),"")</f>
        <v>51</v>
      </c>
      <c r="B64" s="151"/>
      <c r="C64" s="394" t="str">
        <f>'Bill_Bos G3 p1'!C64</f>
        <v>Basic Service Charge</v>
      </c>
      <c r="D64" s="394"/>
      <c r="E64" s="456"/>
      <c r="G64" s="308">
        <v>0.1326</v>
      </c>
      <c r="H64" s="400"/>
      <c r="I64" s="308">
        <v>0.17265000000000003</v>
      </c>
      <c r="J64" s="354">
        <f t="shared" si="18"/>
        <v>4.005000000000003E-2</v>
      </c>
    </row>
    <row r="65" spans="1:10" ht="14" x14ac:dyDescent="0.3">
      <c r="A65" s="151"/>
      <c r="B65" s="151"/>
      <c r="F65" s="293"/>
      <c r="G65" s="400"/>
      <c r="H65" s="403"/>
      <c r="I65" s="403"/>
      <c r="J65" s="403"/>
    </row>
    <row r="66" spans="1:10" ht="14" x14ac:dyDescent="0.3">
      <c r="A66" s="151"/>
      <c r="B66" s="151"/>
      <c r="C66" s="458"/>
      <c r="D66" s="459"/>
      <c r="E66" s="460"/>
      <c r="F66" s="465"/>
      <c r="G66" s="400"/>
      <c r="H66" s="403"/>
      <c r="I66" s="462"/>
      <c r="J66" s="462"/>
    </row>
    <row r="67" spans="1:10" ht="14" x14ac:dyDescent="0.3">
      <c r="A67" s="151"/>
      <c r="B67" s="151"/>
      <c r="C67" s="394" t="str">
        <f>'Bill_Bos G3 p1'!C67</f>
        <v>Total Demand - Winter</v>
      </c>
      <c r="G67" s="374">
        <f>G42+G44</f>
        <v>18.86</v>
      </c>
      <c r="H67" s="374"/>
      <c r="I67" s="374">
        <f>I42+I44</f>
        <v>17.920000000000002</v>
      </c>
      <c r="J67" s="421">
        <f t="shared" ref="J67:J70" si="19">I67-G67</f>
        <v>-0.93999999999999773</v>
      </c>
    </row>
    <row r="68" spans="1:10" ht="14" x14ac:dyDescent="0.3">
      <c r="C68" s="394" t="str">
        <f>'Bill_Bos G3 p1'!C68</f>
        <v>Total Demand - Summer</v>
      </c>
      <c r="G68" s="374">
        <f>G43+G44</f>
        <v>24.82</v>
      </c>
      <c r="H68" s="374"/>
      <c r="I68" s="374">
        <f>I43+I44</f>
        <v>24.09</v>
      </c>
      <c r="J68" s="421">
        <f t="shared" si="19"/>
        <v>-0.73000000000000043</v>
      </c>
    </row>
    <row r="69" spans="1:10" ht="14" x14ac:dyDescent="0.3">
      <c r="C69" s="394" t="str">
        <f>'Bill_Bos G3 p1'!C69</f>
        <v>Total Energy</v>
      </c>
      <c r="G69" s="403">
        <f>SUM(G45:G60,G61:G63)</f>
        <v>1.9259999999999999E-2</v>
      </c>
      <c r="H69" s="403"/>
      <c r="I69" s="403">
        <f>SUM(I45:I60,I61:I63)</f>
        <v>1.9530000000000002E-2</v>
      </c>
      <c r="J69" s="354">
        <f t="shared" si="19"/>
        <v>2.7000000000000288E-4</v>
      </c>
    </row>
    <row r="70" spans="1:10" ht="14" x14ac:dyDescent="0.3">
      <c r="C70" s="394" t="str">
        <f>'Bill_Bos G3 p1'!C70</f>
        <v>Total Basic Service</v>
      </c>
      <c r="G70" s="403">
        <f>G64</f>
        <v>0.1326</v>
      </c>
      <c r="H70" s="403"/>
      <c r="I70" s="403">
        <f>I64</f>
        <v>0.17265000000000003</v>
      </c>
      <c r="J70" s="354">
        <f t="shared" si="19"/>
        <v>4.005000000000003E-2</v>
      </c>
    </row>
    <row r="71" spans="1:10" ht="14" x14ac:dyDescent="0.3">
      <c r="G71" s="403"/>
      <c r="H71" s="403"/>
      <c r="I71" s="403"/>
      <c r="J71" s="403"/>
    </row>
    <row r="72" spans="1:10" ht="14" x14ac:dyDescent="0.3">
      <c r="G72" s="403"/>
      <c r="H72" s="403"/>
      <c r="I72" s="403"/>
      <c r="J72" s="403"/>
    </row>
    <row r="73" spans="1:10" ht="14" x14ac:dyDescent="0.3">
      <c r="G73" s="403"/>
      <c r="H73" s="403"/>
      <c r="I73" s="403"/>
      <c r="J73" s="403"/>
    </row>
    <row r="74" spans="1:10" ht="14" x14ac:dyDescent="0.3">
      <c r="G74" s="403"/>
      <c r="H74" s="403"/>
      <c r="I74" s="403"/>
      <c r="J74" s="403"/>
    </row>
    <row r="75" spans="1:10" ht="14" x14ac:dyDescent="0.3">
      <c r="G75" s="403"/>
      <c r="H75" s="403"/>
      <c r="I75" s="403"/>
      <c r="J75" s="403"/>
    </row>
    <row r="76" spans="1:10" ht="14" x14ac:dyDescent="0.3">
      <c r="G76" s="403"/>
      <c r="H76" s="403"/>
      <c r="I76" s="403"/>
      <c r="J76" s="403"/>
    </row>
    <row r="77" spans="1:10" ht="14" x14ac:dyDescent="0.3">
      <c r="G77" s="403"/>
      <c r="H77" s="403"/>
      <c r="I77" s="403"/>
      <c r="J77" s="403"/>
    </row>
    <row r="78" spans="1:10" ht="14" x14ac:dyDescent="0.3">
      <c r="G78" s="403"/>
      <c r="H78" s="403"/>
      <c r="I78" s="403"/>
      <c r="J78" s="403"/>
    </row>
    <row r="79" spans="1:10" ht="14" x14ac:dyDescent="0.3">
      <c r="G79" s="403"/>
      <c r="H79" s="403"/>
      <c r="I79" s="403"/>
      <c r="J79" s="403"/>
    </row>
    <row r="80" spans="1:10" ht="14" x14ac:dyDescent="0.3">
      <c r="G80" s="403"/>
      <c r="H80" s="403"/>
      <c r="I80" s="403"/>
      <c r="J80" s="403"/>
    </row>
    <row r="81" spans="7:10" ht="14" x14ac:dyDescent="0.3">
      <c r="G81" s="403"/>
      <c r="H81" s="403"/>
      <c r="I81" s="403"/>
      <c r="J81" s="403"/>
    </row>
    <row r="82" spans="7:10" ht="14" x14ac:dyDescent="0.3">
      <c r="G82" s="403"/>
      <c r="H82" s="403"/>
      <c r="I82" s="403"/>
      <c r="J82" s="403"/>
    </row>
    <row r="83" spans="7:10" ht="14" x14ac:dyDescent="0.3">
      <c r="G83" s="403"/>
      <c r="H83" s="403"/>
      <c r="I83" s="403"/>
      <c r="J83" s="403"/>
    </row>
    <row r="84" spans="7:10" ht="14" x14ac:dyDescent="0.3">
      <c r="G84" s="403"/>
      <c r="H84" s="403"/>
      <c r="I84" s="403"/>
      <c r="J84" s="403"/>
    </row>
    <row r="85" spans="7:10" ht="14" x14ac:dyDescent="0.3">
      <c r="G85" s="403"/>
      <c r="H85" s="403"/>
      <c r="I85" s="403"/>
      <c r="J85" s="403"/>
    </row>
    <row r="86" spans="7:10" ht="14" x14ac:dyDescent="0.3">
      <c r="G86" s="403"/>
      <c r="H86" s="403"/>
      <c r="I86" s="403"/>
      <c r="J86" s="403"/>
    </row>
    <row r="87" spans="7:10" ht="14" x14ac:dyDescent="0.3">
      <c r="G87" s="403"/>
      <c r="H87" s="403"/>
      <c r="I87" s="403"/>
      <c r="J87" s="403"/>
    </row>
    <row r="88" spans="7:10" ht="14" x14ac:dyDescent="0.3">
      <c r="G88" s="403"/>
      <c r="H88" s="403"/>
      <c r="I88" s="403"/>
      <c r="J88" s="403"/>
    </row>
    <row r="89" spans="7:10" ht="14" x14ac:dyDescent="0.3">
      <c r="G89" s="403"/>
      <c r="H89" s="403"/>
      <c r="I89" s="403"/>
      <c r="J89" s="403"/>
    </row>
    <row r="90" spans="7:10" ht="14" x14ac:dyDescent="0.3">
      <c r="G90" s="403"/>
      <c r="H90" s="403"/>
      <c r="I90" s="403"/>
      <c r="J90" s="403"/>
    </row>
    <row r="91" spans="7:10" ht="14" x14ac:dyDescent="0.3">
      <c r="G91" s="403"/>
      <c r="H91" s="403"/>
      <c r="I91" s="403"/>
      <c r="J91" s="403"/>
    </row>
    <row r="92" spans="7:10" ht="14" x14ac:dyDescent="0.3">
      <c r="G92" s="403"/>
      <c r="H92" s="403"/>
      <c r="I92" s="403"/>
      <c r="J92" s="403"/>
    </row>
    <row r="93" spans="7:10" ht="14" x14ac:dyDescent="0.3">
      <c r="G93" s="403"/>
      <c r="H93" s="403"/>
      <c r="I93" s="403"/>
      <c r="J93" s="403"/>
    </row>
    <row r="94" spans="7:10" ht="14" x14ac:dyDescent="0.3">
      <c r="G94" s="403"/>
      <c r="H94" s="403"/>
      <c r="I94" s="403"/>
      <c r="J94" s="403"/>
    </row>
  </sheetData>
  <mergeCells count="12">
    <mergeCell ref="E13:G13"/>
    <mergeCell ref="I13:K13"/>
    <mergeCell ref="M13:N13"/>
    <mergeCell ref="E26:G26"/>
    <mergeCell ref="I26:K26"/>
    <mergeCell ref="M26:N26"/>
    <mergeCell ref="A9:N9"/>
    <mergeCell ref="A4:N4"/>
    <mergeCell ref="A5:N5"/>
    <mergeCell ref="A6:N6"/>
    <mergeCell ref="A7:N7"/>
    <mergeCell ref="A8:N8"/>
  </mergeCells>
  <pageMargins left="0.7" right="0.7" top="0.75" bottom="0.75" header="0.3" footer="0.3"/>
  <pageSetup scale="64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39B3C-4D9E-45D3-A504-D30B84B3A2DC}">
  <sheetPr>
    <tabColor theme="3" tint="0.59999389629810485"/>
    <pageSetUpPr fitToPage="1"/>
  </sheetPr>
  <dimension ref="A4:AF94"/>
  <sheetViews>
    <sheetView zoomScaleNormal="100" zoomScaleSheetLayoutView="71" workbookViewId="0"/>
  </sheetViews>
  <sheetFormatPr defaultRowHeight="12.5" x14ac:dyDescent="0.25"/>
  <cols>
    <col min="1" max="1" width="3.81640625" customWidth="1"/>
    <col min="2" max="2" width="4.453125" bestFit="1" customWidth="1"/>
    <col min="3" max="3" width="9.453125" customWidth="1"/>
    <col min="4" max="4" width="11.1796875" bestFit="1" customWidth="1"/>
    <col min="5" max="7" width="14.7265625" customWidth="1"/>
    <col min="8" max="8" width="1.81640625" customWidth="1"/>
    <col min="9" max="11" width="14.7265625" customWidth="1"/>
    <col min="12" max="12" width="1.81640625" customWidth="1"/>
    <col min="13" max="13" width="12.81640625" bestFit="1" customWidth="1"/>
    <col min="14" max="15" width="10.81640625" bestFit="1" customWidth="1"/>
    <col min="16" max="16" width="14" bestFit="1" customWidth="1"/>
    <col min="17" max="17" width="13.7265625" bestFit="1" customWidth="1"/>
    <col min="18" max="18" width="14.453125" bestFit="1" customWidth="1"/>
    <col min="19" max="19" width="14.1796875" bestFit="1" customWidth="1"/>
    <col min="20" max="20" width="8.453125" bestFit="1" customWidth="1"/>
    <col min="21" max="21" width="10.81640625" bestFit="1" customWidth="1"/>
    <col min="22" max="23" width="13.26953125" bestFit="1" customWidth="1"/>
    <col min="24" max="24" width="14.453125" bestFit="1" customWidth="1"/>
    <col min="25" max="25" width="14.1796875" bestFit="1" customWidth="1"/>
    <col min="26" max="26" width="8.453125" bestFit="1" customWidth="1"/>
  </cols>
  <sheetData>
    <row r="4" spans="1:32" ht="14" x14ac:dyDescent="0.3">
      <c r="A4" s="762" t="str">
        <f>'Bill_Bos G3 p2'!A4:N4</f>
        <v>Eastern Massachusetts</v>
      </c>
      <c r="B4" s="762"/>
      <c r="C4" s="762"/>
      <c r="D4" s="762"/>
      <c r="E4" s="762"/>
      <c r="F4" s="762"/>
      <c r="G4" s="762"/>
      <c r="H4" s="762"/>
      <c r="I4" s="762"/>
      <c r="J4" s="762"/>
      <c r="K4" s="762"/>
      <c r="L4" s="762"/>
      <c r="M4" s="762"/>
      <c r="N4" s="762"/>
    </row>
    <row r="5" spans="1:32" ht="14" x14ac:dyDescent="0.3">
      <c r="A5" s="762" t="str">
        <f>+'Bill_Bos G1 nonDem'!A5</f>
        <v>Calculation of Monthly Typical Bill</v>
      </c>
      <c r="B5" s="762"/>
      <c r="C5" s="762"/>
      <c r="D5" s="762"/>
      <c r="E5" s="762"/>
      <c r="F5" s="762"/>
      <c r="G5" s="762"/>
      <c r="H5" s="762"/>
      <c r="I5" s="762"/>
      <c r="J5" s="762"/>
      <c r="K5" s="762"/>
      <c r="L5" s="762"/>
      <c r="M5" s="762"/>
      <c r="N5" s="762"/>
    </row>
    <row r="6" spans="1:32" ht="14" x14ac:dyDescent="0.3">
      <c r="A6" s="762" t="str">
        <f>+'Bill_Bos G1 nonDem'!A6</f>
        <v>Proposed January 1, 2019</v>
      </c>
      <c r="B6" s="762"/>
      <c r="C6" s="762"/>
      <c r="D6" s="762"/>
      <c r="E6" s="762"/>
      <c r="F6" s="762"/>
      <c r="G6" s="762"/>
      <c r="H6" s="762"/>
      <c r="I6" s="762"/>
      <c r="J6" s="762"/>
      <c r="K6" s="762"/>
      <c r="L6" s="762"/>
      <c r="M6" s="762"/>
      <c r="N6" s="762"/>
    </row>
    <row r="7" spans="1:32" ht="14" x14ac:dyDescent="0.3">
      <c r="A7" s="762"/>
      <c r="B7" s="762"/>
      <c r="C7" s="762"/>
      <c r="D7" s="762"/>
      <c r="E7" s="762"/>
      <c r="F7" s="762"/>
      <c r="G7" s="762"/>
      <c r="H7" s="762"/>
      <c r="I7" s="762"/>
      <c r="J7" s="762"/>
      <c r="K7" s="762"/>
      <c r="L7" s="762"/>
      <c r="M7" s="762"/>
      <c r="N7" s="762"/>
    </row>
    <row r="8" spans="1:32" ht="14" x14ac:dyDescent="0.3">
      <c r="A8" s="762" t="str">
        <f>+'Bill_Bos G1 nonDem'!A8</f>
        <v>Greater Boston Service Area</v>
      </c>
      <c r="B8" s="762"/>
      <c r="C8" s="762"/>
      <c r="D8" s="762"/>
      <c r="E8" s="762"/>
      <c r="F8" s="762"/>
      <c r="G8" s="762"/>
      <c r="H8" s="762"/>
      <c r="I8" s="762"/>
      <c r="J8" s="762"/>
      <c r="K8" s="762"/>
      <c r="L8" s="762"/>
      <c r="M8" s="762"/>
      <c r="N8" s="762"/>
    </row>
    <row r="9" spans="1:32" ht="14" x14ac:dyDescent="0.3">
      <c r="A9" s="762" t="str">
        <f>+'Bill_Bos G3 p1'!A9</f>
        <v>Rate G-3 Large General Service - NEMA</v>
      </c>
      <c r="B9" s="762"/>
      <c r="C9" s="762"/>
      <c r="D9" s="762"/>
      <c r="E9" s="762"/>
      <c r="F9" s="762"/>
      <c r="G9" s="762"/>
      <c r="H9" s="762"/>
      <c r="I9" s="762"/>
      <c r="J9" s="762"/>
      <c r="K9" s="762"/>
      <c r="L9" s="762"/>
      <c r="M9" s="762"/>
      <c r="N9" s="762"/>
    </row>
    <row r="10" spans="1:32" ht="14" x14ac:dyDescent="0.3">
      <c r="A10" s="366"/>
      <c r="B10" s="366"/>
      <c r="D10" s="293"/>
      <c r="E10" s="293"/>
      <c r="F10" s="293"/>
      <c r="G10" s="367"/>
      <c r="H10" s="293"/>
    </row>
    <row r="11" spans="1:32" ht="14" x14ac:dyDescent="0.3">
      <c r="A11" s="366"/>
      <c r="B11" s="366"/>
      <c r="C11" s="293"/>
      <c r="D11" s="293"/>
      <c r="E11" s="293"/>
      <c r="F11" s="293"/>
      <c r="G11" s="368"/>
      <c r="H11" s="293"/>
    </row>
    <row r="12" spans="1:32" ht="14" x14ac:dyDescent="0.3">
      <c r="A12" s="151">
        <f>IF(C12&lt;&gt;"",COUNTA($C12:C$12),"")</f>
        <v>1</v>
      </c>
      <c r="B12" s="151"/>
      <c r="C12" s="405" t="s">
        <v>583</v>
      </c>
      <c r="D12" s="293"/>
      <c r="E12" s="293"/>
      <c r="F12" s="293"/>
      <c r="G12" s="368"/>
      <c r="H12" s="293"/>
    </row>
    <row r="13" spans="1:32" ht="14" x14ac:dyDescent="0.3">
      <c r="A13" s="151">
        <f>IF(C13&lt;&gt;"",COUNTA($C$12:C13),"")</f>
        <v>2</v>
      </c>
      <c r="B13" s="151"/>
      <c r="C13" s="406" t="str">
        <f>+'Bill_Bos G1 Dmd p1'!C13</f>
        <v>Monthly</v>
      </c>
      <c r="D13" s="366" t="str">
        <f>+C13</f>
        <v>Monthly</v>
      </c>
      <c r="E13" s="760" t="str">
        <f>+'Bill_Bos G1 nonDem'!D12</f>
        <v>Current Monthly Bill (Winter)</v>
      </c>
      <c r="F13" s="760"/>
      <c r="G13" s="760"/>
      <c r="H13" s="293"/>
      <c r="I13" s="760" t="str">
        <f>+'Bill_Bos G1 nonDem'!H12</f>
        <v>Proposed Monthly Bill (Winter)</v>
      </c>
      <c r="J13" s="760"/>
      <c r="K13" s="760"/>
      <c r="M13" s="760" t="s">
        <v>550</v>
      </c>
      <c r="N13" s="760"/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  <c r="AA13" s="369"/>
      <c r="AB13" s="369"/>
      <c r="AC13" s="369"/>
      <c r="AD13" s="369"/>
      <c r="AE13" s="369"/>
      <c r="AF13" s="369"/>
    </row>
    <row r="14" spans="1:32" ht="14" x14ac:dyDescent="0.3">
      <c r="A14" s="151">
        <f>IF(C14&lt;&gt;"",COUNTA($C$12:C14),"")</f>
        <v>3</v>
      </c>
      <c r="B14" s="151"/>
      <c r="C14" s="408" t="s">
        <v>534</v>
      </c>
      <c r="D14" s="370" t="s">
        <v>551</v>
      </c>
      <c r="E14" s="370" t="s">
        <v>552</v>
      </c>
      <c r="F14" s="370" t="s">
        <v>553</v>
      </c>
      <c r="G14" s="370" t="s">
        <v>47</v>
      </c>
      <c r="H14" s="293"/>
      <c r="I14" s="370" t="s">
        <v>552</v>
      </c>
      <c r="J14" s="370" t="s">
        <v>553</v>
      </c>
      <c r="K14" s="370" t="s">
        <v>47</v>
      </c>
      <c r="M14" s="370" t="s">
        <v>65</v>
      </c>
      <c r="N14" s="370" t="s">
        <v>325</v>
      </c>
      <c r="O14" s="369"/>
      <c r="P14" s="369"/>
      <c r="Q14" s="369"/>
      <c r="R14" s="369"/>
      <c r="S14" s="369"/>
      <c r="T14" s="369"/>
      <c r="U14" s="369"/>
      <c r="V14" s="369"/>
      <c r="W14" s="369"/>
      <c r="X14" s="369"/>
      <c r="Y14" s="369"/>
      <c r="Z14" s="369"/>
      <c r="AA14" s="369"/>
      <c r="AB14" s="369"/>
      <c r="AC14" s="369"/>
      <c r="AD14" s="369"/>
      <c r="AE14" s="369"/>
      <c r="AF14" s="369"/>
    </row>
    <row r="15" spans="1:32" ht="14" x14ac:dyDescent="0.3">
      <c r="A15" s="151">
        <f>IF(C15&lt;&gt;"",COUNTA($C$12:C15),"")</f>
        <v>4</v>
      </c>
      <c r="B15" s="151"/>
      <c r="C15" s="409">
        <f>+'Bill_Bos G3 p1'!C15</f>
        <v>100</v>
      </c>
      <c r="D15" s="409">
        <f>+C15*550</f>
        <v>55000</v>
      </c>
      <c r="E15" s="372">
        <f t="shared" ref="E15:E24" si="0">ROUND($G$41+$C15*SUM($G$42,$G$44)+(SUM($G$45:$G$60,$G$61:$G$63)*$D15),2)</f>
        <v>3195.3</v>
      </c>
      <c r="F15" s="372">
        <f t="shared" ref="F15:F24" si="1">ROUND($G$64*D15,2)</f>
        <v>7293</v>
      </c>
      <c r="G15" s="372">
        <f t="shared" ref="G15:G24" si="2">SUM(E15:F15)</f>
        <v>10488.3</v>
      </c>
      <c r="H15" s="373"/>
      <c r="I15" s="372">
        <f t="shared" ref="I15:I24" si="3">ROUND($I$41+$C15*SUM($I$42,$I$44)+(SUM($I$45:$I$60,$I$61:$I$63)*$D15),2)</f>
        <v>3116.15</v>
      </c>
      <c r="J15" s="372">
        <f t="shared" ref="J15:J24" si="4">ROUND($I$64*D15,2)</f>
        <v>9495.75</v>
      </c>
      <c r="K15" s="372">
        <f t="shared" ref="K15:K24" si="5">SUM(I15:J15)</f>
        <v>12611.9</v>
      </c>
      <c r="L15" s="374"/>
      <c r="M15" s="375">
        <f t="shared" ref="M15:M24" si="6">+K15-G15</f>
        <v>2123.6000000000004</v>
      </c>
      <c r="N15" s="376">
        <f t="shared" ref="N15:N24" si="7">+M15/G15</f>
        <v>0.20247323207764847</v>
      </c>
      <c r="O15" s="377"/>
      <c r="P15" s="322"/>
      <c r="Q15" s="322"/>
      <c r="R15" s="322"/>
      <c r="S15" s="377"/>
      <c r="T15" s="378"/>
      <c r="U15" s="377"/>
      <c r="V15" s="325"/>
      <c r="W15" s="322"/>
      <c r="X15" s="322"/>
      <c r="Y15" s="377"/>
      <c r="Z15" s="374"/>
      <c r="AA15" s="322"/>
      <c r="AB15" s="322"/>
      <c r="AC15" s="322"/>
      <c r="AD15" s="322"/>
      <c r="AE15" s="377"/>
      <c r="AF15" s="374"/>
    </row>
    <row r="16" spans="1:32" ht="14" x14ac:dyDescent="0.3">
      <c r="A16" s="151">
        <f>IF(C16&lt;&gt;"",COUNTA($C$12:C16),"")</f>
        <v>5</v>
      </c>
      <c r="B16" s="151"/>
      <c r="C16" s="409">
        <f>+'Bill_Bos G3 p1'!C16</f>
        <v>250</v>
      </c>
      <c r="D16" s="409">
        <f t="shared" ref="D16:D24" si="8">+C16*550</f>
        <v>137500</v>
      </c>
      <c r="E16" s="372">
        <f t="shared" si="0"/>
        <v>7613.25</v>
      </c>
      <c r="F16" s="372">
        <f t="shared" si="1"/>
        <v>18232.5</v>
      </c>
      <c r="G16" s="372">
        <f t="shared" si="2"/>
        <v>25845.75</v>
      </c>
      <c r="H16" s="373"/>
      <c r="I16" s="372">
        <f t="shared" si="3"/>
        <v>7415.38</v>
      </c>
      <c r="J16" s="372">
        <f t="shared" si="4"/>
        <v>23739.38</v>
      </c>
      <c r="K16" s="372">
        <f t="shared" si="5"/>
        <v>31154.760000000002</v>
      </c>
      <c r="L16" s="374"/>
      <c r="M16" s="375">
        <f t="shared" si="6"/>
        <v>5309.010000000002</v>
      </c>
      <c r="N16" s="376">
        <f t="shared" si="7"/>
        <v>0.20541133455210245</v>
      </c>
      <c r="O16" s="377"/>
      <c r="P16" s="322"/>
      <c r="Q16" s="322"/>
      <c r="R16" s="322"/>
      <c r="S16" s="377"/>
      <c r="T16" s="378"/>
      <c r="U16" s="377"/>
      <c r="V16" s="325"/>
      <c r="W16" s="322"/>
      <c r="X16" s="322"/>
      <c r="Y16" s="377"/>
      <c r="Z16" s="374"/>
      <c r="AA16" s="322"/>
      <c r="AB16" s="322"/>
      <c r="AC16" s="322"/>
      <c r="AD16" s="322"/>
      <c r="AE16" s="377"/>
      <c r="AF16" s="374"/>
    </row>
    <row r="17" spans="1:32" ht="14" x14ac:dyDescent="0.3">
      <c r="A17" s="151">
        <f>IF(C17&lt;&gt;"",COUNTA($C$12:C17),"")</f>
        <v>6</v>
      </c>
      <c r="B17" s="151"/>
      <c r="C17" s="409">
        <f>+'Bill_Bos G3 p1'!C17</f>
        <v>400</v>
      </c>
      <c r="D17" s="409">
        <f t="shared" si="8"/>
        <v>220000</v>
      </c>
      <c r="E17" s="372">
        <f t="shared" si="0"/>
        <v>12031.2</v>
      </c>
      <c r="F17" s="372">
        <f t="shared" si="1"/>
        <v>29172</v>
      </c>
      <c r="G17" s="372">
        <f t="shared" si="2"/>
        <v>41203.199999999997</v>
      </c>
      <c r="H17" s="373"/>
      <c r="I17" s="372">
        <f t="shared" si="3"/>
        <v>11714.6</v>
      </c>
      <c r="J17" s="372">
        <f t="shared" si="4"/>
        <v>37983</v>
      </c>
      <c r="K17" s="372">
        <f t="shared" si="5"/>
        <v>49697.599999999999</v>
      </c>
      <c r="L17" s="374"/>
      <c r="M17" s="375">
        <f t="shared" si="6"/>
        <v>8494.4000000000015</v>
      </c>
      <c r="N17" s="376">
        <f t="shared" si="7"/>
        <v>0.20615874495184844</v>
      </c>
      <c r="O17" s="377"/>
      <c r="P17" s="322"/>
      <c r="Q17" s="322"/>
      <c r="R17" s="322"/>
      <c r="S17" s="377"/>
      <c r="T17" s="378"/>
      <c r="U17" s="377"/>
      <c r="V17" s="325"/>
      <c r="W17" s="322"/>
      <c r="X17" s="322"/>
      <c r="Y17" s="377"/>
      <c r="Z17" s="374"/>
      <c r="AA17" s="322"/>
      <c r="AB17" s="322"/>
      <c r="AC17" s="322"/>
      <c r="AD17" s="322"/>
      <c r="AE17" s="377"/>
      <c r="AF17" s="374"/>
    </row>
    <row r="18" spans="1:32" ht="14" x14ac:dyDescent="0.3">
      <c r="A18" s="151">
        <f>IF(C18&lt;&gt;"",COUNTA($C$12:C18),"")</f>
        <v>7</v>
      </c>
      <c r="B18" s="151"/>
      <c r="C18" s="409">
        <f>+'Bill_Bos G3 p1'!C18</f>
        <v>550</v>
      </c>
      <c r="D18" s="409">
        <f t="shared" si="8"/>
        <v>302500</v>
      </c>
      <c r="E18" s="372">
        <f t="shared" si="0"/>
        <v>16449.150000000001</v>
      </c>
      <c r="F18" s="372">
        <f t="shared" si="1"/>
        <v>40111.5</v>
      </c>
      <c r="G18" s="372">
        <f t="shared" si="2"/>
        <v>56560.65</v>
      </c>
      <c r="H18" s="373"/>
      <c r="I18" s="372">
        <f t="shared" si="3"/>
        <v>16013.83</v>
      </c>
      <c r="J18" s="372">
        <f t="shared" si="4"/>
        <v>52226.63</v>
      </c>
      <c r="K18" s="372">
        <f t="shared" si="5"/>
        <v>68240.459999999992</v>
      </c>
      <c r="L18" s="374"/>
      <c r="M18" s="375">
        <f t="shared" si="6"/>
        <v>11679.80999999999</v>
      </c>
      <c r="N18" s="376">
        <f t="shared" si="7"/>
        <v>0.2065006325068752</v>
      </c>
      <c r="O18" s="377"/>
      <c r="P18" s="322"/>
      <c r="Q18" s="322"/>
      <c r="R18" s="322"/>
      <c r="S18" s="377"/>
      <c r="T18" s="378"/>
      <c r="U18" s="377"/>
      <c r="V18" s="325"/>
      <c r="W18" s="322"/>
      <c r="X18" s="322"/>
      <c r="Y18" s="377"/>
      <c r="Z18" s="374"/>
      <c r="AA18" s="322"/>
      <c r="AB18" s="322"/>
      <c r="AC18" s="322"/>
      <c r="AD18" s="322"/>
      <c r="AE18" s="377"/>
      <c r="AF18" s="374"/>
    </row>
    <row r="19" spans="1:32" ht="14" x14ac:dyDescent="0.3">
      <c r="A19" s="151">
        <f>IF(C19&lt;&gt;"",COUNTA($C$12:C19),"")</f>
        <v>8</v>
      </c>
      <c r="B19" s="151"/>
      <c r="C19" s="409">
        <f>+'Bill_Bos G3 p1'!C19</f>
        <v>700</v>
      </c>
      <c r="D19" s="409">
        <f t="shared" si="8"/>
        <v>385000</v>
      </c>
      <c r="E19" s="372">
        <f t="shared" si="0"/>
        <v>20867.099999999999</v>
      </c>
      <c r="F19" s="372">
        <f t="shared" si="1"/>
        <v>51051</v>
      </c>
      <c r="G19" s="372">
        <f t="shared" si="2"/>
        <v>71918.100000000006</v>
      </c>
      <c r="H19" s="373"/>
      <c r="I19" s="372">
        <f t="shared" si="3"/>
        <v>20313.05</v>
      </c>
      <c r="J19" s="372">
        <f t="shared" si="4"/>
        <v>66470.25</v>
      </c>
      <c r="K19" s="372">
        <f t="shared" si="5"/>
        <v>86783.3</v>
      </c>
      <c r="L19" s="374"/>
      <c r="M19" s="375">
        <f t="shared" si="6"/>
        <v>14865.199999999997</v>
      </c>
      <c r="N19" s="376">
        <f t="shared" si="7"/>
        <v>0.2066962280705413</v>
      </c>
      <c r="O19" s="377"/>
      <c r="P19" s="322"/>
      <c r="Q19" s="322"/>
      <c r="R19" s="322"/>
      <c r="S19" s="377"/>
      <c r="T19" s="378"/>
      <c r="U19" s="377"/>
      <c r="V19" s="325"/>
      <c r="W19" s="322"/>
      <c r="X19" s="322"/>
      <c r="Y19" s="377"/>
      <c r="Z19" s="374"/>
      <c r="AA19" s="322"/>
      <c r="AB19" s="322"/>
      <c r="AC19" s="322"/>
      <c r="AD19" s="322"/>
      <c r="AE19" s="377"/>
      <c r="AF19" s="374"/>
    </row>
    <row r="20" spans="1:32" ht="14" x14ac:dyDescent="0.3">
      <c r="A20" s="151">
        <f>IF(C20&lt;&gt;"",COUNTA($C$12:C20),"")</f>
        <v>9</v>
      </c>
      <c r="B20" s="151"/>
      <c r="C20" s="409">
        <f>+'Bill_Bos G3 p1'!C20</f>
        <v>1000</v>
      </c>
      <c r="D20" s="409">
        <f t="shared" si="8"/>
        <v>550000</v>
      </c>
      <c r="E20" s="372">
        <f t="shared" si="0"/>
        <v>29703</v>
      </c>
      <c r="F20" s="372">
        <f t="shared" si="1"/>
        <v>72930</v>
      </c>
      <c r="G20" s="372">
        <f t="shared" si="2"/>
        <v>102633</v>
      </c>
      <c r="H20" s="373"/>
      <c r="I20" s="372">
        <f t="shared" si="3"/>
        <v>28911.5</v>
      </c>
      <c r="J20" s="372">
        <f t="shared" si="4"/>
        <v>94957.5</v>
      </c>
      <c r="K20" s="372">
        <f t="shared" si="5"/>
        <v>123869</v>
      </c>
      <c r="L20" s="374"/>
      <c r="M20" s="375">
        <f t="shared" si="6"/>
        <v>21236</v>
      </c>
      <c r="N20" s="376">
        <f t="shared" si="7"/>
        <v>0.20691200685939221</v>
      </c>
      <c r="O20" s="377"/>
      <c r="P20" s="322"/>
      <c r="Q20" s="322"/>
      <c r="R20" s="322"/>
      <c r="S20" s="377"/>
      <c r="T20" s="378"/>
      <c r="U20" s="377"/>
      <c r="V20" s="325"/>
      <c r="W20" s="322"/>
      <c r="X20" s="322"/>
      <c r="Y20" s="377"/>
      <c r="Z20" s="374"/>
      <c r="AA20" s="322"/>
      <c r="AB20" s="322"/>
      <c r="AC20" s="322"/>
      <c r="AD20" s="322"/>
      <c r="AE20" s="377"/>
      <c r="AF20" s="374"/>
    </row>
    <row r="21" spans="1:32" ht="14" x14ac:dyDescent="0.3">
      <c r="A21" s="151">
        <f>IF(C21&lt;&gt;"",COUNTA($C$12:C21),"")</f>
        <v>10</v>
      </c>
      <c r="B21" s="151"/>
      <c r="C21" s="409">
        <f>+'Bill_Bos G3 p1'!C21</f>
        <v>1500</v>
      </c>
      <c r="D21" s="409">
        <f t="shared" si="8"/>
        <v>825000</v>
      </c>
      <c r="E21" s="372">
        <f t="shared" si="0"/>
        <v>44429.5</v>
      </c>
      <c r="F21" s="372">
        <f t="shared" si="1"/>
        <v>109395</v>
      </c>
      <c r="G21" s="372">
        <f t="shared" si="2"/>
        <v>153824.5</v>
      </c>
      <c r="H21" s="373"/>
      <c r="I21" s="372">
        <f t="shared" si="3"/>
        <v>43242.25</v>
      </c>
      <c r="J21" s="372">
        <f t="shared" si="4"/>
        <v>142436.25</v>
      </c>
      <c r="K21" s="372">
        <f t="shared" si="5"/>
        <v>185678.5</v>
      </c>
      <c r="L21" s="374"/>
      <c r="M21" s="375">
        <f t="shared" si="6"/>
        <v>31854</v>
      </c>
      <c r="N21" s="376">
        <f t="shared" si="7"/>
        <v>0.20708014653062418</v>
      </c>
      <c r="O21" s="377"/>
      <c r="P21" s="322"/>
      <c r="Q21" s="322"/>
      <c r="R21" s="322"/>
      <c r="S21" s="377"/>
      <c r="T21" s="378"/>
      <c r="U21" s="377"/>
      <c r="V21" s="325"/>
      <c r="W21" s="322"/>
      <c r="X21" s="322"/>
      <c r="Y21" s="377"/>
      <c r="Z21" s="374"/>
      <c r="AA21" s="322"/>
      <c r="AB21" s="322"/>
      <c r="AC21" s="322"/>
      <c r="AD21" s="322"/>
      <c r="AE21" s="377"/>
      <c r="AF21" s="374"/>
    </row>
    <row r="22" spans="1:32" ht="14" x14ac:dyDescent="0.3">
      <c r="A22" s="151">
        <f>IF(C22&lt;&gt;"",COUNTA($C$12:C22),"")</f>
        <v>11</v>
      </c>
      <c r="B22" s="151"/>
      <c r="C22" s="409">
        <f>+'Bill_Bos G3 p1'!C22</f>
        <v>2500</v>
      </c>
      <c r="D22" s="409">
        <f t="shared" si="8"/>
        <v>1375000</v>
      </c>
      <c r="E22" s="372">
        <f t="shared" si="0"/>
        <v>73882.5</v>
      </c>
      <c r="F22" s="372">
        <f t="shared" si="1"/>
        <v>182325</v>
      </c>
      <c r="G22" s="372">
        <f t="shared" si="2"/>
        <v>256207.5</v>
      </c>
      <c r="H22" s="373"/>
      <c r="I22" s="372">
        <f t="shared" si="3"/>
        <v>71903.75</v>
      </c>
      <c r="J22" s="372">
        <f t="shared" si="4"/>
        <v>237393.75</v>
      </c>
      <c r="K22" s="372">
        <f t="shared" si="5"/>
        <v>309297.5</v>
      </c>
      <c r="L22" s="374"/>
      <c r="M22" s="375">
        <f t="shared" si="6"/>
        <v>53090</v>
      </c>
      <c r="N22" s="376">
        <f t="shared" si="7"/>
        <v>0.20721485514670726</v>
      </c>
      <c r="O22" s="377"/>
      <c r="P22" s="322"/>
      <c r="Q22" s="322"/>
      <c r="R22" s="322"/>
      <c r="S22" s="377"/>
      <c r="T22" s="378"/>
      <c r="U22" s="377"/>
      <c r="V22" s="325"/>
      <c r="W22" s="322"/>
      <c r="X22" s="322"/>
      <c r="Y22" s="377"/>
      <c r="Z22" s="374"/>
      <c r="AA22" s="322"/>
      <c r="AB22" s="322"/>
      <c r="AC22" s="322"/>
      <c r="AD22" s="322"/>
      <c r="AE22" s="377"/>
      <c r="AF22" s="374"/>
    </row>
    <row r="23" spans="1:32" ht="14" x14ac:dyDescent="0.3">
      <c r="A23" s="151">
        <f>IF(C23&lt;&gt;"",COUNTA($C$12:C23),"")</f>
        <v>12</v>
      </c>
      <c r="B23" s="151"/>
      <c r="C23" s="409">
        <f>+'Bill_Bos G3 p1'!C23</f>
        <v>5000</v>
      </c>
      <c r="D23" s="409">
        <f t="shared" si="8"/>
        <v>2750000</v>
      </c>
      <c r="E23" s="372">
        <f t="shared" si="0"/>
        <v>147515</v>
      </c>
      <c r="F23" s="372">
        <f t="shared" si="1"/>
        <v>364650</v>
      </c>
      <c r="G23" s="372">
        <f t="shared" si="2"/>
        <v>512165</v>
      </c>
      <c r="H23" s="373"/>
      <c r="I23" s="372">
        <f t="shared" si="3"/>
        <v>143557.5</v>
      </c>
      <c r="J23" s="372">
        <f t="shared" si="4"/>
        <v>474787.5</v>
      </c>
      <c r="K23" s="372">
        <f t="shared" si="5"/>
        <v>618345</v>
      </c>
      <c r="L23" s="374"/>
      <c r="M23" s="375">
        <f t="shared" si="6"/>
        <v>106180</v>
      </c>
      <c r="N23" s="376">
        <f t="shared" si="7"/>
        <v>0.20731600167914638</v>
      </c>
      <c r="O23" s="377"/>
      <c r="P23" s="322"/>
      <c r="Q23" s="322"/>
      <c r="R23" s="322"/>
      <c r="S23" s="377"/>
      <c r="T23" s="378"/>
      <c r="U23" s="377"/>
      <c r="V23" s="325"/>
      <c r="W23" s="322"/>
      <c r="X23" s="322"/>
      <c r="Y23" s="377"/>
      <c r="Z23" s="374"/>
      <c r="AA23" s="322"/>
      <c r="AB23" s="322"/>
      <c r="AC23" s="322"/>
      <c r="AD23" s="322"/>
      <c r="AE23" s="377"/>
      <c r="AF23" s="374"/>
    </row>
    <row r="24" spans="1:32" ht="14" x14ac:dyDescent="0.3">
      <c r="A24" s="151">
        <f>IF(C24&lt;&gt;"",COUNTA($C$12:C24),"")</f>
        <v>13</v>
      </c>
      <c r="B24" s="151" t="s">
        <v>554</v>
      </c>
      <c r="C24" s="409">
        <v>1459</v>
      </c>
      <c r="D24" s="409">
        <f t="shared" si="8"/>
        <v>802450</v>
      </c>
      <c r="E24" s="372">
        <f t="shared" si="0"/>
        <v>43221.93</v>
      </c>
      <c r="F24" s="372">
        <f t="shared" si="1"/>
        <v>106404.87</v>
      </c>
      <c r="G24" s="372">
        <f t="shared" si="2"/>
        <v>149626.79999999999</v>
      </c>
      <c r="H24" s="373"/>
      <c r="I24" s="372">
        <f t="shared" si="3"/>
        <v>42067.13</v>
      </c>
      <c r="J24" s="372">
        <f t="shared" si="4"/>
        <v>138542.99</v>
      </c>
      <c r="K24" s="372">
        <f t="shared" si="5"/>
        <v>180610.12</v>
      </c>
      <c r="L24" s="374"/>
      <c r="M24" s="375">
        <f t="shared" si="6"/>
        <v>30983.320000000007</v>
      </c>
      <c r="N24" s="376">
        <f t="shared" si="7"/>
        <v>0.20707065846492748</v>
      </c>
      <c r="O24" s="377"/>
      <c r="P24" s="322"/>
      <c r="Q24" s="322"/>
      <c r="R24" s="322"/>
      <c r="S24" s="377"/>
      <c r="T24" s="378"/>
      <c r="U24" s="377"/>
      <c r="V24" s="325"/>
      <c r="W24" s="322"/>
      <c r="X24" s="322"/>
      <c r="Y24" s="377"/>
      <c r="Z24" s="374"/>
      <c r="AA24" s="322"/>
      <c r="AB24" s="322"/>
      <c r="AC24" s="322"/>
      <c r="AD24" s="322"/>
      <c r="AE24" s="377"/>
      <c r="AF24" s="374"/>
    </row>
    <row r="25" spans="1:32" ht="14" x14ac:dyDescent="0.3">
      <c r="A25" s="151" t="str">
        <f>IF(C25&lt;&gt;"",COUNTA($C$12:C25),"")</f>
        <v/>
      </c>
      <c r="B25" s="151"/>
      <c r="C25" s="293"/>
      <c r="D25" s="409"/>
      <c r="E25" s="372"/>
      <c r="F25" s="372"/>
      <c r="G25" s="372"/>
      <c r="H25" s="373"/>
      <c r="I25" s="374"/>
      <c r="J25" s="374"/>
      <c r="K25" s="374"/>
      <c r="L25" s="374"/>
      <c r="M25" s="374"/>
      <c r="O25" s="377"/>
      <c r="P25" s="322"/>
      <c r="Q25" s="322"/>
      <c r="R25" s="322"/>
      <c r="S25" s="377"/>
      <c r="T25" s="378"/>
      <c r="U25" s="377"/>
      <c r="V25" s="322"/>
      <c r="W25" s="322"/>
      <c r="X25" s="322"/>
      <c r="Y25" s="377"/>
      <c r="Z25" s="374"/>
      <c r="AA25" s="322"/>
      <c r="AB25" s="322"/>
      <c r="AC25" s="322"/>
      <c r="AD25" s="322"/>
      <c r="AE25" s="377"/>
      <c r="AF25" s="374"/>
    </row>
    <row r="26" spans="1:32" ht="14" x14ac:dyDescent="0.3">
      <c r="A26" s="151">
        <f>IF(C26&lt;&gt;"",COUNTA($C$12:C26),"")</f>
        <v>14</v>
      </c>
      <c r="B26" s="151"/>
      <c r="C26" s="366" t="str">
        <f>+C13</f>
        <v>Monthly</v>
      </c>
      <c r="D26" s="366" t="str">
        <f>+D13</f>
        <v>Monthly</v>
      </c>
      <c r="E26" s="760" t="str">
        <f>+'Bill_Bos G1 nonDem'!D26</f>
        <v>Current Monthly Bill (Summer)</v>
      </c>
      <c r="F26" s="760"/>
      <c r="G26" s="760"/>
      <c r="H26" s="448"/>
      <c r="I26" s="760" t="str">
        <f>+'Bill_Bos G1 nonDem'!H26</f>
        <v>Proposed Monthly Bill (Summer)</v>
      </c>
      <c r="J26" s="760"/>
      <c r="K26" s="760"/>
      <c r="L26" s="374"/>
      <c r="M26" s="763" t="s">
        <v>550</v>
      </c>
      <c r="N26" s="763"/>
      <c r="O26" s="415"/>
      <c r="P26" s="415"/>
      <c r="Q26" s="416"/>
      <c r="R26" s="369"/>
      <c r="S26" s="369"/>
      <c r="T26" s="378"/>
      <c r="U26" s="415"/>
      <c r="V26" s="415"/>
      <c r="W26" s="416"/>
      <c r="X26" s="369"/>
      <c r="Y26" s="369"/>
      <c r="Z26" s="369"/>
      <c r="AA26" s="369"/>
      <c r="AB26" s="369"/>
      <c r="AC26" s="322"/>
      <c r="AD26" s="322"/>
      <c r="AE26" s="369"/>
      <c r="AF26" s="369"/>
    </row>
    <row r="27" spans="1:32" ht="14" x14ac:dyDescent="0.3">
      <c r="A27" s="151">
        <f>IF(C27&lt;&gt;"",COUNTA($C$12:C27),"")</f>
        <v>15</v>
      </c>
      <c r="B27" s="151"/>
      <c r="C27" s="370" t="s">
        <v>534</v>
      </c>
      <c r="D27" s="370" t="s">
        <v>551</v>
      </c>
      <c r="E27" s="442" t="s">
        <v>552</v>
      </c>
      <c r="F27" s="442" t="s">
        <v>553</v>
      </c>
      <c r="G27" s="442" t="s">
        <v>47</v>
      </c>
      <c r="H27" s="448"/>
      <c r="I27" s="442" t="s">
        <v>552</v>
      </c>
      <c r="J27" s="442" t="s">
        <v>553</v>
      </c>
      <c r="K27" s="442" t="s">
        <v>47</v>
      </c>
      <c r="L27" s="374"/>
      <c r="M27" s="442" t="s">
        <v>65</v>
      </c>
      <c r="N27" s="370" t="s">
        <v>325</v>
      </c>
      <c r="O27" s="378"/>
      <c r="P27" s="369"/>
      <c r="Q27" s="369"/>
      <c r="R27" s="369"/>
      <c r="S27" s="369"/>
      <c r="T27" s="369"/>
      <c r="U27" s="378"/>
      <c r="V27" s="369"/>
      <c r="W27" s="369"/>
      <c r="X27" s="369"/>
      <c r="Y27" s="369"/>
      <c r="Z27" s="369"/>
      <c r="AA27" s="369"/>
      <c r="AB27" s="369"/>
      <c r="AC27" s="322"/>
      <c r="AD27" s="322"/>
      <c r="AE27" s="369"/>
      <c r="AF27" s="369"/>
    </row>
    <row r="28" spans="1:32" ht="14" x14ac:dyDescent="0.3">
      <c r="A28" s="151">
        <f>IF(C28&lt;&gt;"",COUNTA($C$12:C28),"")</f>
        <v>16</v>
      </c>
      <c r="B28" s="151"/>
      <c r="C28" s="409">
        <f>+'Bill_Bos G3 p1'!C28</f>
        <v>100</v>
      </c>
      <c r="D28" s="409">
        <f>+C28*550</f>
        <v>55000</v>
      </c>
      <c r="E28" s="372">
        <f t="shared" ref="E28:E37" si="9">ROUND($G$41+$C28*SUM($G$43,$G$44)+(SUM($G$45:$G$60,$G$61:$G$63)*$D28),2)</f>
        <v>3791.3</v>
      </c>
      <c r="F28" s="372">
        <f t="shared" ref="F28:F37" si="10">ROUND($G$64*D28,2)</f>
        <v>7293</v>
      </c>
      <c r="G28" s="372">
        <f t="shared" ref="G28:G37" si="11">SUM(E28:F28)</f>
        <v>11084.3</v>
      </c>
      <c r="H28" s="373"/>
      <c r="I28" s="372">
        <f t="shared" ref="I28:I37" si="12">ROUND($I$41+$C28*SUM($I$43,$I$44)+(SUM($I$45:$I$60,$I$61:$I$63)*$D28),2)</f>
        <v>3733.15</v>
      </c>
      <c r="J28" s="372">
        <f t="shared" ref="J28:J37" si="13">ROUND($I$64*D28,2)</f>
        <v>9495.75</v>
      </c>
      <c r="K28" s="372">
        <f t="shared" ref="K28:K37" si="14">SUM(I28:J28)</f>
        <v>13228.9</v>
      </c>
      <c r="L28" s="374"/>
      <c r="M28" s="375">
        <f t="shared" ref="M28:M37" si="15">+K28-G28</f>
        <v>2144.6000000000004</v>
      </c>
      <c r="N28" s="376">
        <f t="shared" ref="N28:N37" si="16">+M28/G28</f>
        <v>0.19348086933771194</v>
      </c>
      <c r="O28" s="377"/>
      <c r="P28" s="322"/>
      <c r="Q28" s="322"/>
      <c r="R28" s="322"/>
      <c r="S28" s="377"/>
      <c r="T28" s="378"/>
      <c r="U28" s="377"/>
      <c r="V28" s="325"/>
      <c r="W28" s="322"/>
      <c r="X28" s="322"/>
      <c r="Y28" s="377"/>
      <c r="Z28" s="374"/>
      <c r="AA28" s="369"/>
      <c r="AB28" s="369"/>
      <c r="AC28" s="322"/>
      <c r="AD28" s="322"/>
      <c r="AE28" s="369"/>
      <c r="AF28" s="369"/>
    </row>
    <row r="29" spans="1:32" ht="14" x14ac:dyDescent="0.3">
      <c r="A29" s="151">
        <f>IF(C29&lt;&gt;"",COUNTA($C$12:C29),"")</f>
        <v>17</v>
      </c>
      <c r="B29" s="151"/>
      <c r="C29" s="409">
        <f>+'Bill_Bos G3 p1'!C29</f>
        <v>250</v>
      </c>
      <c r="D29" s="409">
        <f t="shared" ref="D29:D37" si="17">+C29*550</f>
        <v>137500</v>
      </c>
      <c r="E29" s="372">
        <f t="shared" si="9"/>
        <v>9103.25</v>
      </c>
      <c r="F29" s="372">
        <f t="shared" si="10"/>
        <v>18232.5</v>
      </c>
      <c r="G29" s="372">
        <f t="shared" si="11"/>
        <v>27335.75</v>
      </c>
      <c r="H29" s="373"/>
      <c r="I29" s="372">
        <f t="shared" si="12"/>
        <v>8957.8799999999992</v>
      </c>
      <c r="J29" s="372">
        <f t="shared" si="13"/>
        <v>23739.38</v>
      </c>
      <c r="K29" s="372">
        <f t="shared" si="14"/>
        <v>32697.260000000002</v>
      </c>
      <c r="L29" s="374"/>
      <c r="M29" s="375">
        <f t="shared" si="15"/>
        <v>5361.510000000002</v>
      </c>
      <c r="N29" s="376">
        <f t="shared" si="16"/>
        <v>0.19613546363278864</v>
      </c>
      <c r="O29" s="377"/>
      <c r="P29" s="322"/>
      <c r="Q29" s="322"/>
      <c r="R29" s="322"/>
      <c r="S29" s="377"/>
      <c r="T29" s="378"/>
      <c r="U29" s="377"/>
      <c r="V29" s="325"/>
      <c r="W29" s="322"/>
      <c r="X29" s="322"/>
      <c r="Y29" s="377"/>
      <c r="Z29" s="374"/>
      <c r="AA29" s="322"/>
      <c r="AB29" s="322"/>
      <c r="AC29" s="322"/>
      <c r="AD29" s="322"/>
      <c r="AE29" s="377"/>
      <c r="AF29" s="374"/>
    </row>
    <row r="30" spans="1:32" ht="14" x14ac:dyDescent="0.3">
      <c r="A30" s="151">
        <f>IF(C30&lt;&gt;"",COUNTA($C$12:C30),"")</f>
        <v>18</v>
      </c>
      <c r="B30" s="151"/>
      <c r="C30" s="409">
        <f>+'Bill_Bos G3 p1'!C30</f>
        <v>400</v>
      </c>
      <c r="D30" s="409">
        <f t="shared" si="17"/>
        <v>220000</v>
      </c>
      <c r="E30" s="372">
        <f t="shared" si="9"/>
        <v>14415.2</v>
      </c>
      <c r="F30" s="372">
        <f t="shared" si="10"/>
        <v>29172</v>
      </c>
      <c r="G30" s="372">
        <f t="shared" si="11"/>
        <v>43587.199999999997</v>
      </c>
      <c r="H30" s="373"/>
      <c r="I30" s="372">
        <f t="shared" si="12"/>
        <v>14182.6</v>
      </c>
      <c r="J30" s="372">
        <f t="shared" si="13"/>
        <v>37983</v>
      </c>
      <c r="K30" s="372">
        <f t="shared" si="14"/>
        <v>52165.599999999999</v>
      </c>
      <c r="L30" s="374"/>
      <c r="M30" s="375">
        <f t="shared" si="15"/>
        <v>8578.4000000000015</v>
      </c>
      <c r="N30" s="376">
        <f t="shared" si="16"/>
        <v>0.1968100726818883</v>
      </c>
      <c r="O30" s="377"/>
      <c r="P30" s="322"/>
      <c r="Q30" s="322"/>
      <c r="R30" s="322"/>
      <c r="S30" s="377"/>
      <c r="T30" s="378"/>
      <c r="U30" s="377"/>
      <c r="V30" s="325"/>
      <c r="W30" s="322"/>
      <c r="X30" s="322"/>
      <c r="Y30" s="377"/>
      <c r="Z30" s="374"/>
      <c r="AA30" s="322"/>
      <c r="AB30" s="322"/>
      <c r="AC30" s="322"/>
      <c r="AD30" s="322"/>
      <c r="AE30" s="377"/>
      <c r="AF30" s="374"/>
    </row>
    <row r="31" spans="1:32" ht="14" x14ac:dyDescent="0.3">
      <c r="A31" s="151">
        <f>IF(C31&lt;&gt;"",COUNTA($C$12:C31),"")</f>
        <v>19</v>
      </c>
      <c r="B31" s="151"/>
      <c r="C31" s="409">
        <f>+'Bill_Bos G3 p1'!C31</f>
        <v>550</v>
      </c>
      <c r="D31" s="409">
        <f t="shared" si="17"/>
        <v>302500</v>
      </c>
      <c r="E31" s="372">
        <f t="shared" si="9"/>
        <v>19727.150000000001</v>
      </c>
      <c r="F31" s="372">
        <f t="shared" si="10"/>
        <v>40111.5</v>
      </c>
      <c r="G31" s="372">
        <f t="shared" si="11"/>
        <v>59838.65</v>
      </c>
      <c r="H31" s="373"/>
      <c r="I31" s="372">
        <f t="shared" si="12"/>
        <v>19407.330000000002</v>
      </c>
      <c r="J31" s="372">
        <f t="shared" si="13"/>
        <v>52226.63</v>
      </c>
      <c r="K31" s="372">
        <f t="shared" si="14"/>
        <v>71633.959999999992</v>
      </c>
      <c r="L31" s="374"/>
      <c r="M31" s="375">
        <f t="shared" si="15"/>
        <v>11795.30999999999</v>
      </c>
      <c r="N31" s="376">
        <f t="shared" si="16"/>
        <v>0.19711858472742935</v>
      </c>
      <c r="O31" s="377"/>
      <c r="P31" s="322"/>
      <c r="Q31" s="322"/>
      <c r="R31" s="322"/>
      <c r="S31" s="377"/>
      <c r="T31" s="378"/>
      <c r="U31" s="377"/>
      <c r="V31" s="325"/>
      <c r="W31" s="322"/>
      <c r="X31" s="322"/>
      <c r="Y31" s="377"/>
      <c r="Z31" s="374"/>
      <c r="AA31" s="322"/>
      <c r="AB31" s="322"/>
      <c r="AC31" s="322"/>
      <c r="AD31" s="322"/>
      <c r="AE31" s="377"/>
      <c r="AF31" s="374"/>
    </row>
    <row r="32" spans="1:32" ht="14" x14ac:dyDescent="0.3">
      <c r="A32" s="151">
        <f>IF(C32&lt;&gt;"",COUNTA($C$12:C32),"")</f>
        <v>20</v>
      </c>
      <c r="B32" s="151"/>
      <c r="C32" s="409">
        <f>+'Bill_Bos G3 p1'!C32</f>
        <v>700</v>
      </c>
      <c r="D32" s="409">
        <f t="shared" si="17"/>
        <v>385000</v>
      </c>
      <c r="E32" s="372">
        <f t="shared" si="9"/>
        <v>25039.1</v>
      </c>
      <c r="F32" s="372">
        <f t="shared" si="10"/>
        <v>51051</v>
      </c>
      <c r="G32" s="372">
        <f t="shared" si="11"/>
        <v>76090.100000000006</v>
      </c>
      <c r="H32" s="373"/>
      <c r="I32" s="372">
        <f t="shared" si="12"/>
        <v>24632.05</v>
      </c>
      <c r="J32" s="372">
        <f t="shared" si="13"/>
        <v>66470.25</v>
      </c>
      <c r="K32" s="372">
        <f t="shared" si="14"/>
        <v>91102.3</v>
      </c>
      <c r="L32" s="374"/>
      <c r="M32" s="375">
        <f t="shared" si="15"/>
        <v>15012.199999999997</v>
      </c>
      <c r="N32" s="376">
        <f t="shared" si="16"/>
        <v>0.19729504889597985</v>
      </c>
      <c r="O32" s="377"/>
      <c r="P32" s="322"/>
      <c r="Q32" s="322"/>
      <c r="R32" s="322"/>
      <c r="S32" s="377"/>
      <c r="T32" s="378"/>
      <c r="U32" s="377"/>
      <c r="V32" s="325"/>
      <c r="W32" s="322"/>
      <c r="X32" s="322"/>
      <c r="Y32" s="377"/>
      <c r="Z32" s="374"/>
      <c r="AA32" s="322"/>
      <c r="AB32" s="322"/>
      <c r="AC32" s="322"/>
      <c r="AD32" s="322"/>
      <c r="AE32" s="377"/>
      <c r="AF32" s="374"/>
    </row>
    <row r="33" spans="1:32" ht="14" x14ac:dyDescent="0.3">
      <c r="A33" s="151">
        <f>IF(C33&lt;&gt;"",COUNTA($C$12:C33),"")</f>
        <v>21</v>
      </c>
      <c r="B33" s="151"/>
      <c r="C33" s="409">
        <f>+'Bill_Bos G3 p1'!C33</f>
        <v>1000</v>
      </c>
      <c r="D33" s="409">
        <f t="shared" si="17"/>
        <v>550000</v>
      </c>
      <c r="E33" s="372">
        <f t="shared" si="9"/>
        <v>35663</v>
      </c>
      <c r="F33" s="372">
        <f t="shared" si="10"/>
        <v>72930</v>
      </c>
      <c r="G33" s="372">
        <f t="shared" si="11"/>
        <v>108593</v>
      </c>
      <c r="H33" s="373"/>
      <c r="I33" s="372">
        <f t="shared" si="12"/>
        <v>35081.5</v>
      </c>
      <c r="J33" s="372">
        <f t="shared" si="13"/>
        <v>94957.5</v>
      </c>
      <c r="K33" s="372">
        <f t="shared" si="14"/>
        <v>130039</v>
      </c>
      <c r="L33" s="374"/>
      <c r="M33" s="375">
        <f t="shared" si="15"/>
        <v>21446</v>
      </c>
      <c r="N33" s="376">
        <f t="shared" si="16"/>
        <v>0.19748970928144541</v>
      </c>
      <c r="O33" s="377"/>
      <c r="P33" s="322"/>
      <c r="Q33" s="322"/>
      <c r="R33" s="322"/>
      <c r="S33" s="377"/>
      <c r="T33" s="378"/>
      <c r="U33" s="377"/>
      <c r="V33" s="325"/>
      <c r="W33" s="322"/>
      <c r="X33" s="322"/>
      <c r="Y33" s="377"/>
      <c r="Z33" s="374"/>
      <c r="AA33" s="322"/>
      <c r="AB33" s="322"/>
      <c r="AC33" s="322"/>
      <c r="AD33" s="322"/>
      <c r="AE33" s="377"/>
      <c r="AF33" s="374"/>
    </row>
    <row r="34" spans="1:32" ht="14" x14ac:dyDescent="0.3">
      <c r="A34" s="151">
        <f>IF(C34&lt;&gt;"",COUNTA($C$12:C34),"")</f>
        <v>22</v>
      </c>
      <c r="B34" s="151"/>
      <c r="C34" s="409">
        <f>+'Bill_Bos G3 p1'!C34</f>
        <v>1500</v>
      </c>
      <c r="D34" s="409">
        <f t="shared" si="17"/>
        <v>825000</v>
      </c>
      <c r="E34" s="372">
        <f t="shared" si="9"/>
        <v>53369.5</v>
      </c>
      <c r="F34" s="372">
        <f t="shared" si="10"/>
        <v>109395</v>
      </c>
      <c r="G34" s="372">
        <f t="shared" si="11"/>
        <v>162764.5</v>
      </c>
      <c r="H34" s="373"/>
      <c r="I34" s="372">
        <f t="shared" si="12"/>
        <v>52497.25</v>
      </c>
      <c r="J34" s="372">
        <f t="shared" si="13"/>
        <v>142436.25</v>
      </c>
      <c r="K34" s="372">
        <f t="shared" si="14"/>
        <v>194933.5</v>
      </c>
      <c r="L34" s="374"/>
      <c r="M34" s="375">
        <f t="shared" si="15"/>
        <v>32169</v>
      </c>
      <c r="N34" s="376">
        <f t="shared" si="16"/>
        <v>0.19764137757311945</v>
      </c>
      <c r="O34" s="377"/>
      <c r="P34" s="322"/>
      <c r="Q34" s="322"/>
      <c r="R34" s="322"/>
      <c r="S34" s="377"/>
      <c r="T34" s="378"/>
      <c r="U34" s="377"/>
      <c r="V34" s="325"/>
      <c r="W34" s="322"/>
      <c r="X34" s="322"/>
      <c r="Y34" s="377"/>
      <c r="Z34" s="374"/>
      <c r="AA34" s="322"/>
      <c r="AB34" s="322"/>
      <c r="AC34" s="322"/>
      <c r="AD34" s="322"/>
      <c r="AE34" s="377"/>
      <c r="AF34" s="374"/>
    </row>
    <row r="35" spans="1:32" ht="14" x14ac:dyDescent="0.3">
      <c r="A35" s="151">
        <f>IF(C35&lt;&gt;"",COUNTA($C$12:C35),"")</f>
        <v>23</v>
      </c>
      <c r="B35" s="151"/>
      <c r="C35" s="409">
        <f>+'Bill_Bos G3 p1'!C35</f>
        <v>2500</v>
      </c>
      <c r="D35" s="409">
        <f t="shared" si="17"/>
        <v>1375000</v>
      </c>
      <c r="E35" s="372">
        <f t="shared" si="9"/>
        <v>88782.5</v>
      </c>
      <c r="F35" s="372">
        <f t="shared" si="10"/>
        <v>182325</v>
      </c>
      <c r="G35" s="372">
        <f t="shared" si="11"/>
        <v>271107.5</v>
      </c>
      <c r="H35" s="373"/>
      <c r="I35" s="372">
        <f t="shared" si="12"/>
        <v>87328.75</v>
      </c>
      <c r="J35" s="372">
        <f t="shared" si="13"/>
        <v>237393.75</v>
      </c>
      <c r="K35" s="372">
        <f t="shared" si="14"/>
        <v>324722.5</v>
      </c>
      <c r="L35" s="374"/>
      <c r="M35" s="375">
        <f t="shared" si="15"/>
        <v>53615</v>
      </c>
      <c r="N35" s="376">
        <f t="shared" si="16"/>
        <v>0.19776288003836118</v>
      </c>
      <c r="O35" s="377"/>
      <c r="P35" s="322"/>
      <c r="Q35" s="322"/>
      <c r="R35" s="322"/>
      <c r="S35" s="377"/>
      <c r="T35" s="378"/>
      <c r="U35" s="377"/>
      <c r="V35" s="325"/>
      <c r="W35" s="322"/>
      <c r="X35" s="322"/>
      <c r="Y35" s="377"/>
      <c r="Z35" s="374"/>
      <c r="AA35" s="322"/>
      <c r="AB35" s="322"/>
      <c r="AC35" s="322"/>
      <c r="AD35" s="322"/>
      <c r="AE35" s="377"/>
      <c r="AF35" s="374"/>
    </row>
    <row r="36" spans="1:32" ht="14" x14ac:dyDescent="0.3">
      <c r="A36" s="151">
        <f>IF(C36&lt;&gt;"",COUNTA($C$12:C36),"")</f>
        <v>24</v>
      </c>
      <c r="B36" s="151"/>
      <c r="C36" s="409">
        <f>+'Bill_Bos G3 p1'!C36</f>
        <v>5000</v>
      </c>
      <c r="D36" s="409">
        <f t="shared" si="17"/>
        <v>2750000</v>
      </c>
      <c r="E36" s="372">
        <f t="shared" si="9"/>
        <v>177315</v>
      </c>
      <c r="F36" s="372">
        <f t="shared" si="10"/>
        <v>364650</v>
      </c>
      <c r="G36" s="372">
        <f t="shared" si="11"/>
        <v>541965</v>
      </c>
      <c r="H36" s="373"/>
      <c r="I36" s="372">
        <f t="shared" si="12"/>
        <v>174407.5</v>
      </c>
      <c r="J36" s="372">
        <f t="shared" si="13"/>
        <v>474787.5</v>
      </c>
      <c r="K36" s="372">
        <f t="shared" si="14"/>
        <v>649195</v>
      </c>
      <c r="L36" s="374"/>
      <c r="M36" s="375">
        <f t="shared" si="15"/>
        <v>107230</v>
      </c>
      <c r="N36" s="376">
        <f t="shared" si="16"/>
        <v>0.19785410496987813</v>
      </c>
      <c r="O36" s="377"/>
      <c r="P36" s="322"/>
      <c r="Q36" s="322"/>
      <c r="R36" s="322"/>
      <c r="S36" s="377"/>
      <c r="T36" s="378"/>
      <c r="U36" s="377"/>
      <c r="V36" s="325"/>
      <c r="W36" s="322"/>
      <c r="X36" s="322"/>
      <c r="Y36" s="377"/>
      <c r="Z36" s="374"/>
      <c r="AA36" s="322"/>
      <c r="AB36" s="322"/>
      <c r="AC36" s="322"/>
      <c r="AD36" s="322"/>
      <c r="AE36" s="377"/>
      <c r="AF36" s="374"/>
    </row>
    <row r="37" spans="1:32" ht="14" x14ac:dyDescent="0.3">
      <c r="A37" s="151">
        <f>IF(C37&lt;&gt;"",COUNTA($C$12:C37),"")</f>
        <v>25</v>
      </c>
      <c r="B37" s="151" t="s">
        <v>554</v>
      </c>
      <c r="C37" s="409">
        <v>2101</v>
      </c>
      <c r="D37" s="409">
        <f t="shared" si="17"/>
        <v>1155550</v>
      </c>
      <c r="E37" s="372">
        <f t="shared" si="9"/>
        <v>74652.710000000006</v>
      </c>
      <c r="F37" s="372">
        <f t="shared" si="10"/>
        <v>153225.93</v>
      </c>
      <c r="G37" s="372">
        <f t="shared" si="11"/>
        <v>227878.64</v>
      </c>
      <c r="H37" s="373"/>
      <c r="I37" s="372">
        <f t="shared" si="12"/>
        <v>73430.98</v>
      </c>
      <c r="J37" s="372">
        <f t="shared" si="13"/>
        <v>199505.71</v>
      </c>
      <c r="K37" s="372">
        <f t="shared" si="14"/>
        <v>272936.69</v>
      </c>
      <c r="L37" s="374"/>
      <c r="M37" s="375">
        <f t="shared" si="15"/>
        <v>45058.049999999988</v>
      </c>
      <c r="N37" s="376">
        <f t="shared" si="16"/>
        <v>0.19772827325983683</v>
      </c>
      <c r="O37" s="377"/>
      <c r="P37" s="322"/>
      <c r="Q37" s="322"/>
      <c r="R37" s="322"/>
      <c r="S37" s="377"/>
      <c r="T37" s="378"/>
      <c r="U37" s="377"/>
      <c r="V37" s="325"/>
      <c r="W37" s="322"/>
      <c r="X37" s="322"/>
      <c r="Y37" s="377"/>
      <c r="Z37" s="374"/>
      <c r="AA37" s="322"/>
      <c r="AB37" s="322"/>
      <c r="AC37" s="322"/>
      <c r="AD37" s="322"/>
      <c r="AE37" s="377"/>
      <c r="AF37" s="374"/>
    </row>
    <row r="38" spans="1:32" ht="14" x14ac:dyDescent="0.3">
      <c r="A38" s="151" t="str">
        <f>IF(C38&lt;&gt;"",COUNTA($C$12:C38),"")</f>
        <v/>
      </c>
      <c r="B38" s="151"/>
      <c r="C38" s="293"/>
      <c r="D38" s="293"/>
      <c r="E38" s="293"/>
      <c r="F38" s="293"/>
      <c r="G38" s="393"/>
      <c r="H38" s="394"/>
      <c r="O38" s="377"/>
      <c r="P38" s="322"/>
      <c r="Q38" s="322"/>
      <c r="R38" s="322"/>
      <c r="S38" s="322"/>
      <c r="T38" s="322"/>
      <c r="U38" s="322"/>
      <c r="V38" s="377"/>
      <c r="W38" s="378"/>
      <c r="X38" s="377"/>
      <c r="Y38" s="322"/>
      <c r="Z38" s="322"/>
      <c r="AA38" s="322"/>
      <c r="AB38" s="322"/>
      <c r="AC38" s="322"/>
      <c r="AD38" s="322"/>
      <c r="AE38" s="377"/>
      <c r="AF38" s="374"/>
    </row>
    <row r="39" spans="1:32" ht="14" x14ac:dyDescent="0.3">
      <c r="A39" s="151">
        <f>IF(C39&lt;&gt;"",COUNTA($C$12:C39),"")</f>
        <v>26</v>
      </c>
      <c r="B39" s="151"/>
      <c r="C39" s="394" t="s">
        <v>46</v>
      </c>
      <c r="D39" s="394"/>
      <c r="E39" s="394"/>
      <c r="G39" s="395" t="str">
        <f>+'Bill_Bos G2 p1'!G42</f>
        <v>Current</v>
      </c>
      <c r="I39" s="395" t="str">
        <f>+'Bill_Bos G2 p1'!I42</f>
        <v>Proposed</v>
      </c>
      <c r="J39" s="420"/>
      <c r="O39" s="377"/>
      <c r="P39" s="322"/>
      <c r="Q39" s="322"/>
      <c r="R39" s="322"/>
      <c r="S39" s="322"/>
      <c r="T39" s="322"/>
      <c r="U39" s="322"/>
      <c r="V39" s="377"/>
      <c r="W39" s="378"/>
      <c r="X39" s="377"/>
      <c r="Y39" s="322"/>
      <c r="Z39" s="322"/>
      <c r="AA39" s="322"/>
      <c r="AB39" s="322"/>
      <c r="AC39" s="322"/>
      <c r="AD39" s="322"/>
      <c r="AE39" s="377"/>
      <c r="AF39" s="374"/>
    </row>
    <row r="40" spans="1:32" ht="17" x14ac:dyDescent="0.6">
      <c r="A40" s="151">
        <f>IF(C40&lt;&gt;"",COUNTA($C$12:C40),"")</f>
        <v>27</v>
      </c>
      <c r="B40" s="151"/>
      <c r="C40" s="456" t="s">
        <v>46</v>
      </c>
      <c r="D40" s="456"/>
      <c r="E40" s="394"/>
      <c r="G40" s="396" t="str">
        <f>+'Bill_Bos G2 p1'!G43</f>
        <v>Rates</v>
      </c>
      <c r="I40" s="396" t="str">
        <f>+'Bill_Bos G2 p1'!I43</f>
        <v>Rates</v>
      </c>
      <c r="J40" s="396" t="str">
        <f>+'Bill_Bos G2 p1'!J43</f>
        <v>Change</v>
      </c>
    </row>
    <row r="41" spans="1:32" ht="14" x14ac:dyDescent="0.3">
      <c r="A41" s="151">
        <f>IF(C41&lt;&gt;"",COUNTA($C$12:C41),"")</f>
        <v>28</v>
      </c>
      <c r="B41" s="151"/>
      <c r="C41" s="394" t="str">
        <f>'Bill_Bos G3 p1'!C41</f>
        <v>Customer Charge</v>
      </c>
      <c r="D41" s="394"/>
      <c r="E41" s="456"/>
      <c r="G41" s="454">
        <v>250</v>
      </c>
      <c r="H41" s="455"/>
      <c r="I41" s="454">
        <f>+G41</f>
        <v>250</v>
      </c>
      <c r="J41" s="421">
        <f>I41-G41</f>
        <v>0</v>
      </c>
    </row>
    <row r="42" spans="1:32" ht="14" x14ac:dyDescent="0.3">
      <c r="A42" s="151">
        <f>IF(C42&lt;&gt;"",COUNTA($C$12:C42),"")</f>
        <v>29</v>
      </c>
      <c r="B42" s="151"/>
      <c r="C42" s="394" t="str">
        <f>'Bill_Bos G3 p1'!C42</f>
        <v>Distribution Demand - Winter</v>
      </c>
      <c r="D42" s="394"/>
      <c r="E42" s="456"/>
      <c r="G42" s="454">
        <v>8.58</v>
      </c>
      <c r="H42" s="455"/>
      <c r="I42" s="454">
        <v>8.8699999999999992</v>
      </c>
      <c r="J42" s="421">
        <f t="shared" ref="J42:J64" si="18">I42-G42</f>
        <v>0.28999999999999915</v>
      </c>
    </row>
    <row r="43" spans="1:32" ht="14" x14ac:dyDescent="0.3">
      <c r="A43" s="151">
        <f>IF(C43&lt;&gt;"",COUNTA($C$12:C43),"")</f>
        <v>30</v>
      </c>
      <c r="B43" s="151"/>
      <c r="C43" s="394" t="str">
        <f>'Bill_Bos G3 p1'!C43</f>
        <v>Distribution Demand - Summer</v>
      </c>
      <c r="D43" s="394"/>
      <c r="E43" s="456"/>
      <c r="G43" s="454">
        <v>14.54</v>
      </c>
      <c r="H43" s="455"/>
      <c r="I43" s="454">
        <v>15.04</v>
      </c>
      <c r="J43" s="421">
        <f t="shared" si="18"/>
        <v>0.5</v>
      </c>
    </row>
    <row r="44" spans="1:32" ht="14" x14ac:dyDescent="0.3">
      <c r="A44" s="151">
        <f>IF(C44&lt;&gt;"",COUNTA($C$12:C44),"")</f>
        <v>31</v>
      </c>
      <c r="B44" s="151"/>
      <c r="C44" s="394" t="str">
        <f>'Bill_Bos G3 p1'!C44</f>
        <v>Transmission Demand</v>
      </c>
      <c r="D44" s="394"/>
      <c r="E44" s="456"/>
      <c r="G44" s="454">
        <v>10.28</v>
      </c>
      <c r="H44" s="448"/>
      <c r="I44" s="454">
        <v>9.0500000000000007</v>
      </c>
      <c r="J44" s="421">
        <f>I44-G44</f>
        <v>-1.2299999999999986</v>
      </c>
    </row>
    <row r="45" spans="1:32" ht="14" x14ac:dyDescent="0.3">
      <c r="A45" s="151">
        <f>IF(C45&lt;&gt;"",COUNTA($C$12:C45),"")</f>
        <v>32</v>
      </c>
      <c r="B45" s="151"/>
      <c r="C45" s="394" t="str">
        <f>'Bill_Bos G3 p1'!C45</f>
        <v>Distribution Energy</v>
      </c>
      <c r="D45" s="394"/>
      <c r="E45" s="456"/>
      <c r="G45" s="308">
        <v>0</v>
      </c>
      <c r="H45" s="400"/>
      <c r="I45" s="308">
        <v>0</v>
      </c>
      <c r="J45" s="354">
        <f t="shared" si="18"/>
        <v>0</v>
      </c>
    </row>
    <row r="46" spans="1:32" ht="14" x14ac:dyDescent="0.3">
      <c r="A46" s="151">
        <f>IF(C46&lt;&gt;"",COUNTA($C$12:C46),"")</f>
        <v>33</v>
      </c>
      <c r="B46" s="151"/>
      <c r="C46" s="394" t="str">
        <f>'Bill_Bos G3 p1'!C46</f>
        <v>Revenue Decoupling</v>
      </c>
      <c r="D46" s="394"/>
      <c r="E46" s="456"/>
      <c r="G46" s="308">
        <v>0</v>
      </c>
      <c r="H46" s="277"/>
      <c r="I46" s="277">
        <v>-2.4000000000000001E-4</v>
      </c>
      <c r="J46" s="354">
        <f t="shared" si="18"/>
        <v>-2.4000000000000001E-4</v>
      </c>
    </row>
    <row r="47" spans="1:32" ht="14" x14ac:dyDescent="0.3">
      <c r="A47" s="151">
        <f>IF(C47&lt;&gt;"",COUNTA($C$12:C47),"")</f>
        <v>34</v>
      </c>
      <c r="B47" s="151"/>
      <c r="C47" s="394" t="str">
        <f>'Bill_Bos G3 p1'!C47</f>
        <v>Residential Assistance Adjustment Factor</v>
      </c>
      <c r="D47" s="394"/>
      <c r="E47" s="456"/>
      <c r="G47" s="277">
        <v>1.47E-3</v>
      </c>
      <c r="H47" s="277"/>
      <c r="I47" s="277">
        <v>2.0300000000000001E-3</v>
      </c>
      <c r="J47" s="354">
        <f t="shared" si="18"/>
        <v>5.6000000000000017E-4</v>
      </c>
    </row>
    <row r="48" spans="1:32" ht="14" x14ac:dyDescent="0.3">
      <c r="A48" s="151">
        <f>IF(C48&lt;&gt;"",COUNTA($C$12:C48),"")</f>
        <v>35</v>
      </c>
      <c r="B48" s="151"/>
      <c r="C48" s="394" t="str">
        <f>'Bill_Bos G3 p1'!C48</f>
        <v>Pension Adjustment Factor</v>
      </c>
      <c r="D48" s="394"/>
      <c r="E48" s="456"/>
      <c r="G48" s="277">
        <v>-3.0000000000000001E-5</v>
      </c>
      <c r="H48" s="277"/>
      <c r="I48" s="277">
        <v>2.9999999999999997E-4</v>
      </c>
      <c r="J48" s="354">
        <f t="shared" si="18"/>
        <v>3.3E-4</v>
      </c>
    </row>
    <row r="49" spans="1:12" ht="14" x14ac:dyDescent="0.3">
      <c r="A49" s="151">
        <f>IF(C49&lt;&gt;"",COUNTA($C$12:C49),"")</f>
        <v>36</v>
      </c>
      <c r="B49" s="151"/>
      <c r="C49" s="394" t="str">
        <f>'Bill_Bos G3 p1'!C49</f>
        <v>Net Metering Recovery Surcharge</v>
      </c>
      <c r="D49" s="394"/>
      <c r="E49" s="456"/>
      <c r="G49" s="277">
        <v>2.8999999999999998E-3</v>
      </c>
      <c r="H49" s="277"/>
      <c r="I49" s="277">
        <v>2.64E-3</v>
      </c>
      <c r="J49" s="354">
        <f t="shared" si="18"/>
        <v>-2.5999999999999981E-4</v>
      </c>
    </row>
    <row r="50" spans="1:12" ht="14" x14ac:dyDescent="0.3">
      <c r="A50" s="151">
        <f>IF(C50&lt;&gt;"",COUNTA($C$12:C50),"")</f>
        <v>37</v>
      </c>
      <c r="B50" s="151"/>
      <c r="C50" s="394" t="str">
        <f>'Bill_Bos G3 p1'!C50</f>
        <v>Long Term Renewable Contract Adjustment</v>
      </c>
      <c r="D50" s="394"/>
      <c r="E50" s="456"/>
      <c r="G50" s="277">
        <v>2.3600000000000001E-3</v>
      </c>
      <c r="H50" s="277"/>
      <c r="I50" s="277">
        <v>1.74E-3</v>
      </c>
      <c r="J50" s="354">
        <f t="shared" si="18"/>
        <v>-6.2000000000000011E-4</v>
      </c>
    </row>
    <row r="51" spans="1:12" ht="14" x14ac:dyDescent="0.3">
      <c r="A51" s="151">
        <f>IF(C51&lt;&gt;"",COUNTA($C$12:C51),"")</f>
        <v>38</v>
      </c>
      <c r="B51" s="151"/>
      <c r="C51" s="394" t="str">
        <f>'Bill_Bos G3 p1'!C51</f>
        <v>AG Consulting Expense</v>
      </c>
      <c r="D51" s="394"/>
      <c r="E51" s="456"/>
      <c r="G51" s="277">
        <v>2.0000000000000002E-5</v>
      </c>
      <c r="H51" s="277"/>
      <c r="I51" s="277">
        <v>0</v>
      </c>
      <c r="J51" s="354">
        <f t="shared" si="18"/>
        <v>-2.0000000000000002E-5</v>
      </c>
    </row>
    <row r="52" spans="1:12" ht="14" x14ac:dyDescent="0.3">
      <c r="A52" s="151">
        <f>IF(C52&lt;&gt;"",COUNTA($C$12:C52),"")</f>
        <v>39</v>
      </c>
      <c r="B52" s="151"/>
      <c r="C52" s="394" t="str">
        <f>'Bill_Bos G3 p1'!C52</f>
        <v>Storm Cost Recovery Adjustment Factor</v>
      </c>
      <c r="D52" s="394"/>
      <c r="E52" s="456"/>
      <c r="G52" s="277">
        <v>9.1E-4</v>
      </c>
      <c r="H52" s="277"/>
      <c r="I52" s="277">
        <v>1.5399999999999999E-3</v>
      </c>
      <c r="J52" s="354">
        <f t="shared" si="18"/>
        <v>6.2999999999999992E-4</v>
      </c>
    </row>
    <row r="53" spans="1:12" ht="14" x14ac:dyDescent="0.3">
      <c r="A53" s="151">
        <f>IF(C53&lt;&gt;"",COUNTA($C$12:C53),"")</f>
        <v>40</v>
      </c>
      <c r="B53" s="151"/>
      <c r="C53" s="394" t="str">
        <f>'Bill_Bos G3 p1'!C53</f>
        <v>Storm Reserve Adjustment</v>
      </c>
      <c r="D53" s="394"/>
      <c r="E53" s="456"/>
      <c r="G53" s="277">
        <v>0</v>
      </c>
      <c r="H53" s="277"/>
      <c r="I53" s="277">
        <v>0</v>
      </c>
      <c r="J53" s="354">
        <f t="shared" si="18"/>
        <v>0</v>
      </c>
    </row>
    <row r="54" spans="1:12" ht="14" x14ac:dyDescent="0.3">
      <c r="A54" s="151">
        <f>IF(C54&lt;&gt;"",COUNTA($C$12:C54),"")</f>
        <v>41</v>
      </c>
      <c r="B54" s="151"/>
      <c r="C54" s="394" t="str">
        <f>'Bill_Bos G3 p1'!C54</f>
        <v>Basic Service Cost True Up Factor</v>
      </c>
      <c r="D54" s="447"/>
      <c r="E54" s="447"/>
      <c r="G54" s="277">
        <v>7.7999999999999999E-4</v>
      </c>
      <c r="H54" s="277"/>
      <c r="I54" s="277">
        <v>-1E-4</v>
      </c>
      <c r="J54" s="354">
        <f t="shared" si="18"/>
        <v>-8.8000000000000003E-4</v>
      </c>
    </row>
    <row r="55" spans="1:12" ht="14" x14ac:dyDescent="0.3">
      <c r="A55" s="151">
        <f>IF(C55&lt;&gt;"",COUNTA($C$12:C55),"")</f>
        <v>42</v>
      </c>
      <c r="B55" s="151"/>
      <c r="C55" s="394" t="str">
        <f>'Bill_Bos G3 p1'!C55</f>
        <v>Solar Program Cost Adjustment Factor</v>
      </c>
      <c r="D55" s="394"/>
      <c r="E55" s="456"/>
      <c r="G55" s="277">
        <v>0</v>
      </c>
      <c r="H55" s="277"/>
      <c r="I55" s="277">
        <v>2.0000000000000002E-5</v>
      </c>
      <c r="J55" s="354">
        <f t="shared" si="18"/>
        <v>2.0000000000000002E-5</v>
      </c>
    </row>
    <row r="56" spans="1:12" ht="14" x14ac:dyDescent="0.3">
      <c r="A56" s="151">
        <f>IF(C56&lt;&gt;"",COUNTA($C$12:C56),"")</f>
        <v>43</v>
      </c>
      <c r="B56" s="151"/>
      <c r="C56" s="394" t="str">
        <f>'Bill_Bos G3 p1'!C56</f>
        <v>Solar Expansion Cost Recovery Factor</v>
      </c>
      <c r="D56" s="394"/>
      <c r="E56" s="456"/>
      <c r="G56" s="277">
        <v>0</v>
      </c>
      <c r="H56" s="277"/>
      <c r="I56" s="277">
        <v>3.2000000000000003E-4</v>
      </c>
      <c r="J56" s="354">
        <f t="shared" si="18"/>
        <v>3.2000000000000003E-4</v>
      </c>
    </row>
    <row r="57" spans="1:12" ht="14" x14ac:dyDescent="0.3">
      <c r="A57" s="151">
        <f>IF(C57&lt;&gt;"",COUNTA($C$12:C57),"")</f>
        <v>44</v>
      </c>
      <c r="B57" s="151"/>
      <c r="C57" s="394" t="str">
        <f>'Bill_Bos G3 p1'!C57</f>
        <v>Vegetation Management</v>
      </c>
      <c r="D57" s="394"/>
      <c r="E57" s="456"/>
      <c r="G57" s="277">
        <v>0</v>
      </c>
      <c r="H57" s="277"/>
      <c r="I57" s="277">
        <v>5.2999999999999998E-4</v>
      </c>
      <c r="J57" s="354">
        <f t="shared" si="18"/>
        <v>5.2999999999999998E-4</v>
      </c>
    </row>
    <row r="58" spans="1:12" ht="14" x14ac:dyDescent="0.3">
      <c r="A58" s="151">
        <f>IF(C58&lt;&gt;"",COUNTA($C$12:C58),"")</f>
        <v>45</v>
      </c>
      <c r="B58" s="151"/>
      <c r="C58" s="394" t="str">
        <f>'Bill_Bos G3 p1'!C58</f>
        <v>Solar Massachusetts Renewable Target</v>
      </c>
      <c r="D58" s="339"/>
      <c r="E58" s="339"/>
      <c r="F58" s="277"/>
      <c r="G58" s="277">
        <v>0</v>
      </c>
      <c r="H58" s="277"/>
      <c r="I58" s="277">
        <v>3.6999999999999999E-4</v>
      </c>
      <c r="J58" s="354">
        <f t="shared" si="18"/>
        <v>3.6999999999999999E-4</v>
      </c>
      <c r="K58" s="339"/>
      <c r="L58" s="339"/>
    </row>
    <row r="59" spans="1:12" ht="14" x14ac:dyDescent="0.3">
      <c r="A59" s="151">
        <f>IF(C59&lt;&gt;"",COUNTA($C$12:C59),"")</f>
        <v>46</v>
      </c>
      <c r="B59" s="151"/>
      <c r="C59" s="394" t="str">
        <f>'Bill_Bos G3 p1'!C59</f>
        <v>Tax Act Credit Factor</v>
      </c>
      <c r="D59" s="339"/>
      <c r="E59" s="339"/>
      <c r="F59" s="277"/>
      <c r="G59" s="277">
        <v>0</v>
      </c>
      <c r="H59" s="277"/>
      <c r="I59" s="277">
        <v>-5.5999999999999995E-4</v>
      </c>
      <c r="J59" s="354">
        <f t="shared" si="18"/>
        <v>-5.5999999999999995E-4</v>
      </c>
      <c r="K59" s="339"/>
      <c r="L59" s="339"/>
    </row>
    <row r="60" spans="1:12" ht="14" x14ac:dyDescent="0.3">
      <c r="A60" s="151">
        <f>IF(C60&lt;&gt;"",COUNTA($C$12:C60),"")</f>
        <v>47</v>
      </c>
      <c r="B60" s="151"/>
      <c r="C60" s="394" t="str">
        <f>'Bill_Bos G3 p1'!C60</f>
        <v>Transition</v>
      </c>
      <c r="D60" s="394"/>
      <c r="E60" s="456"/>
      <c r="G60" s="308">
        <v>-6.0999999999999997E-4</v>
      </c>
      <c r="H60" s="277"/>
      <c r="I60" s="277">
        <v>-5.1999999999999995E-4</v>
      </c>
      <c r="J60" s="354">
        <f t="shared" si="18"/>
        <v>9.0000000000000019E-5</v>
      </c>
    </row>
    <row r="61" spans="1:12" ht="14" x14ac:dyDescent="0.3">
      <c r="A61" s="151">
        <f>IF(C61&lt;&gt;"",COUNTA($C$12:C61),"")</f>
        <v>48</v>
      </c>
      <c r="B61" s="151"/>
      <c r="C61" s="394" t="str">
        <f>'Bill_Bos G3 p1'!C61</f>
        <v>Energy Efficiency Reconciliation Factor</v>
      </c>
      <c r="D61" s="394"/>
      <c r="E61" s="456"/>
      <c r="G61" s="308">
        <v>8.4600000000000005E-3</v>
      </c>
      <c r="H61" s="400"/>
      <c r="I61" s="308">
        <v>8.4600000000000005E-3</v>
      </c>
      <c r="J61" s="354">
        <f t="shared" si="18"/>
        <v>0</v>
      </c>
    </row>
    <row r="62" spans="1:12" ht="14" x14ac:dyDescent="0.3">
      <c r="A62" s="151">
        <f>IF(C62&lt;&gt;"",COUNTA($C$12:C62),"")</f>
        <v>49</v>
      </c>
      <c r="B62" s="151"/>
      <c r="C62" s="394" t="str">
        <f>'Bill_Bos G3 p1'!C62</f>
        <v>System Benefits Charge</v>
      </c>
      <c r="D62" s="394"/>
      <c r="E62" s="456"/>
      <c r="G62" s="308">
        <v>2.5000000000000001E-3</v>
      </c>
      <c r="H62" s="400"/>
      <c r="I62" s="308">
        <f>+G62</f>
        <v>2.5000000000000001E-3</v>
      </c>
      <c r="J62" s="354">
        <f t="shared" si="18"/>
        <v>0</v>
      </c>
    </row>
    <row r="63" spans="1:12" ht="14" x14ac:dyDescent="0.3">
      <c r="A63" s="151">
        <f>IF(C63&lt;&gt;"",COUNTA($C$12:C63),"")</f>
        <v>50</v>
      </c>
      <c r="B63" s="151"/>
      <c r="C63" s="394" t="str">
        <f>'Bill_Bos G3 p1'!C63</f>
        <v>Renewable Energy Charge</v>
      </c>
      <c r="D63" s="394"/>
      <c r="E63" s="456"/>
      <c r="G63" s="308">
        <v>5.0000000000000001E-4</v>
      </c>
      <c r="H63" s="400"/>
      <c r="I63" s="308">
        <f>+G63</f>
        <v>5.0000000000000001E-4</v>
      </c>
      <c r="J63" s="354">
        <f t="shared" si="18"/>
        <v>0</v>
      </c>
    </row>
    <row r="64" spans="1:12" ht="14" x14ac:dyDescent="0.3">
      <c r="A64" s="151">
        <f>IF(C64&lt;&gt;"",COUNTA($C$12:C64),"")</f>
        <v>51</v>
      </c>
      <c r="B64" s="151"/>
      <c r="C64" s="394" t="str">
        <f>'Bill_Bos G3 p1'!C64</f>
        <v>Basic Service Charge</v>
      </c>
      <c r="D64" s="394"/>
      <c r="E64" s="456"/>
      <c r="G64" s="308">
        <v>0.1326</v>
      </c>
      <c r="H64" s="400"/>
      <c r="I64" s="308">
        <v>0.17265000000000003</v>
      </c>
      <c r="J64" s="354">
        <f t="shared" si="18"/>
        <v>4.005000000000003E-2</v>
      </c>
    </row>
    <row r="65" spans="1:10" ht="14" x14ac:dyDescent="0.3">
      <c r="A65" s="151"/>
      <c r="B65" s="151"/>
      <c r="F65" s="293"/>
      <c r="G65" s="400"/>
      <c r="H65" s="403"/>
      <c r="I65" s="403"/>
      <c r="J65" s="403"/>
    </row>
    <row r="66" spans="1:10" ht="14" x14ac:dyDescent="0.3">
      <c r="A66" s="151"/>
      <c r="B66" s="151"/>
      <c r="C66" s="458"/>
      <c r="D66" s="459"/>
      <c r="E66" s="460"/>
      <c r="F66" s="465"/>
      <c r="G66" s="400"/>
      <c r="H66" s="403"/>
      <c r="I66" s="462"/>
      <c r="J66" s="462"/>
    </row>
    <row r="67" spans="1:10" ht="14" x14ac:dyDescent="0.3">
      <c r="A67" s="151"/>
      <c r="B67" s="151"/>
      <c r="C67" s="394" t="str">
        <f>'Bill_Bos G3 p1'!C67</f>
        <v>Total Demand - Winter</v>
      </c>
      <c r="D67" s="459"/>
      <c r="E67" s="460"/>
      <c r="F67" s="465"/>
      <c r="G67" s="374">
        <f>G42+G44</f>
        <v>18.86</v>
      </c>
      <c r="H67" s="374"/>
      <c r="I67" s="374">
        <f>I42+I44</f>
        <v>17.920000000000002</v>
      </c>
      <c r="J67" s="421">
        <f t="shared" ref="J67:J70" si="19">I67-G67</f>
        <v>-0.93999999999999773</v>
      </c>
    </row>
    <row r="68" spans="1:10" ht="14" x14ac:dyDescent="0.3">
      <c r="C68" s="394" t="str">
        <f>'Bill_Bos G3 p1'!C68</f>
        <v>Total Demand - Summer</v>
      </c>
      <c r="G68" s="374">
        <f>G43+G44</f>
        <v>24.82</v>
      </c>
      <c r="H68" s="374"/>
      <c r="I68" s="374">
        <f>I43+I44</f>
        <v>24.09</v>
      </c>
      <c r="J68" s="421">
        <f t="shared" si="19"/>
        <v>-0.73000000000000043</v>
      </c>
    </row>
    <row r="69" spans="1:10" ht="14" x14ac:dyDescent="0.3">
      <c r="C69" s="394" t="str">
        <f>'Bill_Bos G3 p1'!C69</f>
        <v>Total Energy</v>
      </c>
      <c r="G69" s="403">
        <f>SUM(G45:G60,G61:G63)</f>
        <v>1.9259999999999999E-2</v>
      </c>
      <c r="H69" s="403"/>
      <c r="I69" s="403">
        <f>SUM(I45:I60,I61:I63)</f>
        <v>1.9530000000000002E-2</v>
      </c>
      <c r="J69" s="354">
        <f t="shared" si="19"/>
        <v>2.7000000000000288E-4</v>
      </c>
    </row>
    <row r="70" spans="1:10" ht="14" x14ac:dyDescent="0.3">
      <c r="C70" s="394" t="str">
        <f>'Bill_Bos G3 p1'!C70</f>
        <v>Total Basic Service</v>
      </c>
      <c r="G70" s="403">
        <f>G64</f>
        <v>0.1326</v>
      </c>
      <c r="H70" s="403"/>
      <c r="I70" s="403">
        <f>I64</f>
        <v>0.17265000000000003</v>
      </c>
      <c r="J70" s="354">
        <f t="shared" si="19"/>
        <v>4.005000000000003E-2</v>
      </c>
    </row>
    <row r="71" spans="1:10" ht="14" x14ac:dyDescent="0.3">
      <c r="G71" s="403"/>
      <c r="H71" s="403"/>
      <c r="I71" s="403"/>
      <c r="J71" s="403"/>
    </row>
    <row r="72" spans="1:10" ht="14" x14ac:dyDescent="0.3">
      <c r="G72" s="403"/>
      <c r="H72" s="403"/>
      <c r="I72" s="403"/>
      <c r="J72" s="403"/>
    </row>
    <row r="73" spans="1:10" ht="14" x14ac:dyDescent="0.3">
      <c r="G73" s="403"/>
      <c r="H73" s="403"/>
      <c r="I73" s="403"/>
      <c r="J73" s="403"/>
    </row>
    <row r="74" spans="1:10" ht="14" x14ac:dyDescent="0.3">
      <c r="G74" s="403"/>
      <c r="H74" s="403"/>
      <c r="I74" s="403"/>
      <c r="J74" s="403"/>
    </row>
    <row r="75" spans="1:10" ht="14" x14ac:dyDescent="0.3">
      <c r="G75" s="403"/>
      <c r="H75" s="403"/>
      <c r="I75" s="403"/>
      <c r="J75" s="403"/>
    </row>
    <row r="76" spans="1:10" ht="14" x14ac:dyDescent="0.3">
      <c r="G76" s="403"/>
      <c r="H76" s="403"/>
      <c r="I76" s="403"/>
      <c r="J76" s="403"/>
    </row>
    <row r="77" spans="1:10" ht="14" x14ac:dyDescent="0.3">
      <c r="G77" s="403"/>
      <c r="H77" s="403"/>
      <c r="I77" s="403"/>
      <c r="J77" s="403"/>
    </row>
    <row r="78" spans="1:10" ht="14" x14ac:dyDescent="0.3">
      <c r="G78" s="403"/>
      <c r="H78" s="403"/>
      <c r="I78" s="403"/>
      <c r="J78" s="403"/>
    </row>
    <row r="79" spans="1:10" ht="14" x14ac:dyDescent="0.3">
      <c r="G79" s="403"/>
      <c r="H79" s="403"/>
      <c r="I79" s="403"/>
      <c r="J79" s="403"/>
    </row>
    <row r="80" spans="1:10" ht="14" x14ac:dyDescent="0.3">
      <c r="G80" s="403"/>
      <c r="H80" s="403"/>
      <c r="I80" s="403"/>
      <c r="J80" s="403"/>
    </row>
    <row r="81" spans="7:10" ht="14" x14ac:dyDescent="0.3">
      <c r="G81" s="403"/>
      <c r="H81" s="403"/>
      <c r="I81" s="403"/>
      <c r="J81" s="403"/>
    </row>
    <row r="82" spans="7:10" ht="14" x14ac:dyDescent="0.3">
      <c r="G82" s="403"/>
      <c r="H82" s="403"/>
      <c r="I82" s="403"/>
      <c r="J82" s="403"/>
    </row>
    <row r="83" spans="7:10" ht="14" x14ac:dyDescent="0.3">
      <c r="G83" s="403"/>
      <c r="H83" s="403"/>
      <c r="I83" s="403"/>
      <c r="J83" s="403"/>
    </row>
    <row r="84" spans="7:10" ht="14" x14ac:dyDescent="0.3">
      <c r="G84" s="403"/>
      <c r="H84" s="403"/>
      <c r="I84" s="403"/>
      <c r="J84" s="403"/>
    </row>
    <row r="85" spans="7:10" ht="14" x14ac:dyDescent="0.3">
      <c r="G85" s="403"/>
      <c r="H85" s="403"/>
      <c r="I85" s="403"/>
      <c r="J85" s="403"/>
    </row>
    <row r="86" spans="7:10" ht="14" x14ac:dyDescent="0.3">
      <c r="G86" s="403"/>
      <c r="H86" s="403"/>
      <c r="I86" s="403"/>
      <c r="J86" s="403"/>
    </row>
    <row r="87" spans="7:10" ht="14" x14ac:dyDescent="0.3">
      <c r="G87" s="403"/>
      <c r="H87" s="403"/>
      <c r="I87" s="403"/>
      <c r="J87" s="403"/>
    </row>
    <row r="88" spans="7:10" ht="14" x14ac:dyDescent="0.3">
      <c r="G88" s="403"/>
      <c r="H88" s="403"/>
      <c r="I88" s="403"/>
      <c r="J88" s="403"/>
    </row>
    <row r="89" spans="7:10" ht="14" x14ac:dyDescent="0.3">
      <c r="G89" s="403"/>
      <c r="H89" s="403"/>
      <c r="I89" s="403"/>
      <c r="J89" s="403"/>
    </row>
    <row r="90" spans="7:10" ht="14" x14ac:dyDescent="0.3">
      <c r="G90" s="403"/>
      <c r="H90" s="403"/>
      <c r="I90" s="403"/>
      <c r="J90" s="403"/>
    </row>
    <row r="91" spans="7:10" ht="14" x14ac:dyDescent="0.3">
      <c r="G91" s="403"/>
      <c r="H91" s="403"/>
      <c r="I91" s="403"/>
      <c r="J91" s="403"/>
    </row>
    <row r="92" spans="7:10" ht="14" x14ac:dyDescent="0.3">
      <c r="G92" s="403"/>
      <c r="H92" s="403"/>
      <c r="I92" s="403"/>
      <c r="J92" s="403"/>
    </row>
    <row r="93" spans="7:10" ht="14" x14ac:dyDescent="0.3">
      <c r="G93" s="403"/>
      <c r="H93" s="403"/>
      <c r="I93" s="403"/>
      <c r="J93" s="403"/>
    </row>
    <row r="94" spans="7:10" ht="14" x14ac:dyDescent="0.3">
      <c r="G94" s="403"/>
      <c r="H94" s="403"/>
      <c r="I94" s="403"/>
      <c r="J94" s="403"/>
    </row>
  </sheetData>
  <mergeCells count="12">
    <mergeCell ref="E13:G13"/>
    <mergeCell ref="I13:K13"/>
    <mergeCell ref="M13:N13"/>
    <mergeCell ref="E26:G26"/>
    <mergeCell ref="I26:K26"/>
    <mergeCell ref="M26:N26"/>
    <mergeCell ref="A9:N9"/>
    <mergeCell ref="A4:N4"/>
    <mergeCell ref="A5:N5"/>
    <mergeCell ref="A6:N6"/>
    <mergeCell ref="A7:N7"/>
    <mergeCell ref="A8:N8"/>
  </mergeCells>
  <pageMargins left="0.7" right="0.7" top="0.75" bottom="0.75" header="0.3" footer="0.3"/>
  <pageSetup scale="63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23D40-F175-4C59-BF12-B08715CC8957}">
  <sheetPr>
    <tabColor theme="3" tint="0.59999389629810485"/>
    <pageSetUpPr fitToPage="1"/>
  </sheetPr>
  <dimension ref="A4:AF94"/>
  <sheetViews>
    <sheetView zoomScaleNormal="100" zoomScaleSheetLayoutView="71" workbookViewId="0"/>
  </sheetViews>
  <sheetFormatPr defaultRowHeight="12.5" x14ac:dyDescent="0.25"/>
  <cols>
    <col min="1" max="1" width="3.81640625" customWidth="1"/>
    <col min="2" max="2" width="4.453125" bestFit="1" customWidth="1"/>
    <col min="3" max="3" width="9.453125" customWidth="1"/>
    <col min="4" max="4" width="11" bestFit="1" customWidth="1"/>
    <col min="5" max="7" width="14.7265625" customWidth="1"/>
    <col min="8" max="8" width="1.81640625" customWidth="1"/>
    <col min="9" max="11" width="14.7265625" customWidth="1"/>
    <col min="12" max="12" width="1.81640625" customWidth="1"/>
    <col min="13" max="13" width="12.54296875" bestFit="1" customWidth="1"/>
    <col min="14" max="15" width="10.81640625" bestFit="1" customWidth="1"/>
    <col min="16" max="16" width="14" bestFit="1" customWidth="1"/>
    <col min="17" max="17" width="13.7265625" bestFit="1" customWidth="1"/>
    <col min="18" max="18" width="14" bestFit="1" customWidth="1"/>
    <col min="19" max="19" width="14.1796875" bestFit="1" customWidth="1"/>
    <col min="20" max="20" width="8" bestFit="1" customWidth="1"/>
    <col min="21" max="21" width="10.81640625" bestFit="1" customWidth="1"/>
    <col min="22" max="22" width="13.26953125" bestFit="1" customWidth="1"/>
    <col min="23" max="23" width="13.7265625" bestFit="1" customWidth="1"/>
    <col min="24" max="24" width="14" bestFit="1" customWidth="1"/>
    <col min="25" max="25" width="14.1796875" bestFit="1" customWidth="1"/>
    <col min="26" max="26" width="8" bestFit="1" customWidth="1"/>
  </cols>
  <sheetData>
    <row r="4" spans="1:32" ht="14" x14ac:dyDescent="0.3">
      <c r="A4" s="762" t="str">
        <f>+'Bill_Bos G3 p3'!A4</f>
        <v>Eastern Massachusetts</v>
      </c>
      <c r="B4" s="762"/>
      <c r="C4" s="762"/>
      <c r="D4" s="762"/>
      <c r="E4" s="762"/>
      <c r="F4" s="762"/>
      <c r="G4" s="762"/>
      <c r="H4" s="762"/>
      <c r="I4" s="762"/>
      <c r="J4" s="762"/>
      <c r="K4" s="762"/>
      <c r="L4" s="762"/>
      <c r="M4" s="762"/>
      <c r="N4" s="762"/>
    </row>
    <row r="5" spans="1:32" ht="14" x14ac:dyDescent="0.3">
      <c r="A5" s="762" t="str">
        <f>+'Bill_Bos G1 nonDem'!A5</f>
        <v>Calculation of Monthly Typical Bill</v>
      </c>
      <c r="B5" s="762"/>
      <c r="C5" s="762"/>
      <c r="D5" s="762"/>
      <c r="E5" s="762"/>
      <c r="F5" s="762"/>
      <c r="G5" s="762"/>
      <c r="H5" s="762"/>
      <c r="I5" s="762"/>
      <c r="J5" s="762"/>
      <c r="K5" s="762"/>
      <c r="L5" s="762"/>
      <c r="M5" s="762"/>
      <c r="N5" s="762"/>
    </row>
    <row r="6" spans="1:32" ht="14" x14ac:dyDescent="0.3">
      <c r="A6" s="762" t="str">
        <f>+'Bill_Bos G1 nonDem'!A6</f>
        <v>Proposed January 1, 2019</v>
      </c>
      <c r="B6" s="762"/>
      <c r="C6" s="762"/>
      <c r="D6" s="762"/>
      <c r="E6" s="762"/>
      <c r="F6" s="762"/>
      <c r="G6" s="762"/>
      <c r="H6" s="762"/>
      <c r="I6" s="762"/>
      <c r="J6" s="762"/>
      <c r="K6" s="762"/>
      <c r="L6" s="762"/>
      <c r="M6" s="762"/>
      <c r="N6" s="762"/>
    </row>
    <row r="7" spans="1:32" ht="14" x14ac:dyDescent="0.3">
      <c r="A7" s="762"/>
      <c r="B7" s="762"/>
      <c r="C7" s="762"/>
      <c r="D7" s="762"/>
      <c r="E7" s="762"/>
      <c r="F7" s="762"/>
      <c r="G7" s="762"/>
      <c r="H7" s="762"/>
      <c r="I7" s="762"/>
      <c r="J7" s="762"/>
      <c r="K7" s="762"/>
      <c r="L7" s="762"/>
      <c r="M7" s="762"/>
      <c r="N7" s="762"/>
    </row>
    <row r="8" spans="1:32" ht="14" x14ac:dyDescent="0.3">
      <c r="A8" s="762" t="str">
        <f>+'Bill_Bos G1 nonDem'!A8</f>
        <v>Greater Boston Service Area</v>
      </c>
      <c r="B8" s="762"/>
      <c r="C8" s="762"/>
      <c r="D8" s="762"/>
      <c r="E8" s="762"/>
      <c r="F8" s="762"/>
      <c r="G8" s="762"/>
      <c r="H8" s="762"/>
      <c r="I8" s="762"/>
      <c r="J8" s="762"/>
      <c r="K8" s="762"/>
      <c r="L8" s="762"/>
      <c r="M8" s="762"/>
      <c r="N8" s="762"/>
    </row>
    <row r="9" spans="1:32" ht="14" x14ac:dyDescent="0.3">
      <c r="A9" s="762" t="s">
        <v>584</v>
      </c>
      <c r="B9" s="762"/>
      <c r="C9" s="762"/>
      <c r="D9" s="762"/>
      <c r="E9" s="762"/>
      <c r="F9" s="762"/>
      <c r="G9" s="762"/>
      <c r="H9" s="762"/>
      <c r="I9" s="762"/>
      <c r="J9" s="762"/>
      <c r="K9" s="762"/>
      <c r="L9" s="762"/>
      <c r="M9" s="762"/>
      <c r="N9" s="762"/>
    </row>
    <row r="10" spans="1:32" ht="14" x14ac:dyDescent="0.3">
      <c r="A10" s="366"/>
      <c r="B10" s="366"/>
      <c r="D10" s="293"/>
      <c r="E10" s="293"/>
      <c r="F10" s="293"/>
      <c r="G10" s="367"/>
      <c r="H10" s="293"/>
    </row>
    <row r="11" spans="1:32" ht="14" x14ac:dyDescent="0.3">
      <c r="A11" s="366"/>
      <c r="B11" s="366"/>
      <c r="D11" s="293"/>
      <c r="E11" s="293"/>
      <c r="F11" s="293"/>
      <c r="G11" s="368"/>
      <c r="H11" s="293"/>
    </row>
    <row r="12" spans="1:32" ht="14" x14ac:dyDescent="0.3">
      <c r="A12" s="151">
        <f>IF(C12&lt;&gt;"",COUNTA($C12:C$12),"")</f>
        <v>1</v>
      </c>
      <c r="B12" s="151"/>
      <c r="C12" s="405" t="s">
        <v>580</v>
      </c>
      <c r="D12" s="293"/>
      <c r="E12" s="293"/>
      <c r="F12" s="293"/>
      <c r="G12" s="368"/>
      <c r="H12" s="293"/>
    </row>
    <row r="13" spans="1:32" ht="14" x14ac:dyDescent="0.3">
      <c r="A13" s="151">
        <f>IF(C13&lt;&gt;"",COUNTA($C$12:C13),"")</f>
        <v>2</v>
      </c>
      <c r="B13" s="151"/>
      <c r="C13" s="406" t="str">
        <f>+'Bill_Bos G1 Dmd p1'!C13</f>
        <v>Monthly</v>
      </c>
      <c r="D13" s="366" t="str">
        <f>+C13</f>
        <v>Monthly</v>
      </c>
      <c r="E13" s="760" t="str">
        <f>+'Bill_Bos G1 nonDem'!D12</f>
        <v>Current Monthly Bill (Winter)</v>
      </c>
      <c r="F13" s="760"/>
      <c r="G13" s="760"/>
      <c r="H13" s="293"/>
      <c r="I13" s="760" t="str">
        <f>+'Bill_Bos G1 nonDem'!H12</f>
        <v>Proposed Monthly Bill (Winter)</v>
      </c>
      <c r="J13" s="760"/>
      <c r="K13" s="760"/>
      <c r="M13" s="760" t="s">
        <v>550</v>
      </c>
      <c r="N13" s="760"/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  <c r="AA13" s="369"/>
      <c r="AB13" s="369"/>
      <c r="AC13" s="369"/>
      <c r="AD13" s="369"/>
      <c r="AE13" s="369"/>
      <c r="AF13" s="369"/>
    </row>
    <row r="14" spans="1:32" ht="14" x14ac:dyDescent="0.3">
      <c r="A14" s="151">
        <f>IF(C14&lt;&gt;"",COUNTA($C$12:C14),"")</f>
        <v>3</v>
      </c>
      <c r="B14" s="151"/>
      <c r="C14" s="408" t="s">
        <v>534</v>
      </c>
      <c r="D14" s="370" t="s">
        <v>551</v>
      </c>
      <c r="E14" s="370" t="s">
        <v>552</v>
      </c>
      <c r="F14" s="370" t="s">
        <v>553</v>
      </c>
      <c r="G14" s="370" t="s">
        <v>47</v>
      </c>
      <c r="H14" s="293"/>
      <c r="I14" s="370" t="s">
        <v>552</v>
      </c>
      <c r="J14" s="370" t="s">
        <v>553</v>
      </c>
      <c r="K14" s="370" t="s">
        <v>47</v>
      </c>
      <c r="M14" s="370" t="s">
        <v>65</v>
      </c>
      <c r="N14" s="370" t="s">
        <v>325</v>
      </c>
      <c r="O14" s="369"/>
      <c r="P14" s="369"/>
      <c r="Q14" s="369"/>
      <c r="R14" s="369"/>
      <c r="S14" s="369"/>
      <c r="T14" s="369"/>
      <c r="U14" s="369"/>
      <c r="V14" s="369"/>
      <c r="W14" s="369"/>
      <c r="X14" s="369"/>
      <c r="Y14" s="369"/>
      <c r="Z14" s="369"/>
      <c r="AA14" s="369"/>
      <c r="AB14" s="369"/>
      <c r="AC14" s="369"/>
      <c r="AD14" s="369"/>
      <c r="AE14" s="369"/>
      <c r="AF14" s="369"/>
    </row>
    <row r="15" spans="1:32" ht="14" x14ac:dyDescent="0.3">
      <c r="A15" s="151">
        <f>IF(C15&lt;&gt;"",COUNTA($C$12:C15),"")</f>
        <v>4</v>
      </c>
      <c r="B15" s="151"/>
      <c r="C15" s="409">
        <f>+'Bill_Bos G3 p1'!C15</f>
        <v>100</v>
      </c>
      <c r="D15" s="409">
        <f>+C15*350</f>
        <v>35000</v>
      </c>
      <c r="E15" s="372">
        <f t="shared" ref="E15:E24" si="0">ROUND($G$41+$C15*SUM($G$42,$G$44)+(SUM($G$45:$G$60,$G$61:$G$63)*$D15),2)</f>
        <v>2810.1</v>
      </c>
      <c r="F15" s="372">
        <f t="shared" ref="F15:F24" si="1">ROUND($G$64*D15,2)</f>
        <v>4293.1000000000004</v>
      </c>
      <c r="G15" s="372">
        <f t="shared" ref="G15:G24" si="2">SUM(E15:F15)</f>
        <v>7103.2000000000007</v>
      </c>
      <c r="H15" s="373"/>
      <c r="I15" s="372">
        <f t="shared" ref="I15:I24" si="3">ROUND($I$41+$C15*SUM($I$42,$I$44)+(SUM($I$45:$I$60,$I$61:$I$63)*$D15),2)</f>
        <v>2725.55</v>
      </c>
      <c r="J15" s="372">
        <f t="shared" ref="J15:J24" si="4">ROUND($I$64*D15,2)</f>
        <v>5651.8</v>
      </c>
      <c r="K15" s="372">
        <f t="shared" ref="K15:K24" si="5">SUM(I15:J15)</f>
        <v>8377.35</v>
      </c>
      <c r="L15" s="374"/>
      <c r="M15" s="375">
        <f t="shared" ref="M15:M24" si="6">+K15-G15</f>
        <v>1274.1499999999996</v>
      </c>
      <c r="N15" s="376">
        <f t="shared" ref="N15:N24" si="7">+M15/G15</f>
        <v>0.17937690055186387</v>
      </c>
      <c r="O15" s="377"/>
      <c r="P15" s="322"/>
      <c r="Q15" s="322"/>
      <c r="R15" s="322"/>
      <c r="S15" s="377"/>
      <c r="T15" s="378"/>
      <c r="U15" s="377"/>
      <c r="V15" s="325"/>
      <c r="W15" s="322"/>
      <c r="X15" s="322"/>
      <c r="Y15" s="377"/>
      <c r="Z15" s="374"/>
      <c r="AA15" s="322"/>
      <c r="AB15" s="322"/>
      <c r="AC15" s="322"/>
      <c r="AD15" s="322"/>
      <c r="AE15" s="377"/>
      <c r="AF15" s="374"/>
    </row>
    <row r="16" spans="1:32" ht="14" x14ac:dyDescent="0.3">
      <c r="A16" s="151">
        <f>IF(C16&lt;&gt;"",COUNTA($C$12:C16),"")</f>
        <v>5</v>
      </c>
      <c r="B16" s="151"/>
      <c r="C16" s="409">
        <f>+'Bill_Bos G3 p1'!C16</f>
        <v>250</v>
      </c>
      <c r="D16" s="409">
        <f t="shared" ref="D16:D24" si="8">+C16*350</f>
        <v>87500</v>
      </c>
      <c r="E16" s="372">
        <f t="shared" si="0"/>
        <v>6650.25</v>
      </c>
      <c r="F16" s="372">
        <f t="shared" si="1"/>
        <v>10732.75</v>
      </c>
      <c r="G16" s="372">
        <f t="shared" si="2"/>
        <v>17383</v>
      </c>
      <c r="H16" s="373"/>
      <c r="I16" s="372">
        <f t="shared" si="3"/>
        <v>6438.88</v>
      </c>
      <c r="J16" s="372">
        <f t="shared" si="4"/>
        <v>14129.5</v>
      </c>
      <c r="K16" s="372">
        <f t="shared" si="5"/>
        <v>20568.38</v>
      </c>
      <c r="L16" s="374"/>
      <c r="M16" s="375">
        <f t="shared" si="6"/>
        <v>3185.380000000001</v>
      </c>
      <c r="N16" s="376">
        <f t="shared" si="7"/>
        <v>0.18324685037105223</v>
      </c>
      <c r="O16" s="377"/>
      <c r="P16" s="322"/>
      <c r="Q16" s="322"/>
      <c r="R16" s="322"/>
      <c r="S16" s="377"/>
      <c r="T16" s="378"/>
      <c r="U16" s="377"/>
      <c r="V16" s="325"/>
      <c r="W16" s="322"/>
      <c r="X16" s="322"/>
      <c r="Y16" s="377"/>
      <c r="Z16" s="374"/>
      <c r="AA16" s="322"/>
      <c r="AB16" s="322"/>
      <c r="AC16" s="322"/>
      <c r="AD16" s="322"/>
      <c r="AE16" s="377"/>
      <c r="AF16" s="374"/>
    </row>
    <row r="17" spans="1:32" ht="14" x14ac:dyDescent="0.3">
      <c r="A17" s="151">
        <f>IF(C17&lt;&gt;"",COUNTA($C$12:C17),"")</f>
        <v>6</v>
      </c>
      <c r="B17" s="151"/>
      <c r="C17" s="409">
        <f>+'Bill_Bos G3 p1'!C17</f>
        <v>400</v>
      </c>
      <c r="D17" s="409">
        <f t="shared" si="8"/>
        <v>140000</v>
      </c>
      <c r="E17" s="372">
        <f t="shared" si="0"/>
        <v>10490.4</v>
      </c>
      <c r="F17" s="372">
        <f t="shared" si="1"/>
        <v>17172.400000000001</v>
      </c>
      <c r="G17" s="372">
        <f t="shared" si="2"/>
        <v>27662.800000000003</v>
      </c>
      <c r="H17" s="373"/>
      <c r="I17" s="372">
        <f t="shared" si="3"/>
        <v>10152.200000000001</v>
      </c>
      <c r="J17" s="372">
        <f t="shared" si="4"/>
        <v>22607.200000000001</v>
      </c>
      <c r="K17" s="372">
        <f t="shared" si="5"/>
        <v>32759.4</v>
      </c>
      <c r="L17" s="374"/>
      <c r="M17" s="375">
        <f t="shared" si="6"/>
        <v>5096.5999999999985</v>
      </c>
      <c r="N17" s="376">
        <f t="shared" si="7"/>
        <v>0.18424020706508373</v>
      </c>
      <c r="O17" s="377"/>
      <c r="P17" s="322"/>
      <c r="Q17" s="322"/>
      <c r="R17" s="322"/>
      <c r="S17" s="377"/>
      <c r="T17" s="378"/>
      <c r="U17" s="377"/>
      <c r="V17" s="325"/>
      <c r="W17" s="322"/>
      <c r="X17" s="322"/>
      <c r="Y17" s="377"/>
      <c r="Z17" s="374"/>
      <c r="AA17" s="322"/>
      <c r="AB17" s="322"/>
      <c r="AC17" s="322"/>
      <c r="AD17" s="322"/>
      <c r="AE17" s="377"/>
      <c r="AF17" s="374"/>
    </row>
    <row r="18" spans="1:32" ht="14" x14ac:dyDescent="0.3">
      <c r="A18" s="151">
        <f>IF(C18&lt;&gt;"",COUNTA($C$12:C18),"")</f>
        <v>7</v>
      </c>
      <c r="B18" s="151"/>
      <c r="C18" s="409">
        <f>+'Bill_Bos G3 p1'!C18</f>
        <v>550</v>
      </c>
      <c r="D18" s="409">
        <f t="shared" si="8"/>
        <v>192500</v>
      </c>
      <c r="E18" s="372">
        <f t="shared" si="0"/>
        <v>14330.55</v>
      </c>
      <c r="F18" s="372">
        <f t="shared" si="1"/>
        <v>23612.05</v>
      </c>
      <c r="G18" s="372">
        <f t="shared" si="2"/>
        <v>37942.6</v>
      </c>
      <c r="H18" s="373"/>
      <c r="I18" s="372">
        <f t="shared" si="3"/>
        <v>13865.53</v>
      </c>
      <c r="J18" s="372">
        <f t="shared" si="4"/>
        <v>31084.9</v>
      </c>
      <c r="K18" s="372">
        <f t="shared" si="5"/>
        <v>44950.43</v>
      </c>
      <c r="L18" s="374"/>
      <c r="M18" s="375">
        <f t="shared" si="6"/>
        <v>7007.8300000000017</v>
      </c>
      <c r="N18" s="376">
        <f t="shared" si="7"/>
        <v>0.18469556646091734</v>
      </c>
      <c r="O18" s="377"/>
      <c r="P18" s="322"/>
      <c r="Q18" s="322"/>
      <c r="R18" s="322"/>
      <c r="S18" s="377"/>
      <c r="T18" s="378"/>
      <c r="U18" s="377"/>
      <c r="V18" s="325"/>
      <c r="W18" s="322"/>
      <c r="X18" s="322"/>
      <c r="Y18" s="377"/>
      <c r="Z18" s="374"/>
      <c r="AA18" s="322"/>
      <c r="AB18" s="322"/>
      <c r="AC18" s="322"/>
      <c r="AD18" s="322"/>
      <c r="AE18" s="377"/>
      <c r="AF18" s="374"/>
    </row>
    <row r="19" spans="1:32" ht="14" x14ac:dyDescent="0.3">
      <c r="A19" s="151">
        <f>IF(C19&lt;&gt;"",COUNTA($C$12:C19),"")</f>
        <v>8</v>
      </c>
      <c r="B19" s="151"/>
      <c r="C19" s="409">
        <f>+'Bill_Bos G3 p1'!C19</f>
        <v>700</v>
      </c>
      <c r="D19" s="409">
        <f t="shared" si="8"/>
        <v>245000</v>
      </c>
      <c r="E19" s="372">
        <f t="shared" si="0"/>
        <v>18170.7</v>
      </c>
      <c r="F19" s="372">
        <f t="shared" si="1"/>
        <v>30051.7</v>
      </c>
      <c r="G19" s="372">
        <f t="shared" si="2"/>
        <v>48222.400000000001</v>
      </c>
      <c r="H19" s="373"/>
      <c r="I19" s="372">
        <f t="shared" si="3"/>
        <v>17578.849999999999</v>
      </c>
      <c r="J19" s="372">
        <f t="shared" si="4"/>
        <v>39562.6</v>
      </c>
      <c r="K19" s="372">
        <f t="shared" si="5"/>
        <v>57141.45</v>
      </c>
      <c r="L19" s="374"/>
      <c r="M19" s="375">
        <f t="shared" si="6"/>
        <v>8919.0499999999956</v>
      </c>
      <c r="N19" s="376">
        <f t="shared" si="7"/>
        <v>0.18495657619695402</v>
      </c>
      <c r="O19" s="377"/>
      <c r="P19" s="322"/>
      <c r="Q19" s="322"/>
      <c r="R19" s="322"/>
      <c r="S19" s="377"/>
      <c r="T19" s="378"/>
      <c r="U19" s="377"/>
      <c r="V19" s="325"/>
      <c r="W19" s="322"/>
      <c r="X19" s="322"/>
      <c r="Y19" s="377"/>
      <c r="Z19" s="374"/>
      <c r="AA19" s="322"/>
      <c r="AB19" s="322"/>
      <c r="AC19" s="322"/>
      <c r="AD19" s="322"/>
      <c r="AE19" s="377"/>
      <c r="AF19" s="374"/>
    </row>
    <row r="20" spans="1:32" ht="14" x14ac:dyDescent="0.3">
      <c r="A20" s="151">
        <f>IF(C20&lt;&gt;"",COUNTA($C$12:C20),"")</f>
        <v>9</v>
      </c>
      <c r="B20" s="151"/>
      <c r="C20" s="409">
        <f>+'Bill_Bos G3 p1'!C20</f>
        <v>1000</v>
      </c>
      <c r="D20" s="409">
        <f t="shared" si="8"/>
        <v>350000</v>
      </c>
      <c r="E20" s="372">
        <f t="shared" si="0"/>
        <v>25851</v>
      </c>
      <c r="F20" s="372">
        <f t="shared" si="1"/>
        <v>42931</v>
      </c>
      <c r="G20" s="372">
        <f t="shared" si="2"/>
        <v>68782</v>
      </c>
      <c r="H20" s="373"/>
      <c r="I20" s="372">
        <f t="shared" si="3"/>
        <v>25005.5</v>
      </c>
      <c r="J20" s="372">
        <f t="shared" si="4"/>
        <v>56518</v>
      </c>
      <c r="K20" s="372">
        <f t="shared" si="5"/>
        <v>81523.5</v>
      </c>
      <c r="L20" s="374"/>
      <c r="M20" s="375">
        <f t="shared" si="6"/>
        <v>12741.5</v>
      </c>
      <c r="N20" s="376">
        <f t="shared" si="7"/>
        <v>0.18524468610973802</v>
      </c>
      <c r="O20" s="377"/>
      <c r="P20" s="322"/>
      <c r="Q20" s="322"/>
      <c r="R20" s="322"/>
      <c r="S20" s="377"/>
      <c r="T20" s="378"/>
      <c r="U20" s="377"/>
      <c r="V20" s="325"/>
      <c r="W20" s="322"/>
      <c r="X20" s="322"/>
      <c r="Y20" s="377"/>
      <c r="Z20" s="374"/>
      <c r="AA20" s="322"/>
      <c r="AB20" s="322"/>
      <c r="AC20" s="322"/>
      <c r="AD20" s="322"/>
      <c r="AE20" s="377"/>
      <c r="AF20" s="374"/>
    </row>
    <row r="21" spans="1:32" ht="14" x14ac:dyDescent="0.3">
      <c r="A21" s="151">
        <f>IF(C21&lt;&gt;"",COUNTA($C$12:C21),"")</f>
        <v>10</v>
      </c>
      <c r="B21" s="151"/>
      <c r="C21" s="409">
        <f>+'Bill_Bos G3 p1'!C21</f>
        <v>1500</v>
      </c>
      <c r="D21" s="409">
        <f t="shared" si="8"/>
        <v>525000</v>
      </c>
      <c r="E21" s="372">
        <f t="shared" si="0"/>
        <v>38651.5</v>
      </c>
      <c r="F21" s="372">
        <f t="shared" si="1"/>
        <v>64396.5</v>
      </c>
      <c r="G21" s="372">
        <f t="shared" si="2"/>
        <v>103048</v>
      </c>
      <c r="H21" s="373"/>
      <c r="I21" s="372">
        <f t="shared" si="3"/>
        <v>37383.25</v>
      </c>
      <c r="J21" s="372">
        <f t="shared" si="4"/>
        <v>84777</v>
      </c>
      <c r="K21" s="372">
        <f t="shared" si="5"/>
        <v>122160.25</v>
      </c>
      <c r="L21" s="374"/>
      <c r="M21" s="375">
        <f t="shared" si="6"/>
        <v>19112.25</v>
      </c>
      <c r="N21" s="376">
        <f t="shared" si="7"/>
        <v>0.18546939290427761</v>
      </c>
      <c r="O21" s="377"/>
      <c r="P21" s="322"/>
      <c r="Q21" s="322"/>
      <c r="R21" s="322"/>
      <c r="S21" s="377"/>
      <c r="T21" s="378"/>
      <c r="U21" s="377"/>
      <c r="V21" s="325"/>
      <c r="W21" s="322"/>
      <c r="X21" s="322"/>
      <c r="Y21" s="377"/>
      <c r="Z21" s="374"/>
      <c r="AA21" s="322"/>
      <c r="AB21" s="322"/>
      <c r="AC21" s="322"/>
      <c r="AD21" s="322"/>
      <c r="AE21" s="377"/>
      <c r="AF21" s="374"/>
    </row>
    <row r="22" spans="1:32" ht="14" x14ac:dyDescent="0.3">
      <c r="A22" s="151">
        <f>IF(C22&lt;&gt;"",COUNTA($C$12:C22),"")</f>
        <v>11</v>
      </c>
      <c r="B22" s="151"/>
      <c r="C22" s="409">
        <f>+'Bill_Bos G3 p1'!C22</f>
        <v>2500</v>
      </c>
      <c r="D22" s="409">
        <f t="shared" si="8"/>
        <v>875000</v>
      </c>
      <c r="E22" s="372">
        <f t="shared" si="0"/>
        <v>64252.5</v>
      </c>
      <c r="F22" s="372">
        <f t="shared" si="1"/>
        <v>107327.5</v>
      </c>
      <c r="G22" s="372">
        <f t="shared" si="2"/>
        <v>171580</v>
      </c>
      <c r="H22" s="373"/>
      <c r="I22" s="372">
        <f t="shared" si="3"/>
        <v>62138.75</v>
      </c>
      <c r="J22" s="372">
        <f t="shared" si="4"/>
        <v>141295</v>
      </c>
      <c r="K22" s="372">
        <f t="shared" si="5"/>
        <v>203433.75</v>
      </c>
      <c r="L22" s="374"/>
      <c r="M22" s="375">
        <f t="shared" si="6"/>
        <v>31853.75</v>
      </c>
      <c r="N22" s="376">
        <f t="shared" si="7"/>
        <v>0.18564955122974705</v>
      </c>
      <c r="O22" s="377"/>
      <c r="P22" s="322"/>
      <c r="Q22" s="322"/>
      <c r="R22" s="322"/>
      <c r="S22" s="377"/>
      <c r="T22" s="378"/>
      <c r="U22" s="377"/>
      <c r="V22" s="325"/>
      <c r="W22" s="322"/>
      <c r="X22" s="322"/>
      <c r="Y22" s="377"/>
      <c r="Z22" s="374"/>
      <c r="AA22" s="322"/>
      <c r="AB22" s="322"/>
      <c r="AC22" s="322"/>
      <c r="AD22" s="322"/>
      <c r="AE22" s="377"/>
      <c r="AF22" s="374"/>
    </row>
    <row r="23" spans="1:32" ht="14" x14ac:dyDescent="0.3">
      <c r="A23" s="151">
        <f>IF(C23&lt;&gt;"",COUNTA($C$12:C23),"")</f>
        <v>12</v>
      </c>
      <c r="B23" s="151"/>
      <c r="C23" s="409">
        <f>+'Bill_Bos G3 p1'!C23</f>
        <v>5000</v>
      </c>
      <c r="D23" s="409">
        <f t="shared" si="8"/>
        <v>1750000</v>
      </c>
      <c r="E23" s="372">
        <f t="shared" si="0"/>
        <v>128255</v>
      </c>
      <c r="F23" s="372">
        <f t="shared" si="1"/>
        <v>214655</v>
      </c>
      <c r="G23" s="372">
        <f t="shared" si="2"/>
        <v>342910</v>
      </c>
      <c r="H23" s="373"/>
      <c r="I23" s="372">
        <f t="shared" si="3"/>
        <v>124027.5</v>
      </c>
      <c r="J23" s="372">
        <f t="shared" si="4"/>
        <v>282590</v>
      </c>
      <c r="K23" s="372">
        <f t="shared" si="5"/>
        <v>406617.5</v>
      </c>
      <c r="L23" s="374"/>
      <c r="M23" s="375">
        <f t="shared" si="6"/>
        <v>63707.5</v>
      </c>
      <c r="N23" s="376">
        <f t="shared" si="7"/>
        <v>0.18578489982794319</v>
      </c>
      <c r="O23" s="377"/>
      <c r="P23" s="322"/>
      <c r="Q23" s="322"/>
      <c r="R23" s="322"/>
      <c r="S23" s="377"/>
      <c r="T23" s="378"/>
      <c r="U23" s="377"/>
      <c r="V23" s="325"/>
      <c r="W23" s="322"/>
      <c r="X23" s="322"/>
      <c r="Y23" s="377"/>
      <c r="Z23" s="374"/>
      <c r="AA23" s="322"/>
      <c r="AB23" s="322"/>
      <c r="AC23" s="322"/>
      <c r="AD23" s="322"/>
      <c r="AE23" s="377"/>
      <c r="AF23" s="374"/>
    </row>
    <row r="24" spans="1:32" ht="14" x14ac:dyDescent="0.3">
      <c r="A24" s="151">
        <f>IF(C24&lt;&gt;"",COUNTA($C$12:C24),"")</f>
        <v>13</v>
      </c>
      <c r="B24" s="151" t="s">
        <v>554</v>
      </c>
      <c r="C24" s="366">
        <v>430</v>
      </c>
      <c r="D24" s="409">
        <f t="shared" si="8"/>
        <v>150500</v>
      </c>
      <c r="E24" s="372">
        <f t="shared" si="0"/>
        <v>11258.43</v>
      </c>
      <c r="F24" s="372">
        <f t="shared" si="1"/>
        <v>18460.330000000002</v>
      </c>
      <c r="G24" s="372">
        <f t="shared" si="2"/>
        <v>29718.760000000002</v>
      </c>
      <c r="H24" s="373"/>
      <c r="I24" s="372">
        <f t="shared" si="3"/>
        <v>10894.87</v>
      </c>
      <c r="J24" s="372">
        <f t="shared" si="4"/>
        <v>24302.74</v>
      </c>
      <c r="K24" s="372">
        <f t="shared" si="5"/>
        <v>35197.61</v>
      </c>
      <c r="L24" s="374"/>
      <c r="M24" s="375">
        <f t="shared" si="6"/>
        <v>5478.8499999999985</v>
      </c>
      <c r="N24" s="376">
        <f t="shared" si="7"/>
        <v>0.18435661514814206</v>
      </c>
      <c r="O24" s="377"/>
      <c r="P24" s="322"/>
      <c r="Q24" s="322"/>
      <c r="R24" s="322"/>
      <c r="S24" s="377"/>
      <c r="T24" s="378"/>
      <c r="U24" s="377"/>
      <c r="V24" s="325"/>
      <c r="W24" s="322"/>
      <c r="X24" s="322"/>
      <c r="Y24" s="377"/>
      <c r="Z24" s="374"/>
      <c r="AA24" s="322"/>
      <c r="AB24" s="322"/>
      <c r="AC24" s="322"/>
      <c r="AD24" s="322"/>
      <c r="AE24" s="377"/>
      <c r="AF24" s="374"/>
    </row>
    <row r="25" spans="1:32" ht="14" x14ac:dyDescent="0.3">
      <c r="A25" s="151" t="str">
        <f>IF(C25&lt;&gt;"",COUNTA($C$12:C25),"")</f>
        <v/>
      </c>
      <c r="B25" s="151"/>
      <c r="C25" s="293"/>
      <c r="D25" s="409"/>
      <c r="E25" s="372"/>
      <c r="F25" s="372"/>
      <c r="G25" s="372"/>
      <c r="H25" s="373"/>
      <c r="I25" s="374"/>
      <c r="J25" s="374"/>
      <c r="K25" s="374"/>
      <c r="L25" s="374"/>
      <c r="M25" s="374"/>
      <c r="O25" s="377"/>
      <c r="P25" s="322"/>
      <c r="Q25" s="322"/>
      <c r="R25" s="322"/>
      <c r="S25" s="377"/>
      <c r="T25" s="378"/>
      <c r="U25" s="377"/>
      <c r="V25" s="322"/>
      <c r="W25" s="322"/>
      <c r="X25" s="322"/>
      <c r="Y25" s="377"/>
      <c r="Z25" s="374"/>
      <c r="AA25" s="322"/>
      <c r="AB25" s="322"/>
      <c r="AC25" s="322"/>
      <c r="AD25" s="322"/>
      <c r="AE25" s="377"/>
      <c r="AF25" s="374"/>
    </row>
    <row r="26" spans="1:32" ht="14" x14ac:dyDescent="0.3">
      <c r="A26" s="151">
        <f>IF(C26&lt;&gt;"",COUNTA($C$12:C26),"")</f>
        <v>14</v>
      </c>
      <c r="B26" s="151"/>
      <c r="C26" s="366" t="str">
        <f>+C13</f>
        <v>Monthly</v>
      </c>
      <c r="D26" s="366" t="str">
        <f>+D13</f>
        <v>Monthly</v>
      </c>
      <c r="E26" s="760" t="str">
        <f>+'Bill_Bos G1 nonDem'!D26</f>
        <v>Current Monthly Bill (Summer)</v>
      </c>
      <c r="F26" s="760"/>
      <c r="G26" s="760"/>
      <c r="H26" s="448"/>
      <c r="I26" s="760" t="str">
        <f>+'Bill_Bos G1 nonDem'!H26</f>
        <v>Proposed Monthly Bill (Summer)</v>
      </c>
      <c r="J26" s="760"/>
      <c r="K26" s="760"/>
      <c r="L26" s="374"/>
      <c r="M26" s="763" t="s">
        <v>550</v>
      </c>
      <c r="N26" s="763"/>
      <c r="O26" s="415"/>
      <c r="P26" s="415"/>
      <c r="Q26" s="416"/>
      <c r="R26" s="369"/>
      <c r="S26" s="369"/>
      <c r="T26" s="378"/>
      <c r="U26" s="415"/>
      <c r="V26" s="415"/>
      <c r="W26" s="416"/>
      <c r="X26" s="369"/>
      <c r="Y26" s="369"/>
      <c r="Z26" s="369"/>
      <c r="AA26" s="369"/>
      <c r="AB26" s="369"/>
      <c r="AC26" s="322"/>
      <c r="AD26" s="322"/>
      <c r="AE26" s="369"/>
      <c r="AF26" s="369"/>
    </row>
    <row r="27" spans="1:32" ht="14" x14ac:dyDescent="0.3">
      <c r="A27" s="151">
        <f>IF(C27&lt;&gt;"",COUNTA($C$12:C27),"")</f>
        <v>15</v>
      </c>
      <c r="B27" s="151"/>
      <c r="C27" s="370" t="s">
        <v>534</v>
      </c>
      <c r="D27" s="370" t="s">
        <v>551</v>
      </c>
      <c r="E27" s="442" t="s">
        <v>552</v>
      </c>
      <c r="F27" s="442" t="s">
        <v>553</v>
      </c>
      <c r="G27" s="442" t="s">
        <v>47</v>
      </c>
      <c r="H27" s="448"/>
      <c r="I27" s="442" t="s">
        <v>552</v>
      </c>
      <c r="J27" s="442" t="s">
        <v>553</v>
      </c>
      <c r="K27" s="442" t="s">
        <v>47</v>
      </c>
      <c r="L27" s="374"/>
      <c r="M27" s="442" t="s">
        <v>65</v>
      </c>
      <c r="N27" s="370" t="s">
        <v>325</v>
      </c>
      <c r="O27" s="378"/>
      <c r="P27" s="369"/>
      <c r="Q27" s="369"/>
      <c r="R27" s="369"/>
      <c r="S27" s="369"/>
      <c r="T27" s="369"/>
      <c r="U27" s="378"/>
      <c r="V27" s="369"/>
      <c r="W27" s="369"/>
      <c r="X27" s="369"/>
      <c r="Y27" s="369"/>
      <c r="Z27" s="369"/>
      <c r="AA27" s="369"/>
      <c r="AB27" s="369"/>
      <c r="AC27" s="322"/>
      <c r="AD27" s="322"/>
      <c r="AE27" s="369"/>
      <c r="AF27" s="369"/>
    </row>
    <row r="28" spans="1:32" ht="14" x14ac:dyDescent="0.3">
      <c r="A28" s="151">
        <f>IF(C28&lt;&gt;"",COUNTA($C$12:C28),"")</f>
        <v>16</v>
      </c>
      <c r="B28" s="151"/>
      <c r="C28" s="409">
        <f>+'Bill_Bos G3 p1'!C28</f>
        <v>100</v>
      </c>
      <c r="D28" s="409">
        <f>+C28*350</f>
        <v>35000</v>
      </c>
      <c r="E28" s="372">
        <f t="shared" ref="E28:E37" si="9">ROUND($G$41+$C28*SUM($G$43,$G$44)+(SUM($G$45:$G$60,$G$61:$G$63)*$D28),2)</f>
        <v>3406.1</v>
      </c>
      <c r="F28" s="372">
        <f t="shared" ref="F28:F37" si="10">ROUND($G$64*D28,2)</f>
        <v>4293.1000000000004</v>
      </c>
      <c r="G28" s="372">
        <f t="shared" ref="G28:G37" si="11">SUM(E28:F28)</f>
        <v>7699.2000000000007</v>
      </c>
      <c r="H28" s="373"/>
      <c r="I28" s="372">
        <f t="shared" ref="I28:I37" si="12">ROUND($I$41+$C28*SUM($I$43,$I$44)+(SUM($I$45:$I$60,$I$61:$I$63)*$D28),2)</f>
        <v>3342.55</v>
      </c>
      <c r="J28" s="372">
        <f t="shared" ref="J28:J37" si="13">ROUND($I$64*D28,2)</f>
        <v>5651.8</v>
      </c>
      <c r="K28" s="372">
        <f t="shared" ref="K28:K37" si="14">SUM(I28:J28)</f>
        <v>8994.35</v>
      </c>
      <c r="L28" s="374"/>
      <c r="M28" s="375">
        <f t="shared" ref="M28:M37" si="15">+K28-G28</f>
        <v>1295.1499999999996</v>
      </c>
      <c r="N28" s="376">
        <f t="shared" ref="N28:N37" si="16">+M28/G28</f>
        <v>0.1682187759767248</v>
      </c>
      <c r="O28" s="377"/>
      <c r="P28" s="322"/>
      <c r="Q28" s="322"/>
      <c r="R28" s="322"/>
      <c r="S28" s="377"/>
      <c r="T28" s="378"/>
      <c r="U28" s="377"/>
      <c r="V28" s="325"/>
      <c r="W28" s="322"/>
      <c r="X28" s="322"/>
      <c r="Y28" s="377"/>
      <c r="Z28" s="374"/>
      <c r="AA28" s="369"/>
      <c r="AB28" s="369"/>
      <c r="AC28" s="322"/>
      <c r="AD28" s="322"/>
      <c r="AE28" s="369"/>
      <c r="AF28" s="369"/>
    </row>
    <row r="29" spans="1:32" ht="14" x14ac:dyDescent="0.3">
      <c r="A29" s="151">
        <f>IF(C29&lt;&gt;"",COUNTA($C$12:C29),"")</f>
        <v>17</v>
      </c>
      <c r="B29" s="151"/>
      <c r="C29" s="409">
        <f>+'Bill_Bos G3 p1'!C29</f>
        <v>250</v>
      </c>
      <c r="D29" s="409">
        <f t="shared" ref="D29:D37" si="17">+C29*350</f>
        <v>87500</v>
      </c>
      <c r="E29" s="372">
        <f t="shared" si="9"/>
        <v>8140.25</v>
      </c>
      <c r="F29" s="372">
        <f t="shared" si="10"/>
        <v>10732.75</v>
      </c>
      <c r="G29" s="372">
        <f t="shared" si="11"/>
        <v>18873</v>
      </c>
      <c r="H29" s="373"/>
      <c r="I29" s="372">
        <f t="shared" si="12"/>
        <v>7981.38</v>
      </c>
      <c r="J29" s="372">
        <f t="shared" si="13"/>
        <v>14129.5</v>
      </c>
      <c r="K29" s="372">
        <f t="shared" si="14"/>
        <v>22110.880000000001</v>
      </c>
      <c r="L29" s="374"/>
      <c r="M29" s="375">
        <f t="shared" si="15"/>
        <v>3237.880000000001</v>
      </c>
      <c r="N29" s="376">
        <f t="shared" si="16"/>
        <v>0.17156148995920104</v>
      </c>
      <c r="O29" s="377"/>
      <c r="P29" s="322"/>
      <c r="Q29" s="322"/>
      <c r="R29" s="322"/>
      <c r="S29" s="377"/>
      <c r="T29" s="378"/>
      <c r="U29" s="377"/>
      <c r="V29" s="325"/>
      <c r="W29" s="322"/>
      <c r="X29" s="322"/>
      <c r="Y29" s="377"/>
      <c r="Z29" s="374"/>
      <c r="AA29" s="322"/>
      <c r="AB29" s="322"/>
      <c r="AC29" s="322"/>
      <c r="AD29" s="322"/>
      <c r="AE29" s="377"/>
      <c r="AF29" s="374"/>
    </row>
    <row r="30" spans="1:32" ht="14" x14ac:dyDescent="0.3">
      <c r="A30" s="151">
        <f>IF(C30&lt;&gt;"",COUNTA($C$12:C30),"")</f>
        <v>18</v>
      </c>
      <c r="B30" s="151"/>
      <c r="C30" s="409">
        <f>+'Bill_Bos G3 p1'!C30</f>
        <v>400</v>
      </c>
      <c r="D30" s="409">
        <f t="shared" si="17"/>
        <v>140000</v>
      </c>
      <c r="E30" s="372">
        <f t="shared" si="9"/>
        <v>12874.4</v>
      </c>
      <c r="F30" s="372">
        <f t="shared" si="10"/>
        <v>17172.400000000001</v>
      </c>
      <c r="G30" s="372">
        <f t="shared" si="11"/>
        <v>30046.800000000003</v>
      </c>
      <c r="H30" s="373"/>
      <c r="I30" s="372">
        <f t="shared" si="12"/>
        <v>12620.2</v>
      </c>
      <c r="J30" s="372">
        <f t="shared" si="13"/>
        <v>22607.200000000001</v>
      </c>
      <c r="K30" s="372">
        <f t="shared" si="14"/>
        <v>35227.4</v>
      </c>
      <c r="L30" s="374"/>
      <c r="M30" s="375">
        <f t="shared" si="15"/>
        <v>5180.5999999999985</v>
      </c>
      <c r="N30" s="376">
        <f t="shared" si="16"/>
        <v>0.17241769506236931</v>
      </c>
      <c r="O30" s="377"/>
      <c r="P30" s="322"/>
      <c r="Q30" s="322"/>
      <c r="R30" s="322"/>
      <c r="S30" s="377"/>
      <c r="T30" s="378"/>
      <c r="U30" s="377"/>
      <c r="V30" s="325"/>
      <c r="W30" s="322"/>
      <c r="X30" s="322"/>
      <c r="Y30" s="377"/>
      <c r="Z30" s="374"/>
      <c r="AA30" s="322"/>
      <c r="AB30" s="322"/>
      <c r="AC30" s="322"/>
      <c r="AD30" s="322"/>
      <c r="AE30" s="377"/>
      <c r="AF30" s="374"/>
    </row>
    <row r="31" spans="1:32" ht="14" x14ac:dyDescent="0.3">
      <c r="A31" s="151">
        <f>IF(C31&lt;&gt;"",COUNTA($C$12:C31),"")</f>
        <v>19</v>
      </c>
      <c r="B31" s="151"/>
      <c r="C31" s="409">
        <f>+'Bill_Bos G3 p1'!C31</f>
        <v>550</v>
      </c>
      <c r="D31" s="409">
        <f t="shared" si="17"/>
        <v>192500</v>
      </c>
      <c r="E31" s="372">
        <f t="shared" si="9"/>
        <v>17608.55</v>
      </c>
      <c r="F31" s="372">
        <f t="shared" si="10"/>
        <v>23612.05</v>
      </c>
      <c r="G31" s="372">
        <f t="shared" si="11"/>
        <v>41220.6</v>
      </c>
      <c r="H31" s="373"/>
      <c r="I31" s="372">
        <f t="shared" si="12"/>
        <v>17259.03</v>
      </c>
      <c r="J31" s="372">
        <f t="shared" si="13"/>
        <v>31084.9</v>
      </c>
      <c r="K31" s="372">
        <f t="shared" si="14"/>
        <v>48343.93</v>
      </c>
      <c r="L31" s="374"/>
      <c r="M31" s="375">
        <f t="shared" si="15"/>
        <v>7123.3300000000017</v>
      </c>
      <c r="N31" s="376">
        <f t="shared" si="16"/>
        <v>0.17280995424617793</v>
      </c>
      <c r="O31" s="377"/>
      <c r="P31" s="322"/>
      <c r="Q31" s="322"/>
      <c r="R31" s="322"/>
      <c r="S31" s="377"/>
      <c r="T31" s="378"/>
      <c r="U31" s="377"/>
      <c r="V31" s="325"/>
      <c r="W31" s="322"/>
      <c r="X31" s="322"/>
      <c r="Y31" s="377"/>
      <c r="Z31" s="374"/>
      <c r="AA31" s="322"/>
      <c r="AB31" s="322"/>
      <c r="AC31" s="322"/>
      <c r="AD31" s="322"/>
      <c r="AE31" s="377"/>
      <c r="AF31" s="374"/>
    </row>
    <row r="32" spans="1:32" ht="14" x14ac:dyDescent="0.3">
      <c r="A32" s="151">
        <f>IF(C32&lt;&gt;"",COUNTA($C$12:C32),"")</f>
        <v>20</v>
      </c>
      <c r="B32" s="151"/>
      <c r="C32" s="409">
        <f>+'Bill_Bos G3 p1'!C32</f>
        <v>700</v>
      </c>
      <c r="D32" s="409">
        <f t="shared" si="17"/>
        <v>245000</v>
      </c>
      <c r="E32" s="372">
        <f t="shared" si="9"/>
        <v>22342.7</v>
      </c>
      <c r="F32" s="372">
        <f t="shared" si="10"/>
        <v>30051.7</v>
      </c>
      <c r="G32" s="372">
        <f t="shared" si="11"/>
        <v>52394.400000000001</v>
      </c>
      <c r="H32" s="373"/>
      <c r="I32" s="372">
        <f t="shared" si="12"/>
        <v>21897.85</v>
      </c>
      <c r="J32" s="372">
        <f t="shared" si="13"/>
        <v>39562.6</v>
      </c>
      <c r="K32" s="372">
        <f t="shared" si="14"/>
        <v>61460.45</v>
      </c>
      <c r="L32" s="374"/>
      <c r="M32" s="375">
        <f t="shared" si="15"/>
        <v>9066.0499999999956</v>
      </c>
      <c r="N32" s="376">
        <f t="shared" si="16"/>
        <v>0.17303471363351799</v>
      </c>
      <c r="O32" s="377"/>
      <c r="P32" s="322"/>
      <c r="Q32" s="322"/>
      <c r="R32" s="322"/>
      <c r="S32" s="377"/>
      <c r="T32" s="378"/>
      <c r="U32" s="377"/>
      <c r="V32" s="325"/>
      <c r="W32" s="322"/>
      <c r="X32" s="322"/>
      <c r="Y32" s="377"/>
      <c r="Z32" s="374"/>
      <c r="AA32" s="322"/>
      <c r="AB32" s="322"/>
      <c r="AC32" s="322"/>
      <c r="AD32" s="322"/>
      <c r="AE32" s="377"/>
      <c r="AF32" s="374"/>
    </row>
    <row r="33" spans="1:32" ht="14" x14ac:dyDescent="0.3">
      <c r="A33" s="151">
        <f>IF(C33&lt;&gt;"",COUNTA($C$12:C33),"")</f>
        <v>21</v>
      </c>
      <c r="B33" s="151"/>
      <c r="C33" s="409">
        <f>+'Bill_Bos G3 p1'!C33</f>
        <v>1000</v>
      </c>
      <c r="D33" s="409">
        <f t="shared" si="17"/>
        <v>350000</v>
      </c>
      <c r="E33" s="372">
        <f t="shared" si="9"/>
        <v>31811</v>
      </c>
      <c r="F33" s="372">
        <f t="shared" si="10"/>
        <v>42931</v>
      </c>
      <c r="G33" s="372">
        <f t="shared" si="11"/>
        <v>74742</v>
      </c>
      <c r="H33" s="373"/>
      <c r="I33" s="372">
        <f t="shared" si="12"/>
        <v>31175.5</v>
      </c>
      <c r="J33" s="372">
        <f t="shared" si="13"/>
        <v>56518</v>
      </c>
      <c r="K33" s="372">
        <f t="shared" si="14"/>
        <v>87693.5</v>
      </c>
      <c r="L33" s="374"/>
      <c r="M33" s="375">
        <f t="shared" si="15"/>
        <v>12951.5</v>
      </c>
      <c r="N33" s="376">
        <f t="shared" si="16"/>
        <v>0.17328275935886114</v>
      </c>
      <c r="O33" s="377"/>
      <c r="P33" s="322"/>
      <c r="Q33" s="322"/>
      <c r="R33" s="322"/>
      <c r="S33" s="377"/>
      <c r="T33" s="378"/>
      <c r="U33" s="377"/>
      <c r="V33" s="325"/>
      <c r="W33" s="322"/>
      <c r="X33" s="322"/>
      <c r="Y33" s="377"/>
      <c r="Z33" s="374"/>
      <c r="AA33" s="322"/>
      <c r="AB33" s="322"/>
      <c r="AC33" s="322"/>
      <c r="AD33" s="322"/>
      <c r="AE33" s="377"/>
      <c r="AF33" s="374"/>
    </row>
    <row r="34" spans="1:32" ht="14" x14ac:dyDescent="0.3">
      <c r="A34" s="151">
        <f>IF(C34&lt;&gt;"",COUNTA($C$12:C34),"")</f>
        <v>22</v>
      </c>
      <c r="B34" s="151"/>
      <c r="C34" s="409">
        <f>+'Bill_Bos G3 p1'!C34</f>
        <v>1500</v>
      </c>
      <c r="D34" s="409">
        <f t="shared" si="17"/>
        <v>525000</v>
      </c>
      <c r="E34" s="372">
        <f t="shared" si="9"/>
        <v>47591.5</v>
      </c>
      <c r="F34" s="372">
        <f t="shared" si="10"/>
        <v>64396.5</v>
      </c>
      <c r="G34" s="372">
        <f t="shared" si="11"/>
        <v>111988</v>
      </c>
      <c r="H34" s="373"/>
      <c r="I34" s="372">
        <f t="shared" si="12"/>
        <v>46638.25</v>
      </c>
      <c r="J34" s="372">
        <f t="shared" si="13"/>
        <v>84777</v>
      </c>
      <c r="K34" s="372">
        <f t="shared" si="14"/>
        <v>131415.25</v>
      </c>
      <c r="L34" s="374"/>
      <c r="M34" s="375">
        <f t="shared" si="15"/>
        <v>19427.25</v>
      </c>
      <c r="N34" s="376">
        <f t="shared" si="16"/>
        <v>0.17347617601885917</v>
      </c>
      <c r="O34" s="377"/>
      <c r="P34" s="322"/>
      <c r="Q34" s="322"/>
      <c r="R34" s="322"/>
      <c r="S34" s="377"/>
      <c r="T34" s="378"/>
      <c r="U34" s="377"/>
      <c r="V34" s="325"/>
      <c r="W34" s="322"/>
      <c r="X34" s="322"/>
      <c r="Y34" s="377"/>
      <c r="Z34" s="374"/>
      <c r="AA34" s="322"/>
      <c r="AB34" s="322"/>
      <c r="AC34" s="322"/>
      <c r="AD34" s="322"/>
      <c r="AE34" s="377"/>
      <c r="AF34" s="374"/>
    </row>
    <row r="35" spans="1:32" ht="14" x14ac:dyDescent="0.3">
      <c r="A35" s="151">
        <f>IF(C35&lt;&gt;"",COUNTA($C$12:C35),"")</f>
        <v>23</v>
      </c>
      <c r="B35" s="151"/>
      <c r="C35" s="409">
        <f>+'Bill_Bos G3 p1'!C35</f>
        <v>2500</v>
      </c>
      <c r="D35" s="409">
        <f t="shared" si="17"/>
        <v>875000</v>
      </c>
      <c r="E35" s="372">
        <f t="shared" si="9"/>
        <v>79152.5</v>
      </c>
      <c r="F35" s="372">
        <f t="shared" si="10"/>
        <v>107327.5</v>
      </c>
      <c r="G35" s="372">
        <f t="shared" si="11"/>
        <v>186480</v>
      </c>
      <c r="H35" s="373"/>
      <c r="I35" s="372">
        <f t="shared" si="12"/>
        <v>77563.75</v>
      </c>
      <c r="J35" s="372">
        <f t="shared" si="13"/>
        <v>141295</v>
      </c>
      <c r="K35" s="372">
        <f t="shared" si="14"/>
        <v>218858.75</v>
      </c>
      <c r="L35" s="374"/>
      <c r="M35" s="375">
        <f t="shared" si="15"/>
        <v>32378.75</v>
      </c>
      <c r="N35" s="376">
        <f t="shared" si="16"/>
        <v>0.17363122050622051</v>
      </c>
      <c r="O35" s="377"/>
      <c r="P35" s="322"/>
      <c r="Q35" s="322"/>
      <c r="R35" s="322"/>
      <c r="S35" s="377"/>
      <c r="T35" s="378"/>
      <c r="U35" s="377"/>
      <c r="V35" s="325"/>
      <c r="W35" s="322"/>
      <c r="X35" s="322"/>
      <c r="Y35" s="377"/>
      <c r="Z35" s="374"/>
      <c r="AA35" s="322"/>
      <c r="AB35" s="322"/>
      <c r="AC35" s="322"/>
      <c r="AD35" s="322"/>
      <c r="AE35" s="377"/>
      <c r="AF35" s="374"/>
    </row>
    <row r="36" spans="1:32" ht="14" x14ac:dyDescent="0.3">
      <c r="A36" s="151">
        <f>IF(C36&lt;&gt;"",COUNTA($C$12:C36),"")</f>
        <v>24</v>
      </c>
      <c r="B36" s="151"/>
      <c r="C36" s="409">
        <f>+'Bill_Bos G3 p1'!C36</f>
        <v>5000</v>
      </c>
      <c r="D36" s="409">
        <f t="shared" si="17"/>
        <v>1750000</v>
      </c>
      <c r="E36" s="372">
        <f t="shared" si="9"/>
        <v>158055</v>
      </c>
      <c r="F36" s="372">
        <f t="shared" si="10"/>
        <v>214655</v>
      </c>
      <c r="G36" s="372">
        <f t="shared" si="11"/>
        <v>372710</v>
      </c>
      <c r="H36" s="373"/>
      <c r="I36" s="372">
        <f t="shared" si="12"/>
        <v>154877.5</v>
      </c>
      <c r="J36" s="372">
        <f t="shared" si="13"/>
        <v>282590</v>
      </c>
      <c r="K36" s="372">
        <f t="shared" si="14"/>
        <v>437467.5</v>
      </c>
      <c r="L36" s="374"/>
      <c r="M36" s="375">
        <f t="shared" si="15"/>
        <v>64757.5</v>
      </c>
      <c r="N36" s="376">
        <f t="shared" si="16"/>
        <v>0.1737476858683695</v>
      </c>
      <c r="O36" s="377"/>
      <c r="P36" s="322"/>
      <c r="Q36" s="322"/>
      <c r="R36" s="322"/>
      <c r="S36" s="377"/>
      <c r="T36" s="378"/>
      <c r="U36" s="377"/>
      <c r="V36" s="325"/>
      <c r="W36" s="322"/>
      <c r="X36" s="322"/>
      <c r="Y36" s="377"/>
      <c r="Z36" s="374"/>
      <c r="AA36" s="322"/>
      <c r="AB36" s="322"/>
      <c r="AC36" s="322"/>
      <c r="AD36" s="322"/>
      <c r="AE36" s="377"/>
      <c r="AF36" s="374"/>
    </row>
    <row r="37" spans="1:32" ht="14" x14ac:dyDescent="0.3">
      <c r="A37" s="151">
        <f>IF(C37&lt;&gt;"",COUNTA($C$12:C37),"")</f>
        <v>25</v>
      </c>
      <c r="B37" s="151" t="s">
        <v>554</v>
      </c>
      <c r="C37" s="409">
        <v>506</v>
      </c>
      <c r="D37" s="409">
        <f t="shared" si="17"/>
        <v>177100</v>
      </c>
      <c r="E37" s="372">
        <f t="shared" si="9"/>
        <v>16219.87</v>
      </c>
      <c r="F37" s="372">
        <f t="shared" si="10"/>
        <v>21723.09</v>
      </c>
      <c r="G37" s="372">
        <f t="shared" si="11"/>
        <v>37942.959999999999</v>
      </c>
      <c r="H37" s="373"/>
      <c r="I37" s="372">
        <f t="shared" si="12"/>
        <v>15898.3</v>
      </c>
      <c r="J37" s="372">
        <f t="shared" si="13"/>
        <v>28598.11</v>
      </c>
      <c r="K37" s="372">
        <f t="shared" si="14"/>
        <v>44496.41</v>
      </c>
      <c r="L37" s="374"/>
      <c r="M37" s="375">
        <f t="shared" si="15"/>
        <v>6553.4500000000044</v>
      </c>
      <c r="N37" s="376">
        <f t="shared" si="16"/>
        <v>0.17271847004029217</v>
      </c>
      <c r="O37" s="377"/>
      <c r="P37" s="356"/>
      <c r="Q37" s="322"/>
      <c r="R37" s="322"/>
      <c r="S37" s="377"/>
      <c r="T37" s="378"/>
      <c r="U37" s="377"/>
      <c r="V37" s="325"/>
      <c r="W37" s="322"/>
      <c r="X37" s="322"/>
      <c r="Y37" s="377"/>
      <c r="Z37" s="374"/>
      <c r="AA37" s="322"/>
      <c r="AB37" s="322"/>
      <c r="AC37" s="322"/>
      <c r="AD37" s="322"/>
      <c r="AE37" s="377"/>
      <c r="AF37" s="374"/>
    </row>
    <row r="38" spans="1:32" ht="14" x14ac:dyDescent="0.3">
      <c r="A38" s="151" t="str">
        <f>IF(C38&lt;&gt;"",COUNTA($C$12:C38),"")</f>
        <v/>
      </c>
      <c r="B38" s="151"/>
      <c r="C38" s="293"/>
      <c r="D38" s="293"/>
      <c r="E38" s="293"/>
      <c r="F38" s="293"/>
      <c r="G38" s="393"/>
      <c r="H38" s="394"/>
      <c r="O38" s="377"/>
      <c r="P38" s="322"/>
      <c r="Q38" s="322"/>
      <c r="R38" s="322"/>
      <c r="S38" s="322"/>
      <c r="T38" s="322"/>
      <c r="U38" s="322"/>
      <c r="V38" s="377"/>
      <c r="W38" s="378"/>
      <c r="X38" s="377"/>
      <c r="Y38" s="322"/>
      <c r="Z38" s="322"/>
      <c r="AA38" s="322"/>
      <c r="AB38" s="322"/>
      <c r="AC38" s="322"/>
      <c r="AD38" s="322"/>
      <c r="AE38" s="377"/>
      <c r="AF38" s="374"/>
    </row>
    <row r="39" spans="1:32" ht="14" x14ac:dyDescent="0.3">
      <c r="A39" s="151">
        <f>IF(C39&lt;&gt;"",COUNTA($C$12:C39),"")</f>
        <v>26</v>
      </c>
      <c r="B39" s="151"/>
      <c r="C39" s="293" t="s">
        <v>46</v>
      </c>
      <c r="D39" s="293"/>
      <c r="E39" s="293"/>
      <c r="G39" s="395" t="str">
        <f>+'Bill_Bos G2 p1'!G42</f>
        <v>Current</v>
      </c>
      <c r="I39" s="395" t="str">
        <f>+'Bill_Bos G2 p1'!I42</f>
        <v>Proposed</v>
      </c>
      <c r="J39" s="420"/>
      <c r="O39" s="377"/>
      <c r="P39" s="322"/>
      <c r="Q39" s="322"/>
      <c r="R39" s="322"/>
      <c r="S39" s="322"/>
      <c r="T39" s="322"/>
      <c r="U39" s="322"/>
      <c r="V39" s="377"/>
      <c r="W39" s="378"/>
      <c r="X39" s="377"/>
      <c r="Y39" s="322"/>
      <c r="Z39" s="322"/>
      <c r="AA39" s="322"/>
      <c r="AB39" s="322"/>
      <c r="AC39" s="322"/>
      <c r="AD39" s="322"/>
      <c r="AE39" s="377"/>
      <c r="AF39" s="374"/>
    </row>
    <row r="40" spans="1:32" ht="17" x14ac:dyDescent="0.6">
      <c r="A40" s="151">
        <f>IF(C40&lt;&gt;"",COUNTA($C$12:C40),"")</f>
        <v>27</v>
      </c>
      <c r="B40" s="151"/>
      <c r="C40" s="274" t="s">
        <v>46</v>
      </c>
      <c r="D40" s="274"/>
      <c r="E40" s="293"/>
      <c r="G40" s="396" t="str">
        <f>+'Bill_Bos G2 p1'!G43</f>
        <v>Rates</v>
      </c>
      <c r="I40" s="396" t="str">
        <f>+'Bill_Bos G2 p1'!I43</f>
        <v>Rates</v>
      </c>
      <c r="J40" s="396" t="str">
        <f>+'Bill_Bos G2 p1'!J43</f>
        <v>Change</v>
      </c>
    </row>
    <row r="41" spans="1:32" ht="14" x14ac:dyDescent="0.3">
      <c r="A41" s="151">
        <f>IF(C41&lt;&gt;"",COUNTA($C$12:C41),"")</f>
        <v>28</v>
      </c>
      <c r="B41" s="151"/>
      <c r="C41" s="293" t="str">
        <f>'Bill_Bos G3 p1'!C41</f>
        <v>Customer Charge</v>
      </c>
      <c r="D41" s="293"/>
      <c r="E41" s="274"/>
      <c r="G41" s="454">
        <v>250</v>
      </c>
      <c r="H41" s="455"/>
      <c r="I41" s="454">
        <f>+G41</f>
        <v>250</v>
      </c>
      <c r="J41" s="421">
        <f>I41-G41</f>
        <v>0</v>
      </c>
    </row>
    <row r="42" spans="1:32" ht="14" x14ac:dyDescent="0.3">
      <c r="A42" s="151">
        <f>IF(C42&lt;&gt;"",COUNTA($C$12:C42),"")</f>
        <v>29</v>
      </c>
      <c r="B42" s="151"/>
      <c r="C42" s="293" t="str">
        <f>'Bill_Bos G3 p1'!C42</f>
        <v>Distribution Demand - Winter</v>
      </c>
      <c r="D42" s="293"/>
      <c r="E42" s="274"/>
      <c r="G42" s="454">
        <v>8.58</v>
      </c>
      <c r="H42" s="455"/>
      <c r="I42" s="454">
        <v>8.8699999999999992</v>
      </c>
      <c r="J42" s="421">
        <f t="shared" ref="J42:J64" si="18">I42-G42</f>
        <v>0.28999999999999915</v>
      </c>
    </row>
    <row r="43" spans="1:32" ht="14" x14ac:dyDescent="0.3">
      <c r="A43" s="151">
        <f>IF(C43&lt;&gt;"",COUNTA($C$12:C43),"")</f>
        <v>30</v>
      </c>
      <c r="B43" s="151"/>
      <c r="C43" s="293" t="str">
        <f>'Bill_Bos G3 p1'!C43</f>
        <v>Distribution Demand - Summer</v>
      </c>
      <c r="D43" s="293"/>
      <c r="E43" s="274"/>
      <c r="G43" s="454">
        <v>14.54</v>
      </c>
      <c r="H43" s="455"/>
      <c r="I43" s="454">
        <v>15.04</v>
      </c>
      <c r="J43" s="421">
        <f t="shared" si="18"/>
        <v>0.5</v>
      </c>
    </row>
    <row r="44" spans="1:32" ht="14" x14ac:dyDescent="0.3">
      <c r="A44" s="151">
        <f>IF(C44&lt;&gt;"",COUNTA($C$12:C44),"")</f>
        <v>31</v>
      </c>
      <c r="B44" s="151"/>
      <c r="C44" s="293" t="str">
        <f>'Bill_Bos G3 p1'!C44</f>
        <v>Transmission Demand</v>
      </c>
      <c r="D44" s="293"/>
      <c r="E44" s="274"/>
      <c r="G44" s="454">
        <v>10.28</v>
      </c>
      <c r="H44" s="448"/>
      <c r="I44" s="454">
        <v>9.0500000000000007</v>
      </c>
      <c r="J44" s="421">
        <f>I44-G44</f>
        <v>-1.2299999999999986</v>
      </c>
    </row>
    <row r="45" spans="1:32" ht="14" x14ac:dyDescent="0.3">
      <c r="A45" s="151">
        <f>IF(C45&lt;&gt;"",COUNTA($C$12:C45),"")</f>
        <v>32</v>
      </c>
      <c r="B45" s="151"/>
      <c r="C45" s="293" t="str">
        <f>'Bill_Bos G3 p1'!C45</f>
        <v>Distribution Energy</v>
      </c>
      <c r="D45" s="293"/>
      <c r="E45" s="274"/>
      <c r="G45" s="308">
        <v>0</v>
      </c>
      <c r="H45" s="400"/>
      <c r="I45" s="308">
        <v>0</v>
      </c>
      <c r="J45" s="354">
        <f t="shared" si="18"/>
        <v>0</v>
      </c>
    </row>
    <row r="46" spans="1:32" ht="14" x14ac:dyDescent="0.3">
      <c r="A46" s="151">
        <f>IF(C46&lt;&gt;"",COUNTA($C$12:C46),"")</f>
        <v>33</v>
      </c>
      <c r="B46" s="151"/>
      <c r="C46" s="293" t="str">
        <f>'Bill_Bos G3 p1'!C46</f>
        <v>Revenue Decoupling</v>
      </c>
      <c r="D46" s="293"/>
      <c r="E46" s="274"/>
      <c r="G46" s="308">
        <v>0</v>
      </c>
      <c r="H46" s="277"/>
      <c r="I46" s="277">
        <v>-2.4000000000000001E-4</v>
      </c>
      <c r="J46" s="354">
        <f t="shared" si="18"/>
        <v>-2.4000000000000001E-4</v>
      </c>
    </row>
    <row r="47" spans="1:32" ht="14" x14ac:dyDescent="0.3">
      <c r="A47" s="151">
        <f>IF(C47&lt;&gt;"",COUNTA($C$12:C47),"")</f>
        <v>34</v>
      </c>
      <c r="B47" s="151"/>
      <c r="C47" s="293" t="str">
        <f>'Bill_Bos G3 p1'!C47</f>
        <v>Residential Assistance Adjustment Factor</v>
      </c>
      <c r="D47" s="293"/>
      <c r="E47" s="274"/>
      <c r="G47" s="277">
        <v>1.47E-3</v>
      </c>
      <c r="H47" s="277"/>
      <c r="I47" s="277">
        <v>2.0300000000000001E-3</v>
      </c>
      <c r="J47" s="354">
        <f t="shared" si="18"/>
        <v>5.6000000000000017E-4</v>
      </c>
    </row>
    <row r="48" spans="1:32" ht="14" x14ac:dyDescent="0.3">
      <c r="A48" s="151">
        <f>IF(C48&lt;&gt;"",COUNTA($C$12:C48),"")</f>
        <v>35</v>
      </c>
      <c r="B48" s="151"/>
      <c r="C48" s="293" t="str">
        <f>'Bill_Bos G3 p1'!C48</f>
        <v>Pension Adjustment Factor</v>
      </c>
      <c r="D48" s="293"/>
      <c r="E48" s="274"/>
      <c r="G48" s="277">
        <v>-3.0000000000000001E-5</v>
      </c>
      <c r="H48" s="277"/>
      <c r="I48" s="277">
        <v>2.9999999999999997E-4</v>
      </c>
      <c r="J48" s="354">
        <f t="shared" si="18"/>
        <v>3.3E-4</v>
      </c>
    </row>
    <row r="49" spans="1:12" ht="14" x14ac:dyDescent="0.3">
      <c r="A49" s="151">
        <f>IF(C49&lt;&gt;"",COUNTA($C$12:C49),"")</f>
        <v>36</v>
      </c>
      <c r="B49" s="151"/>
      <c r="C49" s="293" t="str">
        <f>'Bill_Bos G3 p1'!C49</f>
        <v>Net Metering Recovery Surcharge</v>
      </c>
      <c r="D49" s="293"/>
      <c r="E49" s="274"/>
      <c r="G49" s="277">
        <v>2.8999999999999998E-3</v>
      </c>
      <c r="H49" s="277"/>
      <c r="I49" s="277">
        <v>2.64E-3</v>
      </c>
      <c r="J49" s="354">
        <f t="shared" si="18"/>
        <v>-2.5999999999999981E-4</v>
      </c>
    </row>
    <row r="50" spans="1:12" ht="14" x14ac:dyDescent="0.3">
      <c r="A50" s="151">
        <f>IF(C50&lt;&gt;"",COUNTA($C$12:C50),"")</f>
        <v>37</v>
      </c>
      <c r="B50" s="151"/>
      <c r="C50" s="293" t="str">
        <f>'Bill_Bos G3 p1'!C50</f>
        <v>Long Term Renewable Contract Adjustment</v>
      </c>
      <c r="D50" s="293"/>
      <c r="E50" s="274"/>
      <c r="G50" s="277">
        <v>2.3600000000000001E-3</v>
      </c>
      <c r="H50" s="277"/>
      <c r="I50" s="277">
        <v>1.74E-3</v>
      </c>
      <c r="J50" s="354">
        <f t="shared" si="18"/>
        <v>-6.2000000000000011E-4</v>
      </c>
    </row>
    <row r="51" spans="1:12" ht="14" x14ac:dyDescent="0.3">
      <c r="A51" s="151">
        <f>IF(C51&lt;&gt;"",COUNTA($C$12:C51),"")</f>
        <v>38</v>
      </c>
      <c r="B51" s="151"/>
      <c r="C51" s="293" t="str">
        <f>'Bill_Bos G3 p1'!C51</f>
        <v>AG Consulting Expense</v>
      </c>
      <c r="D51" s="293"/>
      <c r="E51" s="274"/>
      <c r="G51" s="277">
        <v>2.0000000000000002E-5</v>
      </c>
      <c r="H51" s="277"/>
      <c r="I51" s="277">
        <v>0</v>
      </c>
      <c r="J51" s="354">
        <f t="shared" si="18"/>
        <v>-2.0000000000000002E-5</v>
      </c>
    </row>
    <row r="52" spans="1:12" ht="14" x14ac:dyDescent="0.3">
      <c r="A52" s="151">
        <f>IF(C52&lt;&gt;"",COUNTA($C$12:C52),"")</f>
        <v>39</v>
      </c>
      <c r="B52" s="151"/>
      <c r="C52" s="293" t="str">
        <f>'Bill_Bos G3 p1'!C52</f>
        <v>Storm Cost Recovery Adjustment Factor</v>
      </c>
      <c r="D52" s="293"/>
      <c r="E52" s="274"/>
      <c r="G52" s="277">
        <v>9.1E-4</v>
      </c>
      <c r="H52" s="277"/>
      <c r="I52" s="277">
        <v>1.5399999999999999E-3</v>
      </c>
      <c r="J52" s="354">
        <f t="shared" si="18"/>
        <v>6.2999999999999992E-4</v>
      </c>
    </row>
    <row r="53" spans="1:12" ht="14" x14ac:dyDescent="0.3">
      <c r="A53" s="151">
        <f>IF(C53&lt;&gt;"",COUNTA($C$12:C53),"")</f>
        <v>40</v>
      </c>
      <c r="B53" s="151"/>
      <c r="C53" s="293" t="str">
        <f>'Bill_Bos G3 p1'!C53</f>
        <v>Storm Reserve Adjustment</v>
      </c>
      <c r="D53" s="293"/>
      <c r="E53" s="274"/>
      <c r="G53" s="277">
        <v>0</v>
      </c>
      <c r="H53" s="277"/>
      <c r="I53" s="277">
        <v>0</v>
      </c>
      <c r="J53" s="354">
        <f t="shared" si="18"/>
        <v>0</v>
      </c>
    </row>
    <row r="54" spans="1:12" ht="14" x14ac:dyDescent="0.3">
      <c r="A54" s="151">
        <f>IF(C54&lt;&gt;"",COUNTA($C$12:C54),"")</f>
        <v>41</v>
      </c>
      <c r="B54" s="151"/>
      <c r="C54" s="293" t="str">
        <f>'Bill_Bos G3 p1'!C54</f>
        <v>Basic Service Cost True Up Factor</v>
      </c>
      <c r="G54" s="277">
        <v>7.7999999999999999E-4</v>
      </c>
      <c r="H54" s="277"/>
      <c r="I54" s="277">
        <v>-1E-4</v>
      </c>
      <c r="J54" s="354">
        <f t="shared" si="18"/>
        <v>-8.8000000000000003E-4</v>
      </c>
    </row>
    <row r="55" spans="1:12" ht="14" x14ac:dyDescent="0.3">
      <c r="A55" s="151">
        <f>IF(C55&lt;&gt;"",COUNTA($C$12:C55),"")</f>
        <v>42</v>
      </c>
      <c r="B55" s="151"/>
      <c r="C55" s="293" t="str">
        <f>'Bill_Bos G3 p1'!C55</f>
        <v>Solar Program Cost Adjustment Factor</v>
      </c>
      <c r="D55" s="293"/>
      <c r="E55" s="274"/>
      <c r="G55" s="277">
        <v>0</v>
      </c>
      <c r="H55" s="277"/>
      <c r="I55" s="277">
        <v>2.0000000000000002E-5</v>
      </c>
      <c r="J55" s="354">
        <f t="shared" si="18"/>
        <v>2.0000000000000002E-5</v>
      </c>
    </row>
    <row r="56" spans="1:12" ht="14" x14ac:dyDescent="0.3">
      <c r="A56" s="151">
        <f>IF(C56&lt;&gt;"",COUNTA($C$12:C56),"")</f>
        <v>43</v>
      </c>
      <c r="B56" s="151"/>
      <c r="C56" s="293" t="str">
        <f>'Bill_Bos G3 p1'!C56</f>
        <v>Solar Expansion Cost Recovery Factor</v>
      </c>
      <c r="D56" s="293"/>
      <c r="E56" s="274"/>
      <c r="G56" s="277">
        <v>0</v>
      </c>
      <c r="H56" s="277"/>
      <c r="I56" s="277">
        <v>3.2000000000000003E-4</v>
      </c>
      <c r="J56" s="354">
        <f t="shared" si="18"/>
        <v>3.2000000000000003E-4</v>
      </c>
    </row>
    <row r="57" spans="1:12" ht="14" x14ac:dyDescent="0.3">
      <c r="A57" s="151">
        <f>IF(C57&lt;&gt;"",COUNTA($C$12:C57),"")</f>
        <v>44</v>
      </c>
      <c r="B57" s="151"/>
      <c r="C57" s="293" t="str">
        <f>'Bill_Bos G3 p1'!C57</f>
        <v>Vegetation Management</v>
      </c>
      <c r="D57" s="293"/>
      <c r="E57" s="274"/>
      <c r="G57" s="277">
        <v>0</v>
      </c>
      <c r="H57" s="277"/>
      <c r="I57" s="277">
        <v>5.2999999999999998E-4</v>
      </c>
      <c r="J57" s="354">
        <f t="shared" si="18"/>
        <v>5.2999999999999998E-4</v>
      </c>
    </row>
    <row r="58" spans="1:12" ht="14" x14ac:dyDescent="0.3">
      <c r="A58" s="151">
        <f>IF(C58&lt;&gt;"",COUNTA($C$12:C58),"")</f>
        <v>45</v>
      </c>
      <c r="B58" s="151"/>
      <c r="C58" s="293" t="str">
        <f>'Bill_Bos G3 p1'!C58</f>
        <v>Solar Massachusetts Renewable Target</v>
      </c>
      <c r="D58" s="339"/>
      <c r="E58" s="339"/>
      <c r="F58" s="277"/>
      <c r="G58" s="277">
        <v>0</v>
      </c>
      <c r="H58" s="277"/>
      <c r="I58" s="277">
        <v>3.6999999999999999E-4</v>
      </c>
      <c r="J58" s="354">
        <f t="shared" si="18"/>
        <v>3.6999999999999999E-4</v>
      </c>
      <c r="K58" s="339"/>
      <c r="L58" s="339"/>
    </row>
    <row r="59" spans="1:12" ht="14" x14ac:dyDescent="0.3">
      <c r="A59" s="151">
        <f>IF(C59&lt;&gt;"",COUNTA($C$12:C59),"")</f>
        <v>46</v>
      </c>
      <c r="B59" s="151"/>
      <c r="C59" s="293" t="str">
        <f>'Bill_Bos G3 p1'!C59</f>
        <v>Tax Act Credit Factor</v>
      </c>
      <c r="D59" s="339"/>
      <c r="E59" s="339"/>
      <c r="F59" s="277"/>
      <c r="G59" s="277">
        <v>0</v>
      </c>
      <c r="H59" s="277"/>
      <c r="I59" s="277">
        <v>-5.5999999999999995E-4</v>
      </c>
      <c r="J59" s="354">
        <f t="shared" si="18"/>
        <v>-5.5999999999999995E-4</v>
      </c>
      <c r="K59" s="339"/>
      <c r="L59" s="339"/>
    </row>
    <row r="60" spans="1:12" ht="14" x14ac:dyDescent="0.3">
      <c r="A60" s="151">
        <f>IF(C60&lt;&gt;"",COUNTA($C$12:C60),"")</f>
        <v>47</v>
      </c>
      <c r="B60" s="151"/>
      <c r="C60" s="293" t="str">
        <f>'Bill_Bos G3 p1'!C60</f>
        <v>Transition</v>
      </c>
      <c r="D60" s="293"/>
      <c r="E60" s="274"/>
      <c r="G60" s="308">
        <v>-6.0999999999999997E-4</v>
      </c>
      <c r="H60" s="277"/>
      <c r="I60" s="277">
        <v>-5.1999999999999995E-4</v>
      </c>
      <c r="J60" s="354">
        <f t="shared" si="18"/>
        <v>9.0000000000000019E-5</v>
      </c>
    </row>
    <row r="61" spans="1:12" ht="14" x14ac:dyDescent="0.3">
      <c r="A61" s="151">
        <f>IF(C61&lt;&gt;"",COUNTA($C$12:C61),"")</f>
        <v>48</v>
      </c>
      <c r="B61" s="151"/>
      <c r="C61" s="293" t="str">
        <f>'Bill_Bos G3 p1'!C61</f>
        <v>Energy Efficiency Reconciliation Factor</v>
      </c>
      <c r="D61" s="293"/>
      <c r="E61" s="274"/>
      <c r="G61" s="308">
        <v>8.4600000000000005E-3</v>
      </c>
      <c r="H61" s="400"/>
      <c r="I61" s="308">
        <v>8.4600000000000005E-3</v>
      </c>
      <c r="J61" s="354">
        <f t="shared" si="18"/>
        <v>0</v>
      </c>
    </row>
    <row r="62" spans="1:12" ht="14" x14ac:dyDescent="0.3">
      <c r="A62" s="151">
        <f>IF(C62&lt;&gt;"",COUNTA($C$12:C62),"")</f>
        <v>49</v>
      </c>
      <c r="B62" s="151"/>
      <c r="C62" s="293" t="str">
        <f>'Bill_Bos G3 p1'!C62</f>
        <v>System Benefits Charge</v>
      </c>
      <c r="D62" s="293"/>
      <c r="E62" s="274"/>
      <c r="G62" s="308">
        <v>2.5000000000000001E-3</v>
      </c>
      <c r="H62" s="400"/>
      <c r="I62" s="308">
        <f>+G62</f>
        <v>2.5000000000000001E-3</v>
      </c>
      <c r="J62" s="354">
        <f t="shared" si="18"/>
        <v>0</v>
      </c>
    </row>
    <row r="63" spans="1:12" ht="14" x14ac:dyDescent="0.3">
      <c r="A63" s="151">
        <f>IF(C63&lt;&gt;"",COUNTA($C$12:C63),"")</f>
        <v>50</v>
      </c>
      <c r="B63" s="151"/>
      <c r="C63" s="293" t="str">
        <f>'Bill_Bos G3 p1'!C63</f>
        <v>Renewable Energy Charge</v>
      </c>
      <c r="D63" s="293"/>
      <c r="E63" s="274"/>
      <c r="G63" s="308">
        <v>5.0000000000000001E-4</v>
      </c>
      <c r="H63" s="400"/>
      <c r="I63" s="308">
        <f>+G63</f>
        <v>5.0000000000000001E-4</v>
      </c>
      <c r="J63" s="354">
        <f t="shared" si="18"/>
        <v>0</v>
      </c>
    </row>
    <row r="64" spans="1:12" ht="14" x14ac:dyDescent="0.3">
      <c r="A64" s="151">
        <f>IF(C64&lt;&gt;"",COUNTA($C$12:C64),"")</f>
        <v>51</v>
      </c>
      <c r="B64" s="151"/>
      <c r="C64" s="293" t="str">
        <f>'Bill_Bos G3 p1'!C64</f>
        <v>Basic Service Charge</v>
      </c>
      <c r="D64" s="293"/>
      <c r="E64" s="274"/>
      <c r="G64" s="308">
        <v>0.12265999999999999</v>
      </c>
      <c r="H64" s="400"/>
      <c r="I64" s="308">
        <v>0.16148000000000001</v>
      </c>
      <c r="J64" s="354">
        <f t="shared" si="18"/>
        <v>3.8820000000000021E-2</v>
      </c>
    </row>
    <row r="65" spans="1:11" ht="14" x14ac:dyDescent="0.3">
      <c r="A65" s="151"/>
      <c r="B65" s="151"/>
      <c r="F65" s="293"/>
      <c r="G65" s="400"/>
      <c r="H65" s="403"/>
      <c r="I65" s="403"/>
      <c r="J65" s="400"/>
      <c r="K65" s="293"/>
    </row>
    <row r="66" spans="1:11" ht="14" x14ac:dyDescent="0.3">
      <c r="A66" s="151"/>
      <c r="B66" s="151"/>
      <c r="C66" s="458"/>
      <c r="D66" s="459"/>
      <c r="E66" s="460"/>
      <c r="F66" s="461"/>
      <c r="G66" s="403"/>
      <c r="H66" s="403"/>
      <c r="I66" s="462"/>
      <c r="J66" s="466"/>
      <c r="K66" s="293"/>
    </row>
    <row r="67" spans="1:11" ht="14" x14ac:dyDescent="0.3">
      <c r="A67" s="151"/>
      <c r="B67" s="151"/>
      <c r="C67" s="293" t="str">
        <f>'Bill_Bos G3 p1'!C67</f>
        <v>Total Demand - Winter</v>
      </c>
      <c r="G67" s="374">
        <f>G42+G44</f>
        <v>18.86</v>
      </c>
      <c r="H67" s="374"/>
      <c r="I67" s="374">
        <f>I42+I44</f>
        <v>17.920000000000002</v>
      </c>
      <c r="J67" s="421">
        <f t="shared" ref="J67:J70" si="19">I67-G67</f>
        <v>-0.93999999999999773</v>
      </c>
      <c r="K67" s="293"/>
    </row>
    <row r="68" spans="1:11" ht="14" x14ac:dyDescent="0.3">
      <c r="C68" s="293" t="str">
        <f>'Bill_Bos G3 p1'!C68</f>
        <v>Total Demand - Summer</v>
      </c>
      <c r="G68" s="374">
        <f>G43+G44</f>
        <v>24.82</v>
      </c>
      <c r="H68" s="374"/>
      <c r="I68" s="374">
        <f>I43+I44</f>
        <v>24.09</v>
      </c>
      <c r="J68" s="421">
        <f t="shared" si="19"/>
        <v>-0.73000000000000043</v>
      </c>
    </row>
    <row r="69" spans="1:11" ht="14" x14ac:dyDescent="0.3">
      <c r="C69" s="293" t="str">
        <f>'Bill_Bos G3 p1'!C69</f>
        <v>Total Energy</v>
      </c>
      <c r="G69" s="403">
        <f>SUM(G45:G60,G61:G63)</f>
        <v>1.9259999999999999E-2</v>
      </c>
      <c r="H69" s="403"/>
      <c r="I69" s="403">
        <f>SUM(I45:I60,I61:I63)</f>
        <v>1.9530000000000002E-2</v>
      </c>
      <c r="J69" s="354">
        <f t="shared" si="19"/>
        <v>2.7000000000000288E-4</v>
      </c>
    </row>
    <row r="70" spans="1:11" ht="14" x14ac:dyDescent="0.3">
      <c r="C70" s="293" t="str">
        <f>'Bill_Bos G3 p1'!C70</f>
        <v>Total Basic Service</v>
      </c>
      <c r="G70" s="403">
        <f>G64</f>
        <v>0.12265999999999999</v>
      </c>
      <c r="H70" s="403"/>
      <c r="I70" s="403">
        <f>I64</f>
        <v>0.16148000000000001</v>
      </c>
      <c r="J70" s="354">
        <f t="shared" si="19"/>
        <v>3.8820000000000021E-2</v>
      </c>
    </row>
    <row r="71" spans="1:11" ht="14" x14ac:dyDescent="0.3">
      <c r="G71" s="403"/>
      <c r="H71" s="403"/>
      <c r="I71" s="403"/>
      <c r="J71" s="403"/>
    </row>
    <row r="72" spans="1:11" ht="14" x14ac:dyDescent="0.3">
      <c r="G72" s="403"/>
      <c r="H72" s="403"/>
      <c r="I72" s="403"/>
      <c r="J72" s="403"/>
    </row>
    <row r="73" spans="1:11" ht="14" x14ac:dyDescent="0.3">
      <c r="G73" s="403"/>
      <c r="H73" s="403"/>
      <c r="I73" s="403"/>
      <c r="J73" s="403"/>
    </row>
    <row r="74" spans="1:11" ht="14" x14ac:dyDescent="0.3">
      <c r="G74" s="403"/>
      <c r="H74" s="403"/>
      <c r="I74" s="403"/>
      <c r="J74" s="403"/>
    </row>
    <row r="75" spans="1:11" ht="14" x14ac:dyDescent="0.3">
      <c r="G75" s="403"/>
      <c r="H75" s="403"/>
      <c r="I75" s="403"/>
      <c r="J75" s="403"/>
    </row>
    <row r="76" spans="1:11" ht="14" x14ac:dyDescent="0.3">
      <c r="G76" s="403"/>
      <c r="H76" s="403"/>
      <c r="I76" s="403"/>
      <c r="J76" s="403"/>
    </row>
    <row r="77" spans="1:11" ht="14" x14ac:dyDescent="0.3">
      <c r="G77" s="403"/>
      <c r="H77" s="403"/>
      <c r="I77" s="403"/>
      <c r="J77" s="403"/>
    </row>
    <row r="78" spans="1:11" ht="14" x14ac:dyDescent="0.3">
      <c r="G78" s="403"/>
      <c r="H78" s="403"/>
      <c r="I78" s="403"/>
      <c r="J78" s="403"/>
    </row>
    <row r="79" spans="1:11" ht="14" x14ac:dyDescent="0.3">
      <c r="G79" s="403"/>
      <c r="H79" s="403"/>
      <c r="I79" s="403"/>
      <c r="J79" s="403"/>
    </row>
    <row r="80" spans="1:11" ht="14" x14ac:dyDescent="0.3">
      <c r="G80" s="403"/>
      <c r="H80" s="403"/>
      <c r="I80" s="403"/>
      <c r="J80" s="403"/>
    </row>
    <row r="81" spans="7:10" ht="14" x14ac:dyDescent="0.3">
      <c r="G81" s="403"/>
      <c r="H81" s="403"/>
      <c r="I81" s="403"/>
      <c r="J81" s="403"/>
    </row>
    <row r="82" spans="7:10" ht="14" x14ac:dyDescent="0.3">
      <c r="G82" s="403"/>
      <c r="H82" s="403"/>
      <c r="I82" s="403"/>
      <c r="J82" s="403"/>
    </row>
    <row r="83" spans="7:10" ht="14" x14ac:dyDescent="0.3">
      <c r="G83" s="403"/>
      <c r="H83" s="403"/>
      <c r="I83" s="403"/>
      <c r="J83" s="403"/>
    </row>
    <row r="84" spans="7:10" ht="14" x14ac:dyDescent="0.3">
      <c r="G84" s="403"/>
      <c r="H84" s="403"/>
      <c r="I84" s="403"/>
      <c r="J84" s="403"/>
    </row>
    <row r="85" spans="7:10" ht="14" x14ac:dyDescent="0.3">
      <c r="G85" s="403"/>
      <c r="H85" s="403"/>
      <c r="I85" s="403"/>
      <c r="J85" s="403"/>
    </row>
    <row r="86" spans="7:10" ht="14" x14ac:dyDescent="0.3">
      <c r="G86" s="403"/>
      <c r="H86" s="403"/>
      <c r="I86" s="403"/>
      <c r="J86" s="403"/>
    </row>
    <row r="87" spans="7:10" ht="14" x14ac:dyDescent="0.3">
      <c r="G87" s="403"/>
      <c r="H87" s="403"/>
      <c r="I87" s="403"/>
      <c r="J87" s="403"/>
    </row>
    <row r="88" spans="7:10" ht="14" x14ac:dyDescent="0.3">
      <c r="G88" s="403"/>
      <c r="H88" s="403"/>
      <c r="I88" s="403"/>
      <c r="J88" s="403"/>
    </row>
    <row r="89" spans="7:10" ht="14" x14ac:dyDescent="0.3">
      <c r="G89" s="403"/>
      <c r="H89" s="403"/>
      <c r="I89" s="403"/>
      <c r="J89" s="403"/>
    </row>
    <row r="90" spans="7:10" ht="14" x14ac:dyDescent="0.3">
      <c r="G90" s="403"/>
      <c r="H90" s="403"/>
      <c r="I90" s="403"/>
      <c r="J90" s="403"/>
    </row>
    <row r="91" spans="7:10" ht="14" x14ac:dyDescent="0.3">
      <c r="G91" s="403"/>
      <c r="H91" s="403"/>
      <c r="I91" s="403"/>
      <c r="J91" s="403"/>
    </row>
    <row r="92" spans="7:10" ht="14" x14ac:dyDescent="0.3">
      <c r="G92" s="403"/>
      <c r="H92" s="403"/>
      <c r="I92" s="403"/>
      <c r="J92" s="403"/>
    </row>
    <row r="93" spans="7:10" ht="14" x14ac:dyDescent="0.3">
      <c r="G93" s="403"/>
      <c r="H93" s="403"/>
      <c r="I93" s="403"/>
      <c r="J93" s="403"/>
    </row>
    <row r="94" spans="7:10" ht="14" x14ac:dyDescent="0.3">
      <c r="G94" s="403"/>
      <c r="H94" s="403"/>
      <c r="I94" s="403"/>
      <c r="J94" s="403"/>
    </row>
  </sheetData>
  <mergeCells count="12">
    <mergeCell ref="E13:G13"/>
    <mergeCell ref="I13:K13"/>
    <mergeCell ref="M13:N13"/>
    <mergeCell ref="E26:G26"/>
    <mergeCell ref="I26:K26"/>
    <mergeCell ref="M26:N26"/>
    <mergeCell ref="A9:N9"/>
    <mergeCell ref="A4:N4"/>
    <mergeCell ref="A5:N5"/>
    <mergeCell ref="A6:N6"/>
    <mergeCell ref="A7:N7"/>
    <mergeCell ref="A8:N8"/>
  </mergeCells>
  <pageMargins left="0.7" right="0.7" top="0.75" bottom="0.75" header="0.3" footer="0.3"/>
  <pageSetup scale="64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E4270-D4AB-4B45-B58B-AA9450122FD2}">
  <sheetPr>
    <tabColor theme="9" tint="0.59999389629810485"/>
    <pageSetUpPr fitToPage="1"/>
  </sheetPr>
  <dimension ref="A4:N76"/>
  <sheetViews>
    <sheetView workbookViewId="0"/>
  </sheetViews>
  <sheetFormatPr defaultRowHeight="12.5" x14ac:dyDescent="0.25"/>
  <cols>
    <col min="1" max="1" width="3.26953125" bestFit="1" customWidth="1"/>
    <col min="2" max="2" width="41.7265625" customWidth="1"/>
    <col min="3" max="3" width="8.7265625" customWidth="1"/>
    <col min="4" max="4" width="1.26953125" customWidth="1"/>
    <col min="5" max="5" width="15.7265625" customWidth="1"/>
    <col min="6" max="6" width="1.26953125" customWidth="1"/>
    <col min="7" max="7" width="13.7265625" customWidth="1"/>
    <col min="8" max="8" width="1.26953125" customWidth="1"/>
    <col min="9" max="9" width="15.7265625" customWidth="1"/>
    <col min="10" max="10" width="11" bestFit="1" customWidth="1"/>
    <col min="11" max="11" width="1.26953125" customWidth="1"/>
    <col min="12" max="12" width="13.7265625" customWidth="1"/>
    <col min="13" max="13" width="1.26953125" customWidth="1"/>
    <col min="14" max="14" width="15.7265625" customWidth="1"/>
  </cols>
  <sheetData>
    <row r="4" spans="1:14" ht="14" x14ac:dyDescent="0.3">
      <c r="A4" s="748" t="str">
        <f>'R1 EMA'!A4:N4</f>
        <v>Eastern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4" ht="14" x14ac:dyDescent="0.3">
      <c r="A5" s="748" t="str">
        <f>'R1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4" ht="14" x14ac:dyDescent="0.3">
      <c r="A6" s="205"/>
      <c r="C6" s="205"/>
      <c r="D6" s="205"/>
      <c r="E6" s="206"/>
      <c r="F6" s="207"/>
      <c r="G6" s="208"/>
      <c r="H6" s="209"/>
      <c r="I6" s="210"/>
      <c r="J6" s="210"/>
      <c r="K6" s="210"/>
      <c r="L6" s="211"/>
      <c r="M6" s="211"/>
      <c r="N6" s="212"/>
    </row>
    <row r="7" spans="1:14" ht="14" x14ac:dyDescent="0.3">
      <c r="A7" s="748" t="s">
        <v>336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4" ht="14" x14ac:dyDescent="0.3">
      <c r="B8" s="207"/>
      <c r="C8" s="207"/>
      <c r="D8" s="207"/>
      <c r="E8" s="213"/>
      <c r="F8" s="207"/>
      <c r="I8" s="210"/>
      <c r="J8" s="210"/>
      <c r="K8" s="210"/>
      <c r="L8" s="214"/>
      <c r="M8" s="214"/>
      <c r="N8" s="215"/>
    </row>
    <row r="9" spans="1:14" ht="14.5" thickBot="1" x14ac:dyDescent="0.35">
      <c r="A9" s="151"/>
      <c r="B9" s="216" t="s">
        <v>46</v>
      </c>
      <c r="C9" s="216"/>
      <c r="D9" s="216"/>
      <c r="E9" s="217" t="s">
        <v>144</v>
      </c>
      <c r="F9" s="216"/>
      <c r="G9" s="749" t="s">
        <v>63</v>
      </c>
      <c r="H9" s="749"/>
      <c r="I9" s="749"/>
      <c r="J9" s="218"/>
      <c r="K9" s="216"/>
      <c r="L9" s="750" t="s">
        <v>64</v>
      </c>
      <c r="M9" s="750"/>
      <c r="N9" s="750"/>
    </row>
    <row r="10" spans="1:14" ht="14" x14ac:dyDescent="0.3">
      <c r="A10" s="151"/>
      <c r="B10" s="219" t="s">
        <v>293</v>
      </c>
      <c r="C10" s="220" t="s">
        <v>294</v>
      </c>
      <c r="D10" s="220"/>
      <c r="E10" s="221" t="s">
        <v>295</v>
      </c>
      <c r="F10" s="222"/>
      <c r="G10" s="223" t="s">
        <v>211</v>
      </c>
      <c r="H10" s="223"/>
      <c r="I10" s="223" t="s">
        <v>148</v>
      </c>
      <c r="J10" s="224"/>
      <c r="K10" s="222"/>
      <c r="L10" s="225" t="s">
        <v>211</v>
      </c>
      <c r="M10" s="226"/>
      <c r="N10" s="227" t="s">
        <v>148</v>
      </c>
    </row>
    <row r="11" spans="1:14" ht="14" x14ac:dyDescent="0.3">
      <c r="A11" s="151" t="str">
        <f>IF(B11&lt;&gt;"",COUNTA($B$9:B11),"")</f>
        <v/>
      </c>
      <c r="B11" s="228"/>
      <c r="C11" s="220"/>
      <c r="D11" s="220"/>
      <c r="E11" s="213" t="s">
        <v>66</v>
      </c>
      <c r="F11" s="222"/>
      <c r="G11" s="229" t="s">
        <v>67</v>
      </c>
      <c r="H11" s="230"/>
      <c r="I11" s="231" t="s">
        <v>68</v>
      </c>
      <c r="J11" s="231" t="s">
        <v>69</v>
      </c>
      <c r="K11" s="222"/>
      <c r="L11" s="226" t="s">
        <v>70</v>
      </c>
      <c r="M11" s="230"/>
      <c r="N11" s="231" t="s">
        <v>71</v>
      </c>
    </row>
    <row r="12" spans="1:14" ht="14" x14ac:dyDescent="0.3">
      <c r="A12" s="151">
        <f>IF(B12&lt;&gt;"",COUNTA($B$12:B12),"")</f>
        <v>1</v>
      </c>
      <c r="B12" s="232" t="str">
        <f>+'R1 EMA'!B12</f>
        <v>Customer Charge</v>
      </c>
      <c r="C12" s="233" t="str">
        <f>+'R1 EMA'!C12</f>
        <v>CUST</v>
      </c>
      <c r="D12" s="233"/>
      <c r="E12" s="234">
        <v>1031862.8647770784</v>
      </c>
      <c r="F12" s="207"/>
      <c r="G12" s="209">
        <v>7</v>
      </c>
      <c r="H12" s="209"/>
      <c r="I12" s="210">
        <f>G12*E12</f>
        <v>7223040.0534395482</v>
      </c>
      <c r="J12" s="235"/>
      <c r="K12" s="210"/>
      <c r="L12" s="209">
        <v>7</v>
      </c>
      <c r="M12" s="211"/>
      <c r="N12" s="210">
        <f>L12*E12</f>
        <v>7223040.0534395482</v>
      </c>
    </row>
    <row r="13" spans="1:14" ht="14" x14ac:dyDescent="0.3">
      <c r="A13" s="151">
        <f>IF(B13&lt;&gt;"",COUNTA($B$12:B13),"")</f>
        <v>2</v>
      </c>
      <c r="B13" s="232" t="str">
        <f>+'R1 EMA'!B13</f>
        <v>Distribution Energy</v>
      </c>
      <c r="C13" s="233" t="str">
        <f>+'R1 EMA'!C13</f>
        <v>DKWH</v>
      </c>
      <c r="D13" s="233"/>
      <c r="E13" s="234">
        <v>462949190.9056319</v>
      </c>
      <c r="F13" s="207"/>
      <c r="G13" s="236">
        <v>4.3720000000000002E-2</v>
      </c>
      <c r="H13" s="209"/>
      <c r="I13" s="237">
        <f>G13*E13</f>
        <v>20240138.626394227</v>
      </c>
      <c r="J13" s="235"/>
      <c r="K13" s="210"/>
      <c r="L13" s="236">
        <v>4.5629999999999997E-2</v>
      </c>
      <c r="M13" s="211"/>
      <c r="N13" s="237">
        <f t="shared" ref="N13" si="0">L13*E13</f>
        <v>21124371.581023984</v>
      </c>
    </row>
    <row r="14" spans="1:14" ht="14" x14ac:dyDescent="0.3">
      <c r="A14" s="151">
        <f>IF(B14&lt;&gt;"",COUNTA($B$12:B14),"")</f>
        <v>3</v>
      </c>
      <c r="B14" s="232" t="str">
        <f>+'R1 EMA'!B14</f>
        <v>Total Distribution</v>
      </c>
      <c r="C14" s="233" t="str">
        <f>+'R1 EMA'!C14</f>
        <v>DIST</v>
      </c>
      <c r="D14" s="233"/>
      <c r="E14" s="234"/>
      <c r="F14" s="207"/>
      <c r="G14" s="209"/>
      <c r="H14" s="209"/>
      <c r="I14" s="210">
        <f>SUM(I12:I13)</f>
        <v>27463178.679833777</v>
      </c>
      <c r="J14" s="235"/>
      <c r="K14" s="210"/>
      <c r="L14" s="238"/>
      <c r="M14" s="211"/>
      <c r="N14" s="210">
        <f>SUM(N12:N13)</f>
        <v>28347411.634463534</v>
      </c>
    </row>
    <row r="15" spans="1:14" ht="14" x14ac:dyDescent="0.3">
      <c r="A15" s="151" t="str">
        <f>IF(B15&lt;&gt;"",COUNTA($B$12:B15),"")</f>
        <v/>
      </c>
      <c r="B15" s="207"/>
      <c r="C15" s="233"/>
      <c r="D15" s="233"/>
      <c r="E15" s="234"/>
      <c r="F15" s="207"/>
      <c r="G15" s="209"/>
      <c r="H15" s="209"/>
      <c r="I15" s="210"/>
      <c r="J15" s="235"/>
      <c r="K15" s="210"/>
      <c r="L15" s="238"/>
      <c r="M15" s="211"/>
      <c r="N15" s="210"/>
    </row>
    <row r="16" spans="1:14" ht="14" x14ac:dyDescent="0.3">
      <c r="A16" s="151">
        <f>IF(B16&lt;&gt;"",COUNTA($B$12:B16),"")</f>
        <v>4</v>
      </c>
      <c r="B16" s="228" t="s">
        <v>302</v>
      </c>
      <c r="F16" s="239"/>
      <c r="G16" s="240"/>
      <c r="H16" s="211"/>
      <c r="I16" s="210"/>
      <c r="K16" s="210"/>
      <c r="L16" s="241"/>
      <c r="M16" s="211"/>
      <c r="N16" s="210"/>
    </row>
    <row r="17" spans="1:14" ht="14" x14ac:dyDescent="0.3">
      <c r="A17" s="151">
        <f>IF(B17&lt;&gt;"",COUNTA($B$12:B17),"")</f>
        <v>5</v>
      </c>
      <c r="B17" s="207" t="str">
        <f>'R1 EMA'!B17</f>
        <v>Revenue Decoupling</v>
      </c>
      <c r="C17" s="233" t="str">
        <f>+'R1 EMA'!C17</f>
        <v>RDAF</v>
      </c>
      <c r="D17" s="233"/>
      <c r="E17" s="242"/>
      <c r="F17" s="239"/>
      <c r="G17" s="236">
        <v>0</v>
      </c>
      <c r="H17" s="241"/>
      <c r="I17" s="210">
        <f>G17*$E$13</f>
        <v>0</v>
      </c>
      <c r="K17" s="210"/>
      <c r="L17" s="236">
        <v>-5.7076909658183481E-4</v>
      </c>
      <c r="M17" s="211"/>
      <c r="N17" s="210">
        <f>$E$13*L17</f>
        <v>-264237.09145649889</v>
      </c>
    </row>
    <row r="18" spans="1:14" ht="14" x14ac:dyDescent="0.3">
      <c r="A18" s="151">
        <f>IF(B18&lt;&gt;"",COUNTA($B$12:B18),"")</f>
        <v>6</v>
      </c>
      <c r="B18" s="207" t="str">
        <f>'R1 EMA'!B18</f>
        <v>Residential Assistance Adjustment Factor</v>
      </c>
      <c r="C18" s="233" t="str">
        <f>+'R1 EMA'!C18</f>
        <v>RAAF</v>
      </c>
      <c r="D18" s="243"/>
      <c r="E18" s="206"/>
      <c r="F18" s="239"/>
      <c r="G18" s="236">
        <v>3.7499999999999999E-3</v>
      </c>
      <c r="H18" s="241"/>
      <c r="I18" s="210">
        <f t="shared" ref="I18:I31" si="1">G18*$E$13</f>
        <v>1736059.4658961196</v>
      </c>
      <c r="K18" s="210"/>
      <c r="L18" s="236">
        <v>4.8220108323451796E-3</v>
      </c>
      <c r="M18" s="211"/>
      <c r="N18" s="210">
        <f t="shared" ref="N18:N31" si="2">$E$13*L18</f>
        <v>2232346.0133723933</v>
      </c>
    </row>
    <row r="19" spans="1:14" ht="14" x14ac:dyDescent="0.3">
      <c r="A19" s="151">
        <f>IF(B19&lt;&gt;"",COUNTA($B$12:B19),"")</f>
        <v>7</v>
      </c>
      <c r="B19" s="207" t="str">
        <f>'R1 EMA'!B19</f>
        <v>Pension Adjustment Factor</v>
      </c>
      <c r="C19" s="233" t="str">
        <f>+'R1 EMA'!C19</f>
        <v>PAF</v>
      </c>
      <c r="D19" s="243"/>
      <c r="E19" s="206"/>
      <c r="F19" s="239"/>
      <c r="G19" s="236">
        <v>-1.1E-4</v>
      </c>
      <c r="H19" s="241"/>
      <c r="I19" s="210">
        <f t="shared" si="1"/>
        <v>-50924.410999619511</v>
      </c>
      <c r="K19" s="210"/>
      <c r="L19" s="236">
        <v>9.3055115118339735E-4</v>
      </c>
      <c r="M19" s="211"/>
      <c r="N19" s="210">
        <f t="shared" si="2"/>
        <v>430797.90253665816</v>
      </c>
    </row>
    <row r="20" spans="1:14" ht="14" x14ac:dyDescent="0.3">
      <c r="A20" s="151">
        <f>IF(B20&lt;&gt;"",COUNTA($B$12:B20),"")</f>
        <v>8</v>
      </c>
      <c r="B20" s="207" t="str">
        <f>'R1 EMA'!B20</f>
        <v>Net Metering Recovery Surcharge</v>
      </c>
      <c r="C20" s="233" t="str">
        <f>+'R1 EMA'!C20</f>
        <v>NMRS</v>
      </c>
      <c r="D20" s="243"/>
      <c r="E20" s="206"/>
      <c r="F20" s="239"/>
      <c r="G20" s="236">
        <v>7.3800000000000003E-3</v>
      </c>
      <c r="H20" s="241"/>
      <c r="I20" s="210">
        <f t="shared" si="1"/>
        <v>3416565.0288835634</v>
      </c>
      <c r="K20" s="210"/>
      <c r="L20" s="236">
        <v>6.2875153330074329E-3</v>
      </c>
      <c r="M20" s="211"/>
      <c r="N20" s="210">
        <f t="shared" si="2"/>
        <v>2910800.136222546</v>
      </c>
    </row>
    <row r="21" spans="1:14" ht="14" x14ac:dyDescent="0.3">
      <c r="A21" s="151">
        <f>IF(B21&lt;&gt;"",COUNTA($B$12:B21),"")</f>
        <v>9</v>
      </c>
      <c r="B21" s="207" t="str">
        <f>'R1 EMA'!B21</f>
        <v>Long Term Renewable Contract Adjustment</v>
      </c>
      <c r="C21" s="233" t="str">
        <f>+'R1 EMA'!C21</f>
        <v>LTRCA</v>
      </c>
      <c r="D21" s="243"/>
      <c r="E21" s="206"/>
      <c r="F21" s="239"/>
      <c r="G21" s="236">
        <v>2.3600000000000001E-3</v>
      </c>
      <c r="H21" s="241"/>
      <c r="I21" s="210">
        <f t="shared" si="1"/>
        <v>1092560.0905372913</v>
      </c>
      <c r="K21" s="210"/>
      <c r="L21" s="236">
        <v>1.7357128782064517E-3</v>
      </c>
      <c r="M21" s="211"/>
      <c r="N21" s="210">
        <f t="shared" si="2"/>
        <v>803546.87261016248</v>
      </c>
    </row>
    <row r="22" spans="1:14" ht="14" x14ac:dyDescent="0.3">
      <c r="A22" s="151">
        <f>IF(B22&lt;&gt;"",COUNTA($B$12:B22),"")</f>
        <v>10</v>
      </c>
      <c r="B22" s="207" t="str">
        <f>'R1 EMA'!B22</f>
        <v>AG Consulting Expense</v>
      </c>
      <c r="C22" s="233" t="str">
        <f>+'R1 EMA'!C22</f>
        <v>AGCE</v>
      </c>
      <c r="D22" s="243"/>
      <c r="E22" s="206"/>
      <c r="F22" s="239"/>
      <c r="G22" s="236">
        <v>4.0000000000000003E-5</v>
      </c>
      <c r="H22" s="241"/>
      <c r="I22" s="210">
        <f t="shared" si="1"/>
        <v>18517.967636225276</v>
      </c>
      <c r="K22" s="210"/>
      <c r="L22" s="236">
        <v>1.0124423986742032E-5</v>
      </c>
      <c r="M22" s="211"/>
      <c r="N22" s="210">
        <f t="shared" si="2"/>
        <v>4687.093893047796</v>
      </c>
    </row>
    <row r="23" spans="1:14" ht="14" x14ac:dyDescent="0.3">
      <c r="A23" s="151">
        <f>IF(B23&lt;&gt;"",COUNTA($B$12:B23),"")</f>
        <v>11</v>
      </c>
      <c r="B23" s="207" t="str">
        <f>'R1 EMA'!B23</f>
        <v>Storm Cost Recovery Adjustment Factor</v>
      </c>
      <c r="C23" s="233" t="str">
        <f>+'R1 EMA'!C23</f>
        <v>SCRA</v>
      </c>
      <c r="D23" s="243"/>
      <c r="E23" s="206"/>
      <c r="F23" s="239"/>
      <c r="G23" s="236">
        <v>2.31E-3</v>
      </c>
      <c r="H23" s="241"/>
      <c r="I23" s="210">
        <f t="shared" si="1"/>
        <v>1069412.6309920098</v>
      </c>
      <c r="K23" s="210"/>
      <c r="L23" s="236">
        <v>3.6454007574825073E-3</v>
      </c>
      <c r="M23" s="211"/>
      <c r="N23" s="210">
        <f t="shared" si="2"/>
        <v>1687635.3312033045</v>
      </c>
    </row>
    <row r="24" spans="1:14" ht="14" x14ac:dyDescent="0.3">
      <c r="A24" s="151">
        <f>IF(B24&lt;&gt;"",COUNTA($B$12:B24),"")</f>
        <v>12</v>
      </c>
      <c r="B24" s="207" t="str">
        <f>'R1 EMA'!B24</f>
        <v>Storm Reserve Adjustment</v>
      </c>
      <c r="C24" s="233" t="str">
        <f>+'R1 EMA'!C24</f>
        <v>SRA</v>
      </c>
      <c r="D24" s="243"/>
      <c r="E24" s="206"/>
      <c r="F24" s="239"/>
      <c r="G24" s="236">
        <v>0</v>
      </c>
      <c r="H24" s="241"/>
      <c r="I24" s="210">
        <f t="shared" si="1"/>
        <v>0</v>
      </c>
      <c r="K24" s="210"/>
      <c r="L24" s="236">
        <v>0</v>
      </c>
      <c r="M24" s="211"/>
      <c r="N24" s="210">
        <f t="shared" si="2"/>
        <v>0</v>
      </c>
    </row>
    <row r="25" spans="1:14" ht="14" x14ac:dyDescent="0.3">
      <c r="A25" s="151">
        <f>IF(B25&lt;&gt;"",COUNTA($B$12:B25),"")</f>
        <v>13</v>
      </c>
      <c r="B25" s="207" t="str">
        <f>'R1 EMA'!B25</f>
        <v>Basic Service Cost True Up Factor</v>
      </c>
      <c r="C25" s="233" t="str">
        <f>+'R1 EMA'!C25</f>
        <v>BSTF</v>
      </c>
      <c r="D25" s="233"/>
      <c r="E25" s="206"/>
      <c r="F25" s="239"/>
      <c r="G25" s="236">
        <v>2E-3</v>
      </c>
      <c r="H25" s="241"/>
      <c r="I25" s="210">
        <f t="shared" si="1"/>
        <v>925898.38181126385</v>
      </c>
      <c r="K25" s="210"/>
      <c r="L25" s="236">
        <v>-2.3927999362629402E-4</v>
      </c>
      <c r="M25" s="211"/>
      <c r="N25" s="210">
        <f t="shared" si="2"/>
        <v>-110774.47944919758</v>
      </c>
    </row>
    <row r="26" spans="1:14" ht="14" x14ac:dyDescent="0.3">
      <c r="A26" s="151">
        <f>IF(B26&lt;&gt;"",COUNTA($B$12:B26),"")</f>
        <v>14</v>
      </c>
      <c r="B26" s="207" t="str">
        <f>'R1 EMA'!B26</f>
        <v>Solar Program Cost Adjustment Factor</v>
      </c>
      <c r="C26" s="233" t="str">
        <f>+'R1 EMA'!C26</f>
        <v>SPCA</v>
      </c>
      <c r="D26" s="243"/>
      <c r="E26" s="206"/>
      <c r="F26" s="239"/>
      <c r="G26" s="236">
        <v>0</v>
      </c>
      <c r="H26" s="241"/>
      <c r="I26" s="210">
        <f t="shared" si="1"/>
        <v>0</v>
      </c>
      <c r="K26" s="210"/>
      <c r="L26" s="236">
        <v>4.2583348640532346E-5</v>
      </c>
      <c r="M26" s="211"/>
      <c r="N26" s="210">
        <f t="shared" si="2"/>
        <v>19713.926799186891</v>
      </c>
    </row>
    <row r="27" spans="1:14" ht="14" x14ac:dyDescent="0.3">
      <c r="A27" s="151">
        <f>IF(B27&lt;&gt;"",COUNTA($B$12:B27),"")</f>
        <v>15</v>
      </c>
      <c r="B27" s="207" t="str">
        <f>'R1 EMA'!B27</f>
        <v>Solar Expansion Cost Recovery Factor</v>
      </c>
      <c r="C27" s="233" t="str">
        <f>+'R1 EMA'!C27</f>
        <v>SECRF</v>
      </c>
      <c r="D27" s="243"/>
      <c r="E27" s="206"/>
      <c r="F27" s="239"/>
      <c r="G27" s="236">
        <v>0</v>
      </c>
      <c r="H27" s="241"/>
      <c r="I27" s="210">
        <f t="shared" si="1"/>
        <v>0</v>
      </c>
      <c r="K27" s="210"/>
      <c r="L27" s="236">
        <v>7.5107285098997844E-4</v>
      </c>
      <c r="M27" s="211"/>
      <c r="N27" s="210">
        <f t="shared" si="2"/>
        <v>347708.56867699674</v>
      </c>
    </row>
    <row r="28" spans="1:14" ht="14" x14ac:dyDescent="0.3">
      <c r="A28" s="151">
        <f>IF(B28&lt;&gt;"",COUNTA($B$12:B28),"")</f>
        <v>16</v>
      </c>
      <c r="B28" s="207" t="str">
        <f>'R1 EMA'!B28</f>
        <v>Vegetation Management</v>
      </c>
      <c r="C28" s="233" t="str">
        <f>+'R1 EMA'!C28</f>
        <v>RTWF</v>
      </c>
      <c r="D28" s="243"/>
      <c r="E28" s="206"/>
      <c r="F28" s="239"/>
      <c r="G28" s="236">
        <v>0</v>
      </c>
      <c r="H28" s="241"/>
      <c r="I28" s="210">
        <f t="shared" si="1"/>
        <v>0</v>
      </c>
      <c r="K28" s="210"/>
      <c r="L28" s="236">
        <v>1.6660010722404932E-3</v>
      </c>
      <c r="M28" s="211"/>
      <c r="N28" s="210">
        <f t="shared" si="2"/>
        <v>771273.84844165156</v>
      </c>
    </row>
    <row r="29" spans="1:14" ht="14" x14ac:dyDescent="0.3">
      <c r="A29" s="151">
        <f>IF(B29&lt;&gt;"",COUNTA($B$12:B29),"")</f>
        <v>17</v>
      </c>
      <c r="B29" s="207" t="str">
        <f>'R1 EMA'!B29</f>
        <v>Solar Massachusetts Renewable Target</v>
      </c>
      <c r="C29" s="233" t="str">
        <f>+'R1 EMA'!C29</f>
        <v>SMART</v>
      </c>
      <c r="D29" s="243"/>
      <c r="E29" s="206"/>
      <c r="F29" s="239"/>
      <c r="G29" s="236">
        <v>0</v>
      </c>
      <c r="H29" s="241"/>
      <c r="I29" s="210">
        <f t="shared" si="1"/>
        <v>0</v>
      </c>
      <c r="K29" s="210"/>
      <c r="L29" s="236">
        <v>8.7998724183282182E-4</v>
      </c>
      <c r="M29" s="211"/>
      <c r="N29" s="210">
        <f t="shared" si="2"/>
        <v>407389.38161378348</v>
      </c>
    </row>
    <row r="30" spans="1:14" ht="14" x14ac:dyDescent="0.3">
      <c r="A30" s="151">
        <f>IF(B30&lt;&gt;"",COUNTA($B$12:B30),"")</f>
        <v>18</v>
      </c>
      <c r="B30" s="207" t="str">
        <f>'R1 EMA'!B30</f>
        <v>Tax Act Credit Factor</v>
      </c>
      <c r="C30" s="233" t="str">
        <f>+'R1 EMA'!C30</f>
        <v>TACF</v>
      </c>
      <c r="D30" s="243"/>
      <c r="E30" s="206"/>
      <c r="F30" s="239"/>
      <c r="G30" s="236">
        <v>0</v>
      </c>
      <c r="H30" s="241"/>
      <c r="I30" s="210">
        <f t="shared" si="1"/>
        <v>0</v>
      </c>
      <c r="K30" s="210"/>
      <c r="L30" s="236">
        <v>-1.3321536749540959E-3</v>
      </c>
      <c r="M30" s="211"/>
      <c r="N30" s="210">
        <f t="shared" si="2"/>
        <v>-616719.46598196286</v>
      </c>
    </row>
    <row r="31" spans="1:14" ht="14" x14ac:dyDescent="0.3">
      <c r="A31" s="151">
        <f>IF(B31&lt;&gt;"",COUNTA($B$12:B31),"")</f>
        <v>19</v>
      </c>
      <c r="B31" s="207" t="str">
        <f>'R1 EMA'!B31</f>
        <v>Transition</v>
      </c>
      <c r="C31" s="233" t="str">
        <f>+'R1 EMA'!C31</f>
        <v>TRNSN</v>
      </c>
      <c r="D31" s="233"/>
      <c r="E31" s="206"/>
      <c r="F31" s="239"/>
      <c r="G31" s="236">
        <v>-6.0999999999999997E-4</v>
      </c>
      <c r="H31" s="241"/>
      <c r="I31" s="210">
        <f t="shared" si="1"/>
        <v>-282399.00645243545</v>
      </c>
      <c r="K31" s="210"/>
      <c r="L31" s="236">
        <v>-5.210932140356871E-4</v>
      </c>
      <c r="M31" s="211"/>
      <c r="N31" s="210">
        <f t="shared" si="2"/>
        <v>-241239.68182423661</v>
      </c>
    </row>
    <row r="32" spans="1:14" ht="14" x14ac:dyDescent="0.3">
      <c r="A32" s="151">
        <f>IF(B32&lt;&gt;"",COUNTA($B$12:B32),"")</f>
        <v>20</v>
      </c>
      <c r="B32" s="207" t="str">
        <f>'R1 EMA'!B32</f>
        <v>Transmission Energy</v>
      </c>
      <c r="C32" s="233" t="str">
        <f>+'R1 EMA'!C32</f>
        <v>TMKWH</v>
      </c>
      <c r="D32" s="233"/>
      <c r="E32" s="206"/>
      <c r="F32" s="239"/>
      <c r="G32" s="236">
        <v>3.058E-2</v>
      </c>
      <c r="H32" s="211"/>
      <c r="I32" s="210">
        <f>G32*$E$13</f>
        <v>14156986.257894224</v>
      </c>
      <c r="K32" s="210"/>
      <c r="L32" s="236">
        <v>2.5850370762662271E-2</v>
      </c>
      <c r="M32" s="211"/>
      <c r="N32" s="210">
        <f>$E$13*L32</f>
        <v>11967408.229185101</v>
      </c>
    </row>
    <row r="33" spans="1:14" ht="14" x14ac:dyDescent="0.3">
      <c r="A33" s="151">
        <f>IF(B33&lt;&gt;"",COUNTA($B$12:B33),"")</f>
        <v>21</v>
      </c>
      <c r="B33" s="207" t="str">
        <f>'R1 EMA'!B33</f>
        <v>Energy Efficiency Reconciliation Factor</v>
      </c>
      <c r="C33" s="233" t="str">
        <f>+'R1 EMA'!C33</f>
        <v>EERF</v>
      </c>
      <c r="D33" s="233"/>
      <c r="E33" s="206"/>
      <c r="F33" s="239"/>
      <c r="G33" s="236">
        <v>1.1299999999999999E-3</v>
      </c>
      <c r="H33" s="211"/>
      <c r="I33" s="210">
        <f t="shared" ref="I33:I36" si="3">G33*$E$13</f>
        <v>523132.58572336403</v>
      </c>
      <c r="K33" s="210"/>
      <c r="L33" s="236">
        <v>1.1299999999999999E-3</v>
      </c>
      <c r="M33" s="211"/>
      <c r="N33" s="210">
        <f t="shared" ref="N33:N36" si="4">$E$13*L33</f>
        <v>523132.58572336403</v>
      </c>
    </row>
    <row r="34" spans="1:14" ht="14" x14ac:dyDescent="0.3">
      <c r="A34" s="151">
        <f>IF(B34&lt;&gt;"",COUNTA($B$12:B34),"")</f>
        <v>22</v>
      </c>
      <c r="B34" s="207" t="str">
        <f>'R1 EMA'!B34</f>
        <v>System Benefits Charge</v>
      </c>
      <c r="C34" s="233" t="str">
        <f>+'R1 EMA'!C34</f>
        <v>SBC</v>
      </c>
      <c r="D34" s="233"/>
      <c r="E34" s="206"/>
      <c r="F34" s="239"/>
      <c r="G34" s="236">
        <v>2.5000000000000001E-3</v>
      </c>
      <c r="H34" s="211"/>
      <c r="I34" s="210">
        <f t="shared" si="3"/>
        <v>1157372.9772640797</v>
      </c>
      <c r="K34" s="210"/>
      <c r="L34" s="236">
        <f>+G34</f>
        <v>2.5000000000000001E-3</v>
      </c>
      <c r="M34" s="211"/>
      <c r="N34" s="210">
        <f t="shared" si="4"/>
        <v>1157372.9772640797</v>
      </c>
    </row>
    <row r="35" spans="1:14" ht="14" x14ac:dyDescent="0.3">
      <c r="A35" s="151">
        <f>IF(B35&lt;&gt;"",COUNTA($B$12:B35),"")</f>
        <v>23</v>
      </c>
      <c r="B35" s="207" t="str">
        <f>'R1 EMA'!B35</f>
        <v>Renewable Energy Charge</v>
      </c>
      <c r="C35" s="233" t="str">
        <f>+'R1 EMA'!C35</f>
        <v>RNEW</v>
      </c>
      <c r="D35" s="233"/>
      <c r="E35" s="206"/>
      <c r="F35" s="239"/>
      <c r="G35" s="236">
        <v>5.0000000000000001E-4</v>
      </c>
      <c r="H35" s="211"/>
      <c r="I35" s="210">
        <f t="shared" si="3"/>
        <v>231474.59545281596</v>
      </c>
      <c r="K35" s="210"/>
      <c r="L35" s="236">
        <f>+G35</f>
        <v>5.0000000000000001E-4</v>
      </c>
      <c r="M35" s="211"/>
      <c r="N35" s="210">
        <f t="shared" si="4"/>
        <v>231474.59545281596</v>
      </c>
    </row>
    <row r="36" spans="1:14" ht="14" x14ac:dyDescent="0.3">
      <c r="A36" s="151">
        <f>IF(B36&lt;&gt;"",COUNTA($B$12:B36),"")</f>
        <v>24</v>
      </c>
      <c r="B36" s="207" t="str">
        <f>'R1 EMA'!B36</f>
        <v>Basic Service Charge</v>
      </c>
      <c r="C36" s="233" t="str">
        <f>+'R1 EMA'!C36</f>
        <v>BS</v>
      </c>
      <c r="D36" s="233"/>
      <c r="E36" s="206"/>
      <c r="F36" s="239"/>
      <c r="G36" s="236">
        <v>0.11397</v>
      </c>
      <c r="H36" s="211"/>
      <c r="I36" s="237">
        <f t="shared" si="3"/>
        <v>52762319.287514865</v>
      </c>
      <c r="K36" s="210"/>
      <c r="L36" s="236">
        <v>0.13588</v>
      </c>
      <c r="M36" s="211"/>
      <c r="N36" s="237">
        <f t="shared" si="4"/>
        <v>62905536.060257263</v>
      </c>
    </row>
    <row r="37" spans="1:14" ht="14" x14ac:dyDescent="0.3">
      <c r="A37" s="151" t="str">
        <f>IF(B37&lt;&gt;"",COUNTA($B$12:B37),"")</f>
        <v/>
      </c>
      <c r="B37" s="207"/>
      <c r="E37" s="206"/>
      <c r="F37" s="239"/>
      <c r="G37" s="241"/>
      <c r="H37" s="211"/>
      <c r="I37" s="244"/>
      <c r="K37" s="210"/>
      <c r="L37" s="241"/>
      <c r="M37" s="211"/>
      <c r="N37" s="244"/>
    </row>
    <row r="38" spans="1:14" ht="14" x14ac:dyDescent="0.3">
      <c r="A38" s="151">
        <f>IF(B38&lt;&gt;"",COUNTA($B$12:B38),"")</f>
        <v>25</v>
      </c>
      <c r="B38" s="188" t="s">
        <v>46</v>
      </c>
      <c r="E38" s="188"/>
      <c r="G38" s="245" t="s">
        <v>324</v>
      </c>
      <c r="H38" s="246"/>
      <c r="I38" s="154">
        <f>SUM(I14:I37)</f>
        <v>104220154.53198755</v>
      </c>
      <c r="K38" s="247"/>
      <c r="L38" s="245"/>
      <c r="N38" s="154">
        <f>SUM(N14:N37)</f>
        <v>113515264.43900399</v>
      </c>
    </row>
    <row r="39" spans="1:14" ht="14" x14ac:dyDescent="0.3">
      <c r="A39" s="151">
        <f>IF(B39&lt;&gt;"",COUNTA($B$12:B39),"")</f>
        <v>26</v>
      </c>
      <c r="B39" s="188" t="s">
        <v>46</v>
      </c>
      <c r="G39" s="260" t="s">
        <v>337</v>
      </c>
      <c r="I39" s="261">
        <f>0.36*I38</f>
        <v>37519255.631515518</v>
      </c>
      <c r="J39" s="262"/>
      <c r="K39" s="168"/>
      <c r="L39" s="168"/>
      <c r="M39" s="263"/>
      <c r="N39" s="261">
        <f>0.36*N38</f>
        <v>40865495.198041432</v>
      </c>
    </row>
    <row r="40" spans="1:14" ht="14" x14ac:dyDescent="0.3">
      <c r="A40" s="151">
        <f>IF(B40&lt;&gt;"",COUNTA($B$12:B40),"")</f>
        <v>27</v>
      </c>
      <c r="B40" s="188" t="s">
        <v>46</v>
      </c>
      <c r="G40" s="245" t="s">
        <v>338</v>
      </c>
      <c r="H40" s="188"/>
      <c r="I40" s="154">
        <f>+I38-I39</f>
        <v>66700898.90047203</v>
      </c>
      <c r="L40" s="252"/>
      <c r="N40" s="154">
        <f>N38-N39</f>
        <v>72649769.240962565</v>
      </c>
    </row>
    <row r="41" spans="1:14" ht="14" x14ac:dyDescent="0.3">
      <c r="A41" s="151" t="str">
        <f>IF(B41&lt;&gt;"",COUNTA($B$12:B41),"")</f>
        <v/>
      </c>
      <c r="E41" s="188"/>
      <c r="H41" s="188"/>
      <c r="I41" s="154"/>
      <c r="L41" s="264"/>
      <c r="N41" s="265">
        <v>64519930.418068312</v>
      </c>
    </row>
    <row r="42" spans="1:14" ht="14" x14ac:dyDescent="0.3">
      <c r="A42" s="151">
        <f>IF(B42&lt;&gt;"",COUNTA($B$12:B42),"")</f>
        <v>28</v>
      </c>
      <c r="B42" s="188" t="s">
        <v>46</v>
      </c>
      <c r="E42" s="188"/>
      <c r="G42" s="188"/>
      <c r="H42" s="188"/>
      <c r="I42" s="188"/>
      <c r="J42" s="188"/>
      <c r="L42" s="266" t="s">
        <v>339</v>
      </c>
      <c r="N42" s="160">
        <f>+N38/I38-1</f>
        <v>8.9187258920860213E-2</v>
      </c>
    </row>
    <row r="43" spans="1:14" ht="14" x14ac:dyDescent="0.3">
      <c r="A43" s="151">
        <f>IF(B43&lt;&gt;"",COUNTA($B$12:B43),"")</f>
        <v>29</v>
      </c>
      <c r="B43" s="188" t="s">
        <v>46</v>
      </c>
      <c r="E43" s="133"/>
      <c r="F43" s="133"/>
      <c r="G43" s="133"/>
      <c r="H43" s="188"/>
      <c r="I43" s="133"/>
      <c r="J43" s="133"/>
      <c r="L43" s="266" t="s">
        <v>340</v>
      </c>
      <c r="M43" s="267"/>
      <c r="N43" s="160">
        <f>+N40/I40-1</f>
        <v>8.9187258920860435E-2</v>
      </c>
    </row>
    <row r="44" spans="1:14" ht="14" x14ac:dyDescent="0.3">
      <c r="A44" s="151" t="str">
        <f>IF(B44&lt;&gt;"",COUNTA($B$12:B44),"")</f>
        <v/>
      </c>
      <c r="E44" s="188"/>
      <c r="G44" s="186"/>
      <c r="H44" s="188"/>
      <c r="I44" s="188"/>
      <c r="L44" s="248"/>
      <c r="N44" s="160"/>
    </row>
    <row r="45" spans="1:14" ht="14.5" thickBot="1" x14ac:dyDescent="0.35">
      <c r="A45" s="151">
        <f>IF(B45&lt;&gt;"",COUNTA($B$12:B45),"")</f>
        <v>30</v>
      </c>
      <c r="B45" s="188" t="s">
        <v>46</v>
      </c>
      <c r="E45" s="747" t="s">
        <v>326</v>
      </c>
      <c r="F45" s="747"/>
      <c r="G45" s="747"/>
      <c r="I45" s="747" t="s">
        <v>327</v>
      </c>
      <c r="J45" s="747"/>
      <c r="K45" s="747"/>
      <c r="L45" s="747" t="s">
        <v>328</v>
      </c>
      <c r="M45" s="747"/>
      <c r="N45" s="747"/>
    </row>
    <row r="46" spans="1:14" ht="14" x14ac:dyDescent="0.3">
      <c r="A46" s="151">
        <f>IF(B46&lt;&gt;"",COUNTA($B$12:B46),"")</f>
        <v>31</v>
      </c>
      <c r="B46" s="144" t="s">
        <v>329</v>
      </c>
      <c r="C46" s="144"/>
      <c r="D46" s="144"/>
      <c r="E46" s="249" t="s">
        <v>148</v>
      </c>
      <c r="F46" s="250"/>
      <c r="G46" s="251" t="s">
        <v>330</v>
      </c>
      <c r="I46" s="249" t="s">
        <v>148</v>
      </c>
      <c r="J46" s="251" t="s">
        <v>330</v>
      </c>
      <c r="K46" s="212"/>
      <c r="L46" s="249" t="s">
        <v>148</v>
      </c>
      <c r="M46" s="252"/>
      <c r="N46" s="251" t="s">
        <v>330</v>
      </c>
    </row>
    <row r="47" spans="1:14" ht="14" x14ac:dyDescent="0.3">
      <c r="A47" s="151">
        <f>IF(B47&lt;&gt;"",COUNTA($B$12:B47),"")</f>
        <v>32</v>
      </c>
      <c r="B47" s="130" t="str">
        <f>+'R1 EMA'!B45</f>
        <v>Distribution</v>
      </c>
      <c r="C47" s="253" t="str">
        <f>+'R1 EMA'!C45</f>
        <v>DIST</v>
      </c>
      <c r="D47" s="253"/>
      <c r="E47" s="154">
        <f>SUMIF($C$12:$C$36,$C47,$I$12:$I$36)-I39</f>
        <v>-10056076.951681741</v>
      </c>
      <c r="G47" s="254">
        <f>+E47/$E$13*100</f>
        <v>-2.1721772387181</v>
      </c>
      <c r="I47" s="154">
        <f>SUMIF($C$12:$C$36,$C47,$N$12:$N$36)-N39</f>
        <v>-12518083.563577898</v>
      </c>
      <c r="J47" s="254">
        <f>+I47/$E$13*100</f>
        <v>-2.7039864869597747</v>
      </c>
      <c r="L47" s="154">
        <f t="shared" ref="L47:L67" si="5">I47-E47</f>
        <v>-2462006.6118961573</v>
      </c>
      <c r="N47" s="254">
        <f>+L47/$E$13*100</f>
        <v>-0.53180924824167486</v>
      </c>
    </row>
    <row r="48" spans="1:14" ht="14" x14ac:dyDescent="0.3">
      <c r="A48" s="151">
        <f>IF(B48&lt;&gt;"",COUNTA($B$12:B48),"")</f>
        <v>33</v>
      </c>
      <c r="B48" s="130" t="str">
        <f>+'R1 EMA'!B46</f>
        <v>Revenue Decoupling</v>
      </c>
      <c r="C48" s="253" t="str">
        <f>+'R1 EMA'!C46</f>
        <v>RDAF</v>
      </c>
      <c r="D48" s="253"/>
      <c r="E48" s="154">
        <f t="shared" ref="E48:E62" si="6">SUMIF($C$12:$C$36,$C48,$I$12:$I$36)</f>
        <v>0</v>
      </c>
      <c r="G48" s="254">
        <f t="shared" ref="G48:G68" si="7">+E48/$E$13*100</f>
        <v>0</v>
      </c>
      <c r="I48" s="154">
        <f t="shared" ref="I48:I62" si="8">SUMIF($C$12:$C$36,$C48,$N$12:$N$36)</f>
        <v>-264237.09145649889</v>
      </c>
      <c r="J48" s="254">
        <f t="shared" ref="J48:J68" si="9">+I48/$E$13*100</f>
        <v>-5.7076909658183482E-2</v>
      </c>
      <c r="L48" s="154">
        <f>I48-E48</f>
        <v>-264237.09145649889</v>
      </c>
      <c r="N48" s="254">
        <f t="shared" ref="N48:N68" si="10">+L48/$E$13*100</f>
        <v>-5.7076909658183482E-2</v>
      </c>
    </row>
    <row r="49" spans="1:14" ht="14" x14ac:dyDescent="0.3">
      <c r="A49" s="151">
        <f>IF(B49&lt;&gt;"",COUNTA($B$12:B49),"")</f>
        <v>34</v>
      </c>
      <c r="B49" s="130" t="str">
        <f>+'R1 EMA'!B47</f>
        <v>Residential Assistance Adjustment Factor</v>
      </c>
      <c r="C49" s="253" t="str">
        <f>+'R1 EMA'!C47</f>
        <v>RAAF</v>
      </c>
      <c r="D49" s="253"/>
      <c r="E49" s="154">
        <f t="shared" si="6"/>
        <v>1736059.4658961196</v>
      </c>
      <c r="G49" s="254">
        <f t="shared" si="7"/>
        <v>0.375</v>
      </c>
      <c r="I49" s="154">
        <f t="shared" si="8"/>
        <v>2232346.0133723933</v>
      </c>
      <c r="J49" s="254">
        <f t="shared" si="9"/>
        <v>0.48220108323451788</v>
      </c>
      <c r="L49" s="154">
        <f t="shared" si="5"/>
        <v>496286.54747627373</v>
      </c>
      <c r="N49" s="254">
        <f t="shared" si="10"/>
        <v>0.10720108323451794</v>
      </c>
    </row>
    <row r="50" spans="1:14" ht="14" x14ac:dyDescent="0.3">
      <c r="A50" s="151">
        <f>IF(B50&lt;&gt;"",COUNTA($B$12:B50),"")</f>
        <v>35</v>
      </c>
      <c r="B50" s="130" t="str">
        <f>+'R1 EMA'!B48</f>
        <v>Pension Adjustment Factor</v>
      </c>
      <c r="C50" s="253" t="str">
        <f>+'R1 EMA'!C48</f>
        <v>PAF</v>
      </c>
      <c r="D50" s="253"/>
      <c r="E50" s="154">
        <f t="shared" si="6"/>
        <v>-50924.410999619511</v>
      </c>
      <c r="G50" s="254">
        <f t="shared" si="7"/>
        <v>-1.1000000000000001E-2</v>
      </c>
      <c r="I50" s="154">
        <f t="shared" si="8"/>
        <v>430797.90253665816</v>
      </c>
      <c r="J50" s="254">
        <f t="shared" si="9"/>
        <v>9.3055115118339735E-2</v>
      </c>
      <c r="L50" s="154">
        <f t="shared" si="5"/>
        <v>481722.31353627768</v>
      </c>
      <c r="N50" s="254">
        <f t="shared" si="10"/>
        <v>0.10405511511833974</v>
      </c>
    </row>
    <row r="51" spans="1:14" ht="14" x14ac:dyDescent="0.3">
      <c r="A51" s="151">
        <f>IF(B51&lt;&gt;"",COUNTA($B$12:B51),"")</f>
        <v>36</v>
      </c>
      <c r="B51" s="130" t="str">
        <f>+'R1 EMA'!B49</f>
        <v>Net Metering Recovery Surcharge</v>
      </c>
      <c r="C51" s="253" t="str">
        <f>+'R1 EMA'!C49</f>
        <v>NMRS</v>
      </c>
      <c r="D51" s="253"/>
      <c r="E51" s="154">
        <f t="shared" si="6"/>
        <v>3416565.0288835634</v>
      </c>
      <c r="G51" s="254">
        <f t="shared" si="7"/>
        <v>0.73799999999999999</v>
      </c>
      <c r="I51" s="154">
        <f t="shared" si="8"/>
        <v>2910800.136222546</v>
      </c>
      <c r="J51" s="254">
        <f t="shared" si="9"/>
        <v>0.6287515333007434</v>
      </c>
      <c r="L51" s="154">
        <f t="shared" si="5"/>
        <v>-505764.89266101737</v>
      </c>
      <c r="N51" s="254">
        <f t="shared" si="10"/>
        <v>-0.10924846669925665</v>
      </c>
    </row>
    <row r="52" spans="1:14" ht="14" x14ac:dyDescent="0.3">
      <c r="A52" s="151">
        <f>IF(B52&lt;&gt;"",COUNTA($B$12:B52),"")</f>
        <v>37</v>
      </c>
      <c r="B52" s="130" t="str">
        <f>+'R1 EMA'!B50</f>
        <v>Long Term Renewable Contract Adjustment</v>
      </c>
      <c r="C52" s="253" t="str">
        <f>+'R1 EMA'!C50</f>
        <v>LTRCA</v>
      </c>
      <c r="D52" s="253"/>
      <c r="E52" s="154">
        <f t="shared" si="6"/>
        <v>1092560.0905372913</v>
      </c>
      <c r="G52" s="254">
        <f t="shared" si="7"/>
        <v>0.23600000000000002</v>
      </c>
      <c r="I52" s="154">
        <f t="shared" si="8"/>
        <v>803546.87261016248</v>
      </c>
      <c r="J52" s="254">
        <f t="shared" si="9"/>
        <v>0.17357128782064518</v>
      </c>
      <c r="L52" s="154">
        <f t="shared" si="5"/>
        <v>-289013.21792712878</v>
      </c>
      <c r="N52" s="254">
        <f t="shared" si="10"/>
        <v>-6.2428712179354806E-2</v>
      </c>
    </row>
    <row r="53" spans="1:14" ht="14" x14ac:dyDescent="0.3">
      <c r="A53" s="151">
        <f>IF(B53&lt;&gt;"",COUNTA($B$12:B53),"")</f>
        <v>38</v>
      </c>
      <c r="B53" s="130" t="str">
        <f>+'R1 EMA'!B51</f>
        <v>AG Consulting Expense</v>
      </c>
      <c r="C53" s="253" t="str">
        <f>+'R1 EMA'!C51</f>
        <v>AGCE</v>
      </c>
      <c r="D53" s="253"/>
      <c r="E53" s="154">
        <f t="shared" si="6"/>
        <v>18517.967636225276</v>
      </c>
      <c r="G53" s="254">
        <f t="shared" si="7"/>
        <v>4.0000000000000001E-3</v>
      </c>
      <c r="I53" s="154">
        <f t="shared" si="8"/>
        <v>4687.093893047796</v>
      </c>
      <c r="J53" s="254">
        <f t="shared" si="9"/>
        <v>1.0124423986742031E-3</v>
      </c>
      <c r="L53" s="154">
        <f t="shared" si="5"/>
        <v>-13830.873743177479</v>
      </c>
      <c r="N53" s="254">
        <f t="shared" si="10"/>
        <v>-2.9875576013257965E-3</v>
      </c>
    </row>
    <row r="54" spans="1:14" ht="14" x14ac:dyDescent="0.3">
      <c r="A54" s="151">
        <f>IF(B54&lt;&gt;"",COUNTA($B$12:B54),"")</f>
        <v>39</v>
      </c>
      <c r="B54" s="130" t="str">
        <f>+'R1 EMA'!B52</f>
        <v>Storm Cost Recovery Adjustment Factor</v>
      </c>
      <c r="C54" s="253" t="str">
        <f>+'R1 EMA'!C52</f>
        <v>SCRA</v>
      </c>
      <c r="D54" s="253"/>
      <c r="E54" s="154">
        <f t="shared" si="6"/>
        <v>1069412.6309920098</v>
      </c>
      <c r="G54" s="254">
        <f t="shared" si="7"/>
        <v>0.23100000000000001</v>
      </c>
      <c r="I54" s="154">
        <f t="shared" si="8"/>
        <v>1687635.3312033045</v>
      </c>
      <c r="J54" s="254">
        <f t="shared" si="9"/>
        <v>0.36454007574825076</v>
      </c>
      <c r="L54" s="154">
        <f>I54-E54</f>
        <v>618222.70021129469</v>
      </c>
      <c r="N54" s="254">
        <f t="shared" si="10"/>
        <v>0.13354007574825072</v>
      </c>
    </row>
    <row r="55" spans="1:14" ht="14" x14ac:dyDescent="0.3">
      <c r="A55" s="151">
        <f>IF(B55&lt;&gt;"",COUNTA($B$12:B55),"")</f>
        <v>40</v>
      </c>
      <c r="B55" s="130" t="str">
        <f>+'R1 EMA'!B53</f>
        <v>Storm Reserve Adjustment</v>
      </c>
      <c r="C55" s="253" t="str">
        <f>+'R1 EMA'!C53</f>
        <v>SRA</v>
      </c>
      <c r="D55" s="253"/>
      <c r="E55" s="154">
        <f t="shared" si="6"/>
        <v>0</v>
      </c>
      <c r="G55" s="254">
        <f t="shared" si="7"/>
        <v>0</v>
      </c>
      <c r="I55" s="154">
        <f t="shared" si="8"/>
        <v>0</v>
      </c>
      <c r="J55" s="254">
        <f t="shared" si="9"/>
        <v>0</v>
      </c>
      <c r="L55" s="154">
        <f>I55-E55</f>
        <v>0</v>
      </c>
      <c r="N55" s="254">
        <f t="shared" si="10"/>
        <v>0</v>
      </c>
    </row>
    <row r="56" spans="1:14" ht="14" x14ac:dyDescent="0.3">
      <c r="A56" s="151">
        <f>IF(B56&lt;&gt;"",COUNTA($B$12:B56),"")</f>
        <v>41</v>
      </c>
      <c r="B56" s="130" t="str">
        <f>+'R1 EMA'!B54</f>
        <v>Basic Service Cost True Up Factor</v>
      </c>
      <c r="C56" s="253" t="str">
        <f>+'R1 EMA'!C54</f>
        <v>BSTF</v>
      </c>
      <c r="D56" s="253"/>
      <c r="E56" s="154">
        <f t="shared" si="6"/>
        <v>925898.38181126385</v>
      </c>
      <c r="G56" s="254">
        <f t="shared" si="7"/>
        <v>0.2</v>
      </c>
      <c r="I56" s="154">
        <f t="shared" si="8"/>
        <v>-110774.47944919758</v>
      </c>
      <c r="J56" s="254">
        <f t="shared" si="9"/>
        <v>-2.3927999362629401E-2</v>
      </c>
      <c r="L56" s="154">
        <f t="shared" ref="L56:L62" si="11">I56-E56</f>
        <v>-1036672.8612604614</v>
      </c>
      <c r="N56" s="254">
        <f t="shared" si="10"/>
        <v>-0.22392799936262939</v>
      </c>
    </row>
    <row r="57" spans="1:14" ht="14" x14ac:dyDescent="0.3">
      <c r="A57" s="151">
        <f>IF(B57&lt;&gt;"",COUNTA($B$12:B57),"")</f>
        <v>42</v>
      </c>
      <c r="B57" s="130" t="str">
        <f>+'R1 EMA'!B55</f>
        <v>Solar Program Cost Adjustment Factor</v>
      </c>
      <c r="C57" s="253" t="str">
        <f>+'R1 EMA'!C55</f>
        <v>SPCA</v>
      </c>
      <c r="D57" s="253"/>
      <c r="E57" s="154">
        <f t="shared" si="6"/>
        <v>0</v>
      </c>
      <c r="G57" s="254">
        <f t="shared" si="7"/>
        <v>0</v>
      </c>
      <c r="I57" s="154">
        <f t="shared" si="8"/>
        <v>19713.926799186891</v>
      </c>
      <c r="J57" s="254">
        <f t="shared" si="9"/>
        <v>4.2583348640532342E-3</v>
      </c>
      <c r="L57" s="154">
        <f t="shared" si="11"/>
        <v>19713.926799186891</v>
      </c>
      <c r="N57" s="254">
        <f t="shared" si="10"/>
        <v>4.2583348640532342E-3</v>
      </c>
    </row>
    <row r="58" spans="1:14" ht="14" x14ac:dyDescent="0.3">
      <c r="A58" s="151">
        <f>IF(B58&lt;&gt;"",COUNTA($B$12:B58),"")</f>
        <v>43</v>
      </c>
      <c r="B58" s="130" t="str">
        <f>+'R1 EMA'!B56</f>
        <v>Solar Expansion Cost Recovery Factor</v>
      </c>
      <c r="C58" s="253" t="str">
        <f>+'R1 EMA'!C56</f>
        <v>SECRF</v>
      </c>
      <c r="D58" s="253"/>
      <c r="E58" s="154">
        <f t="shared" si="6"/>
        <v>0</v>
      </c>
      <c r="G58" s="254">
        <f t="shared" si="7"/>
        <v>0</v>
      </c>
      <c r="I58" s="154">
        <f t="shared" si="8"/>
        <v>347708.56867699674</v>
      </c>
      <c r="J58" s="254">
        <f t="shared" si="9"/>
        <v>7.5107285098997847E-2</v>
      </c>
      <c r="L58" s="154">
        <f t="shared" si="11"/>
        <v>347708.56867699674</v>
      </c>
      <c r="N58" s="254">
        <f t="shared" si="10"/>
        <v>7.5107285098997847E-2</v>
      </c>
    </row>
    <row r="59" spans="1:14" ht="14" x14ac:dyDescent="0.3">
      <c r="A59" s="151">
        <f>IF(B59&lt;&gt;"",COUNTA($B$12:B59),"")</f>
        <v>44</v>
      </c>
      <c r="B59" s="130" t="str">
        <f>+'R1 EMA'!B57</f>
        <v>Vegetation Management</v>
      </c>
      <c r="C59" s="253" t="str">
        <f>+'R1 EMA'!C57</f>
        <v>RTWF</v>
      </c>
      <c r="D59" s="253"/>
      <c r="E59" s="154">
        <f t="shared" si="6"/>
        <v>0</v>
      </c>
      <c r="G59" s="254">
        <f t="shared" si="7"/>
        <v>0</v>
      </c>
      <c r="I59" s="154">
        <f t="shared" si="8"/>
        <v>771273.84844165156</v>
      </c>
      <c r="J59" s="254">
        <f t="shared" si="9"/>
        <v>0.1666001072240493</v>
      </c>
      <c r="L59" s="154">
        <f t="shared" si="11"/>
        <v>771273.84844165156</v>
      </c>
      <c r="N59" s="254">
        <f t="shared" si="10"/>
        <v>0.1666001072240493</v>
      </c>
    </row>
    <row r="60" spans="1:14" ht="14" x14ac:dyDescent="0.3">
      <c r="A60" s="151">
        <f>IF(B60&lt;&gt;"",COUNTA($B$12:B60),"")</f>
        <v>45</v>
      </c>
      <c r="B60" s="130" t="str">
        <f>+'R1 EMA'!B58</f>
        <v>Solar Massachusetts Renewable Target</v>
      </c>
      <c r="C60" s="253" t="str">
        <f>+'R1 EMA'!C58</f>
        <v>SMART</v>
      </c>
      <c r="D60" s="253"/>
      <c r="E60" s="154">
        <f t="shared" si="6"/>
        <v>0</v>
      </c>
      <c r="G60" s="254">
        <f t="shared" si="7"/>
        <v>0</v>
      </c>
      <c r="I60" s="154">
        <f t="shared" si="8"/>
        <v>407389.38161378348</v>
      </c>
      <c r="J60" s="254">
        <f t="shared" si="9"/>
        <v>8.7998724183282181E-2</v>
      </c>
      <c r="L60" s="154">
        <f t="shared" si="11"/>
        <v>407389.38161378348</v>
      </c>
      <c r="N60" s="254">
        <f t="shared" si="10"/>
        <v>8.7998724183282181E-2</v>
      </c>
    </row>
    <row r="61" spans="1:14" ht="14" x14ac:dyDescent="0.3">
      <c r="A61" s="151">
        <f>IF(B61&lt;&gt;"",COUNTA($B$12:B61),"")</f>
        <v>46</v>
      </c>
      <c r="B61" s="130" t="str">
        <f>+'R1 EMA'!B59</f>
        <v>Tax Act Credit Factor</v>
      </c>
      <c r="C61" s="253" t="str">
        <f>+'R1 EMA'!C59</f>
        <v>TACF</v>
      </c>
      <c r="D61" s="253"/>
      <c r="E61" s="154">
        <f t="shared" si="6"/>
        <v>0</v>
      </c>
      <c r="G61" s="254">
        <f t="shared" si="7"/>
        <v>0</v>
      </c>
      <c r="I61" s="154">
        <f t="shared" si="8"/>
        <v>-616719.46598196286</v>
      </c>
      <c r="J61" s="254">
        <f t="shared" si="9"/>
        <v>-0.13321536749540958</v>
      </c>
      <c r="L61" s="154">
        <f t="shared" si="11"/>
        <v>-616719.46598196286</v>
      </c>
      <c r="N61" s="254">
        <f t="shared" si="10"/>
        <v>-0.13321536749540958</v>
      </c>
    </row>
    <row r="62" spans="1:14" ht="14" x14ac:dyDescent="0.3">
      <c r="A62" s="151">
        <f>IF(B62&lt;&gt;"",COUNTA($B$12:B62),"")</f>
        <v>47</v>
      </c>
      <c r="B62" s="130" t="str">
        <f>+'R1 EMA'!B60</f>
        <v>Transition</v>
      </c>
      <c r="C62" s="253" t="str">
        <f>+'R1 EMA'!C60</f>
        <v>TRNSN</v>
      </c>
      <c r="D62" s="253"/>
      <c r="E62" s="154">
        <f t="shared" si="6"/>
        <v>-282399.00645243545</v>
      </c>
      <c r="G62" s="254">
        <f t="shared" si="7"/>
        <v>-6.0999999999999999E-2</v>
      </c>
      <c r="I62" s="154">
        <f t="shared" si="8"/>
        <v>-241239.68182423661</v>
      </c>
      <c r="J62" s="254">
        <f t="shared" si="9"/>
        <v>-5.2109321403568713E-2</v>
      </c>
      <c r="L62" s="154">
        <f t="shared" si="11"/>
        <v>41159.324628198839</v>
      </c>
      <c r="N62" s="254">
        <f t="shared" si="10"/>
        <v>8.8906785964312889E-3</v>
      </c>
    </row>
    <row r="63" spans="1:14" ht="14" x14ac:dyDescent="0.3">
      <c r="A63" s="151">
        <f>IF(B63&lt;&gt;"",COUNTA($B$12:B63),"")</f>
        <v>48</v>
      </c>
      <c r="B63" s="130" t="str">
        <f>+'R1 EMA'!B61</f>
        <v>Transmission</v>
      </c>
      <c r="C63" s="253" t="str">
        <f>+'R1 EMA'!C61</f>
        <v>TRNSM</v>
      </c>
      <c r="D63" s="253"/>
      <c r="E63" s="154">
        <f>SUM(SUMIF($C$12:$C$36,{"TMKW","TMKWH"},$I$12:$I$36))</f>
        <v>14156986.257894224</v>
      </c>
      <c r="G63" s="254">
        <f t="shared" si="7"/>
        <v>3.0579999999999998</v>
      </c>
      <c r="I63" s="154">
        <f>SUM(SUMIF($C$12:$C$36,{"TMKW","TMKWH"},$N$12:$N$36))</f>
        <v>11967408.229185101</v>
      </c>
      <c r="J63" s="254">
        <f t="shared" si="9"/>
        <v>2.5850370762662269</v>
      </c>
      <c r="L63" s="154">
        <f t="shared" si="5"/>
        <v>-2189578.0287091229</v>
      </c>
      <c r="N63" s="254">
        <f t="shared" si="10"/>
        <v>-0.47296292373377302</v>
      </c>
    </row>
    <row r="64" spans="1:14" ht="14" x14ac:dyDescent="0.3">
      <c r="A64" s="151">
        <f>IF(B64&lt;&gt;"",COUNTA($B$12:B64),"")</f>
        <v>49</v>
      </c>
      <c r="B64" s="130" t="str">
        <f>+'R1 EMA'!B62</f>
        <v>Energy Efficiency Reconciliation Factor</v>
      </c>
      <c r="C64" s="253" t="str">
        <f>+'R1 EMA'!C62</f>
        <v>EERF</v>
      </c>
      <c r="D64" s="253"/>
      <c r="E64" s="154">
        <f>SUMIF($C$12:$C$36,$C64,$I$12:$I$36)</f>
        <v>523132.58572336403</v>
      </c>
      <c r="G64" s="254">
        <f t="shared" si="7"/>
        <v>0.11299999999999999</v>
      </c>
      <c r="I64" s="154">
        <f>SUMIF($C$12:$C$36,$C64,$N$12:$N$36)</f>
        <v>523132.58572336403</v>
      </c>
      <c r="J64" s="254">
        <f t="shared" si="9"/>
        <v>0.11299999999999999</v>
      </c>
      <c r="L64" s="154">
        <f t="shared" si="5"/>
        <v>0</v>
      </c>
      <c r="N64" s="254">
        <f t="shared" si="10"/>
        <v>0</v>
      </c>
    </row>
    <row r="65" spans="1:14" ht="14" x14ac:dyDescent="0.3">
      <c r="A65" s="151">
        <f>IF(B65&lt;&gt;"",COUNTA($B$12:B65),"")</f>
        <v>50</v>
      </c>
      <c r="B65" s="130" t="str">
        <f>+'R1 EMA'!B63</f>
        <v>System Benefits Charge</v>
      </c>
      <c r="C65" s="253" t="str">
        <f>+'R1 EMA'!C63</f>
        <v>SBC</v>
      </c>
      <c r="D65" s="253"/>
      <c r="E65" s="154">
        <f>SUMIF($C$12:$C$36,$C65,$I$12:$I$36)</f>
        <v>1157372.9772640797</v>
      </c>
      <c r="G65" s="254">
        <f t="shared" si="7"/>
        <v>0.25</v>
      </c>
      <c r="I65" s="154">
        <f>SUMIF($C$12:$C$36,$C65,$N$12:$N$36)</f>
        <v>1157372.9772640797</v>
      </c>
      <c r="J65" s="254">
        <f t="shared" si="9"/>
        <v>0.25</v>
      </c>
      <c r="L65" s="154">
        <f t="shared" si="5"/>
        <v>0</v>
      </c>
      <c r="N65" s="254">
        <f t="shared" si="10"/>
        <v>0</v>
      </c>
    </row>
    <row r="66" spans="1:14" ht="14" x14ac:dyDescent="0.3">
      <c r="A66" s="151">
        <f>IF(B66&lt;&gt;"",COUNTA($B$12:B66),"")</f>
        <v>51</v>
      </c>
      <c r="B66" s="130" t="str">
        <f>+'R1 EMA'!B64</f>
        <v>Renewable Energy Charge</v>
      </c>
      <c r="C66" s="253" t="str">
        <f>+'R1 EMA'!C64</f>
        <v>RNEW</v>
      </c>
      <c r="D66" s="253"/>
      <c r="E66" s="154">
        <f>SUMIF($C$12:$C$36,$C66,$I$12:$I$36)</f>
        <v>231474.59545281596</v>
      </c>
      <c r="G66" s="254">
        <f t="shared" si="7"/>
        <v>0.05</v>
      </c>
      <c r="I66" s="154">
        <f>SUMIF($C$12:$C$36,$C66,$N$12:$N$36)</f>
        <v>231474.59545281596</v>
      </c>
      <c r="J66" s="254">
        <f t="shared" si="9"/>
        <v>0.05</v>
      </c>
      <c r="L66" s="154">
        <f>I66-E66</f>
        <v>0</v>
      </c>
      <c r="N66" s="254">
        <f t="shared" si="10"/>
        <v>0</v>
      </c>
    </row>
    <row r="67" spans="1:14" ht="14" x14ac:dyDescent="0.3">
      <c r="A67" s="151">
        <f>IF(B67&lt;&gt;"",COUNTA($B$12:B67),"")</f>
        <v>52</v>
      </c>
      <c r="B67" s="130" t="str">
        <f>+'R1 EMA'!B65</f>
        <v>Basic Service Charge</v>
      </c>
      <c r="C67" s="253" t="str">
        <f>+'R1 EMA'!C65</f>
        <v>BS</v>
      </c>
      <c r="D67" s="253"/>
      <c r="E67" s="255">
        <f>SUMIF($C$12:$C$36,$C67,$I$12:$I$36)</f>
        <v>52762319.287514865</v>
      </c>
      <c r="F67" s="256"/>
      <c r="G67" s="257">
        <f t="shared" si="7"/>
        <v>11.397</v>
      </c>
      <c r="H67" s="258"/>
      <c r="I67" s="255">
        <f>SUMIF($C$12:$C$36,$C67,$N$12:$N$36)</f>
        <v>62905536.060257263</v>
      </c>
      <c r="J67" s="257">
        <f t="shared" si="9"/>
        <v>13.588000000000001</v>
      </c>
      <c r="K67" s="255"/>
      <c r="L67" s="255">
        <f t="shared" si="5"/>
        <v>10143216.772742398</v>
      </c>
      <c r="M67" s="259"/>
      <c r="N67" s="257">
        <f t="shared" si="10"/>
        <v>2.1910000000000007</v>
      </c>
    </row>
    <row r="68" spans="1:14" ht="14" x14ac:dyDescent="0.3">
      <c r="A68" s="151">
        <f>IF(B68&lt;&gt;"",COUNTA($B$12:B68),"")</f>
        <v>53</v>
      </c>
      <c r="B68" s="130" t="str">
        <f>+'R1 EMA'!B66</f>
        <v>Total</v>
      </c>
      <c r="C68" s="130"/>
      <c r="D68" s="130"/>
      <c r="E68" s="154">
        <f>SUM(E47:E67)</f>
        <v>66700898.90047203</v>
      </c>
      <c r="G68" s="254">
        <f t="shared" si="7"/>
        <v>14.407822761281899</v>
      </c>
      <c r="I68" s="154">
        <f>SUM(I47:I67)</f>
        <v>72649769.240962565</v>
      </c>
      <c r="J68" s="254">
        <f t="shared" si="9"/>
        <v>15.692816980378216</v>
      </c>
      <c r="L68" s="154">
        <f>SUM(L47:L67)</f>
        <v>5948870.3404905349</v>
      </c>
      <c r="N68" s="254">
        <f t="shared" si="10"/>
        <v>1.2849942190963153</v>
      </c>
    </row>
    <row r="69" spans="1:14" ht="14" x14ac:dyDescent="0.3">
      <c r="A69" s="151" t="str">
        <f>IF(B69&lt;&gt;"",COUNTA($B$9:B69),"")</f>
        <v/>
      </c>
    </row>
    <row r="70" spans="1:14" ht="14" x14ac:dyDescent="0.3">
      <c r="A70" s="151"/>
      <c r="B70" s="256" t="s">
        <v>164</v>
      </c>
      <c r="E70" s="188"/>
      <c r="G70" s="188"/>
      <c r="H70" s="188"/>
      <c r="I70" s="188"/>
      <c r="J70" s="188"/>
      <c r="K70" s="188"/>
      <c r="L70" s="188"/>
      <c r="M70" s="188"/>
      <c r="N70" s="188"/>
    </row>
    <row r="71" spans="1:14" ht="14" x14ac:dyDescent="0.3">
      <c r="A71" s="151"/>
      <c r="B71" s="188" t="str">
        <f>'R1 EMA'!B69</f>
        <v>Col. (a): Company's forecast</v>
      </c>
    </row>
    <row r="72" spans="1:14" ht="14" x14ac:dyDescent="0.3">
      <c r="A72" s="151"/>
      <c r="B72" s="188" t="str">
        <f>'R1 EMA'!B70</f>
        <v>Col. (b): Current rates</v>
      </c>
    </row>
    <row r="73" spans="1:14" ht="14" x14ac:dyDescent="0.3">
      <c r="A73" s="151"/>
      <c r="B73" s="188" t="str">
        <f>'R1 EMA'!B71</f>
        <v>Col. (c): Col. (a) x Col. (b)</v>
      </c>
    </row>
    <row r="74" spans="1:14" ht="14" x14ac:dyDescent="0.3">
      <c r="A74" s="151"/>
      <c r="B74" s="188" t="str">
        <f>'R1 EMA'!B72</f>
        <v>Col. (e): Proposed rates</v>
      </c>
    </row>
    <row r="75" spans="1:14" ht="14" x14ac:dyDescent="0.3">
      <c r="A75" s="151"/>
      <c r="B75" s="188" t="str">
        <f>'R1 EMA'!B73</f>
        <v>Col. (f): Col. (a), Line 1 or Line 2  x Col. (e)</v>
      </c>
    </row>
    <row r="76" spans="1:14" ht="14" x14ac:dyDescent="0.3">
      <c r="A76" s="151"/>
      <c r="B76" s="188" t="s">
        <v>341</v>
      </c>
    </row>
  </sheetData>
  <mergeCells count="8">
    <mergeCell ref="E45:G45"/>
    <mergeCell ref="I45:K45"/>
    <mergeCell ref="L45:N45"/>
    <mergeCell ref="A4:N4"/>
    <mergeCell ref="A5:N5"/>
    <mergeCell ref="A7:N7"/>
    <mergeCell ref="G9:I9"/>
    <mergeCell ref="L9:N9"/>
  </mergeCells>
  <pageMargins left="0.7" right="0.7" top="0.75" bottom="0.75" header="0.3" footer="0.3"/>
  <pageSetup scale="63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D1B46-672A-4294-999A-1B17AD1B45FC}">
  <sheetPr>
    <tabColor theme="3" tint="0.59999389629810485"/>
    <pageSetUpPr fitToPage="1"/>
  </sheetPr>
  <dimension ref="A4:AF94"/>
  <sheetViews>
    <sheetView zoomScaleNormal="100" zoomScaleSheetLayoutView="71" workbookViewId="0"/>
  </sheetViews>
  <sheetFormatPr defaultRowHeight="12.5" x14ac:dyDescent="0.25"/>
  <cols>
    <col min="1" max="1" width="3.81640625" customWidth="1"/>
    <col min="2" max="2" width="4.453125" bestFit="1" customWidth="1"/>
    <col min="3" max="3" width="9.453125" customWidth="1"/>
    <col min="4" max="4" width="11" bestFit="1" customWidth="1"/>
    <col min="5" max="7" width="14.7265625" customWidth="1"/>
    <col min="8" max="8" width="1.81640625" customWidth="1"/>
    <col min="9" max="11" width="14.7265625" customWidth="1"/>
    <col min="12" max="12" width="1.81640625" customWidth="1"/>
    <col min="13" max="13" width="12.81640625" bestFit="1" customWidth="1"/>
    <col min="14" max="15" width="10.81640625" bestFit="1" customWidth="1"/>
    <col min="16" max="16" width="14" bestFit="1" customWidth="1"/>
    <col min="17" max="17" width="13.7265625" bestFit="1" customWidth="1"/>
    <col min="18" max="18" width="14.81640625" bestFit="1" customWidth="1"/>
    <col min="19" max="19" width="14.1796875" bestFit="1" customWidth="1"/>
    <col min="20" max="20" width="7.7265625" bestFit="1" customWidth="1"/>
    <col min="21" max="21" width="10.81640625" bestFit="1" customWidth="1"/>
    <col min="22" max="22" width="13.26953125" bestFit="1" customWidth="1"/>
    <col min="23" max="23" width="13.7265625" bestFit="1" customWidth="1"/>
    <col min="24" max="24" width="14.81640625" bestFit="1" customWidth="1"/>
    <col min="25" max="25" width="14.1796875" bestFit="1" customWidth="1"/>
    <col min="26" max="26" width="8.453125" bestFit="1" customWidth="1"/>
  </cols>
  <sheetData>
    <row r="4" spans="1:32" ht="14" x14ac:dyDescent="0.3">
      <c r="A4" s="762" t="str">
        <f>'Bill_Bos G3 p4'!A4:N4</f>
        <v>Eastern Massachusetts</v>
      </c>
      <c r="B4" s="762"/>
      <c r="C4" s="762"/>
      <c r="D4" s="762"/>
      <c r="E4" s="762"/>
      <c r="F4" s="762"/>
      <c r="G4" s="762"/>
      <c r="H4" s="762"/>
      <c r="I4" s="762"/>
      <c r="J4" s="762"/>
      <c r="K4" s="762"/>
      <c r="L4" s="762"/>
      <c r="M4" s="762"/>
      <c r="N4" s="762"/>
    </row>
    <row r="5" spans="1:32" ht="14" x14ac:dyDescent="0.3">
      <c r="A5" s="762" t="str">
        <f>+'Bill_Bos G1 nonDem'!A5</f>
        <v>Calculation of Monthly Typical Bill</v>
      </c>
      <c r="B5" s="762"/>
      <c r="C5" s="762"/>
      <c r="D5" s="762"/>
      <c r="E5" s="762"/>
      <c r="F5" s="762"/>
      <c r="G5" s="762"/>
      <c r="H5" s="762"/>
      <c r="I5" s="762"/>
      <c r="J5" s="762"/>
      <c r="K5" s="762"/>
      <c r="L5" s="762"/>
      <c r="M5" s="762"/>
      <c r="N5" s="762"/>
    </row>
    <row r="6" spans="1:32" ht="14" x14ac:dyDescent="0.3">
      <c r="A6" s="762" t="str">
        <f>+'Bill_Bos G1 nonDem'!A6</f>
        <v>Proposed January 1, 2019</v>
      </c>
      <c r="B6" s="762"/>
      <c r="C6" s="762"/>
      <c r="D6" s="762"/>
      <c r="E6" s="762"/>
      <c r="F6" s="762"/>
      <c r="G6" s="762"/>
      <c r="H6" s="762"/>
      <c r="I6" s="762"/>
      <c r="J6" s="762"/>
      <c r="K6" s="762"/>
      <c r="L6" s="762"/>
      <c r="M6" s="762"/>
      <c r="N6" s="762"/>
    </row>
    <row r="7" spans="1:32" ht="14" x14ac:dyDescent="0.3">
      <c r="A7" s="762"/>
      <c r="B7" s="762"/>
      <c r="C7" s="762"/>
      <c r="D7" s="762"/>
      <c r="E7" s="762"/>
      <c r="F7" s="762"/>
      <c r="G7" s="762"/>
      <c r="H7" s="762"/>
      <c r="I7" s="762"/>
      <c r="J7" s="762"/>
      <c r="K7" s="762"/>
      <c r="L7" s="762"/>
      <c r="M7" s="762"/>
      <c r="N7" s="762"/>
    </row>
    <row r="8" spans="1:32" ht="14" x14ac:dyDescent="0.3">
      <c r="A8" s="762" t="str">
        <f>+'Bill_Bos G1 nonDem'!A8</f>
        <v>Greater Boston Service Area</v>
      </c>
      <c r="B8" s="762"/>
      <c r="C8" s="762"/>
      <c r="D8" s="762"/>
      <c r="E8" s="762"/>
      <c r="F8" s="762"/>
      <c r="G8" s="762"/>
      <c r="H8" s="762"/>
      <c r="I8" s="762"/>
      <c r="J8" s="762"/>
      <c r="K8" s="762"/>
      <c r="L8" s="762"/>
      <c r="M8" s="762"/>
      <c r="N8" s="762"/>
    </row>
    <row r="9" spans="1:32" ht="14" x14ac:dyDescent="0.3">
      <c r="A9" s="762" t="str">
        <f>+'Bill_Bos G3 p4'!A9:N9</f>
        <v>Rate G-3 Large General Service - SEMA</v>
      </c>
      <c r="B9" s="762"/>
      <c r="C9" s="762"/>
      <c r="D9" s="762"/>
      <c r="E9" s="762"/>
      <c r="F9" s="762"/>
      <c r="G9" s="762"/>
      <c r="H9" s="762"/>
      <c r="I9" s="762"/>
      <c r="J9" s="762"/>
      <c r="K9" s="762"/>
      <c r="L9" s="762"/>
      <c r="M9" s="762"/>
      <c r="N9" s="762"/>
    </row>
    <row r="10" spans="1:32" ht="14" x14ac:dyDescent="0.3">
      <c r="A10" s="366"/>
      <c r="B10" s="366"/>
      <c r="D10" s="293"/>
      <c r="E10" s="293"/>
      <c r="F10" s="293"/>
      <c r="G10" s="367"/>
      <c r="H10" s="293"/>
    </row>
    <row r="11" spans="1:32" ht="14" x14ac:dyDescent="0.3">
      <c r="A11" s="366"/>
      <c r="B11" s="366"/>
      <c r="D11" s="293"/>
      <c r="E11" s="293"/>
      <c r="F11" s="293"/>
      <c r="G11" s="368"/>
      <c r="H11" s="293"/>
    </row>
    <row r="12" spans="1:32" ht="14" x14ac:dyDescent="0.3">
      <c r="A12" s="151">
        <f>IF(C12&lt;&gt;"",COUNTA($C12:C$12),"")</f>
        <v>1</v>
      </c>
      <c r="B12" s="151"/>
      <c r="C12" s="405" t="s">
        <v>578</v>
      </c>
      <c r="D12" s="293"/>
      <c r="E12" s="293"/>
      <c r="F12" s="293"/>
      <c r="G12" s="368"/>
      <c r="H12" s="293"/>
    </row>
    <row r="13" spans="1:32" ht="14" x14ac:dyDescent="0.3">
      <c r="A13" s="151">
        <f>IF(C13&lt;&gt;"",COUNTA($C$12:C13),"")</f>
        <v>2</v>
      </c>
      <c r="B13" s="151"/>
      <c r="C13" s="406" t="str">
        <f>+'Bill_Bos G1 Dmd p1'!C13</f>
        <v>Monthly</v>
      </c>
      <c r="D13" s="366" t="str">
        <f>+C13</f>
        <v>Monthly</v>
      </c>
      <c r="E13" s="760" t="str">
        <f>+'Bill_Bos G1 nonDem'!D12</f>
        <v>Current Monthly Bill (Winter)</v>
      </c>
      <c r="F13" s="760"/>
      <c r="G13" s="760"/>
      <c r="H13" s="293"/>
      <c r="I13" s="760" t="str">
        <f>+'Bill_Bos G1 nonDem'!H12</f>
        <v>Proposed Monthly Bill (Winter)</v>
      </c>
      <c r="J13" s="760"/>
      <c r="K13" s="760"/>
      <c r="M13" s="760" t="s">
        <v>550</v>
      </c>
      <c r="N13" s="760"/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  <c r="AA13" s="369"/>
      <c r="AB13" s="369"/>
      <c r="AC13" s="369"/>
      <c r="AD13" s="369"/>
      <c r="AE13" s="369"/>
      <c r="AF13" s="369"/>
    </row>
    <row r="14" spans="1:32" ht="14" x14ac:dyDescent="0.3">
      <c r="A14" s="151">
        <f>IF(C14&lt;&gt;"",COUNTA($C$12:C14),"")</f>
        <v>3</v>
      </c>
      <c r="B14" s="151"/>
      <c r="C14" s="408" t="s">
        <v>534</v>
      </c>
      <c r="D14" s="370" t="s">
        <v>551</v>
      </c>
      <c r="E14" s="370" t="s">
        <v>552</v>
      </c>
      <c r="F14" s="370" t="s">
        <v>553</v>
      </c>
      <c r="G14" s="370" t="s">
        <v>47</v>
      </c>
      <c r="H14" s="293"/>
      <c r="I14" s="370" t="s">
        <v>552</v>
      </c>
      <c r="J14" s="370" t="s">
        <v>553</v>
      </c>
      <c r="K14" s="370" t="s">
        <v>47</v>
      </c>
      <c r="M14" s="370" t="s">
        <v>65</v>
      </c>
      <c r="N14" s="370" t="s">
        <v>325</v>
      </c>
      <c r="O14" s="369"/>
      <c r="P14" s="369"/>
      <c r="Q14" s="369"/>
      <c r="R14" s="369"/>
      <c r="S14" s="369"/>
      <c r="T14" s="369"/>
      <c r="U14" s="369"/>
      <c r="V14" s="369"/>
      <c r="W14" s="369"/>
      <c r="X14" s="369"/>
      <c r="Y14" s="369"/>
      <c r="Z14" s="369"/>
      <c r="AA14" s="369"/>
      <c r="AB14" s="369"/>
      <c r="AC14" s="369"/>
      <c r="AD14" s="369"/>
      <c r="AE14" s="369"/>
      <c r="AF14" s="369"/>
    </row>
    <row r="15" spans="1:32" ht="14" x14ac:dyDescent="0.3">
      <c r="A15" s="151">
        <f>IF(C15&lt;&gt;"",COUNTA($C$12:C15),"")</f>
        <v>4</v>
      </c>
      <c r="B15" s="151"/>
      <c r="C15" s="409">
        <f>+'Bill_Bos G3 p1'!C15</f>
        <v>100</v>
      </c>
      <c r="D15" s="409">
        <f>+C15*450</f>
        <v>45000</v>
      </c>
      <c r="E15" s="372">
        <f t="shared" ref="E15:E24" si="0">ROUND($G$41+$C15*SUM($G$42,$G$44)+(SUM($G$45:$G$60,$G$61:$G$63)*$D15),2)</f>
        <v>3002.7</v>
      </c>
      <c r="F15" s="372">
        <f t="shared" ref="F15:F24" si="1">ROUND($G$64*D15,2)</f>
        <v>5519.7</v>
      </c>
      <c r="G15" s="372">
        <f t="shared" ref="G15:G24" si="2">SUM(E15:F15)</f>
        <v>8522.4</v>
      </c>
      <c r="H15" s="373"/>
      <c r="I15" s="372">
        <f t="shared" ref="I15:I24" si="3">ROUND($I$41+$C15*SUM($I$42,$I$44)+(SUM($I$45:$I$60,$I$61:$I$63)*$D15),2)</f>
        <v>2920.85</v>
      </c>
      <c r="J15" s="372">
        <f t="shared" ref="J15:J24" si="4">ROUND($I$64*D15,2)</f>
        <v>7266.6</v>
      </c>
      <c r="K15" s="372">
        <f t="shared" ref="K15:K24" si="5">SUM(I15:J15)</f>
        <v>10187.450000000001</v>
      </c>
      <c r="L15" s="374"/>
      <c r="M15" s="375">
        <f t="shared" ref="M15:M24" si="6">+K15-G15</f>
        <v>1665.0500000000011</v>
      </c>
      <c r="N15" s="376">
        <f t="shared" ref="N15:N24" si="7">+M15/G15</f>
        <v>0.19537336900403657</v>
      </c>
      <c r="O15" s="377"/>
      <c r="P15" s="322"/>
      <c r="Q15" s="322"/>
      <c r="R15" s="322"/>
      <c r="S15" s="377"/>
      <c r="T15" s="378"/>
      <c r="U15" s="377"/>
      <c r="V15" s="325"/>
      <c r="W15" s="322"/>
      <c r="X15" s="322"/>
      <c r="Y15" s="377"/>
      <c r="Z15" s="374"/>
      <c r="AA15" s="322"/>
      <c r="AB15" s="322"/>
      <c r="AC15" s="322"/>
      <c r="AD15" s="322"/>
      <c r="AE15" s="377"/>
      <c r="AF15" s="374"/>
    </row>
    <row r="16" spans="1:32" ht="14" x14ac:dyDescent="0.3">
      <c r="A16" s="151">
        <f>IF(C16&lt;&gt;"",COUNTA($C$12:C16),"")</f>
        <v>5</v>
      </c>
      <c r="B16" s="151"/>
      <c r="C16" s="409">
        <f>+'Bill_Bos G3 p1'!C16</f>
        <v>250</v>
      </c>
      <c r="D16" s="409">
        <f t="shared" ref="D16:D24" si="8">+C16*450</f>
        <v>112500</v>
      </c>
      <c r="E16" s="372">
        <f t="shared" si="0"/>
        <v>7131.75</v>
      </c>
      <c r="F16" s="372">
        <f t="shared" si="1"/>
        <v>13799.25</v>
      </c>
      <c r="G16" s="372">
        <f t="shared" si="2"/>
        <v>20931</v>
      </c>
      <c r="H16" s="373"/>
      <c r="I16" s="372">
        <f t="shared" si="3"/>
        <v>6927.13</v>
      </c>
      <c r="J16" s="372">
        <f t="shared" si="4"/>
        <v>18166.5</v>
      </c>
      <c r="K16" s="372">
        <f t="shared" si="5"/>
        <v>25093.63</v>
      </c>
      <c r="L16" s="374"/>
      <c r="M16" s="375">
        <f t="shared" si="6"/>
        <v>4162.630000000001</v>
      </c>
      <c r="N16" s="376">
        <f t="shared" si="7"/>
        <v>0.19887391906741203</v>
      </c>
      <c r="O16" s="377"/>
      <c r="P16" s="322"/>
      <c r="Q16" s="322"/>
      <c r="R16" s="322"/>
      <c r="S16" s="377"/>
      <c r="T16" s="378"/>
      <c r="U16" s="377"/>
      <c r="V16" s="325"/>
      <c r="W16" s="322"/>
      <c r="X16" s="322"/>
      <c r="Y16" s="377"/>
      <c r="Z16" s="374"/>
      <c r="AA16" s="322"/>
      <c r="AB16" s="322"/>
      <c r="AC16" s="322"/>
      <c r="AD16" s="322"/>
      <c r="AE16" s="377"/>
      <c r="AF16" s="374"/>
    </row>
    <row r="17" spans="1:32" ht="14" x14ac:dyDescent="0.3">
      <c r="A17" s="151">
        <f>IF(C17&lt;&gt;"",COUNTA($C$12:C17),"")</f>
        <v>6</v>
      </c>
      <c r="B17" s="151"/>
      <c r="C17" s="409">
        <f>+'Bill_Bos G3 p1'!C17</f>
        <v>400</v>
      </c>
      <c r="D17" s="409">
        <f t="shared" si="8"/>
        <v>180000</v>
      </c>
      <c r="E17" s="372">
        <f t="shared" si="0"/>
        <v>11260.8</v>
      </c>
      <c r="F17" s="372">
        <f t="shared" si="1"/>
        <v>22078.799999999999</v>
      </c>
      <c r="G17" s="372">
        <f t="shared" si="2"/>
        <v>33339.599999999999</v>
      </c>
      <c r="H17" s="373"/>
      <c r="I17" s="372">
        <f t="shared" si="3"/>
        <v>10933.4</v>
      </c>
      <c r="J17" s="372">
        <f t="shared" si="4"/>
        <v>29066.400000000001</v>
      </c>
      <c r="K17" s="372">
        <f t="shared" si="5"/>
        <v>39999.800000000003</v>
      </c>
      <c r="L17" s="374"/>
      <c r="M17" s="375">
        <f t="shared" si="6"/>
        <v>6660.2000000000044</v>
      </c>
      <c r="N17" s="376">
        <f t="shared" si="7"/>
        <v>0.199768443532616</v>
      </c>
      <c r="O17" s="377"/>
      <c r="P17" s="322"/>
      <c r="Q17" s="322"/>
      <c r="R17" s="322"/>
      <c r="S17" s="377"/>
      <c r="T17" s="378"/>
      <c r="U17" s="377"/>
      <c r="V17" s="325"/>
      <c r="W17" s="322"/>
      <c r="X17" s="322"/>
      <c r="Y17" s="377"/>
      <c r="Z17" s="374"/>
      <c r="AA17" s="322"/>
      <c r="AB17" s="322"/>
      <c r="AC17" s="322"/>
      <c r="AD17" s="322"/>
      <c r="AE17" s="377"/>
      <c r="AF17" s="374"/>
    </row>
    <row r="18" spans="1:32" ht="14" x14ac:dyDescent="0.3">
      <c r="A18" s="151">
        <f>IF(C18&lt;&gt;"",COUNTA($C$12:C18),"")</f>
        <v>7</v>
      </c>
      <c r="B18" s="151"/>
      <c r="C18" s="409">
        <f>+'Bill_Bos G3 p1'!C18</f>
        <v>550</v>
      </c>
      <c r="D18" s="409">
        <f t="shared" si="8"/>
        <v>247500</v>
      </c>
      <c r="E18" s="372">
        <f t="shared" si="0"/>
        <v>15389.85</v>
      </c>
      <c r="F18" s="372">
        <f t="shared" si="1"/>
        <v>30358.35</v>
      </c>
      <c r="G18" s="372">
        <f t="shared" si="2"/>
        <v>45748.2</v>
      </c>
      <c r="H18" s="373"/>
      <c r="I18" s="372">
        <f t="shared" si="3"/>
        <v>14939.68</v>
      </c>
      <c r="J18" s="372">
        <f t="shared" si="4"/>
        <v>39966.300000000003</v>
      </c>
      <c r="K18" s="372">
        <f t="shared" si="5"/>
        <v>54905.98</v>
      </c>
      <c r="L18" s="374"/>
      <c r="M18" s="375">
        <f t="shared" si="6"/>
        <v>9157.7800000000061</v>
      </c>
      <c r="N18" s="376">
        <f t="shared" si="7"/>
        <v>0.20017793049781207</v>
      </c>
      <c r="O18" s="377"/>
      <c r="P18" s="322"/>
      <c r="Q18" s="322"/>
      <c r="R18" s="322"/>
      <c r="S18" s="377"/>
      <c r="T18" s="378"/>
      <c r="U18" s="377"/>
      <c r="V18" s="325"/>
      <c r="W18" s="322"/>
      <c r="X18" s="322"/>
      <c r="Y18" s="377"/>
      <c r="Z18" s="374"/>
      <c r="AA18" s="322"/>
      <c r="AB18" s="322"/>
      <c r="AC18" s="322"/>
      <c r="AD18" s="322"/>
      <c r="AE18" s="377"/>
      <c r="AF18" s="374"/>
    </row>
    <row r="19" spans="1:32" ht="14" x14ac:dyDescent="0.3">
      <c r="A19" s="151">
        <f>IF(C19&lt;&gt;"",COUNTA($C$12:C19),"")</f>
        <v>8</v>
      </c>
      <c r="B19" s="151"/>
      <c r="C19" s="409">
        <f>+'Bill_Bos G3 p1'!C19</f>
        <v>700</v>
      </c>
      <c r="D19" s="409">
        <f t="shared" si="8"/>
        <v>315000</v>
      </c>
      <c r="E19" s="372">
        <f t="shared" si="0"/>
        <v>19518.900000000001</v>
      </c>
      <c r="F19" s="372">
        <f t="shared" si="1"/>
        <v>38637.9</v>
      </c>
      <c r="G19" s="372">
        <f t="shared" si="2"/>
        <v>58156.800000000003</v>
      </c>
      <c r="H19" s="373"/>
      <c r="I19" s="372">
        <f t="shared" si="3"/>
        <v>18945.95</v>
      </c>
      <c r="J19" s="372">
        <f t="shared" si="4"/>
        <v>50866.2</v>
      </c>
      <c r="K19" s="372">
        <f t="shared" si="5"/>
        <v>69812.149999999994</v>
      </c>
      <c r="L19" s="374"/>
      <c r="M19" s="375">
        <f t="shared" si="6"/>
        <v>11655.349999999991</v>
      </c>
      <c r="N19" s="376">
        <f t="shared" si="7"/>
        <v>0.20041250550236586</v>
      </c>
      <c r="O19" s="377"/>
      <c r="P19" s="322"/>
      <c r="Q19" s="322"/>
      <c r="R19" s="322"/>
      <c r="S19" s="377"/>
      <c r="T19" s="378"/>
      <c r="U19" s="377"/>
      <c r="V19" s="325"/>
      <c r="W19" s="322"/>
      <c r="X19" s="322"/>
      <c r="Y19" s="377"/>
      <c r="Z19" s="374"/>
      <c r="AA19" s="322"/>
      <c r="AB19" s="322"/>
      <c r="AC19" s="322"/>
      <c r="AD19" s="322"/>
      <c r="AE19" s="377"/>
      <c r="AF19" s="374"/>
    </row>
    <row r="20" spans="1:32" ht="14" x14ac:dyDescent="0.3">
      <c r="A20" s="151">
        <f>IF(C20&lt;&gt;"",COUNTA($C$12:C20),"")</f>
        <v>9</v>
      </c>
      <c r="B20" s="151"/>
      <c r="C20" s="409">
        <f>+'Bill_Bos G3 p1'!C20</f>
        <v>1000</v>
      </c>
      <c r="D20" s="409">
        <f t="shared" si="8"/>
        <v>450000</v>
      </c>
      <c r="E20" s="372">
        <f t="shared" si="0"/>
        <v>27777</v>
      </c>
      <c r="F20" s="372">
        <f t="shared" si="1"/>
        <v>55197</v>
      </c>
      <c r="G20" s="372">
        <f t="shared" si="2"/>
        <v>82974</v>
      </c>
      <c r="H20" s="373"/>
      <c r="I20" s="372">
        <f t="shared" si="3"/>
        <v>26958.5</v>
      </c>
      <c r="J20" s="372">
        <f t="shared" si="4"/>
        <v>72666</v>
      </c>
      <c r="K20" s="372">
        <f t="shared" si="5"/>
        <v>99624.5</v>
      </c>
      <c r="L20" s="374"/>
      <c r="M20" s="375">
        <f t="shared" si="6"/>
        <v>16650.5</v>
      </c>
      <c r="N20" s="376">
        <f t="shared" si="7"/>
        <v>0.20067129462241184</v>
      </c>
      <c r="O20" s="377"/>
      <c r="P20" s="322"/>
      <c r="Q20" s="322"/>
      <c r="R20" s="322"/>
      <c r="S20" s="377"/>
      <c r="T20" s="378"/>
      <c r="U20" s="377"/>
      <c r="V20" s="325"/>
      <c r="W20" s="322"/>
      <c r="X20" s="322"/>
      <c r="Y20" s="377"/>
      <c r="Z20" s="374"/>
      <c r="AA20" s="322"/>
      <c r="AB20" s="322"/>
      <c r="AC20" s="322"/>
      <c r="AD20" s="322"/>
      <c r="AE20" s="377"/>
      <c r="AF20" s="374"/>
    </row>
    <row r="21" spans="1:32" ht="14" x14ac:dyDescent="0.3">
      <c r="A21" s="151">
        <f>IF(C21&lt;&gt;"",COUNTA($C$12:C21),"")</f>
        <v>10</v>
      </c>
      <c r="B21" s="151"/>
      <c r="C21" s="409">
        <f>+'Bill_Bos G3 p1'!C21</f>
        <v>1500</v>
      </c>
      <c r="D21" s="409">
        <f t="shared" si="8"/>
        <v>675000</v>
      </c>
      <c r="E21" s="372">
        <f t="shared" si="0"/>
        <v>41540.5</v>
      </c>
      <c r="F21" s="372">
        <f t="shared" si="1"/>
        <v>82795.5</v>
      </c>
      <c r="G21" s="372">
        <f t="shared" si="2"/>
        <v>124336</v>
      </c>
      <c r="H21" s="373"/>
      <c r="I21" s="372">
        <f t="shared" si="3"/>
        <v>40312.75</v>
      </c>
      <c r="J21" s="372">
        <f t="shared" si="4"/>
        <v>108999</v>
      </c>
      <c r="K21" s="372">
        <f t="shared" si="5"/>
        <v>149311.75</v>
      </c>
      <c r="L21" s="374"/>
      <c r="M21" s="375">
        <f t="shared" si="6"/>
        <v>24975.75</v>
      </c>
      <c r="N21" s="376">
        <f t="shared" si="7"/>
        <v>0.2008730375756016</v>
      </c>
      <c r="O21" s="377"/>
      <c r="P21" s="322"/>
      <c r="Q21" s="322"/>
      <c r="R21" s="322"/>
      <c r="S21" s="377"/>
      <c r="T21" s="378"/>
      <c r="U21" s="377"/>
      <c r="V21" s="325"/>
      <c r="W21" s="322"/>
      <c r="X21" s="322"/>
      <c r="Y21" s="377"/>
      <c r="Z21" s="374"/>
      <c r="AA21" s="322"/>
      <c r="AB21" s="322"/>
      <c r="AC21" s="322"/>
      <c r="AD21" s="322"/>
      <c r="AE21" s="377"/>
      <c r="AF21" s="374"/>
    </row>
    <row r="22" spans="1:32" ht="14" x14ac:dyDescent="0.3">
      <c r="A22" s="151">
        <f>IF(C22&lt;&gt;"",COUNTA($C$12:C22),"")</f>
        <v>11</v>
      </c>
      <c r="B22" s="151"/>
      <c r="C22" s="409">
        <f>+'Bill_Bos G3 p1'!C22</f>
        <v>2500</v>
      </c>
      <c r="D22" s="409">
        <f t="shared" si="8"/>
        <v>1125000</v>
      </c>
      <c r="E22" s="372">
        <f t="shared" si="0"/>
        <v>69067.5</v>
      </c>
      <c r="F22" s="372">
        <f t="shared" si="1"/>
        <v>137992.5</v>
      </c>
      <c r="G22" s="372">
        <f t="shared" si="2"/>
        <v>207060</v>
      </c>
      <c r="H22" s="373"/>
      <c r="I22" s="372">
        <f t="shared" si="3"/>
        <v>67021.25</v>
      </c>
      <c r="J22" s="372">
        <f t="shared" si="4"/>
        <v>181665</v>
      </c>
      <c r="K22" s="372">
        <f t="shared" si="5"/>
        <v>248686.25</v>
      </c>
      <c r="L22" s="374"/>
      <c r="M22" s="375">
        <f t="shared" si="6"/>
        <v>41626.25</v>
      </c>
      <c r="N22" s="376">
        <f t="shared" si="7"/>
        <v>0.2010347242345214</v>
      </c>
      <c r="O22" s="377"/>
      <c r="P22" s="322"/>
      <c r="Q22" s="322"/>
      <c r="R22" s="322"/>
      <c r="S22" s="377"/>
      <c r="T22" s="378"/>
      <c r="U22" s="377"/>
      <c r="V22" s="325"/>
      <c r="W22" s="322"/>
      <c r="X22" s="322"/>
      <c r="Y22" s="377"/>
      <c r="Z22" s="374"/>
      <c r="AA22" s="322"/>
      <c r="AB22" s="322"/>
      <c r="AC22" s="322"/>
      <c r="AD22" s="322"/>
      <c r="AE22" s="377"/>
      <c r="AF22" s="374"/>
    </row>
    <row r="23" spans="1:32" ht="14" x14ac:dyDescent="0.3">
      <c r="A23" s="151">
        <f>IF(C23&lt;&gt;"",COUNTA($C$12:C23),"")</f>
        <v>12</v>
      </c>
      <c r="B23" s="151"/>
      <c r="C23" s="409">
        <f>+'Bill_Bos G3 p1'!C23</f>
        <v>5000</v>
      </c>
      <c r="D23" s="409">
        <f t="shared" si="8"/>
        <v>2250000</v>
      </c>
      <c r="E23" s="372">
        <f t="shared" si="0"/>
        <v>137885</v>
      </c>
      <c r="F23" s="372">
        <f t="shared" si="1"/>
        <v>275985</v>
      </c>
      <c r="G23" s="372">
        <f t="shared" si="2"/>
        <v>413870</v>
      </c>
      <c r="H23" s="373"/>
      <c r="I23" s="372">
        <f t="shared" si="3"/>
        <v>133792.5</v>
      </c>
      <c r="J23" s="372">
        <f t="shared" si="4"/>
        <v>363330</v>
      </c>
      <c r="K23" s="372">
        <f t="shared" si="5"/>
        <v>497122.5</v>
      </c>
      <c r="L23" s="374"/>
      <c r="M23" s="375">
        <f t="shared" si="6"/>
        <v>83252.5</v>
      </c>
      <c r="N23" s="376">
        <f t="shared" si="7"/>
        <v>0.20115616014690604</v>
      </c>
      <c r="O23" s="377"/>
      <c r="P23" s="322"/>
      <c r="Q23" s="322"/>
      <c r="R23" s="322"/>
      <c r="S23" s="377"/>
      <c r="T23" s="378"/>
      <c r="U23" s="377"/>
      <c r="V23" s="325"/>
      <c r="W23" s="322"/>
      <c r="X23" s="322"/>
      <c r="Y23" s="377"/>
      <c r="Z23" s="374"/>
      <c r="AA23" s="322"/>
      <c r="AB23" s="322"/>
      <c r="AC23" s="322"/>
      <c r="AD23" s="322"/>
      <c r="AE23" s="377"/>
      <c r="AF23" s="374"/>
    </row>
    <row r="24" spans="1:32" ht="14" x14ac:dyDescent="0.3">
      <c r="A24" s="151">
        <f>IF(C24&lt;&gt;"",COUNTA($C$12:C24),"")</f>
        <v>13</v>
      </c>
      <c r="B24" s="151" t="s">
        <v>554</v>
      </c>
      <c r="C24" s="366">
        <v>800</v>
      </c>
      <c r="D24" s="409">
        <f t="shared" si="8"/>
        <v>360000</v>
      </c>
      <c r="E24" s="372">
        <f t="shared" si="0"/>
        <v>22271.599999999999</v>
      </c>
      <c r="F24" s="372">
        <f t="shared" si="1"/>
        <v>44157.599999999999</v>
      </c>
      <c r="G24" s="372">
        <f t="shared" si="2"/>
        <v>66429.2</v>
      </c>
      <c r="H24" s="373"/>
      <c r="I24" s="372">
        <f t="shared" si="3"/>
        <v>21616.799999999999</v>
      </c>
      <c r="J24" s="372">
        <f t="shared" si="4"/>
        <v>58132.800000000003</v>
      </c>
      <c r="K24" s="372">
        <f t="shared" si="5"/>
        <v>79749.600000000006</v>
      </c>
      <c r="L24" s="374"/>
      <c r="M24" s="375">
        <f t="shared" si="6"/>
        <v>13320.400000000009</v>
      </c>
      <c r="N24" s="376">
        <f t="shared" si="7"/>
        <v>0.20052025314169084</v>
      </c>
      <c r="O24" s="377"/>
      <c r="P24" s="322"/>
      <c r="Q24" s="322"/>
      <c r="R24" s="322"/>
      <c r="S24" s="377"/>
      <c r="T24" s="378"/>
      <c r="U24" s="377"/>
      <c r="V24" s="325"/>
      <c r="W24" s="322"/>
      <c r="X24" s="322"/>
      <c r="Y24" s="377"/>
      <c r="Z24" s="374"/>
      <c r="AA24" s="322"/>
      <c r="AB24" s="322"/>
      <c r="AC24" s="322"/>
      <c r="AD24" s="322"/>
      <c r="AE24" s="377"/>
      <c r="AF24" s="374"/>
    </row>
    <row r="25" spans="1:32" ht="14" x14ac:dyDescent="0.3">
      <c r="A25" s="151" t="str">
        <f>IF(C25&lt;&gt;"",COUNTA($C$12:C25),"")</f>
        <v/>
      </c>
      <c r="B25" s="151"/>
      <c r="C25" s="293"/>
      <c r="D25" s="409"/>
      <c r="E25" s="372"/>
      <c r="F25" s="372"/>
      <c r="G25" s="372"/>
      <c r="H25" s="373"/>
      <c r="I25" s="374"/>
      <c r="J25" s="374"/>
      <c r="K25" s="374"/>
      <c r="L25" s="374"/>
      <c r="M25" s="374"/>
      <c r="O25" s="377"/>
      <c r="P25" s="322"/>
      <c r="Q25" s="322"/>
      <c r="R25" s="322"/>
      <c r="S25" s="377"/>
      <c r="T25" s="378"/>
      <c r="U25" s="377"/>
      <c r="V25" s="322"/>
      <c r="W25" s="322"/>
      <c r="X25" s="322"/>
      <c r="Y25" s="377"/>
      <c r="Z25" s="374"/>
      <c r="AA25" s="322"/>
      <c r="AB25" s="322"/>
      <c r="AC25" s="322"/>
      <c r="AD25" s="322"/>
      <c r="AE25" s="377"/>
      <c r="AF25" s="374"/>
    </row>
    <row r="26" spans="1:32" ht="14" x14ac:dyDescent="0.3">
      <c r="A26" s="151">
        <f>IF(C26&lt;&gt;"",COUNTA($C$12:C26),"")</f>
        <v>14</v>
      </c>
      <c r="B26" s="151"/>
      <c r="C26" s="366" t="str">
        <f>+C13</f>
        <v>Monthly</v>
      </c>
      <c r="D26" s="366" t="str">
        <f>+D13</f>
        <v>Monthly</v>
      </c>
      <c r="E26" s="760" t="str">
        <f>+'Bill_Bos G1 nonDem'!D26</f>
        <v>Current Monthly Bill (Summer)</v>
      </c>
      <c r="F26" s="760"/>
      <c r="G26" s="760"/>
      <c r="H26" s="448"/>
      <c r="I26" s="760" t="str">
        <f>+'Bill_Bos G1 nonDem'!H26</f>
        <v>Proposed Monthly Bill (Summer)</v>
      </c>
      <c r="J26" s="760"/>
      <c r="K26" s="760"/>
      <c r="L26" s="374"/>
      <c r="M26" s="763" t="s">
        <v>550</v>
      </c>
      <c r="N26" s="763"/>
      <c r="O26" s="415"/>
      <c r="P26" s="415"/>
      <c r="Q26" s="416"/>
      <c r="R26" s="369"/>
      <c r="S26" s="369"/>
      <c r="T26" s="378"/>
      <c r="U26" s="415"/>
      <c r="V26" s="415"/>
      <c r="W26" s="416"/>
      <c r="X26" s="369"/>
      <c r="Y26" s="369"/>
      <c r="Z26" s="369"/>
      <c r="AA26" s="369"/>
      <c r="AB26" s="369"/>
      <c r="AC26" s="322"/>
      <c r="AD26" s="322"/>
      <c r="AE26" s="369"/>
      <c r="AF26" s="369"/>
    </row>
    <row r="27" spans="1:32" ht="14" x14ac:dyDescent="0.3">
      <c r="A27" s="151">
        <f>IF(C27&lt;&gt;"",COUNTA($C$12:C27),"")</f>
        <v>15</v>
      </c>
      <c r="B27" s="151"/>
      <c r="C27" s="370" t="s">
        <v>534</v>
      </c>
      <c r="D27" s="370" t="s">
        <v>551</v>
      </c>
      <c r="E27" s="442" t="s">
        <v>552</v>
      </c>
      <c r="F27" s="442" t="s">
        <v>553</v>
      </c>
      <c r="G27" s="442" t="s">
        <v>47</v>
      </c>
      <c r="H27" s="448"/>
      <c r="I27" s="442" t="s">
        <v>552</v>
      </c>
      <c r="J27" s="442" t="s">
        <v>553</v>
      </c>
      <c r="K27" s="442" t="s">
        <v>47</v>
      </c>
      <c r="L27" s="374"/>
      <c r="M27" s="442" t="s">
        <v>65</v>
      </c>
      <c r="N27" s="370" t="s">
        <v>325</v>
      </c>
      <c r="O27" s="378"/>
      <c r="P27" s="369"/>
      <c r="Q27" s="369"/>
      <c r="R27" s="369"/>
      <c r="S27" s="369"/>
      <c r="T27" s="369"/>
      <c r="U27" s="378"/>
      <c r="V27" s="369"/>
      <c r="W27" s="369"/>
      <c r="X27" s="369"/>
      <c r="Y27" s="369"/>
      <c r="Z27" s="369"/>
      <c r="AA27" s="369"/>
      <c r="AB27" s="369"/>
      <c r="AC27" s="322"/>
      <c r="AD27" s="322"/>
      <c r="AE27" s="369"/>
      <c r="AF27" s="369"/>
    </row>
    <row r="28" spans="1:32" ht="14" x14ac:dyDescent="0.3">
      <c r="A28" s="151">
        <f>IF(C28&lt;&gt;"",COUNTA($C$12:C28),"")</f>
        <v>16</v>
      </c>
      <c r="B28" s="151"/>
      <c r="C28" s="409">
        <f>+'Bill_Bos G3 p1'!C28</f>
        <v>100</v>
      </c>
      <c r="D28" s="409">
        <f>+C28*450</f>
        <v>45000</v>
      </c>
      <c r="E28" s="372">
        <f t="shared" ref="E28:E37" si="9">ROUND($G$41+$C28*SUM($G$43,$G$44)+(SUM($G$45:$G$60,$G$61:$G$63)*$D28),2)</f>
        <v>3598.7</v>
      </c>
      <c r="F28" s="372">
        <f t="shared" ref="F28:F37" si="10">ROUND($G$64*D28,2)</f>
        <v>5519.7</v>
      </c>
      <c r="G28" s="372">
        <f t="shared" ref="G28:G37" si="11">SUM(E28:F28)</f>
        <v>9118.4</v>
      </c>
      <c r="H28" s="373"/>
      <c r="I28" s="372">
        <f t="shared" ref="I28:I37" si="12">ROUND($I$41+$C28*SUM($I$43,$I$44)+(SUM($I$45:$I$60,$I$61:$I$63)*$D28),2)</f>
        <v>3537.85</v>
      </c>
      <c r="J28" s="372">
        <f t="shared" ref="J28:J37" si="13">ROUND($I$64*D28,2)</f>
        <v>7266.6</v>
      </c>
      <c r="K28" s="372">
        <f t="shared" ref="K28:K37" si="14">SUM(I28:J28)</f>
        <v>10804.45</v>
      </c>
      <c r="L28" s="374"/>
      <c r="M28" s="375">
        <f t="shared" ref="M28:M37" si="15">+K28-G28</f>
        <v>1686.0500000000011</v>
      </c>
      <c r="N28" s="376">
        <f t="shared" ref="N28:N37" si="16">+M28/G28</f>
        <v>0.18490634321810856</v>
      </c>
      <c r="O28" s="377"/>
      <c r="P28" s="322"/>
      <c r="Q28" s="322"/>
      <c r="R28" s="322"/>
      <c r="S28" s="377"/>
      <c r="T28" s="378"/>
      <c r="U28" s="377"/>
      <c r="V28" s="325"/>
      <c r="W28" s="322"/>
      <c r="X28" s="322"/>
      <c r="Y28" s="377"/>
      <c r="Z28" s="374"/>
      <c r="AA28" s="369"/>
      <c r="AB28" s="369"/>
      <c r="AC28" s="322"/>
      <c r="AD28" s="322"/>
      <c r="AE28" s="369"/>
      <c r="AF28" s="369"/>
    </row>
    <row r="29" spans="1:32" ht="14" x14ac:dyDescent="0.3">
      <c r="A29" s="151">
        <f>IF(C29&lt;&gt;"",COUNTA($C$12:C29),"")</f>
        <v>17</v>
      </c>
      <c r="B29" s="151"/>
      <c r="C29" s="409">
        <f>+'Bill_Bos G3 p1'!C29</f>
        <v>250</v>
      </c>
      <c r="D29" s="409">
        <f t="shared" ref="D29:D37" si="17">+C29*450</f>
        <v>112500</v>
      </c>
      <c r="E29" s="372">
        <f t="shared" si="9"/>
        <v>8621.75</v>
      </c>
      <c r="F29" s="372">
        <f t="shared" si="10"/>
        <v>13799.25</v>
      </c>
      <c r="G29" s="372">
        <f t="shared" si="11"/>
        <v>22421</v>
      </c>
      <c r="H29" s="373"/>
      <c r="I29" s="372">
        <f t="shared" si="12"/>
        <v>8469.6299999999992</v>
      </c>
      <c r="J29" s="372">
        <f t="shared" si="13"/>
        <v>18166.5</v>
      </c>
      <c r="K29" s="372">
        <f t="shared" si="14"/>
        <v>26636.129999999997</v>
      </c>
      <c r="L29" s="374"/>
      <c r="M29" s="375">
        <f t="shared" si="15"/>
        <v>4215.1299999999974</v>
      </c>
      <c r="N29" s="376">
        <f t="shared" si="16"/>
        <v>0.18799919718121391</v>
      </c>
      <c r="O29" s="377"/>
      <c r="P29" s="322"/>
      <c r="Q29" s="322"/>
      <c r="R29" s="322"/>
      <c r="S29" s="377"/>
      <c r="T29" s="378"/>
      <c r="U29" s="377"/>
      <c r="V29" s="325"/>
      <c r="W29" s="322"/>
      <c r="X29" s="322"/>
      <c r="Y29" s="377"/>
      <c r="Z29" s="374"/>
      <c r="AA29" s="322"/>
      <c r="AB29" s="322"/>
      <c r="AC29" s="322"/>
      <c r="AD29" s="322"/>
      <c r="AE29" s="377"/>
      <c r="AF29" s="374"/>
    </row>
    <row r="30" spans="1:32" ht="14" x14ac:dyDescent="0.3">
      <c r="A30" s="151">
        <f>IF(C30&lt;&gt;"",COUNTA($C$12:C30),"")</f>
        <v>18</v>
      </c>
      <c r="B30" s="151"/>
      <c r="C30" s="409">
        <f>+'Bill_Bos G3 p1'!C30</f>
        <v>400</v>
      </c>
      <c r="D30" s="409">
        <f t="shared" si="17"/>
        <v>180000</v>
      </c>
      <c r="E30" s="372">
        <f t="shared" si="9"/>
        <v>13644.8</v>
      </c>
      <c r="F30" s="372">
        <f t="shared" si="10"/>
        <v>22078.799999999999</v>
      </c>
      <c r="G30" s="372">
        <f t="shared" si="11"/>
        <v>35723.599999999999</v>
      </c>
      <c r="H30" s="373"/>
      <c r="I30" s="372">
        <f t="shared" si="12"/>
        <v>13401.4</v>
      </c>
      <c r="J30" s="372">
        <f t="shared" si="13"/>
        <v>29066.400000000001</v>
      </c>
      <c r="K30" s="372">
        <f t="shared" si="14"/>
        <v>42467.8</v>
      </c>
      <c r="L30" s="374"/>
      <c r="M30" s="375">
        <f t="shared" si="15"/>
        <v>6744.2000000000044</v>
      </c>
      <c r="N30" s="376">
        <f t="shared" si="16"/>
        <v>0.18878836399467033</v>
      </c>
      <c r="O30" s="377"/>
      <c r="P30" s="322"/>
      <c r="Q30" s="322"/>
      <c r="R30" s="322"/>
      <c r="S30" s="377"/>
      <c r="T30" s="378"/>
      <c r="U30" s="377"/>
      <c r="V30" s="325"/>
      <c r="W30" s="322"/>
      <c r="X30" s="322"/>
      <c r="Y30" s="377"/>
      <c r="Z30" s="374"/>
      <c r="AA30" s="322"/>
      <c r="AB30" s="322"/>
      <c r="AC30" s="322"/>
      <c r="AD30" s="322"/>
      <c r="AE30" s="377"/>
      <c r="AF30" s="374"/>
    </row>
    <row r="31" spans="1:32" ht="14" x14ac:dyDescent="0.3">
      <c r="A31" s="151">
        <f>IF(C31&lt;&gt;"",COUNTA($C$12:C31),"")</f>
        <v>19</v>
      </c>
      <c r="B31" s="151"/>
      <c r="C31" s="409">
        <f>+'Bill_Bos G3 p1'!C31</f>
        <v>550</v>
      </c>
      <c r="D31" s="409">
        <f t="shared" si="17"/>
        <v>247500</v>
      </c>
      <c r="E31" s="372">
        <f t="shared" si="9"/>
        <v>18667.849999999999</v>
      </c>
      <c r="F31" s="372">
        <f t="shared" si="10"/>
        <v>30358.35</v>
      </c>
      <c r="G31" s="372">
        <f t="shared" si="11"/>
        <v>49026.2</v>
      </c>
      <c r="H31" s="373"/>
      <c r="I31" s="372">
        <f t="shared" si="12"/>
        <v>18333.18</v>
      </c>
      <c r="J31" s="372">
        <f t="shared" si="13"/>
        <v>39966.300000000003</v>
      </c>
      <c r="K31" s="372">
        <f t="shared" si="14"/>
        <v>58299.48</v>
      </c>
      <c r="L31" s="374"/>
      <c r="M31" s="375">
        <f t="shared" si="15"/>
        <v>9273.2800000000061</v>
      </c>
      <c r="N31" s="376">
        <f t="shared" si="16"/>
        <v>0.18914947517857811</v>
      </c>
      <c r="O31" s="377"/>
      <c r="P31" s="322"/>
      <c r="Q31" s="322"/>
      <c r="R31" s="322"/>
      <c r="S31" s="377"/>
      <c r="T31" s="378"/>
      <c r="U31" s="377"/>
      <c r="V31" s="325"/>
      <c r="W31" s="322"/>
      <c r="X31" s="322"/>
      <c r="Y31" s="377"/>
      <c r="Z31" s="374"/>
      <c r="AA31" s="322"/>
      <c r="AB31" s="322"/>
      <c r="AC31" s="322"/>
      <c r="AD31" s="322"/>
      <c r="AE31" s="377"/>
      <c r="AF31" s="374"/>
    </row>
    <row r="32" spans="1:32" ht="14" x14ac:dyDescent="0.3">
      <c r="A32" s="151">
        <f>IF(C32&lt;&gt;"",COUNTA($C$12:C32),"")</f>
        <v>20</v>
      </c>
      <c r="B32" s="151"/>
      <c r="C32" s="409">
        <f>+'Bill_Bos G3 p1'!C32</f>
        <v>700</v>
      </c>
      <c r="D32" s="409">
        <f t="shared" si="17"/>
        <v>315000</v>
      </c>
      <c r="E32" s="372">
        <f t="shared" si="9"/>
        <v>23690.9</v>
      </c>
      <c r="F32" s="372">
        <f t="shared" si="10"/>
        <v>38637.9</v>
      </c>
      <c r="G32" s="372">
        <f t="shared" si="11"/>
        <v>62328.800000000003</v>
      </c>
      <c r="H32" s="373"/>
      <c r="I32" s="372">
        <f t="shared" si="12"/>
        <v>23264.95</v>
      </c>
      <c r="J32" s="372">
        <f t="shared" si="13"/>
        <v>50866.2</v>
      </c>
      <c r="K32" s="372">
        <f t="shared" si="14"/>
        <v>74131.149999999994</v>
      </c>
      <c r="L32" s="374"/>
      <c r="M32" s="375">
        <f t="shared" si="15"/>
        <v>11802.349999999991</v>
      </c>
      <c r="N32" s="376">
        <f t="shared" si="16"/>
        <v>0.18935628473514637</v>
      </c>
      <c r="O32" s="377"/>
      <c r="P32" s="322"/>
      <c r="Q32" s="322"/>
      <c r="R32" s="322"/>
      <c r="S32" s="377"/>
      <c r="T32" s="378"/>
      <c r="U32" s="377"/>
      <c r="V32" s="325"/>
      <c r="W32" s="322"/>
      <c r="X32" s="322"/>
      <c r="Y32" s="377"/>
      <c r="Z32" s="374"/>
      <c r="AA32" s="322"/>
      <c r="AB32" s="322"/>
      <c r="AC32" s="322"/>
      <c r="AD32" s="322"/>
      <c r="AE32" s="377"/>
      <c r="AF32" s="374"/>
    </row>
    <row r="33" spans="1:32" ht="14" x14ac:dyDescent="0.3">
      <c r="A33" s="151">
        <f>IF(C33&lt;&gt;"",COUNTA($C$12:C33),"")</f>
        <v>21</v>
      </c>
      <c r="B33" s="151"/>
      <c r="C33" s="409">
        <f>+'Bill_Bos G3 p1'!C33</f>
        <v>1000</v>
      </c>
      <c r="D33" s="409">
        <f t="shared" si="17"/>
        <v>450000</v>
      </c>
      <c r="E33" s="372">
        <f t="shared" si="9"/>
        <v>33737</v>
      </c>
      <c r="F33" s="372">
        <f t="shared" si="10"/>
        <v>55197</v>
      </c>
      <c r="G33" s="372">
        <f t="shared" si="11"/>
        <v>88934</v>
      </c>
      <c r="H33" s="373"/>
      <c r="I33" s="372">
        <f t="shared" si="12"/>
        <v>33128.5</v>
      </c>
      <c r="J33" s="372">
        <f t="shared" si="13"/>
        <v>72666</v>
      </c>
      <c r="K33" s="372">
        <f t="shared" si="14"/>
        <v>105794.5</v>
      </c>
      <c r="L33" s="374"/>
      <c r="M33" s="375">
        <f t="shared" si="15"/>
        <v>16860.5</v>
      </c>
      <c r="N33" s="376">
        <f t="shared" si="16"/>
        <v>0.18958441091146244</v>
      </c>
      <c r="O33" s="377"/>
      <c r="P33" s="322"/>
      <c r="Q33" s="322"/>
      <c r="R33" s="322"/>
      <c r="S33" s="377"/>
      <c r="T33" s="378"/>
      <c r="U33" s="377"/>
      <c r="V33" s="325"/>
      <c r="W33" s="322"/>
      <c r="X33" s="322"/>
      <c r="Y33" s="377"/>
      <c r="Z33" s="374"/>
      <c r="AA33" s="322"/>
      <c r="AB33" s="322"/>
      <c r="AC33" s="322"/>
      <c r="AD33" s="322"/>
      <c r="AE33" s="377"/>
      <c r="AF33" s="374"/>
    </row>
    <row r="34" spans="1:32" ht="14" x14ac:dyDescent="0.3">
      <c r="A34" s="151">
        <f>IF(C34&lt;&gt;"",COUNTA($C$12:C34),"")</f>
        <v>22</v>
      </c>
      <c r="B34" s="151"/>
      <c r="C34" s="409">
        <f>+'Bill_Bos G3 p1'!C34</f>
        <v>1500</v>
      </c>
      <c r="D34" s="409">
        <f t="shared" si="17"/>
        <v>675000</v>
      </c>
      <c r="E34" s="372">
        <f t="shared" si="9"/>
        <v>50480.5</v>
      </c>
      <c r="F34" s="372">
        <f t="shared" si="10"/>
        <v>82795.5</v>
      </c>
      <c r="G34" s="372">
        <f t="shared" si="11"/>
        <v>133276</v>
      </c>
      <c r="H34" s="373"/>
      <c r="I34" s="372">
        <f t="shared" si="12"/>
        <v>49567.75</v>
      </c>
      <c r="J34" s="372">
        <f t="shared" si="13"/>
        <v>108999</v>
      </c>
      <c r="K34" s="372">
        <f t="shared" si="14"/>
        <v>158566.75</v>
      </c>
      <c r="L34" s="374"/>
      <c r="M34" s="375">
        <f t="shared" si="15"/>
        <v>25290.75</v>
      </c>
      <c r="N34" s="376">
        <f t="shared" si="16"/>
        <v>0.189762222755785</v>
      </c>
      <c r="O34" s="377"/>
      <c r="P34" s="322"/>
      <c r="Q34" s="322"/>
      <c r="R34" s="322"/>
      <c r="S34" s="377"/>
      <c r="T34" s="378"/>
      <c r="U34" s="377"/>
      <c r="V34" s="325"/>
      <c r="W34" s="322"/>
      <c r="X34" s="322"/>
      <c r="Y34" s="377"/>
      <c r="Z34" s="374"/>
      <c r="AA34" s="322"/>
      <c r="AB34" s="322"/>
      <c r="AC34" s="322"/>
      <c r="AD34" s="322"/>
      <c r="AE34" s="377"/>
      <c r="AF34" s="374"/>
    </row>
    <row r="35" spans="1:32" ht="14" x14ac:dyDescent="0.3">
      <c r="A35" s="151">
        <f>IF(C35&lt;&gt;"",COUNTA($C$12:C35),"")</f>
        <v>23</v>
      </c>
      <c r="B35" s="151"/>
      <c r="C35" s="409">
        <f>+'Bill_Bos G3 p1'!C35</f>
        <v>2500</v>
      </c>
      <c r="D35" s="409">
        <f t="shared" si="17"/>
        <v>1125000</v>
      </c>
      <c r="E35" s="372">
        <f t="shared" si="9"/>
        <v>83967.5</v>
      </c>
      <c r="F35" s="372">
        <f t="shared" si="10"/>
        <v>137992.5</v>
      </c>
      <c r="G35" s="372">
        <f t="shared" si="11"/>
        <v>221960</v>
      </c>
      <c r="H35" s="373"/>
      <c r="I35" s="372">
        <f t="shared" si="12"/>
        <v>82446.25</v>
      </c>
      <c r="J35" s="372">
        <f t="shared" si="13"/>
        <v>181665</v>
      </c>
      <c r="K35" s="372">
        <f t="shared" si="14"/>
        <v>264111.25</v>
      </c>
      <c r="L35" s="374"/>
      <c r="M35" s="375">
        <f t="shared" si="15"/>
        <v>42151.25</v>
      </c>
      <c r="N35" s="376">
        <f t="shared" si="16"/>
        <v>0.18990471256082178</v>
      </c>
      <c r="O35" s="377"/>
      <c r="P35" s="322"/>
      <c r="Q35" s="322"/>
      <c r="R35" s="322"/>
      <c r="S35" s="377"/>
      <c r="T35" s="378"/>
      <c r="U35" s="377"/>
      <c r="V35" s="325"/>
      <c r="W35" s="322"/>
      <c r="X35" s="322"/>
      <c r="Y35" s="377"/>
      <c r="Z35" s="374"/>
      <c r="AA35" s="322"/>
      <c r="AB35" s="322"/>
      <c r="AC35" s="322"/>
      <c r="AD35" s="322"/>
      <c r="AE35" s="377"/>
      <c r="AF35" s="374"/>
    </row>
    <row r="36" spans="1:32" ht="14" x14ac:dyDescent="0.3">
      <c r="A36" s="151">
        <f>IF(C36&lt;&gt;"",COUNTA($C$12:C36),"")</f>
        <v>24</v>
      </c>
      <c r="B36" s="151"/>
      <c r="C36" s="409">
        <f>+'Bill_Bos G3 p1'!C36</f>
        <v>5000</v>
      </c>
      <c r="D36" s="409">
        <f t="shared" si="17"/>
        <v>2250000</v>
      </c>
      <c r="E36" s="372">
        <f t="shared" si="9"/>
        <v>167685</v>
      </c>
      <c r="F36" s="372">
        <f t="shared" si="10"/>
        <v>275985</v>
      </c>
      <c r="G36" s="372">
        <f t="shared" si="11"/>
        <v>443670</v>
      </c>
      <c r="H36" s="373"/>
      <c r="I36" s="372">
        <f t="shared" si="12"/>
        <v>164642.5</v>
      </c>
      <c r="J36" s="372">
        <f t="shared" si="13"/>
        <v>363330</v>
      </c>
      <c r="K36" s="372">
        <f t="shared" si="14"/>
        <v>527972.5</v>
      </c>
      <c r="L36" s="374"/>
      <c r="M36" s="375">
        <f t="shared" si="15"/>
        <v>84302.5</v>
      </c>
      <c r="N36" s="376">
        <f t="shared" si="16"/>
        <v>0.19001172042283679</v>
      </c>
      <c r="O36" s="377"/>
      <c r="P36" s="322"/>
      <c r="Q36" s="322"/>
      <c r="R36" s="322"/>
      <c r="S36" s="377"/>
      <c r="T36" s="378"/>
      <c r="U36" s="377"/>
      <c r="V36" s="325"/>
      <c r="W36" s="322"/>
      <c r="X36" s="322"/>
      <c r="Y36" s="377"/>
      <c r="Z36" s="374"/>
      <c r="AA36" s="322"/>
      <c r="AB36" s="322"/>
      <c r="AC36" s="322"/>
      <c r="AD36" s="322"/>
      <c r="AE36" s="377"/>
      <c r="AF36" s="374"/>
    </row>
    <row r="37" spans="1:32" ht="14" x14ac:dyDescent="0.3">
      <c r="A37" s="151">
        <f>IF(C37&lt;&gt;"",COUNTA($C$12:C37),"")</f>
        <v>25</v>
      </c>
      <c r="B37" s="151" t="s">
        <v>554</v>
      </c>
      <c r="C37" s="409">
        <v>1060</v>
      </c>
      <c r="D37" s="409">
        <f t="shared" si="17"/>
        <v>477000</v>
      </c>
      <c r="E37" s="372">
        <f t="shared" si="9"/>
        <v>35746.22</v>
      </c>
      <c r="F37" s="372">
        <f t="shared" si="10"/>
        <v>58508.82</v>
      </c>
      <c r="G37" s="372">
        <f t="shared" si="11"/>
        <v>94255.040000000008</v>
      </c>
      <c r="H37" s="373"/>
      <c r="I37" s="372">
        <f t="shared" si="12"/>
        <v>35101.21</v>
      </c>
      <c r="J37" s="372">
        <f t="shared" si="13"/>
        <v>77025.960000000006</v>
      </c>
      <c r="K37" s="372">
        <f t="shared" si="14"/>
        <v>112127.17000000001</v>
      </c>
      <c r="L37" s="374"/>
      <c r="M37" s="375">
        <f t="shared" si="15"/>
        <v>17872.130000000005</v>
      </c>
      <c r="N37" s="376">
        <f t="shared" si="16"/>
        <v>0.18961458188336669</v>
      </c>
      <c r="O37" s="377"/>
      <c r="P37" s="322"/>
      <c r="Q37" s="322"/>
      <c r="R37" s="322"/>
      <c r="S37" s="377"/>
      <c r="T37" s="378"/>
      <c r="U37" s="377"/>
      <c r="V37" s="325"/>
      <c r="W37" s="322"/>
      <c r="X37" s="322"/>
      <c r="Y37" s="377"/>
      <c r="Z37" s="374"/>
      <c r="AA37" s="322"/>
      <c r="AB37" s="322"/>
      <c r="AC37" s="322"/>
      <c r="AD37" s="322"/>
      <c r="AE37" s="377"/>
      <c r="AF37" s="374"/>
    </row>
    <row r="38" spans="1:32" ht="14" x14ac:dyDescent="0.3">
      <c r="A38" s="151" t="str">
        <f>IF(C38&lt;&gt;"",COUNTA($C$12:C38),"")</f>
        <v/>
      </c>
      <c r="B38" s="151"/>
      <c r="C38" s="293"/>
      <c r="D38" s="293"/>
      <c r="E38" s="293"/>
      <c r="F38" s="293"/>
      <c r="G38" s="393"/>
      <c r="H38" s="394"/>
      <c r="O38" s="377"/>
      <c r="P38" s="322"/>
      <c r="Q38" s="322"/>
      <c r="R38" s="322"/>
      <c r="S38" s="322"/>
      <c r="T38" s="322"/>
      <c r="U38" s="322"/>
      <c r="V38" s="377"/>
      <c r="W38" s="378"/>
      <c r="X38" s="377"/>
      <c r="Y38" s="322"/>
      <c r="Z38" s="322"/>
      <c r="AA38" s="322"/>
      <c r="AB38" s="322"/>
      <c r="AC38" s="322"/>
      <c r="AD38" s="322"/>
      <c r="AE38" s="377"/>
      <c r="AF38" s="374"/>
    </row>
    <row r="39" spans="1:32" ht="14" x14ac:dyDescent="0.3">
      <c r="A39" s="151">
        <f>IF(C39&lt;&gt;"",COUNTA($C$12:C39),"")</f>
        <v>26</v>
      </c>
      <c r="B39" s="151"/>
      <c r="C39" s="293" t="s">
        <v>46</v>
      </c>
      <c r="D39" s="293"/>
      <c r="E39" s="293"/>
      <c r="G39" s="395" t="str">
        <f>+'Bill_Bos G2 p1'!G42</f>
        <v>Current</v>
      </c>
      <c r="I39" s="395" t="str">
        <f>+'Bill_Bos G2 p1'!I42</f>
        <v>Proposed</v>
      </c>
      <c r="J39" s="420"/>
      <c r="O39" s="377"/>
      <c r="P39" s="322"/>
      <c r="Q39" s="322"/>
      <c r="R39" s="322"/>
      <c r="S39" s="322"/>
      <c r="T39" s="322"/>
      <c r="U39" s="322"/>
      <c r="V39" s="377"/>
      <c r="W39" s="378"/>
      <c r="X39" s="377"/>
      <c r="Y39" s="322"/>
      <c r="Z39" s="322"/>
      <c r="AA39" s="322"/>
      <c r="AB39" s="322"/>
      <c r="AC39" s="322"/>
      <c r="AD39" s="322"/>
      <c r="AE39" s="377"/>
      <c r="AF39" s="374"/>
    </row>
    <row r="40" spans="1:32" ht="17" x14ac:dyDescent="0.6">
      <c r="A40" s="151">
        <f>IF(C40&lt;&gt;"",COUNTA($C$12:C40),"")</f>
        <v>27</v>
      </c>
      <c r="B40" s="151"/>
      <c r="C40" s="274" t="s">
        <v>46</v>
      </c>
      <c r="D40" s="274"/>
      <c r="E40" s="293"/>
      <c r="G40" s="396" t="str">
        <f>+'Bill_Bos G2 p1'!G43</f>
        <v>Rates</v>
      </c>
      <c r="I40" s="396" t="str">
        <f>+'Bill_Bos G2 p1'!I43</f>
        <v>Rates</v>
      </c>
      <c r="J40" s="396" t="str">
        <f>+'Bill_Bos G2 p1'!J43</f>
        <v>Change</v>
      </c>
    </row>
    <row r="41" spans="1:32" ht="14" x14ac:dyDescent="0.3">
      <c r="A41" s="151">
        <f>IF(C41&lt;&gt;"",COUNTA($C$12:C41),"")</f>
        <v>28</v>
      </c>
      <c r="B41" s="151"/>
      <c r="C41" s="293" t="str">
        <f>'Bill_Bos G3 p1'!C41</f>
        <v>Customer Charge</v>
      </c>
      <c r="D41" s="293"/>
      <c r="E41" s="274"/>
      <c r="G41" s="454">
        <v>250</v>
      </c>
      <c r="H41" s="455"/>
      <c r="I41" s="454">
        <f>+G41</f>
        <v>250</v>
      </c>
      <c r="J41" s="421">
        <f>I41-G41</f>
        <v>0</v>
      </c>
    </row>
    <row r="42" spans="1:32" ht="14" x14ac:dyDescent="0.3">
      <c r="A42" s="151">
        <f>IF(C42&lt;&gt;"",COUNTA($C$12:C42),"")</f>
        <v>29</v>
      </c>
      <c r="B42" s="151"/>
      <c r="C42" s="293" t="str">
        <f>'Bill_Bos G3 p1'!C42</f>
        <v>Distribution Demand - Winter</v>
      </c>
      <c r="D42" s="293"/>
      <c r="E42" s="274"/>
      <c r="G42" s="454">
        <v>8.58</v>
      </c>
      <c r="H42" s="455"/>
      <c r="I42" s="454">
        <v>8.8699999999999992</v>
      </c>
      <c r="J42" s="421">
        <f t="shared" ref="J42:J64" si="18">I42-G42</f>
        <v>0.28999999999999915</v>
      </c>
    </row>
    <row r="43" spans="1:32" ht="14" x14ac:dyDescent="0.3">
      <c r="A43" s="151">
        <f>IF(C43&lt;&gt;"",COUNTA($C$12:C43),"")</f>
        <v>30</v>
      </c>
      <c r="B43" s="151"/>
      <c r="C43" s="293" t="str">
        <f>'Bill_Bos G3 p1'!C43</f>
        <v>Distribution Demand - Summer</v>
      </c>
      <c r="D43" s="293"/>
      <c r="E43" s="274"/>
      <c r="G43" s="454">
        <v>14.54</v>
      </c>
      <c r="H43" s="455"/>
      <c r="I43" s="454">
        <v>15.04</v>
      </c>
      <c r="J43" s="421">
        <f t="shared" si="18"/>
        <v>0.5</v>
      </c>
    </row>
    <row r="44" spans="1:32" ht="14" x14ac:dyDescent="0.3">
      <c r="A44" s="151">
        <f>IF(C44&lt;&gt;"",COUNTA($C$12:C44),"")</f>
        <v>31</v>
      </c>
      <c r="B44" s="151"/>
      <c r="C44" s="293" t="str">
        <f>'Bill_Bos G3 p1'!C44</f>
        <v>Transmission Demand</v>
      </c>
      <c r="D44" s="293"/>
      <c r="E44" s="274"/>
      <c r="G44" s="454">
        <v>10.28</v>
      </c>
      <c r="H44" s="448"/>
      <c r="I44" s="454">
        <v>9.0500000000000007</v>
      </c>
      <c r="J44" s="421">
        <f>I44-G44</f>
        <v>-1.2299999999999986</v>
      </c>
    </row>
    <row r="45" spans="1:32" ht="14" x14ac:dyDescent="0.3">
      <c r="A45" s="151">
        <f>IF(C45&lt;&gt;"",COUNTA($C$12:C45),"")</f>
        <v>32</v>
      </c>
      <c r="B45" s="151"/>
      <c r="C45" s="293" t="str">
        <f>'Bill_Bos G3 p1'!C45</f>
        <v>Distribution Energy</v>
      </c>
      <c r="D45" s="293"/>
      <c r="E45" s="274"/>
      <c r="G45" s="308">
        <v>0</v>
      </c>
      <c r="H45" s="400"/>
      <c r="I45" s="308">
        <v>0</v>
      </c>
      <c r="J45" s="354">
        <f t="shared" si="18"/>
        <v>0</v>
      </c>
    </row>
    <row r="46" spans="1:32" ht="14" x14ac:dyDescent="0.3">
      <c r="A46" s="151">
        <f>IF(C46&lt;&gt;"",COUNTA($C$12:C46),"")</f>
        <v>33</v>
      </c>
      <c r="B46" s="151"/>
      <c r="C46" s="293" t="str">
        <f>'Bill_Bos G3 p1'!C46</f>
        <v>Revenue Decoupling</v>
      </c>
      <c r="D46" s="293"/>
      <c r="E46" s="274"/>
      <c r="G46" s="308">
        <v>0</v>
      </c>
      <c r="H46" s="277"/>
      <c r="I46" s="277">
        <v>-2.4000000000000001E-4</v>
      </c>
      <c r="J46" s="354">
        <f t="shared" si="18"/>
        <v>-2.4000000000000001E-4</v>
      </c>
    </row>
    <row r="47" spans="1:32" ht="14" x14ac:dyDescent="0.3">
      <c r="A47" s="151">
        <f>IF(C47&lt;&gt;"",COUNTA($C$12:C47),"")</f>
        <v>34</v>
      </c>
      <c r="B47" s="151"/>
      <c r="C47" s="293" t="str">
        <f>'Bill_Bos G3 p1'!C47</f>
        <v>Residential Assistance Adjustment Factor</v>
      </c>
      <c r="D47" s="293"/>
      <c r="E47" s="274"/>
      <c r="G47" s="277">
        <v>1.47E-3</v>
      </c>
      <c r="H47" s="277"/>
      <c r="I47" s="277">
        <v>2.0300000000000001E-3</v>
      </c>
      <c r="J47" s="354">
        <f t="shared" si="18"/>
        <v>5.6000000000000017E-4</v>
      </c>
    </row>
    <row r="48" spans="1:32" ht="14" x14ac:dyDescent="0.3">
      <c r="A48" s="151">
        <f>IF(C48&lt;&gt;"",COUNTA($C$12:C48),"")</f>
        <v>35</v>
      </c>
      <c r="B48" s="151"/>
      <c r="C48" s="293" t="str">
        <f>'Bill_Bos G3 p1'!C48</f>
        <v>Pension Adjustment Factor</v>
      </c>
      <c r="D48" s="293"/>
      <c r="E48" s="274"/>
      <c r="G48" s="277">
        <v>-3.0000000000000001E-5</v>
      </c>
      <c r="H48" s="277"/>
      <c r="I48" s="277">
        <v>2.9999999999999997E-4</v>
      </c>
      <c r="J48" s="354">
        <f t="shared" si="18"/>
        <v>3.3E-4</v>
      </c>
    </row>
    <row r="49" spans="1:12" ht="14" x14ac:dyDescent="0.3">
      <c r="A49" s="151">
        <f>IF(C49&lt;&gt;"",COUNTA($C$12:C49),"")</f>
        <v>36</v>
      </c>
      <c r="B49" s="151"/>
      <c r="C49" s="293" t="str">
        <f>'Bill_Bos G3 p1'!C49</f>
        <v>Net Metering Recovery Surcharge</v>
      </c>
      <c r="D49" s="293"/>
      <c r="E49" s="274"/>
      <c r="G49" s="277">
        <v>2.8999999999999998E-3</v>
      </c>
      <c r="H49" s="277"/>
      <c r="I49" s="277">
        <v>2.64E-3</v>
      </c>
      <c r="J49" s="354">
        <f t="shared" si="18"/>
        <v>-2.5999999999999981E-4</v>
      </c>
    </row>
    <row r="50" spans="1:12" ht="14" x14ac:dyDescent="0.3">
      <c r="A50" s="151">
        <f>IF(C50&lt;&gt;"",COUNTA($C$12:C50),"")</f>
        <v>37</v>
      </c>
      <c r="B50" s="151"/>
      <c r="C50" s="293" t="str">
        <f>'Bill_Bos G3 p1'!C50</f>
        <v>Long Term Renewable Contract Adjustment</v>
      </c>
      <c r="D50" s="293"/>
      <c r="E50" s="274"/>
      <c r="G50" s="277">
        <v>2.3600000000000001E-3</v>
      </c>
      <c r="H50" s="277"/>
      <c r="I50" s="277">
        <v>1.74E-3</v>
      </c>
      <c r="J50" s="354">
        <f t="shared" si="18"/>
        <v>-6.2000000000000011E-4</v>
      </c>
    </row>
    <row r="51" spans="1:12" ht="14" x14ac:dyDescent="0.3">
      <c r="A51" s="151">
        <f>IF(C51&lt;&gt;"",COUNTA($C$12:C51),"")</f>
        <v>38</v>
      </c>
      <c r="B51" s="151"/>
      <c r="C51" s="293" t="str">
        <f>'Bill_Bos G3 p1'!C51</f>
        <v>AG Consulting Expense</v>
      </c>
      <c r="D51" s="293"/>
      <c r="E51" s="274"/>
      <c r="G51" s="277">
        <v>2.0000000000000002E-5</v>
      </c>
      <c r="H51" s="277"/>
      <c r="I51" s="277">
        <v>0</v>
      </c>
      <c r="J51" s="354">
        <f t="shared" si="18"/>
        <v>-2.0000000000000002E-5</v>
      </c>
    </row>
    <row r="52" spans="1:12" ht="14" x14ac:dyDescent="0.3">
      <c r="A52" s="151">
        <f>IF(C52&lt;&gt;"",COUNTA($C$12:C52),"")</f>
        <v>39</v>
      </c>
      <c r="B52" s="151"/>
      <c r="C52" s="293" t="str">
        <f>'Bill_Bos G3 p1'!C52</f>
        <v>Storm Cost Recovery Adjustment Factor</v>
      </c>
      <c r="D52" s="293"/>
      <c r="E52" s="274"/>
      <c r="G52" s="277">
        <v>9.1E-4</v>
      </c>
      <c r="H52" s="277"/>
      <c r="I52" s="277">
        <v>1.5399999999999999E-3</v>
      </c>
      <c r="J52" s="354">
        <f t="shared" si="18"/>
        <v>6.2999999999999992E-4</v>
      </c>
    </row>
    <row r="53" spans="1:12" ht="14" x14ac:dyDescent="0.3">
      <c r="A53" s="151">
        <f>IF(C53&lt;&gt;"",COUNTA($C$12:C53),"")</f>
        <v>40</v>
      </c>
      <c r="B53" s="151"/>
      <c r="C53" s="293" t="str">
        <f>'Bill_Bos G3 p1'!C53</f>
        <v>Storm Reserve Adjustment</v>
      </c>
      <c r="D53" s="293"/>
      <c r="E53" s="274"/>
      <c r="G53" s="277">
        <v>0</v>
      </c>
      <c r="H53" s="277"/>
      <c r="I53" s="277">
        <v>0</v>
      </c>
      <c r="J53" s="354">
        <f t="shared" si="18"/>
        <v>0</v>
      </c>
    </row>
    <row r="54" spans="1:12" ht="14" x14ac:dyDescent="0.3">
      <c r="A54" s="151">
        <f>IF(C54&lt;&gt;"",COUNTA($C$12:C54),"")</f>
        <v>41</v>
      </c>
      <c r="B54" s="151"/>
      <c r="C54" s="293" t="str">
        <f>'Bill_Bos G3 p1'!C54</f>
        <v>Basic Service Cost True Up Factor</v>
      </c>
      <c r="G54" s="277">
        <v>7.7999999999999999E-4</v>
      </c>
      <c r="H54" s="277"/>
      <c r="I54" s="277">
        <v>-1E-4</v>
      </c>
      <c r="J54" s="354">
        <f t="shared" si="18"/>
        <v>-8.8000000000000003E-4</v>
      </c>
    </row>
    <row r="55" spans="1:12" ht="14" x14ac:dyDescent="0.3">
      <c r="A55" s="151">
        <f>IF(C55&lt;&gt;"",COUNTA($C$12:C55),"")</f>
        <v>42</v>
      </c>
      <c r="B55" s="151"/>
      <c r="C55" s="293" t="str">
        <f>'Bill_Bos G3 p1'!C55</f>
        <v>Solar Program Cost Adjustment Factor</v>
      </c>
      <c r="D55" s="293"/>
      <c r="E55" s="274"/>
      <c r="G55" s="277">
        <v>0</v>
      </c>
      <c r="H55" s="277"/>
      <c r="I55" s="277">
        <v>2.0000000000000002E-5</v>
      </c>
      <c r="J55" s="354">
        <f t="shared" si="18"/>
        <v>2.0000000000000002E-5</v>
      </c>
    </row>
    <row r="56" spans="1:12" ht="14" x14ac:dyDescent="0.3">
      <c r="A56" s="151">
        <f>IF(C56&lt;&gt;"",COUNTA($C$12:C56),"")</f>
        <v>43</v>
      </c>
      <c r="B56" s="151"/>
      <c r="C56" s="293" t="str">
        <f>'Bill_Bos G3 p1'!C56</f>
        <v>Solar Expansion Cost Recovery Factor</v>
      </c>
      <c r="D56" s="293"/>
      <c r="E56" s="274"/>
      <c r="G56" s="277">
        <v>0</v>
      </c>
      <c r="H56" s="277"/>
      <c r="I56" s="277">
        <v>3.2000000000000003E-4</v>
      </c>
      <c r="J56" s="354">
        <f t="shared" si="18"/>
        <v>3.2000000000000003E-4</v>
      </c>
    </row>
    <row r="57" spans="1:12" ht="14" x14ac:dyDescent="0.3">
      <c r="A57" s="151">
        <f>IF(C57&lt;&gt;"",COUNTA($C$12:C57),"")</f>
        <v>44</v>
      </c>
      <c r="B57" s="151"/>
      <c r="C57" s="293" t="str">
        <f>'Bill_Bos G3 p1'!C57</f>
        <v>Vegetation Management</v>
      </c>
      <c r="D57" s="293"/>
      <c r="E57" s="274"/>
      <c r="G57" s="277">
        <v>0</v>
      </c>
      <c r="H57" s="277"/>
      <c r="I57" s="277">
        <v>5.2999999999999998E-4</v>
      </c>
      <c r="J57" s="354">
        <f t="shared" si="18"/>
        <v>5.2999999999999998E-4</v>
      </c>
    </row>
    <row r="58" spans="1:12" ht="14" x14ac:dyDescent="0.3">
      <c r="A58" s="151">
        <f>IF(C58&lt;&gt;"",COUNTA($C$12:C58),"")</f>
        <v>45</v>
      </c>
      <c r="B58" s="151"/>
      <c r="C58" s="293" t="str">
        <f>'Bill_Bos G3 p1'!C58</f>
        <v>Solar Massachusetts Renewable Target</v>
      </c>
      <c r="D58" s="339"/>
      <c r="E58" s="339"/>
      <c r="F58" s="277"/>
      <c r="G58" s="277">
        <v>0</v>
      </c>
      <c r="H58" s="277"/>
      <c r="I58" s="277">
        <v>3.6999999999999999E-4</v>
      </c>
      <c r="J58" s="354">
        <f t="shared" si="18"/>
        <v>3.6999999999999999E-4</v>
      </c>
      <c r="K58" s="339"/>
      <c r="L58" s="339"/>
    </row>
    <row r="59" spans="1:12" ht="14" x14ac:dyDescent="0.3">
      <c r="A59" s="151">
        <f>IF(C59&lt;&gt;"",COUNTA($C$12:C59),"")</f>
        <v>46</v>
      </c>
      <c r="B59" s="151"/>
      <c r="C59" s="293" t="str">
        <f>'Bill_Bos G3 p1'!C59</f>
        <v>Tax Act Credit Factor</v>
      </c>
      <c r="D59" s="339"/>
      <c r="E59" s="339"/>
      <c r="F59" s="277"/>
      <c r="G59" s="277">
        <v>0</v>
      </c>
      <c r="H59" s="277"/>
      <c r="I59" s="277">
        <v>-5.5999999999999995E-4</v>
      </c>
      <c r="J59" s="354">
        <f t="shared" si="18"/>
        <v>-5.5999999999999995E-4</v>
      </c>
      <c r="K59" s="339"/>
      <c r="L59" s="339"/>
    </row>
    <row r="60" spans="1:12" ht="14" x14ac:dyDescent="0.3">
      <c r="A60" s="151">
        <f>IF(C60&lt;&gt;"",COUNTA($C$12:C60),"")</f>
        <v>47</v>
      </c>
      <c r="B60" s="151"/>
      <c r="C60" s="293" t="str">
        <f>'Bill_Bos G3 p1'!C60</f>
        <v>Transition</v>
      </c>
      <c r="D60" s="293"/>
      <c r="E60" s="274"/>
      <c r="G60" s="308">
        <v>-6.0999999999999997E-4</v>
      </c>
      <c r="H60" s="277"/>
      <c r="I60" s="277">
        <v>-5.1999999999999995E-4</v>
      </c>
      <c r="J60" s="354">
        <f t="shared" si="18"/>
        <v>9.0000000000000019E-5</v>
      </c>
    </row>
    <row r="61" spans="1:12" ht="14" x14ac:dyDescent="0.3">
      <c r="A61" s="151">
        <f>IF(C61&lt;&gt;"",COUNTA($C$12:C61),"")</f>
        <v>48</v>
      </c>
      <c r="B61" s="151"/>
      <c r="C61" s="293" t="str">
        <f>'Bill_Bos G3 p1'!C61</f>
        <v>Energy Efficiency Reconciliation Factor</v>
      </c>
      <c r="D61" s="293"/>
      <c r="E61" s="274"/>
      <c r="G61" s="308">
        <v>8.4600000000000005E-3</v>
      </c>
      <c r="H61" s="400"/>
      <c r="I61" s="308">
        <v>8.4600000000000005E-3</v>
      </c>
      <c r="J61" s="354">
        <f t="shared" si="18"/>
        <v>0</v>
      </c>
    </row>
    <row r="62" spans="1:12" ht="14" x14ac:dyDescent="0.3">
      <c r="A62" s="151">
        <f>IF(C62&lt;&gt;"",COUNTA($C$12:C62),"")</f>
        <v>49</v>
      </c>
      <c r="B62" s="151"/>
      <c r="C62" s="293" t="str">
        <f>'Bill_Bos G3 p1'!C62</f>
        <v>System Benefits Charge</v>
      </c>
      <c r="D62" s="293"/>
      <c r="E62" s="274"/>
      <c r="G62" s="308">
        <v>2.5000000000000001E-3</v>
      </c>
      <c r="H62" s="400"/>
      <c r="I62" s="308">
        <f>+G62</f>
        <v>2.5000000000000001E-3</v>
      </c>
      <c r="J62" s="354">
        <f t="shared" si="18"/>
        <v>0</v>
      </c>
    </row>
    <row r="63" spans="1:12" ht="14" x14ac:dyDescent="0.3">
      <c r="A63" s="151">
        <f>IF(C63&lt;&gt;"",COUNTA($C$12:C63),"")</f>
        <v>50</v>
      </c>
      <c r="B63" s="151"/>
      <c r="C63" s="293" t="str">
        <f>'Bill_Bos G3 p1'!C63</f>
        <v>Renewable Energy Charge</v>
      </c>
      <c r="D63" s="293"/>
      <c r="E63" s="274"/>
      <c r="G63" s="308">
        <v>5.0000000000000001E-4</v>
      </c>
      <c r="H63" s="400"/>
      <c r="I63" s="308">
        <f>+G63</f>
        <v>5.0000000000000001E-4</v>
      </c>
      <c r="J63" s="354">
        <f t="shared" si="18"/>
        <v>0</v>
      </c>
    </row>
    <row r="64" spans="1:12" ht="14" x14ac:dyDescent="0.3">
      <c r="A64" s="151">
        <f>IF(C64&lt;&gt;"",COUNTA($C$12:C64),"")</f>
        <v>51</v>
      </c>
      <c r="B64" s="151"/>
      <c r="C64" s="293" t="str">
        <f>'Bill_Bos G3 p1'!C64</f>
        <v>Basic Service Charge</v>
      </c>
      <c r="D64" s="293"/>
      <c r="E64" s="274"/>
      <c r="G64" s="308">
        <v>0.12265999999999999</v>
      </c>
      <c r="H64" s="400"/>
      <c r="I64" s="308">
        <v>0.16148000000000001</v>
      </c>
      <c r="J64" s="354">
        <f t="shared" si="18"/>
        <v>3.8820000000000021E-2</v>
      </c>
    </row>
    <row r="65" spans="1:10" ht="14" x14ac:dyDescent="0.3">
      <c r="A65" s="151"/>
      <c r="B65" s="151"/>
      <c r="G65" s="403"/>
      <c r="H65" s="403"/>
      <c r="I65" s="403"/>
      <c r="J65" s="400"/>
    </row>
    <row r="66" spans="1:10" ht="14" x14ac:dyDescent="0.3">
      <c r="A66" s="151"/>
      <c r="B66" s="151"/>
      <c r="C66" s="458"/>
      <c r="D66" s="459"/>
      <c r="E66" s="460"/>
      <c r="F66" s="461"/>
      <c r="G66" s="403"/>
      <c r="H66" s="403"/>
      <c r="I66" s="462"/>
      <c r="J66" s="462"/>
    </row>
    <row r="67" spans="1:10" ht="14" x14ac:dyDescent="0.3">
      <c r="A67" s="151"/>
      <c r="B67" s="151"/>
      <c r="C67" s="293" t="str">
        <f>'Bill_Bos G3 p1'!C67</f>
        <v>Total Demand - Winter</v>
      </c>
      <c r="G67" s="374">
        <f>G42+G44</f>
        <v>18.86</v>
      </c>
      <c r="H67" s="374"/>
      <c r="I67" s="374">
        <f>I42+I44</f>
        <v>17.920000000000002</v>
      </c>
      <c r="J67" s="421">
        <f t="shared" ref="J67:J70" si="19">I67-G67</f>
        <v>-0.93999999999999773</v>
      </c>
    </row>
    <row r="68" spans="1:10" ht="14" x14ac:dyDescent="0.3">
      <c r="C68" s="293" t="str">
        <f>'Bill_Bos G3 p1'!C68</f>
        <v>Total Demand - Summer</v>
      </c>
      <c r="G68" s="374">
        <f>G43+G44</f>
        <v>24.82</v>
      </c>
      <c r="H68" s="374"/>
      <c r="I68" s="374">
        <f>I43+I44</f>
        <v>24.09</v>
      </c>
      <c r="J68" s="421">
        <f t="shared" si="19"/>
        <v>-0.73000000000000043</v>
      </c>
    </row>
    <row r="69" spans="1:10" ht="14" x14ac:dyDescent="0.3">
      <c r="C69" s="293" t="str">
        <f>'Bill_Bos G3 p1'!C69</f>
        <v>Total Energy</v>
      </c>
      <c r="G69" s="403">
        <f>SUM(G45:G60,G61:G63)</f>
        <v>1.9259999999999999E-2</v>
      </c>
      <c r="H69" s="403"/>
      <c r="I69" s="403">
        <f>SUM(I45:I60,I61:I63)</f>
        <v>1.9530000000000002E-2</v>
      </c>
      <c r="J69" s="354">
        <f t="shared" si="19"/>
        <v>2.7000000000000288E-4</v>
      </c>
    </row>
    <row r="70" spans="1:10" ht="14" x14ac:dyDescent="0.3">
      <c r="C70" s="293" t="str">
        <f>'Bill_Bos G3 p1'!C70</f>
        <v>Total Basic Service</v>
      </c>
      <c r="G70" s="403">
        <f>G64</f>
        <v>0.12265999999999999</v>
      </c>
      <c r="H70" s="403"/>
      <c r="I70" s="403">
        <f>I64</f>
        <v>0.16148000000000001</v>
      </c>
      <c r="J70" s="354">
        <f t="shared" si="19"/>
        <v>3.8820000000000021E-2</v>
      </c>
    </row>
    <row r="71" spans="1:10" ht="14" x14ac:dyDescent="0.3">
      <c r="G71" s="403"/>
      <c r="H71" s="403"/>
      <c r="I71" s="403"/>
      <c r="J71" s="403"/>
    </row>
    <row r="72" spans="1:10" ht="14" x14ac:dyDescent="0.3">
      <c r="G72" s="403"/>
      <c r="H72" s="403"/>
      <c r="I72" s="403"/>
      <c r="J72" s="403"/>
    </row>
    <row r="73" spans="1:10" ht="14" x14ac:dyDescent="0.3">
      <c r="G73" s="403"/>
      <c r="H73" s="403"/>
      <c r="I73" s="403"/>
      <c r="J73" s="403"/>
    </row>
    <row r="74" spans="1:10" ht="14" x14ac:dyDescent="0.3">
      <c r="G74" s="403"/>
      <c r="H74" s="403"/>
      <c r="I74" s="403"/>
      <c r="J74" s="403"/>
    </row>
    <row r="75" spans="1:10" ht="14" x14ac:dyDescent="0.3">
      <c r="G75" s="403"/>
      <c r="H75" s="403"/>
      <c r="I75" s="403"/>
      <c r="J75" s="403"/>
    </row>
    <row r="76" spans="1:10" ht="14" x14ac:dyDescent="0.3">
      <c r="G76" s="403"/>
      <c r="H76" s="403"/>
      <c r="I76" s="403"/>
      <c r="J76" s="403"/>
    </row>
    <row r="77" spans="1:10" ht="14" x14ac:dyDescent="0.3">
      <c r="G77" s="403"/>
      <c r="H77" s="403"/>
      <c r="I77" s="403"/>
      <c r="J77" s="403"/>
    </row>
    <row r="78" spans="1:10" ht="14" x14ac:dyDescent="0.3">
      <c r="G78" s="403"/>
      <c r="H78" s="403"/>
      <c r="I78" s="403"/>
      <c r="J78" s="403"/>
    </row>
    <row r="79" spans="1:10" ht="14" x14ac:dyDescent="0.3">
      <c r="G79" s="403"/>
      <c r="H79" s="403"/>
      <c r="I79" s="403"/>
      <c r="J79" s="403"/>
    </row>
    <row r="80" spans="1:10" ht="14" x14ac:dyDescent="0.3">
      <c r="G80" s="403"/>
      <c r="H80" s="403"/>
      <c r="I80" s="403"/>
      <c r="J80" s="403"/>
    </row>
    <row r="81" spans="7:10" ht="14" x14ac:dyDescent="0.3">
      <c r="G81" s="403"/>
      <c r="H81" s="403"/>
      <c r="I81" s="403"/>
      <c r="J81" s="403"/>
    </row>
    <row r="82" spans="7:10" ht="14" x14ac:dyDescent="0.3">
      <c r="G82" s="403"/>
      <c r="H82" s="403"/>
      <c r="I82" s="403"/>
      <c r="J82" s="403"/>
    </row>
    <row r="83" spans="7:10" ht="14" x14ac:dyDescent="0.3">
      <c r="G83" s="403"/>
      <c r="H83" s="403"/>
      <c r="I83" s="403"/>
      <c r="J83" s="403"/>
    </row>
    <row r="84" spans="7:10" ht="14" x14ac:dyDescent="0.3">
      <c r="G84" s="403"/>
      <c r="H84" s="403"/>
      <c r="I84" s="403"/>
      <c r="J84" s="403"/>
    </row>
    <row r="85" spans="7:10" ht="14" x14ac:dyDescent="0.3">
      <c r="G85" s="403"/>
      <c r="H85" s="403"/>
      <c r="I85" s="403"/>
      <c r="J85" s="403"/>
    </row>
    <row r="86" spans="7:10" ht="14" x14ac:dyDescent="0.3">
      <c r="G86" s="403"/>
      <c r="H86" s="403"/>
      <c r="I86" s="403"/>
      <c r="J86" s="403"/>
    </row>
    <row r="87" spans="7:10" ht="14" x14ac:dyDescent="0.3">
      <c r="G87" s="403"/>
      <c r="H87" s="403"/>
      <c r="I87" s="403"/>
      <c r="J87" s="403"/>
    </row>
    <row r="88" spans="7:10" ht="14" x14ac:dyDescent="0.3">
      <c r="G88" s="403"/>
      <c r="H88" s="403"/>
      <c r="I88" s="403"/>
      <c r="J88" s="403"/>
    </row>
    <row r="89" spans="7:10" ht="14" x14ac:dyDescent="0.3">
      <c r="G89" s="403"/>
      <c r="H89" s="403"/>
      <c r="I89" s="403"/>
      <c r="J89" s="403"/>
    </row>
    <row r="90" spans="7:10" ht="14" x14ac:dyDescent="0.3">
      <c r="G90" s="403"/>
      <c r="H90" s="403"/>
      <c r="I90" s="403"/>
      <c r="J90" s="403"/>
    </row>
    <row r="91" spans="7:10" ht="14" x14ac:dyDescent="0.3">
      <c r="G91" s="403"/>
      <c r="H91" s="403"/>
      <c r="I91" s="403"/>
      <c r="J91" s="403"/>
    </row>
    <row r="92" spans="7:10" ht="14" x14ac:dyDescent="0.3">
      <c r="G92" s="403"/>
      <c r="H92" s="403"/>
      <c r="I92" s="403"/>
      <c r="J92" s="403"/>
    </row>
    <row r="93" spans="7:10" ht="14" x14ac:dyDescent="0.3">
      <c r="G93" s="403"/>
      <c r="H93" s="403"/>
      <c r="I93" s="403"/>
      <c r="J93" s="403"/>
    </row>
    <row r="94" spans="7:10" ht="14" x14ac:dyDescent="0.3">
      <c r="G94" s="403"/>
      <c r="H94" s="403"/>
      <c r="I94" s="403"/>
      <c r="J94" s="403"/>
    </row>
  </sheetData>
  <mergeCells count="12">
    <mergeCell ref="E13:G13"/>
    <mergeCell ref="I13:K13"/>
    <mergeCell ref="M13:N13"/>
    <mergeCell ref="E26:G26"/>
    <mergeCell ref="I26:K26"/>
    <mergeCell ref="M26:N26"/>
    <mergeCell ref="A9:N9"/>
    <mergeCell ref="A4:N4"/>
    <mergeCell ref="A5:N5"/>
    <mergeCell ref="A6:N6"/>
    <mergeCell ref="A7:N7"/>
    <mergeCell ref="A8:N8"/>
  </mergeCells>
  <pageMargins left="0.7" right="0.7" top="0.75" bottom="0.75" header="0.3" footer="0.3"/>
  <pageSetup scale="64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760F8-1590-44A8-9709-768BFE721A11}">
  <sheetPr>
    <tabColor theme="3" tint="0.59999389629810485"/>
    <pageSetUpPr fitToPage="1"/>
  </sheetPr>
  <dimension ref="A4:AF94"/>
  <sheetViews>
    <sheetView zoomScaleNormal="100" zoomScaleSheetLayoutView="71" workbookViewId="0"/>
  </sheetViews>
  <sheetFormatPr defaultRowHeight="12.5" x14ac:dyDescent="0.25"/>
  <cols>
    <col min="1" max="1" width="3.81640625" customWidth="1"/>
    <col min="2" max="2" width="4.453125" bestFit="1" customWidth="1"/>
    <col min="3" max="3" width="9.453125" customWidth="1"/>
    <col min="4" max="4" width="11.1796875" bestFit="1" customWidth="1"/>
    <col min="5" max="7" width="14.7265625" customWidth="1"/>
    <col min="8" max="8" width="1.81640625" customWidth="1"/>
    <col min="9" max="11" width="14.7265625" customWidth="1"/>
    <col min="12" max="12" width="1.81640625" customWidth="1"/>
    <col min="13" max="13" width="12.81640625" bestFit="1" customWidth="1"/>
    <col min="14" max="15" width="10.81640625" bestFit="1" customWidth="1"/>
    <col min="16" max="16" width="14" bestFit="1" customWidth="1"/>
    <col min="17" max="17" width="13.7265625" bestFit="1" customWidth="1"/>
    <col min="18" max="18" width="14.81640625" bestFit="1" customWidth="1"/>
    <col min="19" max="19" width="14.1796875" bestFit="1" customWidth="1"/>
    <col min="20" max="20" width="8.453125" bestFit="1" customWidth="1"/>
    <col min="21" max="21" width="10.81640625" bestFit="1" customWidth="1"/>
    <col min="22" max="23" width="13.26953125" bestFit="1" customWidth="1"/>
    <col min="24" max="24" width="14.81640625" bestFit="1" customWidth="1"/>
    <col min="25" max="25" width="13.7265625" bestFit="1" customWidth="1"/>
    <col min="26" max="26" width="8.453125" bestFit="1" customWidth="1"/>
  </cols>
  <sheetData>
    <row r="4" spans="1:32" ht="14" x14ac:dyDescent="0.3">
      <c r="A4" s="762" t="str">
        <f>'Bill_Bos G3 p4'!A4:N4</f>
        <v>Eastern Massachusetts</v>
      </c>
      <c r="B4" s="762"/>
      <c r="C4" s="762"/>
      <c r="D4" s="762"/>
      <c r="E4" s="762"/>
      <c r="F4" s="762"/>
      <c r="G4" s="762"/>
      <c r="H4" s="762"/>
      <c r="I4" s="762"/>
      <c r="J4" s="762"/>
      <c r="K4" s="762"/>
      <c r="L4" s="762"/>
      <c r="M4" s="762"/>
      <c r="N4" s="762"/>
    </row>
    <row r="5" spans="1:32" ht="14" x14ac:dyDescent="0.3">
      <c r="A5" s="762" t="str">
        <f>+'Bill_Bos G1 nonDem'!A5</f>
        <v>Calculation of Monthly Typical Bill</v>
      </c>
      <c r="B5" s="762"/>
      <c r="C5" s="762"/>
      <c r="D5" s="762"/>
      <c r="E5" s="762"/>
      <c r="F5" s="762"/>
      <c r="G5" s="762"/>
      <c r="H5" s="762"/>
      <c r="I5" s="762"/>
      <c r="J5" s="762"/>
      <c r="K5" s="762"/>
      <c r="L5" s="762"/>
      <c r="M5" s="762"/>
      <c r="N5" s="762"/>
    </row>
    <row r="6" spans="1:32" ht="14" x14ac:dyDescent="0.3">
      <c r="A6" s="762" t="str">
        <f>+'Bill_Bos G1 nonDem'!A6</f>
        <v>Proposed January 1, 2019</v>
      </c>
      <c r="B6" s="762"/>
      <c r="C6" s="762"/>
      <c r="D6" s="762"/>
      <c r="E6" s="762"/>
      <c r="F6" s="762"/>
      <c r="G6" s="762"/>
      <c r="H6" s="762"/>
      <c r="I6" s="762"/>
      <c r="J6" s="762"/>
      <c r="K6" s="762"/>
      <c r="L6" s="762"/>
      <c r="M6" s="762"/>
      <c r="N6" s="762"/>
    </row>
    <row r="7" spans="1:32" ht="14" x14ac:dyDescent="0.3">
      <c r="A7" s="762"/>
      <c r="B7" s="762"/>
      <c r="C7" s="762"/>
      <c r="D7" s="762"/>
      <c r="E7" s="762"/>
      <c r="F7" s="762"/>
      <c r="G7" s="762"/>
      <c r="H7" s="762"/>
      <c r="I7" s="762"/>
      <c r="J7" s="762"/>
      <c r="K7" s="762"/>
      <c r="L7" s="762"/>
      <c r="M7" s="762"/>
      <c r="N7" s="762"/>
    </row>
    <row r="8" spans="1:32" ht="14" x14ac:dyDescent="0.3">
      <c r="A8" s="762" t="str">
        <f>+'Bill_Bos G1 nonDem'!A8</f>
        <v>Greater Boston Service Area</v>
      </c>
      <c r="B8" s="762"/>
      <c r="C8" s="762"/>
      <c r="D8" s="762"/>
      <c r="E8" s="762"/>
      <c r="F8" s="762"/>
      <c r="G8" s="762"/>
      <c r="H8" s="762"/>
      <c r="I8" s="762"/>
      <c r="J8" s="762"/>
      <c r="K8" s="762"/>
      <c r="L8" s="762"/>
      <c r="M8" s="762"/>
      <c r="N8" s="762"/>
    </row>
    <row r="9" spans="1:32" ht="14" x14ac:dyDescent="0.3">
      <c r="A9" s="762" t="str">
        <f>+'Bill_Bos G3 p4'!A9:N9</f>
        <v>Rate G-3 Large General Service - SEMA</v>
      </c>
      <c r="B9" s="762"/>
      <c r="C9" s="762"/>
      <c r="D9" s="762"/>
      <c r="E9" s="762"/>
      <c r="F9" s="762"/>
      <c r="G9" s="762"/>
      <c r="H9" s="762"/>
      <c r="I9" s="762"/>
      <c r="J9" s="762"/>
      <c r="K9" s="762"/>
      <c r="L9" s="762"/>
      <c r="M9" s="762"/>
      <c r="N9" s="762"/>
    </row>
    <row r="10" spans="1:32" ht="14" x14ac:dyDescent="0.3">
      <c r="A10" s="366"/>
      <c r="B10" s="366"/>
      <c r="D10" s="293"/>
      <c r="E10" s="293"/>
      <c r="F10" s="293"/>
      <c r="G10" s="367"/>
      <c r="H10" s="293"/>
    </row>
    <row r="11" spans="1:32" ht="14" x14ac:dyDescent="0.3">
      <c r="A11" s="366"/>
      <c r="B11" s="366"/>
      <c r="D11" s="293"/>
      <c r="E11" s="293"/>
      <c r="F11" s="293"/>
      <c r="G11" s="368"/>
      <c r="H11" s="293"/>
    </row>
    <row r="12" spans="1:32" ht="14" x14ac:dyDescent="0.3">
      <c r="A12" s="151">
        <f>IF(C12&lt;&gt;"",COUNTA($C12:C$12),"")</f>
        <v>1</v>
      </c>
      <c r="B12" s="151"/>
      <c r="C12" s="405" t="s">
        <v>583</v>
      </c>
      <c r="D12" s="293"/>
      <c r="E12" s="293"/>
      <c r="F12" s="293"/>
      <c r="G12" s="368"/>
      <c r="H12" s="293"/>
    </row>
    <row r="13" spans="1:32" ht="14" x14ac:dyDescent="0.3">
      <c r="A13" s="151">
        <f>IF(C13&lt;&gt;"",COUNTA($C$12:C13),"")</f>
        <v>2</v>
      </c>
      <c r="B13" s="151"/>
      <c r="C13" s="406" t="str">
        <f>+'Bill_Bos G1 Dmd p1'!C13</f>
        <v>Monthly</v>
      </c>
      <c r="D13" s="366" t="str">
        <f>+C13</f>
        <v>Monthly</v>
      </c>
      <c r="E13" s="760" t="str">
        <f>+'Bill_Bos G1 nonDem'!D12</f>
        <v>Current Monthly Bill (Winter)</v>
      </c>
      <c r="F13" s="760"/>
      <c r="G13" s="760"/>
      <c r="H13" s="293"/>
      <c r="I13" s="760" t="str">
        <f>+'Bill_Bos G1 nonDem'!H12</f>
        <v>Proposed Monthly Bill (Winter)</v>
      </c>
      <c r="J13" s="760"/>
      <c r="K13" s="760"/>
      <c r="M13" s="760" t="s">
        <v>550</v>
      </c>
      <c r="N13" s="760"/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  <c r="AA13" s="369"/>
      <c r="AB13" s="369"/>
      <c r="AC13" s="369"/>
      <c r="AD13" s="369"/>
      <c r="AE13" s="369"/>
      <c r="AF13" s="369"/>
    </row>
    <row r="14" spans="1:32" ht="14" x14ac:dyDescent="0.3">
      <c r="A14" s="151">
        <f>IF(C14&lt;&gt;"",COUNTA($C$12:C14),"")</f>
        <v>3</v>
      </c>
      <c r="B14" s="151"/>
      <c r="C14" s="408" t="s">
        <v>534</v>
      </c>
      <c r="D14" s="370" t="s">
        <v>551</v>
      </c>
      <c r="E14" s="370" t="s">
        <v>552</v>
      </c>
      <c r="F14" s="370" t="s">
        <v>553</v>
      </c>
      <c r="G14" s="370" t="s">
        <v>47</v>
      </c>
      <c r="H14" s="293"/>
      <c r="I14" s="370" t="s">
        <v>552</v>
      </c>
      <c r="J14" s="370" t="s">
        <v>553</v>
      </c>
      <c r="K14" s="370" t="s">
        <v>47</v>
      </c>
      <c r="M14" s="370" t="s">
        <v>65</v>
      </c>
      <c r="N14" s="370" t="s">
        <v>325</v>
      </c>
      <c r="O14" s="369"/>
      <c r="P14" s="369"/>
      <c r="Q14" s="369"/>
      <c r="R14" s="369"/>
      <c r="S14" s="369"/>
      <c r="T14" s="369"/>
      <c r="U14" s="369"/>
      <c r="V14" s="369"/>
      <c r="W14" s="369"/>
      <c r="X14" s="369"/>
      <c r="Y14" s="369"/>
      <c r="Z14" s="369"/>
      <c r="AA14" s="369"/>
      <c r="AB14" s="369"/>
      <c r="AC14" s="369"/>
      <c r="AD14" s="369"/>
      <c r="AE14" s="369"/>
      <c r="AF14" s="369"/>
    </row>
    <row r="15" spans="1:32" ht="14" x14ac:dyDescent="0.3">
      <c r="A15" s="151">
        <f>IF(C15&lt;&gt;"",COUNTA($C$12:C15),"")</f>
        <v>4</v>
      </c>
      <c r="B15" s="151"/>
      <c r="C15" s="409">
        <f>+'Bill_Bos G3 p1'!C15</f>
        <v>100</v>
      </c>
      <c r="D15" s="409">
        <f>+C15*550</f>
        <v>55000</v>
      </c>
      <c r="E15" s="372">
        <f t="shared" ref="E15:E24" si="0">ROUND($G$41+$C15*SUM($G$42,$G$44)+(SUM($G$45:$G$60,$G$61:$G$63)*$D15),2)</f>
        <v>3195.3</v>
      </c>
      <c r="F15" s="372">
        <f t="shared" ref="F15:F24" si="1">ROUND($G$64*D15,2)</f>
        <v>6746.3</v>
      </c>
      <c r="G15" s="372">
        <f t="shared" ref="G15:G24" si="2">SUM(E15:F15)</f>
        <v>9941.6</v>
      </c>
      <c r="H15" s="373"/>
      <c r="I15" s="372">
        <f t="shared" ref="I15:I24" si="3">ROUND($I$41+$C15*SUM($I$42,$I$44)+(SUM($I$45:$I$60,$I$61:$I$63)*$D15),2)</f>
        <v>3116.15</v>
      </c>
      <c r="J15" s="372">
        <f t="shared" ref="J15:J24" si="4">ROUND($I$64*D15,2)</f>
        <v>8881.4</v>
      </c>
      <c r="K15" s="372">
        <f t="shared" ref="K15:K24" si="5">SUM(I15:J15)</f>
        <v>11997.55</v>
      </c>
      <c r="L15" s="374"/>
      <c r="M15" s="375">
        <f t="shared" ref="M15:M24" si="6">+K15-G15</f>
        <v>2055.9499999999989</v>
      </c>
      <c r="N15" s="376">
        <f t="shared" ref="N15:N24" si="7">+M15/G15</f>
        <v>0.20680272793111762</v>
      </c>
      <c r="O15" s="377"/>
      <c r="P15" s="322"/>
      <c r="Q15" s="322"/>
      <c r="R15" s="322"/>
      <c r="S15" s="377"/>
      <c r="T15" s="378"/>
      <c r="U15" s="377"/>
      <c r="V15" s="325"/>
      <c r="W15" s="322"/>
      <c r="X15" s="322"/>
      <c r="Y15" s="377"/>
      <c r="Z15" s="374"/>
      <c r="AA15" s="322"/>
      <c r="AB15" s="322"/>
      <c r="AC15" s="322"/>
      <c r="AD15" s="322"/>
      <c r="AE15" s="377"/>
      <c r="AF15" s="374"/>
    </row>
    <row r="16" spans="1:32" ht="14" x14ac:dyDescent="0.3">
      <c r="A16" s="151">
        <f>IF(C16&lt;&gt;"",COUNTA($C$12:C16),"")</f>
        <v>5</v>
      </c>
      <c r="B16" s="151"/>
      <c r="C16" s="409">
        <f>+'Bill_Bos G3 p1'!C16</f>
        <v>250</v>
      </c>
      <c r="D16" s="409">
        <f t="shared" ref="D16:D24" si="8">+C16*550</f>
        <v>137500</v>
      </c>
      <c r="E16" s="372">
        <f t="shared" si="0"/>
        <v>7613.25</v>
      </c>
      <c r="F16" s="372">
        <f t="shared" si="1"/>
        <v>16865.75</v>
      </c>
      <c r="G16" s="372">
        <f t="shared" si="2"/>
        <v>24479</v>
      </c>
      <c r="H16" s="373"/>
      <c r="I16" s="372">
        <f t="shared" si="3"/>
        <v>7415.38</v>
      </c>
      <c r="J16" s="372">
        <f t="shared" si="4"/>
        <v>22203.5</v>
      </c>
      <c r="K16" s="372">
        <f t="shared" si="5"/>
        <v>29618.880000000001</v>
      </c>
      <c r="L16" s="374"/>
      <c r="M16" s="375">
        <f t="shared" si="6"/>
        <v>5139.880000000001</v>
      </c>
      <c r="N16" s="376">
        <f t="shared" si="7"/>
        <v>0.20997099554720378</v>
      </c>
      <c r="O16" s="377"/>
      <c r="P16" s="322"/>
      <c r="Q16" s="322"/>
      <c r="R16" s="322"/>
      <c r="S16" s="377"/>
      <c r="T16" s="378"/>
      <c r="U16" s="377"/>
      <c r="V16" s="325"/>
      <c r="W16" s="322"/>
      <c r="X16" s="322"/>
      <c r="Y16" s="377"/>
      <c r="Z16" s="374"/>
      <c r="AA16" s="322"/>
      <c r="AB16" s="322"/>
      <c r="AC16" s="322"/>
      <c r="AD16" s="322"/>
      <c r="AE16" s="377"/>
      <c r="AF16" s="374"/>
    </row>
    <row r="17" spans="1:32" ht="14" x14ac:dyDescent="0.3">
      <c r="A17" s="151">
        <f>IF(C17&lt;&gt;"",COUNTA($C$12:C17),"")</f>
        <v>6</v>
      </c>
      <c r="B17" s="151"/>
      <c r="C17" s="409">
        <f>+'Bill_Bos G3 p1'!C17</f>
        <v>400</v>
      </c>
      <c r="D17" s="409">
        <f t="shared" si="8"/>
        <v>220000</v>
      </c>
      <c r="E17" s="372">
        <f t="shared" si="0"/>
        <v>12031.2</v>
      </c>
      <c r="F17" s="372">
        <f t="shared" si="1"/>
        <v>26985.200000000001</v>
      </c>
      <c r="G17" s="372">
        <f t="shared" si="2"/>
        <v>39016.400000000001</v>
      </c>
      <c r="H17" s="373"/>
      <c r="I17" s="372">
        <f t="shared" si="3"/>
        <v>11714.6</v>
      </c>
      <c r="J17" s="372">
        <f t="shared" si="4"/>
        <v>35525.599999999999</v>
      </c>
      <c r="K17" s="372">
        <f t="shared" si="5"/>
        <v>47240.2</v>
      </c>
      <c r="L17" s="374"/>
      <c r="M17" s="375">
        <f t="shared" si="6"/>
        <v>8223.7999999999956</v>
      </c>
      <c r="N17" s="376">
        <f t="shared" si="7"/>
        <v>0.21077803180201135</v>
      </c>
      <c r="O17" s="377"/>
      <c r="P17" s="322"/>
      <c r="Q17" s="322"/>
      <c r="R17" s="322"/>
      <c r="S17" s="377"/>
      <c r="T17" s="378"/>
      <c r="U17" s="377"/>
      <c r="V17" s="325"/>
      <c r="W17" s="322"/>
      <c r="X17" s="322"/>
      <c r="Y17" s="377"/>
      <c r="Z17" s="374"/>
      <c r="AA17" s="322"/>
      <c r="AB17" s="322"/>
      <c r="AC17" s="322"/>
      <c r="AD17" s="322"/>
      <c r="AE17" s="377"/>
      <c r="AF17" s="374"/>
    </row>
    <row r="18" spans="1:32" ht="14" x14ac:dyDescent="0.3">
      <c r="A18" s="151">
        <f>IF(C18&lt;&gt;"",COUNTA($C$12:C18),"")</f>
        <v>7</v>
      </c>
      <c r="B18" s="151"/>
      <c r="C18" s="409">
        <f>+'Bill_Bos G3 p1'!C18</f>
        <v>550</v>
      </c>
      <c r="D18" s="409">
        <f t="shared" si="8"/>
        <v>302500</v>
      </c>
      <c r="E18" s="372">
        <f t="shared" si="0"/>
        <v>16449.150000000001</v>
      </c>
      <c r="F18" s="372">
        <f t="shared" si="1"/>
        <v>37104.65</v>
      </c>
      <c r="G18" s="372">
        <f t="shared" si="2"/>
        <v>53553.8</v>
      </c>
      <c r="H18" s="373"/>
      <c r="I18" s="372">
        <f t="shared" si="3"/>
        <v>16013.83</v>
      </c>
      <c r="J18" s="372">
        <f t="shared" si="4"/>
        <v>48847.7</v>
      </c>
      <c r="K18" s="372">
        <f t="shared" si="5"/>
        <v>64861.53</v>
      </c>
      <c r="L18" s="374"/>
      <c r="M18" s="375">
        <f t="shared" si="6"/>
        <v>11307.729999999996</v>
      </c>
      <c r="N18" s="376">
        <f t="shared" si="7"/>
        <v>0.21114710814171908</v>
      </c>
      <c r="O18" s="377"/>
      <c r="P18" s="322"/>
      <c r="Q18" s="322"/>
      <c r="R18" s="322"/>
      <c r="S18" s="377"/>
      <c r="T18" s="378"/>
      <c r="U18" s="377"/>
      <c r="V18" s="325"/>
      <c r="W18" s="322"/>
      <c r="X18" s="322"/>
      <c r="Y18" s="377"/>
      <c r="Z18" s="374"/>
      <c r="AA18" s="322"/>
      <c r="AB18" s="322"/>
      <c r="AC18" s="322"/>
      <c r="AD18" s="322"/>
      <c r="AE18" s="377"/>
      <c r="AF18" s="374"/>
    </row>
    <row r="19" spans="1:32" ht="14" x14ac:dyDescent="0.3">
      <c r="A19" s="151">
        <f>IF(C19&lt;&gt;"",COUNTA($C$12:C19),"")</f>
        <v>8</v>
      </c>
      <c r="B19" s="151"/>
      <c r="C19" s="409">
        <f>+'Bill_Bos G3 p1'!C19</f>
        <v>700</v>
      </c>
      <c r="D19" s="409">
        <f t="shared" si="8"/>
        <v>385000</v>
      </c>
      <c r="E19" s="372">
        <f t="shared" si="0"/>
        <v>20867.099999999999</v>
      </c>
      <c r="F19" s="372">
        <f t="shared" si="1"/>
        <v>47224.1</v>
      </c>
      <c r="G19" s="372">
        <f t="shared" si="2"/>
        <v>68091.199999999997</v>
      </c>
      <c r="H19" s="373"/>
      <c r="I19" s="372">
        <f t="shared" si="3"/>
        <v>20313.05</v>
      </c>
      <c r="J19" s="372">
        <f t="shared" si="4"/>
        <v>62169.8</v>
      </c>
      <c r="K19" s="372">
        <f t="shared" si="5"/>
        <v>82482.850000000006</v>
      </c>
      <c r="L19" s="374"/>
      <c r="M19" s="375">
        <f t="shared" si="6"/>
        <v>14391.650000000009</v>
      </c>
      <c r="N19" s="376">
        <f t="shared" si="7"/>
        <v>0.21135844279437005</v>
      </c>
      <c r="O19" s="377"/>
      <c r="P19" s="322"/>
      <c r="Q19" s="322"/>
      <c r="R19" s="322"/>
      <c r="S19" s="377"/>
      <c r="T19" s="378"/>
      <c r="U19" s="377"/>
      <c r="V19" s="325"/>
      <c r="W19" s="322"/>
      <c r="X19" s="322"/>
      <c r="Y19" s="377"/>
      <c r="Z19" s="374"/>
      <c r="AA19" s="322"/>
      <c r="AB19" s="322"/>
      <c r="AC19" s="322"/>
      <c r="AD19" s="322"/>
      <c r="AE19" s="377"/>
      <c r="AF19" s="374"/>
    </row>
    <row r="20" spans="1:32" ht="14" x14ac:dyDescent="0.3">
      <c r="A20" s="151">
        <f>IF(C20&lt;&gt;"",COUNTA($C$12:C20),"")</f>
        <v>9</v>
      </c>
      <c r="B20" s="151"/>
      <c r="C20" s="409">
        <f>+'Bill_Bos G3 p1'!C20</f>
        <v>1000</v>
      </c>
      <c r="D20" s="409">
        <f t="shared" si="8"/>
        <v>550000</v>
      </c>
      <c r="E20" s="372">
        <f t="shared" si="0"/>
        <v>29703</v>
      </c>
      <c r="F20" s="372">
        <f t="shared" si="1"/>
        <v>67463</v>
      </c>
      <c r="G20" s="372">
        <f t="shared" si="2"/>
        <v>97166</v>
      </c>
      <c r="H20" s="373"/>
      <c r="I20" s="372">
        <f t="shared" si="3"/>
        <v>28911.5</v>
      </c>
      <c r="J20" s="372">
        <f t="shared" si="4"/>
        <v>88814</v>
      </c>
      <c r="K20" s="372">
        <f t="shared" si="5"/>
        <v>117725.5</v>
      </c>
      <c r="L20" s="374"/>
      <c r="M20" s="375">
        <f t="shared" si="6"/>
        <v>20559.5</v>
      </c>
      <c r="N20" s="376">
        <f t="shared" si="7"/>
        <v>0.21159150320070808</v>
      </c>
      <c r="O20" s="377"/>
      <c r="P20" s="322"/>
      <c r="Q20" s="322"/>
      <c r="R20" s="322"/>
      <c r="S20" s="377"/>
      <c r="T20" s="378"/>
      <c r="U20" s="377"/>
      <c r="V20" s="325"/>
      <c r="W20" s="322"/>
      <c r="X20" s="322"/>
      <c r="Y20" s="377"/>
      <c r="Z20" s="374"/>
      <c r="AA20" s="322"/>
      <c r="AB20" s="322"/>
      <c r="AC20" s="322"/>
      <c r="AD20" s="322"/>
      <c r="AE20" s="377"/>
      <c r="AF20" s="374"/>
    </row>
    <row r="21" spans="1:32" ht="14" x14ac:dyDescent="0.3">
      <c r="A21" s="151">
        <f>IF(C21&lt;&gt;"",COUNTA($C$12:C21),"")</f>
        <v>10</v>
      </c>
      <c r="B21" s="151"/>
      <c r="C21" s="409">
        <f>+'Bill_Bos G3 p1'!C21</f>
        <v>1500</v>
      </c>
      <c r="D21" s="409">
        <f t="shared" si="8"/>
        <v>825000</v>
      </c>
      <c r="E21" s="372">
        <f t="shared" si="0"/>
        <v>44429.5</v>
      </c>
      <c r="F21" s="372">
        <f t="shared" si="1"/>
        <v>101194.5</v>
      </c>
      <c r="G21" s="372">
        <f t="shared" si="2"/>
        <v>145624</v>
      </c>
      <c r="H21" s="373"/>
      <c r="I21" s="372">
        <f t="shared" si="3"/>
        <v>43242.25</v>
      </c>
      <c r="J21" s="372">
        <f t="shared" si="4"/>
        <v>133221</v>
      </c>
      <c r="K21" s="372">
        <f t="shared" si="5"/>
        <v>176463.25</v>
      </c>
      <c r="L21" s="374"/>
      <c r="M21" s="375">
        <f t="shared" si="6"/>
        <v>30839.25</v>
      </c>
      <c r="N21" s="376">
        <f t="shared" si="7"/>
        <v>0.21177312805581497</v>
      </c>
      <c r="O21" s="377"/>
      <c r="P21" s="322"/>
      <c r="Q21" s="322"/>
      <c r="R21" s="322"/>
      <c r="S21" s="377"/>
      <c r="T21" s="378"/>
      <c r="U21" s="377"/>
      <c r="V21" s="325"/>
      <c r="W21" s="322"/>
      <c r="X21" s="322"/>
      <c r="Y21" s="377"/>
      <c r="Z21" s="374"/>
      <c r="AA21" s="322"/>
      <c r="AB21" s="322"/>
      <c r="AC21" s="322"/>
      <c r="AD21" s="322"/>
      <c r="AE21" s="377"/>
      <c r="AF21" s="374"/>
    </row>
    <row r="22" spans="1:32" ht="14" x14ac:dyDescent="0.3">
      <c r="A22" s="151">
        <f>IF(C22&lt;&gt;"",COUNTA($C$12:C22),"")</f>
        <v>11</v>
      </c>
      <c r="B22" s="151"/>
      <c r="C22" s="409">
        <f>+'Bill_Bos G3 p1'!C22</f>
        <v>2500</v>
      </c>
      <c r="D22" s="409">
        <f t="shared" si="8"/>
        <v>1375000</v>
      </c>
      <c r="E22" s="372">
        <f t="shared" si="0"/>
        <v>73882.5</v>
      </c>
      <c r="F22" s="372">
        <f t="shared" si="1"/>
        <v>168657.5</v>
      </c>
      <c r="G22" s="372">
        <f t="shared" si="2"/>
        <v>242540</v>
      </c>
      <c r="H22" s="373"/>
      <c r="I22" s="372">
        <f t="shared" si="3"/>
        <v>71903.75</v>
      </c>
      <c r="J22" s="372">
        <f t="shared" si="4"/>
        <v>222035</v>
      </c>
      <c r="K22" s="372">
        <f t="shared" si="5"/>
        <v>293938.75</v>
      </c>
      <c r="L22" s="374"/>
      <c r="M22" s="375">
        <f t="shared" si="6"/>
        <v>51398.75</v>
      </c>
      <c r="N22" s="376">
        <f t="shared" si="7"/>
        <v>0.21191865259338666</v>
      </c>
      <c r="O22" s="377"/>
      <c r="P22" s="322"/>
      <c r="Q22" s="322"/>
      <c r="R22" s="322"/>
      <c r="S22" s="377"/>
      <c r="T22" s="378"/>
      <c r="U22" s="377"/>
      <c r="V22" s="325"/>
      <c r="W22" s="322"/>
      <c r="X22" s="322"/>
      <c r="Y22" s="377"/>
      <c r="Z22" s="374"/>
      <c r="AA22" s="322"/>
      <c r="AB22" s="322"/>
      <c r="AC22" s="322"/>
      <c r="AD22" s="322"/>
      <c r="AE22" s="377"/>
      <c r="AF22" s="374"/>
    </row>
    <row r="23" spans="1:32" ht="14" x14ac:dyDescent="0.3">
      <c r="A23" s="151">
        <f>IF(C23&lt;&gt;"",COUNTA($C$12:C23),"")</f>
        <v>12</v>
      </c>
      <c r="B23" s="151"/>
      <c r="C23" s="409">
        <f>+'Bill_Bos G3 p1'!C23</f>
        <v>5000</v>
      </c>
      <c r="D23" s="409">
        <f t="shared" si="8"/>
        <v>2750000</v>
      </c>
      <c r="E23" s="372">
        <f t="shared" si="0"/>
        <v>147515</v>
      </c>
      <c r="F23" s="372">
        <f t="shared" si="1"/>
        <v>337315</v>
      </c>
      <c r="G23" s="372">
        <f t="shared" si="2"/>
        <v>484830</v>
      </c>
      <c r="H23" s="373"/>
      <c r="I23" s="372">
        <f t="shared" si="3"/>
        <v>143557.5</v>
      </c>
      <c r="J23" s="372">
        <f t="shared" si="4"/>
        <v>444070</v>
      </c>
      <c r="K23" s="372">
        <f t="shared" si="5"/>
        <v>587627.5</v>
      </c>
      <c r="L23" s="374"/>
      <c r="M23" s="375">
        <f t="shared" si="6"/>
        <v>102797.5</v>
      </c>
      <c r="N23" s="376">
        <f t="shared" si="7"/>
        <v>0.21202792731472889</v>
      </c>
      <c r="O23" s="377"/>
      <c r="P23" s="322"/>
      <c r="Q23" s="322"/>
      <c r="R23" s="322"/>
      <c r="S23" s="377"/>
      <c r="T23" s="378"/>
      <c r="U23" s="377"/>
      <c r="V23" s="325"/>
      <c r="W23" s="322"/>
      <c r="X23" s="322"/>
      <c r="Y23" s="377"/>
      <c r="Z23" s="374"/>
      <c r="AA23" s="322"/>
      <c r="AB23" s="322"/>
      <c r="AC23" s="322"/>
      <c r="AD23" s="322"/>
      <c r="AE23" s="377"/>
      <c r="AF23" s="374"/>
    </row>
    <row r="24" spans="1:32" ht="14" x14ac:dyDescent="0.3">
      <c r="A24" s="151">
        <f>IF(C24&lt;&gt;"",COUNTA($C$12:C24),"")</f>
        <v>13</v>
      </c>
      <c r="B24" s="151" t="s">
        <v>554</v>
      </c>
      <c r="C24" s="409">
        <v>1459</v>
      </c>
      <c r="D24" s="409">
        <f t="shared" si="8"/>
        <v>802450</v>
      </c>
      <c r="E24" s="372">
        <f t="shared" si="0"/>
        <v>43221.93</v>
      </c>
      <c r="F24" s="372">
        <f t="shared" si="1"/>
        <v>98428.52</v>
      </c>
      <c r="G24" s="372">
        <f t="shared" si="2"/>
        <v>141650.45000000001</v>
      </c>
      <c r="H24" s="373"/>
      <c r="I24" s="372">
        <f t="shared" si="3"/>
        <v>42067.13</v>
      </c>
      <c r="J24" s="372">
        <f t="shared" si="4"/>
        <v>129579.63</v>
      </c>
      <c r="K24" s="372">
        <f t="shared" si="5"/>
        <v>171646.76</v>
      </c>
      <c r="L24" s="374"/>
      <c r="M24" s="375">
        <f t="shared" si="6"/>
        <v>29996.309999999998</v>
      </c>
      <c r="N24" s="376">
        <f t="shared" si="7"/>
        <v>0.21176289944719551</v>
      </c>
      <c r="O24" s="377"/>
      <c r="P24" s="322"/>
      <c r="Q24" s="322"/>
      <c r="R24" s="322"/>
      <c r="S24" s="377"/>
      <c r="T24" s="378"/>
      <c r="U24" s="377"/>
      <c r="V24" s="325"/>
      <c r="W24" s="322"/>
      <c r="X24" s="322"/>
      <c r="Y24" s="377"/>
      <c r="Z24" s="374"/>
      <c r="AA24" s="322"/>
      <c r="AB24" s="322"/>
      <c r="AC24" s="322"/>
      <c r="AD24" s="322"/>
      <c r="AE24" s="377"/>
      <c r="AF24" s="374"/>
    </row>
    <row r="25" spans="1:32" ht="14" x14ac:dyDescent="0.3">
      <c r="A25" s="151" t="str">
        <f>IF(C25&lt;&gt;"",COUNTA($C$12:C25),"")</f>
        <v/>
      </c>
      <c r="B25" s="151"/>
      <c r="C25" s="293"/>
      <c r="D25" s="409"/>
      <c r="E25" s="372"/>
      <c r="F25" s="372"/>
      <c r="G25" s="372"/>
      <c r="H25" s="373"/>
      <c r="I25" s="374"/>
      <c r="J25" s="374"/>
      <c r="K25" s="374"/>
      <c r="L25" s="374"/>
      <c r="M25" s="374"/>
      <c r="O25" s="377"/>
      <c r="P25" s="322"/>
      <c r="Q25" s="322"/>
      <c r="R25" s="322"/>
      <c r="S25" s="377"/>
      <c r="T25" s="378"/>
      <c r="U25" s="377"/>
      <c r="V25" s="322"/>
      <c r="W25" s="322"/>
      <c r="X25" s="322"/>
      <c r="Y25" s="377"/>
      <c r="Z25" s="374"/>
      <c r="AA25" s="322"/>
      <c r="AB25" s="322"/>
      <c r="AC25" s="322"/>
      <c r="AD25" s="322"/>
      <c r="AE25" s="377"/>
      <c r="AF25" s="374"/>
    </row>
    <row r="26" spans="1:32" ht="14" x14ac:dyDescent="0.3">
      <c r="A26" s="151">
        <f>IF(C26&lt;&gt;"",COUNTA($C$12:C26),"")</f>
        <v>14</v>
      </c>
      <c r="B26" s="151"/>
      <c r="C26" s="366" t="str">
        <f>+C13</f>
        <v>Monthly</v>
      </c>
      <c r="D26" s="366" t="str">
        <f>+D13</f>
        <v>Monthly</v>
      </c>
      <c r="E26" s="760" t="str">
        <f>+'Bill_Bos G1 nonDem'!D26</f>
        <v>Current Monthly Bill (Summer)</v>
      </c>
      <c r="F26" s="760"/>
      <c r="G26" s="760"/>
      <c r="H26" s="448"/>
      <c r="I26" s="760" t="str">
        <f>+'Bill_Bos G1 nonDem'!H26</f>
        <v>Proposed Monthly Bill (Summer)</v>
      </c>
      <c r="J26" s="760"/>
      <c r="K26" s="760"/>
      <c r="L26" s="374"/>
      <c r="M26" s="763" t="s">
        <v>550</v>
      </c>
      <c r="N26" s="763"/>
      <c r="O26" s="415"/>
      <c r="P26" s="415"/>
      <c r="Q26" s="416"/>
      <c r="R26" s="369"/>
      <c r="S26" s="369"/>
      <c r="T26" s="378"/>
      <c r="U26" s="415"/>
      <c r="V26" s="415"/>
      <c r="W26" s="416"/>
      <c r="X26" s="369"/>
      <c r="Y26" s="369"/>
      <c r="Z26" s="369"/>
      <c r="AA26" s="369"/>
      <c r="AB26" s="369"/>
      <c r="AC26" s="322"/>
      <c r="AD26" s="322"/>
      <c r="AE26" s="369"/>
      <c r="AF26" s="369"/>
    </row>
    <row r="27" spans="1:32" ht="14" x14ac:dyDescent="0.3">
      <c r="A27" s="151">
        <f>IF(C27&lt;&gt;"",COUNTA($C$12:C27),"")</f>
        <v>15</v>
      </c>
      <c r="B27" s="151"/>
      <c r="C27" s="370" t="s">
        <v>534</v>
      </c>
      <c r="D27" s="370" t="s">
        <v>551</v>
      </c>
      <c r="E27" s="442" t="s">
        <v>552</v>
      </c>
      <c r="F27" s="442" t="s">
        <v>553</v>
      </c>
      <c r="G27" s="442" t="s">
        <v>47</v>
      </c>
      <c r="H27" s="448"/>
      <c r="I27" s="442" t="s">
        <v>552</v>
      </c>
      <c r="J27" s="442" t="s">
        <v>553</v>
      </c>
      <c r="K27" s="442" t="s">
        <v>47</v>
      </c>
      <c r="L27" s="374"/>
      <c r="M27" s="442" t="s">
        <v>65</v>
      </c>
      <c r="N27" s="370" t="s">
        <v>325</v>
      </c>
      <c r="O27" s="378"/>
      <c r="P27" s="369"/>
      <c r="Q27" s="369"/>
      <c r="R27" s="369"/>
      <c r="S27" s="369"/>
      <c r="T27" s="369"/>
      <c r="U27" s="378"/>
      <c r="V27" s="369"/>
      <c r="W27" s="369"/>
      <c r="X27" s="369"/>
      <c r="Y27" s="369"/>
      <c r="Z27" s="369"/>
      <c r="AA27" s="369"/>
      <c r="AB27" s="369"/>
      <c r="AC27" s="322"/>
      <c r="AD27" s="322"/>
      <c r="AE27" s="369"/>
      <c r="AF27" s="369"/>
    </row>
    <row r="28" spans="1:32" ht="14" x14ac:dyDescent="0.3">
      <c r="A28" s="151">
        <f>IF(C28&lt;&gt;"",COUNTA($C$12:C28),"")</f>
        <v>16</v>
      </c>
      <c r="B28" s="151"/>
      <c r="C28" s="409">
        <f>+'Bill_Bos G3 p1'!C28</f>
        <v>100</v>
      </c>
      <c r="D28" s="409">
        <f>+C28*550</f>
        <v>55000</v>
      </c>
      <c r="E28" s="372">
        <f t="shared" ref="E28:E37" si="9">ROUND($G$41+$C28*SUM($G$43,$G$44)+(SUM($G$45:$G$60,$G$61:$G$63)*$D28),2)</f>
        <v>3791.3</v>
      </c>
      <c r="F28" s="372">
        <f t="shared" ref="F28:F37" si="10">ROUND($G$64*D28,2)</f>
        <v>6746.3</v>
      </c>
      <c r="G28" s="372">
        <f t="shared" ref="G28:G37" si="11">SUM(E28:F28)</f>
        <v>10537.6</v>
      </c>
      <c r="H28" s="373"/>
      <c r="I28" s="372">
        <f t="shared" ref="I28:I37" si="12">ROUND($I$41+$C28*SUM($I$43,$I$44)+(SUM($I$45:$I$60,$I$61:$I$63)*$D28),2)</f>
        <v>3733.15</v>
      </c>
      <c r="J28" s="372">
        <f t="shared" ref="J28:J37" si="13">ROUND($I$64*D28,2)</f>
        <v>8881.4</v>
      </c>
      <c r="K28" s="372">
        <f t="shared" ref="K28:K37" si="14">SUM(I28:J28)</f>
        <v>12614.55</v>
      </c>
      <c r="L28" s="374"/>
      <c r="M28" s="375">
        <f t="shared" ref="M28:M37" si="15">+K28-G28</f>
        <v>2076.9499999999989</v>
      </c>
      <c r="N28" s="376">
        <f t="shared" ref="N28:N37" si="16">+M28/G28</f>
        <v>0.19709895991497103</v>
      </c>
      <c r="O28" s="377"/>
      <c r="P28" s="322"/>
      <c r="Q28" s="322"/>
      <c r="R28" s="322"/>
      <c r="S28" s="377"/>
      <c r="T28" s="378"/>
      <c r="U28" s="377"/>
      <c r="V28" s="325"/>
      <c r="W28" s="322"/>
      <c r="X28" s="322"/>
      <c r="Y28" s="377"/>
      <c r="Z28" s="374"/>
      <c r="AA28" s="369"/>
      <c r="AB28" s="369"/>
      <c r="AC28" s="322"/>
      <c r="AD28" s="322"/>
      <c r="AE28" s="369"/>
      <c r="AF28" s="369"/>
    </row>
    <row r="29" spans="1:32" ht="14" x14ac:dyDescent="0.3">
      <c r="A29" s="151">
        <f>IF(C29&lt;&gt;"",COUNTA($C$12:C29),"")</f>
        <v>17</v>
      </c>
      <c r="B29" s="151"/>
      <c r="C29" s="409">
        <f>+'Bill_Bos G3 p1'!C29</f>
        <v>250</v>
      </c>
      <c r="D29" s="409">
        <f t="shared" ref="D29:D37" si="17">+C29*550</f>
        <v>137500</v>
      </c>
      <c r="E29" s="372">
        <f t="shared" si="9"/>
        <v>9103.25</v>
      </c>
      <c r="F29" s="372">
        <f t="shared" si="10"/>
        <v>16865.75</v>
      </c>
      <c r="G29" s="372">
        <f t="shared" si="11"/>
        <v>25969</v>
      </c>
      <c r="H29" s="373"/>
      <c r="I29" s="372">
        <f t="shared" si="12"/>
        <v>8957.8799999999992</v>
      </c>
      <c r="J29" s="372">
        <f t="shared" si="13"/>
        <v>22203.5</v>
      </c>
      <c r="K29" s="372">
        <f t="shared" si="14"/>
        <v>31161.379999999997</v>
      </c>
      <c r="L29" s="374"/>
      <c r="M29" s="375">
        <f t="shared" si="15"/>
        <v>5192.3799999999974</v>
      </c>
      <c r="N29" s="376">
        <f t="shared" si="16"/>
        <v>0.19994531941930754</v>
      </c>
      <c r="O29" s="377"/>
      <c r="P29" s="322"/>
      <c r="Q29" s="322"/>
      <c r="R29" s="322"/>
      <c r="S29" s="377"/>
      <c r="T29" s="378"/>
      <c r="U29" s="377"/>
      <c r="V29" s="325"/>
      <c r="W29" s="322"/>
      <c r="X29" s="322"/>
      <c r="Y29" s="377"/>
      <c r="Z29" s="374"/>
      <c r="AA29" s="322"/>
      <c r="AB29" s="322"/>
      <c r="AC29" s="322"/>
      <c r="AD29" s="322"/>
      <c r="AE29" s="377"/>
      <c r="AF29" s="374"/>
    </row>
    <row r="30" spans="1:32" ht="14" x14ac:dyDescent="0.3">
      <c r="A30" s="151">
        <f>IF(C30&lt;&gt;"",COUNTA($C$12:C30),"")</f>
        <v>18</v>
      </c>
      <c r="B30" s="151"/>
      <c r="C30" s="409">
        <f>+'Bill_Bos G3 p1'!C30</f>
        <v>400</v>
      </c>
      <c r="D30" s="409">
        <f t="shared" si="17"/>
        <v>220000</v>
      </c>
      <c r="E30" s="372">
        <f t="shared" si="9"/>
        <v>14415.2</v>
      </c>
      <c r="F30" s="372">
        <f t="shared" si="10"/>
        <v>26985.200000000001</v>
      </c>
      <c r="G30" s="372">
        <f t="shared" si="11"/>
        <v>41400.400000000001</v>
      </c>
      <c r="H30" s="373"/>
      <c r="I30" s="372">
        <f t="shared" si="12"/>
        <v>14182.6</v>
      </c>
      <c r="J30" s="372">
        <f t="shared" si="13"/>
        <v>35525.599999999999</v>
      </c>
      <c r="K30" s="372">
        <f t="shared" si="14"/>
        <v>49708.2</v>
      </c>
      <c r="L30" s="374"/>
      <c r="M30" s="375">
        <f t="shared" si="15"/>
        <v>8307.7999999999956</v>
      </c>
      <c r="N30" s="376">
        <f t="shared" si="16"/>
        <v>0.20066955874822454</v>
      </c>
      <c r="O30" s="377"/>
      <c r="P30" s="322"/>
      <c r="Q30" s="322"/>
      <c r="R30" s="322"/>
      <c r="S30" s="377"/>
      <c r="T30" s="378"/>
      <c r="U30" s="377"/>
      <c r="V30" s="325"/>
      <c r="W30" s="322"/>
      <c r="X30" s="322"/>
      <c r="Y30" s="377"/>
      <c r="Z30" s="374"/>
      <c r="AA30" s="322"/>
      <c r="AB30" s="322"/>
      <c r="AC30" s="322"/>
      <c r="AD30" s="322"/>
      <c r="AE30" s="377"/>
      <c r="AF30" s="374"/>
    </row>
    <row r="31" spans="1:32" ht="14" x14ac:dyDescent="0.3">
      <c r="A31" s="151">
        <f>IF(C31&lt;&gt;"",COUNTA($C$12:C31),"")</f>
        <v>19</v>
      </c>
      <c r="B31" s="151"/>
      <c r="C31" s="409">
        <f>+'Bill_Bos G3 p1'!C31</f>
        <v>550</v>
      </c>
      <c r="D31" s="409">
        <f t="shared" si="17"/>
        <v>302500</v>
      </c>
      <c r="E31" s="372">
        <f t="shared" si="9"/>
        <v>19727.150000000001</v>
      </c>
      <c r="F31" s="372">
        <f t="shared" si="10"/>
        <v>37104.65</v>
      </c>
      <c r="G31" s="372">
        <f t="shared" si="11"/>
        <v>56831.8</v>
      </c>
      <c r="H31" s="373"/>
      <c r="I31" s="372">
        <f t="shared" si="12"/>
        <v>19407.330000000002</v>
      </c>
      <c r="J31" s="372">
        <f t="shared" si="13"/>
        <v>48847.7</v>
      </c>
      <c r="K31" s="372">
        <f t="shared" si="14"/>
        <v>68255.03</v>
      </c>
      <c r="L31" s="374"/>
      <c r="M31" s="375">
        <f t="shared" si="15"/>
        <v>11423.229999999996</v>
      </c>
      <c r="N31" s="376">
        <f t="shared" si="16"/>
        <v>0.20100067215889689</v>
      </c>
      <c r="O31" s="377"/>
      <c r="P31" s="322"/>
      <c r="Q31" s="322"/>
      <c r="R31" s="322"/>
      <c r="S31" s="377"/>
      <c r="T31" s="378"/>
      <c r="U31" s="377"/>
      <c r="V31" s="325"/>
      <c r="W31" s="322"/>
      <c r="X31" s="322"/>
      <c r="Y31" s="377"/>
      <c r="Z31" s="374"/>
      <c r="AA31" s="322"/>
      <c r="AB31" s="322"/>
      <c r="AC31" s="322"/>
      <c r="AD31" s="322"/>
      <c r="AE31" s="377"/>
      <c r="AF31" s="374"/>
    </row>
    <row r="32" spans="1:32" ht="14" x14ac:dyDescent="0.3">
      <c r="A32" s="151">
        <f>IF(C32&lt;&gt;"",COUNTA($C$12:C32),"")</f>
        <v>20</v>
      </c>
      <c r="B32" s="151"/>
      <c r="C32" s="409">
        <f>+'Bill_Bos G3 p1'!C32</f>
        <v>700</v>
      </c>
      <c r="D32" s="409">
        <f t="shared" si="17"/>
        <v>385000</v>
      </c>
      <c r="E32" s="372">
        <f t="shared" si="9"/>
        <v>25039.1</v>
      </c>
      <c r="F32" s="372">
        <f t="shared" si="10"/>
        <v>47224.1</v>
      </c>
      <c r="G32" s="372">
        <f t="shared" si="11"/>
        <v>72263.199999999997</v>
      </c>
      <c r="H32" s="373"/>
      <c r="I32" s="372">
        <f t="shared" si="12"/>
        <v>24632.05</v>
      </c>
      <c r="J32" s="372">
        <f t="shared" si="13"/>
        <v>62169.8</v>
      </c>
      <c r="K32" s="372">
        <f t="shared" si="14"/>
        <v>86801.85</v>
      </c>
      <c r="L32" s="374"/>
      <c r="M32" s="375">
        <f t="shared" si="15"/>
        <v>14538.650000000009</v>
      </c>
      <c r="N32" s="376">
        <f t="shared" si="16"/>
        <v>0.20119023237277078</v>
      </c>
      <c r="O32" s="377"/>
      <c r="P32" s="322"/>
      <c r="Q32" s="322"/>
      <c r="R32" s="322"/>
      <c r="S32" s="377"/>
      <c r="T32" s="378"/>
      <c r="U32" s="377"/>
      <c r="V32" s="325"/>
      <c r="W32" s="322"/>
      <c r="X32" s="322"/>
      <c r="Y32" s="377"/>
      <c r="Z32" s="374"/>
      <c r="AA32" s="322"/>
      <c r="AB32" s="322"/>
      <c r="AC32" s="322"/>
      <c r="AD32" s="322"/>
      <c r="AE32" s="377"/>
      <c r="AF32" s="374"/>
    </row>
    <row r="33" spans="1:32" ht="14" x14ac:dyDescent="0.3">
      <c r="A33" s="151">
        <f>IF(C33&lt;&gt;"",COUNTA($C$12:C33),"")</f>
        <v>21</v>
      </c>
      <c r="B33" s="151"/>
      <c r="C33" s="409">
        <f>+'Bill_Bos G3 p1'!C33</f>
        <v>1000</v>
      </c>
      <c r="D33" s="409">
        <f t="shared" si="17"/>
        <v>550000</v>
      </c>
      <c r="E33" s="372">
        <f t="shared" si="9"/>
        <v>35663</v>
      </c>
      <c r="F33" s="372">
        <f t="shared" si="10"/>
        <v>67463</v>
      </c>
      <c r="G33" s="372">
        <f t="shared" si="11"/>
        <v>103126</v>
      </c>
      <c r="H33" s="373"/>
      <c r="I33" s="372">
        <f t="shared" si="12"/>
        <v>35081.5</v>
      </c>
      <c r="J33" s="372">
        <f t="shared" si="13"/>
        <v>88814</v>
      </c>
      <c r="K33" s="372">
        <f t="shared" si="14"/>
        <v>123895.5</v>
      </c>
      <c r="L33" s="374"/>
      <c r="M33" s="375">
        <f t="shared" si="15"/>
        <v>20769.5</v>
      </c>
      <c r="N33" s="376">
        <f t="shared" si="16"/>
        <v>0.20139925915869908</v>
      </c>
      <c r="O33" s="377"/>
      <c r="P33" s="322"/>
      <c r="Q33" s="322"/>
      <c r="R33" s="322"/>
      <c r="S33" s="377"/>
      <c r="T33" s="378"/>
      <c r="U33" s="377"/>
      <c r="V33" s="325"/>
      <c r="W33" s="322"/>
      <c r="X33" s="322"/>
      <c r="Y33" s="377"/>
      <c r="Z33" s="374"/>
      <c r="AA33" s="322"/>
      <c r="AB33" s="322"/>
      <c r="AC33" s="322"/>
      <c r="AD33" s="322"/>
      <c r="AE33" s="377"/>
      <c r="AF33" s="374"/>
    </row>
    <row r="34" spans="1:32" ht="14" x14ac:dyDescent="0.3">
      <c r="A34" s="151">
        <f>IF(C34&lt;&gt;"",COUNTA($C$12:C34),"")</f>
        <v>22</v>
      </c>
      <c r="B34" s="151"/>
      <c r="C34" s="409">
        <f>+'Bill_Bos G3 p1'!C34</f>
        <v>1500</v>
      </c>
      <c r="D34" s="409">
        <f t="shared" si="17"/>
        <v>825000</v>
      </c>
      <c r="E34" s="372">
        <f t="shared" si="9"/>
        <v>53369.5</v>
      </c>
      <c r="F34" s="372">
        <f t="shared" si="10"/>
        <v>101194.5</v>
      </c>
      <c r="G34" s="372">
        <f t="shared" si="11"/>
        <v>154564</v>
      </c>
      <c r="H34" s="373"/>
      <c r="I34" s="372">
        <f t="shared" si="12"/>
        <v>52497.25</v>
      </c>
      <c r="J34" s="372">
        <f t="shared" si="13"/>
        <v>133221</v>
      </c>
      <c r="K34" s="372">
        <f t="shared" si="14"/>
        <v>185718.25</v>
      </c>
      <c r="L34" s="374"/>
      <c r="M34" s="375">
        <f t="shared" si="15"/>
        <v>31154.25</v>
      </c>
      <c r="N34" s="376">
        <f t="shared" si="16"/>
        <v>0.20156213607308299</v>
      </c>
      <c r="O34" s="377"/>
      <c r="P34" s="322"/>
      <c r="Q34" s="322"/>
      <c r="R34" s="322"/>
      <c r="S34" s="377"/>
      <c r="T34" s="378"/>
      <c r="U34" s="377"/>
      <c r="V34" s="325"/>
      <c r="W34" s="322"/>
      <c r="X34" s="322"/>
      <c r="Y34" s="377"/>
      <c r="Z34" s="374"/>
      <c r="AA34" s="322"/>
      <c r="AB34" s="322"/>
      <c r="AC34" s="322"/>
      <c r="AD34" s="322"/>
      <c r="AE34" s="377"/>
      <c r="AF34" s="374"/>
    </row>
    <row r="35" spans="1:32" ht="14" x14ac:dyDescent="0.3">
      <c r="A35" s="151">
        <f>IF(C35&lt;&gt;"",COUNTA($C$12:C35),"")</f>
        <v>23</v>
      </c>
      <c r="B35" s="151"/>
      <c r="C35" s="409">
        <f>+'Bill_Bos G3 p1'!C35</f>
        <v>2500</v>
      </c>
      <c r="D35" s="409">
        <f t="shared" si="17"/>
        <v>1375000</v>
      </c>
      <c r="E35" s="372">
        <f t="shared" si="9"/>
        <v>88782.5</v>
      </c>
      <c r="F35" s="372">
        <f t="shared" si="10"/>
        <v>168657.5</v>
      </c>
      <c r="G35" s="372">
        <f t="shared" si="11"/>
        <v>257440</v>
      </c>
      <c r="H35" s="373"/>
      <c r="I35" s="372">
        <f t="shared" si="12"/>
        <v>87328.75</v>
      </c>
      <c r="J35" s="372">
        <f t="shared" si="13"/>
        <v>222035</v>
      </c>
      <c r="K35" s="372">
        <f t="shared" si="14"/>
        <v>309363.75</v>
      </c>
      <c r="L35" s="374"/>
      <c r="M35" s="375">
        <f t="shared" si="15"/>
        <v>51923.75</v>
      </c>
      <c r="N35" s="376">
        <f t="shared" si="16"/>
        <v>0.20169262740832816</v>
      </c>
      <c r="O35" s="377"/>
      <c r="P35" s="322"/>
      <c r="Q35" s="322"/>
      <c r="R35" s="322"/>
      <c r="S35" s="377"/>
      <c r="T35" s="378"/>
      <c r="U35" s="377"/>
      <c r="V35" s="325"/>
      <c r="W35" s="322"/>
      <c r="X35" s="322"/>
      <c r="Y35" s="377"/>
      <c r="Z35" s="374"/>
      <c r="AA35" s="322"/>
      <c r="AB35" s="322"/>
      <c r="AC35" s="322"/>
      <c r="AD35" s="322"/>
      <c r="AE35" s="377"/>
      <c r="AF35" s="374"/>
    </row>
    <row r="36" spans="1:32" ht="14" x14ac:dyDescent="0.3">
      <c r="A36" s="151">
        <f>IF(C36&lt;&gt;"",COUNTA($C$12:C36),"")</f>
        <v>24</v>
      </c>
      <c r="B36" s="151"/>
      <c r="C36" s="409">
        <f>+'Bill_Bos G3 p1'!C36</f>
        <v>5000</v>
      </c>
      <c r="D36" s="409">
        <f t="shared" si="17"/>
        <v>2750000</v>
      </c>
      <c r="E36" s="372">
        <f t="shared" si="9"/>
        <v>177315</v>
      </c>
      <c r="F36" s="372">
        <f t="shared" si="10"/>
        <v>337315</v>
      </c>
      <c r="G36" s="372">
        <f t="shared" si="11"/>
        <v>514630</v>
      </c>
      <c r="H36" s="373"/>
      <c r="I36" s="372">
        <f t="shared" si="12"/>
        <v>174407.5</v>
      </c>
      <c r="J36" s="372">
        <f t="shared" si="13"/>
        <v>444070</v>
      </c>
      <c r="K36" s="372">
        <f t="shared" si="14"/>
        <v>618477.5</v>
      </c>
      <c r="L36" s="374"/>
      <c r="M36" s="375">
        <f t="shared" si="15"/>
        <v>103847.5</v>
      </c>
      <c r="N36" s="376">
        <f t="shared" si="16"/>
        <v>0.20179060684375183</v>
      </c>
      <c r="O36" s="377"/>
      <c r="P36" s="322"/>
      <c r="Q36" s="322"/>
      <c r="R36" s="322"/>
      <c r="S36" s="377"/>
      <c r="T36" s="378"/>
      <c r="U36" s="377"/>
      <c r="V36" s="325"/>
      <c r="W36" s="322"/>
      <c r="X36" s="322"/>
      <c r="Y36" s="377"/>
      <c r="Z36" s="374"/>
      <c r="AA36" s="322"/>
      <c r="AB36" s="322"/>
      <c r="AC36" s="322"/>
      <c r="AD36" s="322"/>
      <c r="AE36" s="377"/>
      <c r="AF36" s="374"/>
    </row>
    <row r="37" spans="1:32" ht="14" x14ac:dyDescent="0.3">
      <c r="A37" s="151">
        <f>IF(C37&lt;&gt;"",COUNTA($C$12:C37),"")</f>
        <v>25</v>
      </c>
      <c r="B37" s="151" t="s">
        <v>554</v>
      </c>
      <c r="C37" s="409">
        <v>2101</v>
      </c>
      <c r="D37" s="409">
        <f t="shared" si="17"/>
        <v>1155550</v>
      </c>
      <c r="E37" s="372">
        <f t="shared" si="9"/>
        <v>74652.710000000006</v>
      </c>
      <c r="F37" s="372">
        <f t="shared" si="10"/>
        <v>141739.76</v>
      </c>
      <c r="G37" s="372">
        <f t="shared" si="11"/>
        <v>216392.47000000003</v>
      </c>
      <c r="H37" s="373"/>
      <c r="I37" s="372">
        <f t="shared" si="12"/>
        <v>73430.98</v>
      </c>
      <c r="J37" s="372">
        <f t="shared" si="13"/>
        <v>186598.21</v>
      </c>
      <c r="K37" s="372">
        <f t="shared" si="14"/>
        <v>260029.19</v>
      </c>
      <c r="L37" s="374"/>
      <c r="M37" s="375">
        <f t="shared" si="15"/>
        <v>43636.719999999972</v>
      </c>
      <c r="N37" s="376">
        <f t="shared" si="16"/>
        <v>0.20165544577406028</v>
      </c>
      <c r="O37" s="377"/>
      <c r="P37" s="322"/>
      <c r="Q37" s="322"/>
      <c r="R37" s="322"/>
      <c r="S37" s="377"/>
      <c r="T37" s="378"/>
      <c r="U37" s="377"/>
      <c r="V37" s="325"/>
      <c r="W37" s="322"/>
      <c r="X37" s="322"/>
      <c r="Y37" s="377"/>
      <c r="Z37" s="374"/>
      <c r="AA37" s="322"/>
      <c r="AB37" s="322"/>
      <c r="AC37" s="322"/>
      <c r="AD37" s="322"/>
      <c r="AE37" s="377"/>
      <c r="AF37" s="374"/>
    </row>
    <row r="38" spans="1:32" ht="14" x14ac:dyDescent="0.3">
      <c r="A38" s="151" t="str">
        <f>IF(C38&lt;&gt;"",COUNTA($C$12:C38),"")</f>
        <v/>
      </c>
      <c r="B38" s="151"/>
      <c r="C38" s="293"/>
      <c r="D38" s="293"/>
      <c r="E38" s="293"/>
      <c r="F38" s="293"/>
      <c r="G38" s="393"/>
      <c r="H38" s="394"/>
      <c r="O38" s="377"/>
      <c r="P38" s="322"/>
      <c r="Q38" s="322"/>
      <c r="R38" s="322"/>
      <c r="S38" s="322"/>
      <c r="T38" s="322"/>
      <c r="U38" s="322"/>
      <c r="V38" s="377"/>
      <c r="W38" s="378"/>
      <c r="X38" s="377"/>
      <c r="Y38" s="322"/>
      <c r="Z38" s="322"/>
      <c r="AA38" s="322"/>
      <c r="AB38" s="322"/>
      <c r="AC38" s="322"/>
      <c r="AD38" s="322"/>
      <c r="AE38" s="377"/>
      <c r="AF38" s="374"/>
    </row>
    <row r="39" spans="1:32" ht="14" x14ac:dyDescent="0.3">
      <c r="A39" s="151">
        <f>IF(C39&lt;&gt;"",COUNTA($C$12:C39),"")</f>
        <v>26</v>
      </c>
      <c r="B39" s="151"/>
      <c r="C39" s="293" t="s">
        <v>46</v>
      </c>
      <c r="D39" s="293"/>
      <c r="E39" s="293"/>
      <c r="G39" s="395" t="str">
        <f>+'Bill_Bos G2 p1'!G42</f>
        <v>Current</v>
      </c>
      <c r="I39" s="395" t="str">
        <f>+'Bill_Bos G2 p1'!I42</f>
        <v>Proposed</v>
      </c>
      <c r="J39" s="420"/>
      <c r="O39" s="377"/>
      <c r="P39" s="322"/>
      <c r="Q39" s="322"/>
      <c r="R39" s="322"/>
      <c r="S39" s="322"/>
      <c r="T39" s="322"/>
      <c r="U39" s="322"/>
      <c r="V39" s="377"/>
      <c r="W39" s="378"/>
      <c r="X39" s="377"/>
      <c r="Y39" s="322"/>
      <c r="Z39" s="322"/>
      <c r="AA39" s="322"/>
      <c r="AB39" s="322"/>
      <c r="AC39" s="322"/>
      <c r="AD39" s="322"/>
      <c r="AE39" s="377"/>
      <c r="AF39" s="374"/>
    </row>
    <row r="40" spans="1:32" ht="17" x14ac:dyDescent="0.6">
      <c r="A40" s="151">
        <f>IF(C40&lt;&gt;"",COUNTA($C$12:C40),"")</f>
        <v>27</v>
      </c>
      <c r="B40" s="151"/>
      <c r="C40" s="274" t="s">
        <v>46</v>
      </c>
      <c r="D40" s="274"/>
      <c r="E40" s="293"/>
      <c r="G40" s="396" t="str">
        <f>+'Bill_Bos G2 p1'!G43</f>
        <v>Rates</v>
      </c>
      <c r="I40" s="396" t="str">
        <f>+'Bill_Bos G2 p1'!I43</f>
        <v>Rates</v>
      </c>
      <c r="J40" s="396" t="str">
        <f>+'Bill_Bos G2 p1'!J43</f>
        <v>Change</v>
      </c>
    </row>
    <row r="41" spans="1:32" ht="14" x14ac:dyDescent="0.3">
      <c r="A41" s="151">
        <f>IF(C41&lt;&gt;"",COUNTA($C$12:C41),"")</f>
        <v>28</v>
      </c>
      <c r="B41" s="151"/>
      <c r="C41" s="293" t="str">
        <f>'Bill_Bos G3 p1'!C41</f>
        <v>Customer Charge</v>
      </c>
      <c r="D41" s="293"/>
      <c r="E41" s="274"/>
      <c r="G41" s="454">
        <v>250</v>
      </c>
      <c r="H41" s="455"/>
      <c r="I41" s="454">
        <f>+G41</f>
        <v>250</v>
      </c>
      <c r="J41" s="421">
        <f>I41-G41</f>
        <v>0</v>
      </c>
    </row>
    <row r="42" spans="1:32" ht="14" x14ac:dyDescent="0.3">
      <c r="A42" s="151">
        <f>IF(C42&lt;&gt;"",COUNTA($C$12:C42),"")</f>
        <v>29</v>
      </c>
      <c r="B42" s="151"/>
      <c r="C42" s="293" t="str">
        <f>'Bill_Bos G3 p1'!C42</f>
        <v>Distribution Demand - Winter</v>
      </c>
      <c r="D42" s="293"/>
      <c r="E42" s="274"/>
      <c r="G42" s="454">
        <v>8.58</v>
      </c>
      <c r="H42" s="455"/>
      <c r="I42" s="454">
        <v>8.8699999999999992</v>
      </c>
      <c r="J42" s="421">
        <f t="shared" ref="J42:J64" si="18">I42-G42</f>
        <v>0.28999999999999915</v>
      </c>
    </row>
    <row r="43" spans="1:32" ht="14" x14ac:dyDescent="0.3">
      <c r="A43" s="151">
        <f>IF(C43&lt;&gt;"",COUNTA($C$12:C43),"")</f>
        <v>30</v>
      </c>
      <c r="B43" s="151"/>
      <c r="C43" s="293" t="str">
        <f>'Bill_Bos G3 p1'!C43</f>
        <v>Distribution Demand - Summer</v>
      </c>
      <c r="D43" s="293"/>
      <c r="E43" s="274"/>
      <c r="G43" s="454">
        <v>14.54</v>
      </c>
      <c r="H43" s="455"/>
      <c r="I43" s="454">
        <v>15.04</v>
      </c>
      <c r="J43" s="421">
        <f t="shared" si="18"/>
        <v>0.5</v>
      </c>
    </row>
    <row r="44" spans="1:32" ht="14" x14ac:dyDescent="0.3">
      <c r="A44" s="151">
        <f>IF(C44&lt;&gt;"",COUNTA($C$12:C44),"")</f>
        <v>31</v>
      </c>
      <c r="B44" s="151"/>
      <c r="C44" s="293" t="str">
        <f>'Bill_Bos G3 p1'!C44</f>
        <v>Transmission Demand</v>
      </c>
      <c r="D44" s="293"/>
      <c r="E44" s="274"/>
      <c r="G44" s="454">
        <v>10.28</v>
      </c>
      <c r="H44" s="448"/>
      <c r="I44" s="454">
        <v>9.0500000000000007</v>
      </c>
      <c r="J44" s="421">
        <f>I44-G44</f>
        <v>-1.2299999999999986</v>
      </c>
    </row>
    <row r="45" spans="1:32" ht="14" x14ac:dyDescent="0.3">
      <c r="A45" s="151">
        <f>IF(C45&lt;&gt;"",COUNTA($C$12:C45),"")</f>
        <v>32</v>
      </c>
      <c r="B45" s="151"/>
      <c r="C45" s="293" t="str">
        <f>'Bill_Bos G3 p1'!C45</f>
        <v>Distribution Energy</v>
      </c>
      <c r="D45" s="293"/>
      <c r="E45" s="274"/>
      <c r="G45" s="308">
        <v>0</v>
      </c>
      <c r="H45" s="400"/>
      <c r="I45" s="308">
        <v>0</v>
      </c>
      <c r="J45" s="354">
        <f t="shared" si="18"/>
        <v>0</v>
      </c>
    </row>
    <row r="46" spans="1:32" ht="14" x14ac:dyDescent="0.3">
      <c r="A46" s="151">
        <f>IF(C46&lt;&gt;"",COUNTA($C$12:C46),"")</f>
        <v>33</v>
      </c>
      <c r="B46" s="151"/>
      <c r="C46" s="293" t="str">
        <f>'Bill_Bos G3 p1'!C46</f>
        <v>Revenue Decoupling</v>
      </c>
      <c r="D46" s="293"/>
      <c r="E46" s="274"/>
      <c r="G46" s="308">
        <v>0</v>
      </c>
      <c r="H46" s="277"/>
      <c r="I46" s="277">
        <v>-2.4000000000000001E-4</v>
      </c>
      <c r="J46" s="354">
        <f t="shared" si="18"/>
        <v>-2.4000000000000001E-4</v>
      </c>
    </row>
    <row r="47" spans="1:32" ht="14" x14ac:dyDescent="0.3">
      <c r="A47" s="151">
        <f>IF(C47&lt;&gt;"",COUNTA($C$12:C47),"")</f>
        <v>34</v>
      </c>
      <c r="B47" s="151"/>
      <c r="C47" s="293" t="str">
        <f>'Bill_Bos G3 p1'!C47</f>
        <v>Residential Assistance Adjustment Factor</v>
      </c>
      <c r="D47" s="293"/>
      <c r="E47" s="274"/>
      <c r="G47" s="277">
        <v>1.47E-3</v>
      </c>
      <c r="H47" s="277"/>
      <c r="I47" s="277">
        <v>2.0300000000000001E-3</v>
      </c>
      <c r="J47" s="354">
        <f t="shared" si="18"/>
        <v>5.6000000000000017E-4</v>
      </c>
    </row>
    <row r="48" spans="1:32" ht="14" x14ac:dyDescent="0.3">
      <c r="A48" s="151">
        <f>IF(C48&lt;&gt;"",COUNTA($C$12:C48),"")</f>
        <v>35</v>
      </c>
      <c r="B48" s="151"/>
      <c r="C48" s="293" t="str">
        <f>'Bill_Bos G3 p1'!C48</f>
        <v>Pension Adjustment Factor</v>
      </c>
      <c r="D48" s="293"/>
      <c r="E48" s="274"/>
      <c r="G48" s="277">
        <v>-3.0000000000000001E-5</v>
      </c>
      <c r="H48" s="277"/>
      <c r="I48" s="277">
        <v>2.9999999999999997E-4</v>
      </c>
      <c r="J48" s="354">
        <f t="shared" si="18"/>
        <v>3.3E-4</v>
      </c>
    </row>
    <row r="49" spans="1:12" ht="14" x14ac:dyDescent="0.3">
      <c r="A49" s="151">
        <f>IF(C49&lt;&gt;"",COUNTA($C$12:C49),"")</f>
        <v>36</v>
      </c>
      <c r="B49" s="151"/>
      <c r="C49" s="293" t="str">
        <f>'Bill_Bos G3 p1'!C49</f>
        <v>Net Metering Recovery Surcharge</v>
      </c>
      <c r="D49" s="293"/>
      <c r="E49" s="274"/>
      <c r="G49" s="277">
        <v>2.8999999999999998E-3</v>
      </c>
      <c r="H49" s="277"/>
      <c r="I49" s="277">
        <v>2.64E-3</v>
      </c>
      <c r="J49" s="354">
        <f t="shared" si="18"/>
        <v>-2.5999999999999981E-4</v>
      </c>
    </row>
    <row r="50" spans="1:12" ht="14" x14ac:dyDescent="0.3">
      <c r="A50" s="151">
        <f>IF(C50&lt;&gt;"",COUNTA($C$12:C50),"")</f>
        <v>37</v>
      </c>
      <c r="B50" s="151"/>
      <c r="C50" s="293" t="str">
        <f>'Bill_Bos G3 p1'!C50</f>
        <v>Long Term Renewable Contract Adjustment</v>
      </c>
      <c r="D50" s="293"/>
      <c r="E50" s="274"/>
      <c r="G50" s="277">
        <v>2.3600000000000001E-3</v>
      </c>
      <c r="H50" s="277"/>
      <c r="I50" s="277">
        <v>1.74E-3</v>
      </c>
      <c r="J50" s="354">
        <f t="shared" si="18"/>
        <v>-6.2000000000000011E-4</v>
      </c>
    </row>
    <row r="51" spans="1:12" ht="14" x14ac:dyDescent="0.3">
      <c r="A51" s="151">
        <f>IF(C51&lt;&gt;"",COUNTA($C$12:C51),"")</f>
        <v>38</v>
      </c>
      <c r="B51" s="151"/>
      <c r="C51" s="293" t="str">
        <f>'Bill_Bos G3 p1'!C51</f>
        <v>AG Consulting Expense</v>
      </c>
      <c r="D51" s="293"/>
      <c r="E51" s="274"/>
      <c r="G51" s="277">
        <v>2.0000000000000002E-5</v>
      </c>
      <c r="H51" s="277"/>
      <c r="I51" s="277">
        <v>0</v>
      </c>
      <c r="J51" s="354">
        <f t="shared" si="18"/>
        <v>-2.0000000000000002E-5</v>
      </c>
    </row>
    <row r="52" spans="1:12" ht="14" x14ac:dyDescent="0.3">
      <c r="A52" s="151">
        <f>IF(C52&lt;&gt;"",COUNTA($C$12:C52),"")</f>
        <v>39</v>
      </c>
      <c r="B52" s="151"/>
      <c r="C52" s="293" t="str">
        <f>'Bill_Bos G3 p1'!C52</f>
        <v>Storm Cost Recovery Adjustment Factor</v>
      </c>
      <c r="D52" s="293"/>
      <c r="E52" s="274"/>
      <c r="G52" s="277">
        <v>9.1E-4</v>
      </c>
      <c r="H52" s="277"/>
      <c r="I52" s="277">
        <v>1.5399999999999999E-3</v>
      </c>
      <c r="J52" s="354">
        <f t="shared" si="18"/>
        <v>6.2999999999999992E-4</v>
      </c>
    </row>
    <row r="53" spans="1:12" ht="14" x14ac:dyDescent="0.3">
      <c r="A53" s="151">
        <f>IF(C53&lt;&gt;"",COUNTA($C$12:C53),"")</f>
        <v>40</v>
      </c>
      <c r="B53" s="151"/>
      <c r="C53" s="293" t="str">
        <f>'Bill_Bos G3 p1'!C53</f>
        <v>Storm Reserve Adjustment</v>
      </c>
      <c r="D53" s="293"/>
      <c r="E53" s="274"/>
      <c r="G53" s="277">
        <v>0</v>
      </c>
      <c r="H53" s="277"/>
      <c r="I53" s="277">
        <v>0</v>
      </c>
      <c r="J53" s="354">
        <f t="shared" si="18"/>
        <v>0</v>
      </c>
    </row>
    <row r="54" spans="1:12" ht="14" x14ac:dyDescent="0.3">
      <c r="A54" s="151">
        <f>IF(C54&lt;&gt;"",COUNTA($C$12:C54),"")</f>
        <v>41</v>
      </c>
      <c r="B54" s="151"/>
      <c r="C54" s="293" t="str">
        <f>'Bill_Bos G3 p1'!C54</f>
        <v>Basic Service Cost True Up Factor</v>
      </c>
      <c r="G54" s="277">
        <v>7.7999999999999999E-4</v>
      </c>
      <c r="H54" s="277"/>
      <c r="I54" s="277">
        <v>-1E-4</v>
      </c>
      <c r="J54" s="354">
        <f t="shared" si="18"/>
        <v>-8.8000000000000003E-4</v>
      </c>
    </row>
    <row r="55" spans="1:12" ht="14" x14ac:dyDescent="0.3">
      <c r="A55" s="151">
        <f>IF(C55&lt;&gt;"",COUNTA($C$12:C55),"")</f>
        <v>42</v>
      </c>
      <c r="B55" s="151"/>
      <c r="C55" s="293" t="str">
        <f>'Bill_Bos G3 p1'!C55</f>
        <v>Solar Program Cost Adjustment Factor</v>
      </c>
      <c r="D55" s="293"/>
      <c r="E55" s="274"/>
      <c r="G55" s="277">
        <v>0</v>
      </c>
      <c r="H55" s="277"/>
      <c r="I55" s="277">
        <v>2.0000000000000002E-5</v>
      </c>
      <c r="J55" s="354">
        <f t="shared" si="18"/>
        <v>2.0000000000000002E-5</v>
      </c>
    </row>
    <row r="56" spans="1:12" ht="14" x14ac:dyDescent="0.3">
      <c r="A56" s="151">
        <f>IF(C56&lt;&gt;"",COUNTA($C$12:C56),"")</f>
        <v>43</v>
      </c>
      <c r="B56" s="151"/>
      <c r="C56" s="293" t="str">
        <f>'Bill_Bos G3 p1'!C56</f>
        <v>Solar Expansion Cost Recovery Factor</v>
      </c>
      <c r="D56" s="293"/>
      <c r="E56" s="274"/>
      <c r="G56" s="277">
        <v>0</v>
      </c>
      <c r="H56" s="277"/>
      <c r="I56" s="277">
        <v>3.2000000000000003E-4</v>
      </c>
      <c r="J56" s="354">
        <f t="shared" si="18"/>
        <v>3.2000000000000003E-4</v>
      </c>
    </row>
    <row r="57" spans="1:12" ht="14" x14ac:dyDescent="0.3">
      <c r="A57" s="151">
        <f>IF(C57&lt;&gt;"",COUNTA($C$12:C57),"")</f>
        <v>44</v>
      </c>
      <c r="B57" s="151"/>
      <c r="C57" s="293" t="str">
        <f>'Bill_Bos G3 p1'!C57</f>
        <v>Vegetation Management</v>
      </c>
      <c r="D57" s="293"/>
      <c r="E57" s="274"/>
      <c r="G57" s="277">
        <v>0</v>
      </c>
      <c r="H57" s="277"/>
      <c r="I57" s="277">
        <v>5.2999999999999998E-4</v>
      </c>
      <c r="J57" s="354">
        <f t="shared" si="18"/>
        <v>5.2999999999999998E-4</v>
      </c>
    </row>
    <row r="58" spans="1:12" ht="14" x14ac:dyDescent="0.3">
      <c r="A58" s="151">
        <f>IF(C58&lt;&gt;"",COUNTA($C$12:C58),"")</f>
        <v>45</v>
      </c>
      <c r="B58" s="151"/>
      <c r="C58" s="293" t="str">
        <f>'Bill_Bos G3 p1'!C58</f>
        <v>Solar Massachusetts Renewable Target</v>
      </c>
      <c r="D58" s="339"/>
      <c r="E58" s="339"/>
      <c r="F58" s="277"/>
      <c r="G58" s="277">
        <v>0</v>
      </c>
      <c r="H58" s="277"/>
      <c r="I58" s="277">
        <v>3.6999999999999999E-4</v>
      </c>
      <c r="J58" s="354">
        <f t="shared" si="18"/>
        <v>3.6999999999999999E-4</v>
      </c>
      <c r="K58" s="339"/>
      <c r="L58" s="339"/>
    </row>
    <row r="59" spans="1:12" ht="14" x14ac:dyDescent="0.3">
      <c r="A59" s="151">
        <f>IF(C59&lt;&gt;"",COUNTA($C$12:C59),"")</f>
        <v>46</v>
      </c>
      <c r="B59" s="151"/>
      <c r="C59" s="293" t="str">
        <f>'Bill_Bos G3 p1'!C59</f>
        <v>Tax Act Credit Factor</v>
      </c>
      <c r="D59" s="339"/>
      <c r="E59" s="339"/>
      <c r="F59" s="277"/>
      <c r="G59" s="277">
        <v>0</v>
      </c>
      <c r="H59" s="277"/>
      <c r="I59" s="277">
        <v>-5.5999999999999995E-4</v>
      </c>
      <c r="J59" s="354">
        <f t="shared" si="18"/>
        <v>-5.5999999999999995E-4</v>
      </c>
      <c r="K59" s="339"/>
      <c r="L59" s="339"/>
    </row>
    <row r="60" spans="1:12" ht="14" x14ac:dyDescent="0.3">
      <c r="A60" s="151">
        <f>IF(C60&lt;&gt;"",COUNTA($C$12:C60),"")</f>
        <v>47</v>
      </c>
      <c r="B60" s="151"/>
      <c r="C60" s="293" t="str">
        <f>'Bill_Bos G3 p1'!C60</f>
        <v>Transition</v>
      </c>
      <c r="D60" s="293"/>
      <c r="E60" s="274"/>
      <c r="G60" s="308">
        <v>-6.0999999999999997E-4</v>
      </c>
      <c r="H60" s="277"/>
      <c r="I60" s="277">
        <v>-5.1999999999999995E-4</v>
      </c>
      <c r="J60" s="354">
        <f t="shared" si="18"/>
        <v>9.0000000000000019E-5</v>
      </c>
    </row>
    <row r="61" spans="1:12" ht="14" x14ac:dyDescent="0.3">
      <c r="A61" s="151">
        <f>IF(C61&lt;&gt;"",COUNTA($C$12:C61),"")</f>
        <v>48</v>
      </c>
      <c r="B61" s="151"/>
      <c r="C61" s="293" t="str">
        <f>'Bill_Bos G3 p1'!C61</f>
        <v>Energy Efficiency Reconciliation Factor</v>
      </c>
      <c r="D61" s="293"/>
      <c r="E61" s="274"/>
      <c r="G61" s="308">
        <v>8.4600000000000005E-3</v>
      </c>
      <c r="H61" s="400"/>
      <c r="I61" s="308">
        <v>8.4600000000000005E-3</v>
      </c>
      <c r="J61" s="354">
        <f t="shared" si="18"/>
        <v>0</v>
      </c>
    </row>
    <row r="62" spans="1:12" ht="14" x14ac:dyDescent="0.3">
      <c r="A62" s="151">
        <f>IF(C62&lt;&gt;"",COUNTA($C$12:C62),"")</f>
        <v>49</v>
      </c>
      <c r="B62" s="151"/>
      <c r="C62" s="293" t="str">
        <f>'Bill_Bos G3 p1'!C62</f>
        <v>System Benefits Charge</v>
      </c>
      <c r="D62" s="293"/>
      <c r="E62" s="274"/>
      <c r="G62" s="308">
        <v>2.5000000000000001E-3</v>
      </c>
      <c r="H62" s="400"/>
      <c r="I62" s="308">
        <f>+G62</f>
        <v>2.5000000000000001E-3</v>
      </c>
      <c r="J62" s="354">
        <f t="shared" si="18"/>
        <v>0</v>
      </c>
    </row>
    <row r="63" spans="1:12" ht="14" x14ac:dyDescent="0.3">
      <c r="A63" s="151">
        <f>IF(C63&lt;&gt;"",COUNTA($C$12:C63),"")</f>
        <v>50</v>
      </c>
      <c r="B63" s="151"/>
      <c r="C63" s="293" t="str">
        <f>'Bill_Bos G3 p1'!C63</f>
        <v>Renewable Energy Charge</v>
      </c>
      <c r="D63" s="293"/>
      <c r="E63" s="274"/>
      <c r="G63" s="308">
        <v>5.0000000000000001E-4</v>
      </c>
      <c r="H63" s="400"/>
      <c r="I63" s="308">
        <f>+G63</f>
        <v>5.0000000000000001E-4</v>
      </c>
      <c r="J63" s="354">
        <f t="shared" si="18"/>
        <v>0</v>
      </c>
    </row>
    <row r="64" spans="1:12" ht="14" x14ac:dyDescent="0.3">
      <c r="A64" s="151">
        <f>IF(C64&lt;&gt;"",COUNTA($C$12:C64),"")</f>
        <v>51</v>
      </c>
      <c r="B64" s="151"/>
      <c r="C64" s="293" t="str">
        <f>'Bill_Bos G3 p1'!C64</f>
        <v>Basic Service Charge</v>
      </c>
      <c r="D64" s="293"/>
      <c r="E64" s="274"/>
      <c r="G64" s="308">
        <v>0.12265999999999999</v>
      </c>
      <c r="H64" s="400"/>
      <c r="I64" s="308">
        <v>0.16148000000000001</v>
      </c>
      <c r="J64" s="354">
        <f t="shared" si="18"/>
        <v>3.8820000000000021E-2</v>
      </c>
    </row>
    <row r="65" spans="1:10" ht="14" x14ac:dyDescent="0.3">
      <c r="A65" s="151"/>
      <c r="B65" s="151"/>
      <c r="G65" s="403"/>
      <c r="H65" s="403"/>
      <c r="I65" s="403"/>
      <c r="J65" s="403"/>
    </row>
    <row r="66" spans="1:10" ht="14" x14ac:dyDescent="0.3">
      <c r="A66" s="151"/>
      <c r="B66" s="151"/>
      <c r="C66" s="458"/>
      <c r="D66" s="459"/>
      <c r="E66" s="460"/>
      <c r="F66" s="461"/>
      <c r="G66" s="403"/>
      <c r="H66" s="403"/>
      <c r="I66" s="462"/>
      <c r="J66" s="462"/>
    </row>
    <row r="67" spans="1:10" ht="14" x14ac:dyDescent="0.3">
      <c r="A67" s="151"/>
      <c r="B67" s="151"/>
      <c r="C67" s="293" t="str">
        <f>'Bill_Bos G3 p1'!C67</f>
        <v>Total Demand - Winter</v>
      </c>
      <c r="G67" s="374">
        <f>G42+G44</f>
        <v>18.86</v>
      </c>
      <c r="H67" s="374"/>
      <c r="I67" s="374">
        <f>I42+I44</f>
        <v>17.920000000000002</v>
      </c>
      <c r="J67" s="421">
        <f t="shared" ref="J67:J70" si="19">I67-G67</f>
        <v>-0.93999999999999773</v>
      </c>
    </row>
    <row r="68" spans="1:10" ht="14" x14ac:dyDescent="0.3">
      <c r="C68" s="293" t="str">
        <f>'Bill_Bos G3 p1'!C68</f>
        <v>Total Demand - Summer</v>
      </c>
      <c r="G68" s="374">
        <f>G43+G44</f>
        <v>24.82</v>
      </c>
      <c r="H68" s="374"/>
      <c r="I68" s="374">
        <f>I43+I44</f>
        <v>24.09</v>
      </c>
      <c r="J68" s="421">
        <f t="shared" si="19"/>
        <v>-0.73000000000000043</v>
      </c>
    </row>
    <row r="69" spans="1:10" ht="14" x14ac:dyDescent="0.3">
      <c r="C69" s="293" t="str">
        <f>'Bill_Bos G3 p1'!C69</f>
        <v>Total Energy</v>
      </c>
      <c r="G69" s="403">
        <f>SUM(G45:G60,G61:G63)</f>
        <v>1.9259999999999999E-2</v>
      </c>
      <c r="H69" s="403"/>
      <c r="I69" s="403">
        <f>SUM(I45:I60,I61:I63)</f>
        <v>1.9530000000000002E-2</v>
      </c>
      <c r="J69" s="354">
        <f t="shared" si="19"/>
        <v>2.7000000000000288E-4</v>
      </c>
    </row>
    <row r="70" spans="1:10" ht="14" x14ac:dyDescent="0.3">
      <c r="C70" s="293" t="str">
        <f>'Bill_Bos G3 p1'!C70</f>
        <v>Total Basic Service</v>
      </c>
      <c r="G70" s="403">
        <f>G64</f>
        <v>0.12265999999999999</v>
      </c>
      <c r="H70" s="403"/>
      <c r="I70" s="403">
        <f>I64</f>
        <v>0.16148000000000001</v>
      </c>
      <c r="J70" s="354">
        <f t="shared" si="19"/>
        <v>3.8820000000000021E-2</v>
      </c>
    </row>
    <row r="71" spans="1:10" ht="14" x14ac:dyDescent="0.3">
      <c r="G71" s="403"/>
      <c r="H71" s="403"/>
      <c r="I71" s="403"/>
      <c r="J71" s="403"/>
    </row>
    <row r="72" spans="1:10" ht="14" x14ac:dyDescent="0.3">
      <c r="G72" s="403"/>
      <c r="H72" s="403"/>
      <c r="I72" s="403"/>
      <c r="J72" s="403"/>
    </row>
    <row r="73" spans="1:10" ht="14" x14ac:dyDescent="0.3">
      <c r="G73" s="403"/>
      <c r="H73" s="403"/>
      <c r="I73" s="403"/>
      <c r="J73" s="403"/>
    </row>
    <row r="74" spans="1:10" ht="14" x14ac:dyDescent="0.3">
      <c r="G74" s="403"/>
      <c r="H74" s="403"/>
      <c r="I74" s="403"/>
      <c r="J74" s="403"/>
    </row>
    <row r="75" spans="1:10" ht="14" x14ac:dyDescent="0.3">
      <c r="G75" s="403"/>
      <c r="H75" s="403"/>
      <c r="I75" s="403"/>
      <c r="J75" s="403"/>
    </row>
    <row r="76" spans="1:10" ht="14" x14ac:dyDescent="0.3">
      <c r="G76" s="403"/>
      <c r="H76" s="403"/>
      <c r="I76" s="403"/>
      <c r="J76" s="403"/>
    </row>
    <row r="77" spans="1:10" ht="14" x14ac:dyDescent="0.3">
      <c r="G77" s="403"/>
      <c r="H77" s="403"/>
      <c r="I77" s="403"/>
      <c r="J77" s="403"/>
    </row>
    <row r="78" spans="1:10" ht="14" x14ac:dyDescent="0.3">
      <c r="G78" s="403"/>
      <c r="H78" s="403"/>
      <c r="I78" s="403"/>
      <c r="J78" s="403"/>
    </row>
    <row r="79" spans="1:10" ht="14" x14ac:dyDescent="0.3">
      <c r="G79" s="403"/>
      <c r="H79" s="403"/>
      <c r="I79" s="403"/>
      <c r="J79" s="403"/>
    </row>
    <row r="80" spans="1:10" ht="14" x14ac:dyDescent="0.3">
      <c r="G80" s="403"/>
      <c r="H80" s="403"/>
      <c r="I80" s="403"/>
      <c r="J80" s="403"/>
    </row>
    <row r="81" spans="7:10" ht="14" x14ac:dyDescent="0.3">
      <c r="G81" s="403"/>
      <c r="H81" s="403"/>
      <c r="I81" s="403"/>
      <c r="J81" s="403"/>
    </row>
    <row r="82" spans="7:10" ht="14" x14ac:dyDescent="0.3">
      <c r="G82" s="403"/>
      <c r="H82" s="403"/>
      <c r="I82" s="403"/>
      <c r="J82" s="403"/>
    </row>
    <row r="83" spans="7:10" ht="14" x14ac:dyDescent="0.3">
      <c r="G83" s="403"/>
      <c r="H83" s="403"/>
      <c r="I83" s="403"/>
      <c r="J83" s="403"/>
    </row>
    <row r="84" spans="7:10" ht="14" x14ac:dyDescent="0.3">
      <c r="G84" s="403"/>
      <c r="H84" s="403"/>
      <c r="I84" s="403"/>
      <c r="J84" s="403"/>
    </row>
    <row r="85" spans="7:10" ht="14" x14ac:dyDescent="0.3">
      <c r="G85" s="403"/>
      <c r="H85" s="403"/>
      <c r="I85" s="403"/>
      <c r="J85" s="403"/>
    </row>
    <row r="86" spans="7:10" ht="14" x14ac:dyDescent="0.3">
      <c r="G86" s="403"/>
      <c r="H86" s="403"/>
      <c r="I86" s="403"/>
      <c r="J86" s="403"/>
    </row>
    <row r="87" spans="7:10" ht="14" x14ac:dyDescent="0.3">
      <c r="G87" s="403"/>
      <c r="H87" s="403"/>
      <c r="I87" s="403"/>
      <c r="J87" s="403"/>
    </row>
    <row r="88" spans="7:10" ht="14" x14ac:dyDescent="0.3">
      <c r="G88" s="403"/>
      <c r="H88" s="403"/>
      <c r="I88" s="403"/>
      <c r="J88" s="403"/>
    </row>
    <row r="89" spans="7:10" ht="14" x14ac:dyDescent="0.3">
      <c r="G89" s="403"/>
      <c r="H89" s="403"/>
      <c r="I89" s="403"/>
      <c r="J89" s="403"/>
    </row>
    <row r="90" spans="7:10" ht="14" x14ac:dyDescent="0.3">
      <c r="G90" s="403"/>
      <c r="H90" s="403"/>
      <c r="I90" s="403"/>
      <c r="J90" s="403"/>
    </row>
    <row r="91" spans="7:10" ht="14" x14ac:dyDescent="0.3">
      <c r="G91" s="403"/>
      <c r="H91" s="403"/>
      <c r="I91" s="403"/>
      <c r="J91" s="403"/>
    </row>
    <row r="92" spans="7:10" ht="14" x14ac:dyDescent="0.3">
      <c r="G92" s="403"/>
      <c r="H92" s="403"/>
      <c r="I92" s="403"/>
      <c r="J92" s="403"/>
    </row>
    <row r="93" spans="7:10" ht="14" x14ac:dyDescent="0.3">
      <c r="G93" s="403"/>
      <c r="H93" s="403"/>
      <c r="I93" s="403"/>
      <c r="J93" s="403"/>
    </row>
    <row r="94" spans="7:10" ht="14" x14ac:dyDescent="0.3">
      <c r="G94" s="403"/>
      <c r="H94" s="403"/>
      <c r="I94" s="403"/>
      <c r="J94" s="403"/>
    </row>
  </sheetData>
  <mergeCells count="12">
    <mergeCell ref="E13:G13"/>
    <mergeCell ref="I13:K13"/>
    <mergeCell ref="M13:N13"/>
    <mergeCell ref="E26:G26"/>
    <mergeCell ref="I26:K26"/>
    <mergeCell ref="M26:N26"/>
    <mergeCell ref="A9:N9"/>
    <mergeCell ref="A4:N4"/>
    <mergeCell ref="A5:N5"/>
    <mergeCell ref="A6:N6"/>
    <mergeCell ref="A7:N7"/>
    <mergeCell ref="A8:N8"/>
  </mergeCells>
  <pageMargins left="0.7" right="0.7" top="0.75" bottom="0.75" header="0.3" footer="0.3"/>
  <pageSetup scale="63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EB5F2-77A1-4F63-9A28-CB504384F037}">
  <sheetPr>
    <tabColor theme="3" tint="0.59999389629810485"/>
    <pageSetUpPr fitToPage="1"/>
  </sheetPr>
  <dimension ref="A4:U78"/>
  <sheetViews>
    <sheetView zoomScaleNormal="100" workbookViewId="0"/>
  </sheetViews>
  <sheetFormatPr defaultRowHeight="12.5" x14ac:dyDescent="0.25"/>
  <cols>
    <col min="1" max="1" width="4.1796875" customWidth="1"/>
    <col min="2" max="2" width="4.453125" bestFit="1" customWidth="1"/>
    <col min="3" max="3" width="9.7265625" customWidth="1"/>
    <col min="4" max="6" width="14.81640625" customWidth="1"/>
    <col min="7" max="7" width="1.81640625" customWidth="1"/>
    <col min="8" max="10" width="14.81640625" customWidth="1"/>
    <col min="11" max="11" width="1.81640625" customWidth="1"/>
    <col min="12" max="13" width="10.81640625" customWidth="1"/>
  </cols>
  <sheetData>
    <row r="4" spans="1:21" ht="14" x14ac:dyDescent="0.3">
      <c r="A4" s="762" t="str">
        <f>+'Bill_Bos G3 p6'!A4</f>
        <v>Eastern Massachusetts</v>
      </c>
      <c r="B4" s="762"/>
      <c r="C4" s="762"/>
      <c r="D4" s="762"/>
      <c r="E4" s="762"/>
      <c r="F4" s="762"/>
      <c r="G4" s="762"/>
      <c r="H4" s="762"/>
      <c r="I4" s="762"/>
      <c r="J4" s="762"/>
      <c r="K4" s="762"/>
      <c r="L4" s="762"/>
      <c r="M4" s="762"/>
    </row>
    <row r="5" spans="1:21" ht="14" x14ac:dyDescent="0.3">
      <c r="A5" s="762" t="str">
        <f>+'Bill_Bos G1 nonDem'!A5</f>
        <v>Calculation of Monthly Typical Bill</v>
      </c>
      <c r="B5" s="762"/>
      <c r="C5" s="762"/>
      <c r="D5" s="762"/>
      <c r="E5" s="762"/>
      <c r="F5" s="762"/>
      <c r="G5" s="762"/>
      <c r="H5" s="762"/>
      <c r="I5" s="762"/>
      <c r="J5" s="762"/>
      <c r="K5" s="762"/>
      <c r="L5" s="762"/>
      <c r="M5" s="762"/>
    </row>
    <row r="6" spans="1:21" ht="14" x14ac:dyDescent="0.3">
      <c r="A6" s="762" t="str">
        <f>+'Bill_Bos G1 nonDem'!A6</f>
        <v>Proposed January 1, 2019</v>
      </c>
      <c r="B6" s="762"/>
      <c r="C6" s="762"/>
      <c r="D6" s="762"/>
      <c r="E6" s="762"/>
      <c r="F6" s="762"/>
      <c r="G6" s="762"/>
      <c r="H6" s="762"/>
      <c r="I6" s="762"/>
      <c r="J6" s="762"/>
      <c r="K6" s="762"/>
      <c r="L6" s="762"/>
      <c r="M6" s="762"/>
    </row>
    <row r="7" spans="1:21" ht="14" x14ac:dyDescent="0.3">
      <c r="A7" s="467"/>
      <c r="B7" s="467"/>
      <c r="C7" s="293"/>
      <c r="D7" s="468"/>
      <c r="E7" s="243"/>
      <c r="F7" s="469"/>
      <c r="G7" s="293"/>
      <c r="H7" s="369"/>
      <c r="I7" s="369"/>
      <c r="J7" s="369"/>
      <c r="K7" s="369"/>
      <c r="L7" s="369"/>
      <c r="M7" s="369"/>
    </row>
    <row r="8" spans="1:21" ht="14" x14ac:dyDescent="0.3">
      <c r="A8" s="762" t="str">
        <f>+'Bill_Bos G1 nonDem'!A8</f>
        <v>Greater Boston Service Area</v>
      </c>
      <c r="B8" s="762"/>
      <c r="C8" s="762"/>
      <c r="D8" s="762"/>
      <c r="E8" s="762"/>
      <c r="F8" s="762"/>
      <c r="G8" s="762"/>
      <c r="H8" s="762"/>
      <c r="I8" s="762"/>
      <c r="J8" s="762"/>
      <c r="K8" s="762"/>
      <c r="L8" s="762"/>
      <c r="M8" s="762"/>
    </row>
    <row r="9" spans="1:21" ht="14" x14ac:dyDescent="0.3">
      <c r="A9" s="762" t="s">
        <v>388</v>
      </c>
      <c r="B9" s="762"/>
      <c r="C9" s="762"/>
      <c r="D9" s="762"/>
      <c r="E9" s="762"/>
      <c r="F9" s="762"/>
      <c r="G9" s="762"/>
      <c r="H9" s="762"/>
      <c r="I9" s="762"/>
      <c r="J9" s="762"/>
      <c r="K9" s="762"/>
      <c r="L9" s="762"/>
      <c r="M9" s="762"/>
    </row>
    <row r="10" spans="1:21" ht="14" x14ac:dyDescent="0.3">
      <c r="A10" s="366"/>
      <c r="B10" s="366"/>
      <c r="C10" s="293"/>
      <c r="D10" s="293"/>
      <c r="E10" s="293"/>
      <c r="F10" s="367"/>
      <c r="G10" s="293"/>
    </row>
    <row r="11" spans="1:21" ht="14" x14ac:dyDescent="0.3">
      <c r="A11" s="366"/>
      <c r="B11" s="366"/>
      <c r="C11" s="293"/>
      <c r="D11" s="293"/>
      <c r="E11" s="293"/>
      <c r="F11" s="368"/>
      <c r="G11" s="293"/>
    </row>
    <row r="12" spans="1:21" ht="14" x14ac:dyDescent="0.3">
      <c r="A12" s="151">
        <f>IF(C12&lt;&gt;"",COUNTA($C12:C$12),"")</f>
        <v>1</v>
      </c>
      <c r="B12" s="151"/>
      <c r="C12" s="366" t="str">
        <f>+'Bill_Bos G1 nonDem'!C12</f>
        <v>Monthly</v>
      </c>
      <c r="D12" s="760" t="str">
        <f>+'Bill_Bos G1 nonDem'!D12</f>
        <v>Current Monthly Bill (Winter)</v>
      </c>
      <c r="E12" s="760"/>
      <c r="F12" s="760"/>
      <c r="G12" s="293"/>
      <c r="H12" s="760" t="str">
        <f>+'Bill_Bos G1 nonDem'!H12</f>
        <v>Proposed Monthly Bill (Winter)</v>
      </c>
      <c r="I12" s="760"/>
      <c r="J12" s="760"/>
      <c r="L12" s="760" t="s">
        <v>550</v>
      </c>
      <c r="M12" s="760"/>
      <c r="O12" s="369"/>
      <c r="P12" s="369"/>
      <c r="Q12" s="369"/>
      <c r="R12" s="369"/>
      <c r="S12" s="369"/>
      <c r="T12" s="369"/>
    </row>
    <row r="13" spans="1:21" ht="14" x14ac:dyDescent="0.3">
      <c r="A13" s="151">
        <f>IF(C13&lt;&gt;"",COUNTA($C$12:C13),"")</f>
        <v>2</v>
      </c>
      <c r="B13" s="151"/>
      <c r="C13" s="370" t="s">
        <v>551</v>
      </c>
      <c r="D13" s="370" t="s">
        <v>552</v>
      </c>
      <c r="E13" s="370" t="s">
        <v>553</v>
      </c>
      <c r="F13" s="370" t="s">
        <v>47</v>
      </c>
      <c r="G13" s="293"/>
      <c r="H13" s="370" t="s">
        <v>552</v>
      </c>
      <c r="I13" s="370" t="s">
        <v>553</v>
      </c>
      <c r="J13" s="370" t="s">
        <v>47</v>
      </c>
      <c r="L13" s="370" t="s">
        <v>65</v>
      </c>
      <c r="M13" s="370" t="s">
        <v>325</v>
      </c>
    </row>
    <row r="14" spans="1:21" ht="14" x14ac:dyDescent="0.3">
      <c r="A14" s="151">
        <f>IF(C14&lt;&gt;"",COUNTA($C$12:C14),"")</f>
        <v>3</v>
      </c>
      <c r="B14" s="151"/>
      <c r="C14" s="371">
        <v>1</v>
      </c>
      <c r="D14" s="372">
        <f t="shared" ref="D14:D20" si="0">ROUND($H$35+(($H$36+$H$55)*$C14*$E$65)+(($H$37+$H$56)*$C14*$E$66)+SUM($H$40:$H$54,$H$59:$H$61)*$C14,2)</f>
        <v>10.09</v>
      </c>
      <c r="E14" s="372">
        <f t="shared" ref="E14:E20" si="1">ROUND($H$62*$C14,2)</f>
        <v>0.11</v>
      </c>
      <c r="F14" s="372">
        <f t="shared" ref="F14:F20" si="2">SUM(D14:E14)</f>
        <v>10.199999999999999</v>
      </c>
      <c r="G14" s="373"/>
      <c r="H14" s="372">
        <f t="shared" ref="H14:H20" si="3">ROUND($I$35+(($I$36+$I$55)*$C14*$E$65)+(($I$37+$I$56)*$C14*$E$66)+SUM($I$40:$I$54,$I$59:$I$61)*$C14,2)</f>
        <v>10.1</v>
      </c>
      <c r="I14" s="372">
        <f t="shared" ref="I14:I20" si="4">ROUND($I$62*$C14,2)</f>
        <v>0.13</v>
      </c>
      <c r="J14" s="372">
        <f t="shared" ref="J14:J20" si="5">SUM(H14:I14)</f>
        <v>10.23</v>
      </c>
      <c r="K14" s="374"/>
      <c r="L14" s="375">
        <f t="shared" ref="L14:L20" si="6">+J14-F14</f>
        <v>3.0000000000001137E-2</v>
      </c>
      <c r="M14" s="376">
        <f t="shared" ref="M14:M20" si="7">+L14/F14</f>
        <v>2.9411764705883471E-3</v>
      </c>
      <c r="O14" s="374"/>
      <c r="P14" s="374"/>
      <c r="Q14" s="374"/>
      <c r="R14" s="374"/>
      <c r="S14" s="374"/>
      <c r="T14" s="374"/>
      <c r="U14" s="374"/>
    </row>
    <row r="15" spans="1:21" ht="14" x14ac:dyDescent="0.3">
      <c r="A15" s="151">
        <f>IF(C15&lt;&gt;"",COUNTA($C$12:C15),"")</f>
        <v>4</v>
      </c>
      <c r="B15" s="151"/>
      <c r="C15" s="371">
        <v>75</v>
      </c>
      <c r="D15" s="372">
        <f t="shared" si="0"/>
        <v>16.98</v>
      </c>
      <c r="E15" s="372">
        <f t="shared" si="1"/>
        <v>8.5500000000000007</v>
      </c>
      <c r="F15" s="372">
        <f t="shared" si="2"/>
        <v>25.53</v>
      </c>
      <c r="G15" s="373"/>
      <c r="H15" s="372">
        <f t="shared" si="3"/>
        <v>17.16</v>
      </c>
      <c r="I15" s="372">
        <f t="shared" si="4"/>
        <v>9.89</v>
      </c>
      <c r="J15" s="372">
        <f t="shared" si="5"/>
        <v>27.05</v>
      </c>
      <c r="K15" s="374"/>
      <c r="L15" s="375">
        <f t="shared" si="6"/>
        <v>1.5199999999999996</v>
      </c>
      <c r="M15" s="376">
        <f t="shared" si="7"/>
        <v>5.953779866823343E-2</v>
      </c>
      <c r="O15" s="374"/>
      <c r="P15" s="374"/>
      <c r="Q15" s="374"/>
      <c r="R15" s="374"/>
      <c r="S15" s="374"/>
      <c r="T15" s="374"/>
      <c r="U15" s="374"/>
    </row>
    <row r="16" spans="1:21" ht="14" x14ac:dyDescent="0.3">
      <c r="A16" s="151">
        <f>IF(C16&lt;&gt;"",COUNTA($C$12:C16),"")</f>
        <v>5</v>
      </c>
      <c r="B16" s="151"/>
      <c r="C16" s="371">
        <v>100</v>
      </c>
      <c r="D16" s="372">
        <f t="shared" si="0"/>
        <v>19.3</v>
      </c>
      <c r="E16" s="372">
        <f t="shared" si="1"/>
        <v>11.4</v>
      </c>
      <c r="F16" s="372">
        <f t="shared" si="2"/>
        <v>30.700000000000003</v>
      </c>
      <c r="G16" s="373"/>
      <c r="H16" s="372">
        <f t="shared" si="3"/>
        <v>19.55</v>
      </c>
      <c r="I16" s="372">
        <f t="shared" si="4"/>
        <v>13.19</v>
      </c>
      <c r="J16" s="372">
        <f t="shared" si="5"/>
        <v>32.74</v>
      </c>
      <c r="K16" s="374"/>
      <c r="L16" s="375">
        <f t="shared" si="6"/>
        <v>2.0399999999999991</v>
      </c>
      <c r="M16" s="376">
        <f t="shared" si="7"/>
        <v>6.6449511400651431E-2</v>
      </c>
      <c r="O16" s="374"/>
      <c r="P16" s="374"/>
      <c r="Q16" s="374"/>
      <c r="R16" s="374"/>
      <c r="S16" s="374"/>
      <c r="T16" s="374"/>
      <c r="U16" s="374"/>
    </row>
    <row r="17" spans="1:21" ht="14" x14ac:dyDescent="0.3">
      <c r="A17" s="151">
        <f>IF(C17&lt;&gt;"",COUNTA($C$12:C17),"")</f>
        <v>6</v>
      </c>
      <c r="B17" s="151"/>
      <c r="C17" s="371">
        <v>200</v>
      </c>
      <c r="D17" s="372">
        <f t="shared" si="0"/>
        <v>28.6</v>
      </c>
      <c r="E17" s="372">
        <f t="shared" si="1"/>
        <v>22.81</v>
      </c>
      <c r="F17" s="372">
        <f t="shared" si="2"/>
        <v>51.41</v>
      </c>
      <c r="G17" s="373"/>
      <c r="H17" s="372">
        <f t="shared" si="3"/>
        <v>29.09</v>
      </c>
      <c r="I17" s="372">
        <f t="shared" si="4"/>
        <v>26.37</v>
      </c>
      <c r="J17" s="372">
        <f t="shared" si="5"/>
        <v>55.46</v>
      </c>
      <c r="K17" s="374"/>
      <c r="L17" s="375">
        <f t="shared" si="6"/>
        <v>4.0500000000000043</v>
      </c>
      <c r="M17" s="376">
        <f t="shared" si="7"/>
        <v>7.8778447772806931E-2</v>
      </c>
      <c r="O17" s="374"/>
      <c r="P17" s="374"/>
      <c r="Q17" s="374"/>
      <c r="R17" s="374"/>
      <c r="S17" s="374"/>
      <c r="T17" s="374"/>
      <c r="U17" s="374"/>
    </row>
    <row r="18" spans="1:21" ht="14" x14ac:dyDescent="0.3">
      <c r="A18" s="151">
        <f>IF(C18&lt;&gt;"",COUNTA($C$12:C18),"")</f>
        <v>7</v>
      </c>
      <c r="B18" s="151"/>
      <c r="C18" s="371">
        <v>500</v>
      </c>
      <c r="D18" s="372">
        <f t="shared" si="0"/>
        <v>56.51</v>
      </c>
      <c r="E18" s="372">
        <f t="shared" si="1"/>
        <v>57.02</v>
      </c>
      <c r="F18" s="372">
        <f t="shared" si="2"/>
        <v>113.53</v>
      </c>
      <c r="G18" s="373"/>
      <c r="H18" s="372">
        <f t="shared" si="3"/>
        <v>57.73</v>
      </c>
      <c r="I18" s="372">
        <f t="shared" si="4"/>
        <v>65.930000000000007</v>
      </c>
      <c r="J18" s="372">
        <f t="shared" si="5"/>
        <v>123.66</v>
      </c>
      <c r="K18" s="374"/>
      <c r="L18" s="375">
        <f t="shared" si="6"/>
        <v>10.129999999999995</v>
      </c>
      <c r="M18" s="376">
        <f t="shared" si="7"/>
        <v>8.9227516955870653E-2</v>
      </c>
      <c r="O18" s="374"/>
      <c r="P18" s="374"/>
      <c r="Q18" s="374"/>
      <c r="R18" s="374"/>
      <c r="S18" s="374"/>
      <c r="T18" s="374"/>
      <c r="U18" s="374"/>
    </row>
    <row r="19" spans="1:21" ht="14" x14ac:dyDescent="0.3">
      <c r="A19" s="151">
        <f>IF(C19&lt;&gt;"",COUNTA($C$12:C19),"")</f>
        <v>8</v>
      </c>
      <c r="B19" s="151"/>
      <c r="C19" s="371">
        <v>1000</v>
      </c>
      <c r="D19" s="372">
        <f t="shared" si="0"/>
        <v>103.02</v>
      </c>
      <c r="E19" s="372">
        <f t="shared" si="1"/>
        <v>114.03</v>
      </c>
      <c r="F19" s="372">
        <f t="shared" si="2"/>
        <v>217.05</v>
      </c>
      <c r="G19" s="373"/>
      <c r="H19" s="372">
        <f t="shared" si="3"/>
        <v>105.46</v>
      </c>
      <c r="I19" s="372">
        <f t="shared" si="4"/>
        <v>131.85</v>
      </c>
      <c r="J19" s="372">
        <f t="shared" si="5"/>
        <v>237.31</v>
      </c>
      <c r="K19" s="374"/>
      <c r="L19" s="375">
        <f t="shared" si="6"/>
        <v>20.259999999999991</v>
      </c>
      <c r="M19" s="376">
        <f t="shared" si="7"/>
        <v>9.3342547800046027E-2</v>
      </c>
      <c r="O19" s="374"/>
      <c r="P19" s="374"/>
      <c r="Q19" s="374"/>
      <c r="R19" s="374"/>
      <c r="S19" s="374"/>
      <c r="T19" s="374"/>
      <c r="U19" s="374"/>
    </row>
    <row r="20" spans="1:21" ht="14" x14ac:dyDescent="0.3">
      <c r="A20" s="151">
        <f>IF(C20&lt;&gt;"",COUNTA($C$12:C20),"")</f>
        <v>9</v>
      </c>
      <c r="B20" s="151" t="s">
        <v>554</v>
      </c>
      <c r="C20" s="371">
        <v>509</v>
      </c>
      <c r="D20" s="372">
        <f t="shared" si="0"/>
        <v>57.35</v>
      </c>
      <c r="E20" s="372">
        <f t="shared" si="1"/>
        <v>58.04</v>
      </c>
      <c r="F20" s="372">
        <f t="shared" si="2"/>
        <v>115.39</v>
      </c>
      <c r="G20" s="373"/>
      <c r="H20" s="372">
        <f t="shared" si="3"/>
        <v>58.59</v>
      </c>
      <c r="I20" s="372">
        <f t="shared" si="4"/>
        <v>67.11</v>
      </c>
      <c r="J20" s="372">
        <f t="shared" si="5"/>
        <v>125.7</v>
      </c>
      <c r="K20" s="374"/>
      <c r="L20" s="375">
        <f t="shared" si="6"/>
        <v>10.310000000000002</v>
      </c>
      <c r="M20" s="376">
        <f t="shared" si="7"/>
        <v>8.9349163705693749E-2</v>
      </c>
      <c r="O20" s="374"/>
      <c r="P20" s="374"/>
      <c r="Q20" s="374"/>
      <c r="R20" s="374"/>
      <c r="S20" s="374"/>
      <c r="T20" s="374"/>
      <c r="U20" s="374"/>
    </row>
    <row r="21" spans="1:21" ht="14" x14ac:dyDescent="0.3">
      <c r="A21" s="151" t="str">
        <f>IF(C21&lt;&gt;"",COUNTA($C$12:C21),"")</f>
        <v/>
      </c>
      <c r="B21" s="151"/>
      <c r="C21" s="379"/>
      <c r="D21" s="380"/>
      <c r="E21" s="380"/>
      <c r="F21" s="380"/>
      <c r="G21" s="381"/>
      <c r="H21" s="382"/>
      <c r="I21" s="382"/>
      <c r="J21" s="382"/>
      <c r="K21" s="382"/>
      <c r="L21" s="382"/>
      <c r="M21" s="385"/>
    </row>
    <row r="22" spans="1:21" ht="14" x14ac:dyDescent="0.3">
      <c r="A22" s="151">
        <f>IF(C22&lt;&gt;"",COUNTA($C$12:C22),"")</f>
        <v>10</v>
      </c>
      <c r="B22" s="151"/>
      <c r="C22" s="417" t="str">
        <f>+C12</f>
        <v>Monthly</v>
      </c>
      <c r="D22" s="760" t="str">
        <f>+'Bill_Bos G1 nonDem'!D26</f>
        <v>Current Monthly Bill (Summer)</v>
      </c>
      <c r="E22" s="760"/>
      <c r="F22" s="760"/>
      <c r="G22" s="293"/>
      <c r="H22" s="760" t="str">
        <f>+'Bill_Bos G1 nonDem'!H26</f>
        <v>Proposed Monthly Bill (Summer)</v>
      </c>
      <c r="I22" s="760"/>
      <c r="J22" s="760"/>
      <c r="L22" s="760" t="s">
        <v>550</v>
      </c>
      <c r="M22" s="760"/>
    </row>
    <row r="23" spans="1:21" ht="14" x14ac:dyDescent="0.3">
      <c r="A23" s="151">
        <f>IF(C23&lt;&gt;"",COUNTA($C$12:C23),"")</f>
        <v>11</v>
      </c>
      <c r="B23" s="151"/>
      <c r="C23" s="387" t="s">
        <v>551</v>
      </c>
      <c r="D23" s="388" t="s">
        <v>552</v>
      </c>
      <c r="E23" s="388" t="s">
        <v>553</v>
      </c>
      <c r="F23" s="388" t="s">
        <v>47</v>
      </c>
      <c r="G23" s="386"/>
      <c r="H23" s="388" t="s">
        <v>552</v>
      </c>
      <c r="I23" s="388" t="s">
        <v>553</v>
      </c>
      <c r="J23" s="388" t="s">
        <v>47</v>
      </c>
      <c r="K23" s="382"/>
      <c r="L23" s="388" t="s">
        <v>65</v>
      </c>
      <c r="M23" s="387" t="s">
        <v>325</v>
      </c>
    </row>
    <row r="24" spans="1:21" ht="14" x14ac:dyDescent="0.3">
      <c r="A24" s="151">
        <f>IF(C24&lt;&gt;"",COUNTA($C$12:C24),"")</f>
        <v>12</v>
      </c>
      <c r="B24" s="470"/>
      <c r="C24" s="389">
        <f>+C14</f>
        <v>1</v>
      </c>
      <c r="D24" s="380">
        <f>ROUND($H$35+(($H$38+$H$57)*$C24*$F$65)+(($H$39+$H$58)*$C24*$F$66)+SUM($H$40:$H$54,$H$59:$H$61)*$C24,2)</f>
        <v>10.14</v>
      </c>
      <c r="E24" s="380">
        <f t="shared" ref="E24:E30" si="8">ROUND($H$62*$C24,2)</f>
        <v>0.11</v>
      </c>
      <c r="F24" s="380">
        <f t="shared" ref="F24:F29" si="9">SUM(D24:E24)</f>
        <v>10.25</v>
      </c>
      <c r="G24" s="381"/>
      <c r="H24" s="380">
        <f>ROUND($I$35+(($I$38+$I$57)*$C24*$F$65)+(($I$39+$I$58)*$C24*$F$66)+SUM($I$40:$I$54,$I$59:$I$61)*$C24,2)</f>
        <v>10.11</v>
      </c>
      <c r="I24" s="380">
        <f t="shared" ref="I24:I30" si="10">ROUND($I$62*$C24,2)</f>
        <v>0.13</v>
      </c>
      <c r="J24" s="380">
        <f t="shared" ref="J24:J29" si="11">SUM(H24:I24)</f>
        <v>10.24</v>
      </c>
      <c r="K24" s="382"/>
      <c r="L24" s="383">
        <f t="shared" ref="L24:L30" si="12">+J24-F24</f>
        <v>-9.9999999999997868E-3</v>
      </c>
      <c r="M24" s="384">
        <f t="shared" ref="M24:M30" si="13">+L24/F24</f>
        <v>-9.7560975609754016E-4</v>
      </c>
      <c r="O24" s="374"/>
      <c r="P24" s="374"/>
      <c r="Q24" s="374"/>
      <c r="R24" s="374"/>
      <c r="S24" s="374"/>
      <c r="T24" s="374"/>
      <c r="U24" s="374"/>
    </row>
    <row r="25" spans="1:21" ht="14" x14ac:dyDescent="0.3">
      <c r="A25" s="151">
        <f>IF(C25&lt;&gt;"",COUNTA($C$12:C25),"")</f>
        <v>13</v>
      </c>
      <c r="B25" s="470"/>
      <c r="C25" s="389">
        <f t="shared" ref="C25:C28" si="14">+C15</f>
        <v>75</v>
      </c>
      <c r="D25" s="380">
        <f t="shared" ref="D25:D30" si="15">ROUND($H$35+(($H$38+$H$57)*$C25*$F$65)+(($H$39+$H$58)*$C25*$F$66)+SUM($H$40:$H$54,$H$59:$H$61)*$C25,2)</f>
        <v>20.22</v>
      </c>
      <c r="E25" s="380">
        <f t="shared" si="8"/>
        <v>8.5500000000000007</v>
      </c>
      <c r="F25" s="380">
        <f t="shared" si="9"/>
        <v>28.77</v>
      </c>
      <c r="G25" s="381"/>
      <c r="H25" s="380">
        <f t="shared" ref="H25:H30" si="16">ROUND($I$35+(($I$38+$I$57)*$C25*$F$65)+(($I$39+$I$58)*$C25*$F$66)+SUM($I$40:$I$54,$I$59:$I$61)*$C25,2)</f>
        <v>18.559999999999999</v>
      </c>
      <c r="I25" s="380">
        <f t="shared" si="10"/>
        <v>9.89</v>
      </c>
      <c r="J25" s="380">
        <f t="shared" si="11"/>
        <v>28.45</v>
      </c>
      <c r="K25" s="382"/>
      <c r="L25" s="383">
        <f t="shared" si="12"/>
        <v>-0.32000000000000028</v>
      </c>
      <c r="M25" s="384">
        <f t="shared" si="13"/>
        <v>-1.1122697254084126E-2</v>
      </c>
      <c r="O25" s="374"/>
      <c r="P25" s="374"/>
      <c r="Q25" s="374"/>
      <c r="R25" s="374"/>
      <c r="S25" s="374"/>
      <c r="T25" s="374"/>
      <c r="U25" s="374"/>
    </row>
    <row r="26" spans="1:21" ht="14" x14ac:dyDescent="0.3">
      <c r="A26" s="151">
        <f>IF(C26&lt;&gt;"",COUNTA($C$12:C26),"")</f>
        <v>14</v>
      </c>
      <c r="B26" s="470"/>
      <c r="C26" s="389">
        <f t="shared" si="14"/>
        <v>100</v>
      </c>
      <c r="D26" s="380">
        <f t="shared" si="15"/>
        <v>23.62</v>
      </c>
      <c r="E26" s="380">
        <f t="shared" si="8"/>
        <v>11.4</v>
      </c>
      <c r="F26" s="380">
        <f t="shared" si="9"/>
        <v>35.020000000000003</v>
      </c>
      <c r="G26" s="381"/>
      <c r="H26" s="380">
        <f t="shared" si="16"/>
        <v>21.41</v>
      </c>
      <c r="I26" s="380">
        <f t="shared" si="10"/>
        <v>13.19</v>
      </c>
      <c r="J26" s="380">
        <f t="shared" si="11"/>
        <v>34.6</v>
      </c>
      <c r="K26" s="382"/>
      <c r="L26" s="383">
        <f t="shared" si="12"/>
        <v>-0.42000000000000171</v>
      </c>
      <c r="M26" s="384">
        <f t="shared" si="13"/>
        <v>-1.1993146773272463E-2</v>
      </c>
      <c r="O26" s="374"/>
      <c r="P26" s="374"/>
      <c r="Q26" s="374"/>
      <c r="R26" s="374"/>
      <c r="S26" s="374"/>
      <c r="T26" s="374"/>
      <c r="U26" s="374"/>
    </row>
    <row r="27" spans="1:21" ht="14" x14ac:dyDescent="0.3">
      <c r="A27" s="151">
        <f>IF(C27&lt;&gt;"",COUNTA($C$12:C27),"")</f>
        <v>15</v>
      </c>
      <c r="B27" s="470"/>
      <c r="C27" s="389">
        <f t="shared" si="14"/>
        <v>200</v>
      </c>
      <c r="D27" s="380">
        <f t="shared" si="15"/>
        <v>37.25</v>
      </c>
      <c r="E27" s="380">
        <f t="shared" si="8"/>
        <v>22.81</v>
      </c>
      <c r="F27" s="380">
        <f t="shared" si="9"/>
        <v>60.06</v>
      </c>
      <c r="G27" s="381"/>
      <c r="H27" s="380">
        <f t="shared" si="16"/>
        <v>32.83</v>
      </c>
      <c r="I27" s="380">
        <f t="shared" si="10"/>
        <v>26.37</v>
      </c>
      <c r="J27" s="380">
        <f t="shared" si="11"/>
        <v>59.2</v>
      </c>
      <c r="K27" s="382"/>
      <c r="L27" s="383">
        <f t="shared" si="12"/>
        <v>-0.85999999999999943</v>
      </c>
      <c r="M27" s="384">
        <f t="shared" si="13"/>
        <v>-1.4319014319014309E-2</v>
      </c>
      <c r="O27" s="374"/>
      <c r="P27" s="374"/>
      <c r="Q27" s="374"/>
      <c r="R27" s="374"/>
      <c r="S27" s="374"/>
      <c r="T27" s="374"/>
      <c r="U27" s="374"/>
    </row>
    <row r="28" spans="1:21" ht="14" x14ac:dyDescent="0.3">
      <c r="A28" s="151">
        <f>IF(C28&lt;&gt;"",COUNTA($C$12:C28),"")</f>
        <v>16</v>
      </c>
      <c r="B28" s="470"/>
      <c r="C28" s="389">
        <f t="shared" si="14"/>
        <v>500</v>
      </c>
      <c r="D28" s="380">
        <f t="shared" si="15"/>
        <v>78.11</v>
      </c>
      <c r="E28" s="380">
        <f t="shared" si="8"/>
        <v>57.02</v>
      </c>
      <c r="F28" s="380">
        <f t="shared" si="9"/>
        <v>135.13</v>
      </c>
      <c r="G28" s="381"/>
      <c r="H28" s="380">
        <f t="shared" si="16"/>
        <v>67.069999999999993</v>
      </c>
      <c r="I28" s="380">
        <f t="shared" si="10"/>
        <v>65.930000000000007</v>
      </c>
      <c r="J28" s="380">
        <f t="shared" si="11"/>
        <v>133</v>
      </c>
      <c r="K28" s="382"/>
      <c r="L28" s="383">
        <f t="shared" si="12"/>
        <v>-2.1299999999999955</v>
      </c>
      <c r="M28" s="384">
        <f t="shared" si="13"/>
        <v>-1.5762598978761158E-2</v>
      </c>
      <c r="O28" s="374"/>
      <c r="P28" s="374"/>
      <c r="Q28" s="374"/>
      <c r="R28" s="374"/>
      <c r="S28" s="374"/>
      <c r="T28" s="374"/>
      <c r="U28" s="374"/>
    </row>
    <row r="29" spans="1:21" ht="14" x14ac:dyDescent="0.3">
      <c r="A29" s="151">
        <f>IF(C29&lt;&gt;"",COUNTA($C$12:C29),"")</f>
        <v>17</v>
      </c>
      <c r="B29" s="470"/>
      <c r="C29" s="389">
        <f>+C19</f>
        <v>1000</v>
      </c>
      <c r="D29" s="380">
        <f t="shared" si="15"/>
        <v>146.22999999999999</v>
      </c>
      <c r="E29" s="380">
        <f t="shared" si="8"/>
        <v>114.03</v>
      </c>
      <c r="F29" s="380">
        <f t="shared" si="9"/>
        <v>260.26</v>
      </c>
      <c r="G29" s="381"/>
      <c r="H29" s="380">
        <f t="shared" si="16"/>
        <v>124.14</v>
      </c>
      <c r="I29" s="380">
        <f t="shared" si="10"/>
        <v>131.85</v>
      </c>
      <c r="J29" s="380">
        <f t="shared" si="11"/>
        <v>255.99</v>
      </c>
      <c r="K29" s="382"/>
      <c r="L29" s="383">
        <f t="shared" si="12"/>
        <v>-4.2699999999999818</v>
      </c>
      <c r="M29" s="384">
        <f t="shared" si="13"/>
        <v>-1.6406670252824031E-2</v>
      </c>
      <c r="O29" s="374"/>
      <c r="P29" s="374"/>
      <c r="Q29" s="374"/>
      <c r="R29" s="374"/>
      <c r="S29" s="374"/>
      <c r="T29" s="374"/>
      <c r="U29" s="374"/>
    </row>
    <row r="30" spans="1:21" ht="14" x14ac:dyDescent="0.3">
      <c r="A30" s="151">
        <f>IF(C30&lt;&gt;"",COUNTA($C$12:C30),"")</f>
        <v>18</v>
      </c>
      <c r="B30" s="470" t="s">
        <v>554</v>
      </c>
      <c r="C30" s="389">
        <v>287</v>
      </c>
      <c r="D30" s="380">
        <f t="shared" si="15"/>
        <v>49.1</v>
      </c>
      <c r="E30" s="380">
        <f t="shared" si="8"/>
        <v>32.729999999999997</v>
      </c>
      <c r="F30" s="380">
        <f t="shared" ref="F30" si="17">SUM(D30:E30)</f>
        <v>81.83</v>
      </c>
      <c r="G30" s="381"/>
      <c r="H30" s="380">
        <f t="shared" si="16"/>
        <v>42.76</v>
      </c>
      <c r="I30" s="380">
        <f t="shared" si="10"/>
        <v>37.840000000000003</v>
      </c>
      <c r="J30" s="380">
        <f t="shared" ref="J30" si="18">SUM(H30:I30)</f>
        <v>80.599999999999994</v>
      </c>
      <c r="K30" s="382"/>
      <c r="L30" s="383">
        <f t="shared" si="12"/>
        <v>-1.230000000000004</v>
      </c>
      <c r="M30" s="384">
        <f t="shared" si="13"/>
        <v>-1.5031162165465038E-2</v>
      </c>
      <c r="O30" s="374"/>
      <c r="P30" s="374"/>
      <c r="Q30" s="374"/>
      <c r="R30" s="374"/>
      <c r="S30" s="374"/>
      <c r="T30" s="374"/>
      <c r="U30" s="374"/>
    </row>
    <row r="31" spans="1:21" ht="14" x14ac:dyDescent="0.3">
      <c r="A31" s="151" t="str">
        <f>IF(C31&lt;&gt;"",COUNTA($C$12:C31),"")</f>
        <v/>
      </c>
      <c r="B31" s="151"/>
      <c r="C31" s="449"/>
      <c r="D31" s="372"/>
      <c r="E31" s="372"/>
      <c r="F31" s="450"/>
      <c r="G31" s="451"/>
    </row>
    <row r="32" spans="1:21" ht="14" x14ac:dyDescent="0.3">
      <c r="A32" s="151" t="str">
        <f>IF(C32&lt;&gt;"",COUNTA($C$12:C32),"")</f>
        <v/>
      </c>
      <c r="B32" s="151"/>
      <c r="C32" s="293"/>
      <c r="D32" s="293"/>
      <c r="E32" s="293"/>
      <c r="F32" s="393"/>
      <c r="G32" s="394"/>
    </row>
    <row r="33" spans="1:18" ht="14" x14ac:dyDescent="0.3">
      <c r="A33" s="151">
        <f>IF(C33&lt;&gt;"",COUNTA($C$12:C33),"")</f>
        <v>19</v>
      </c>
      <c r="B33" s="151"/>
      <c r="C33" s="394" t="s">
        <v>46</v>
      </c>
      <c r="D33" s="394"/>
      <c r="E33" s="447"/>
      <c r="G33" s="293"/>
      <c r="H33" s="395" t="str">
        <f>+'Bill_Bos G3 p1'!G39</f>
        <v>Current</v>
      </c>
      <c r="I33" s="395" t="str">
        <f>+'Bill_Bos G3 p1'!I39</f>
        <v>Proposed</v>
      </c>
    </row>
    <row r="34" spans="1:18" ht="17" x14ac:dyDescent="0.6">
      <c r="A34" s="151">
        <f>IF(C34&lt;&gt;"",COUNTA($C$12:C34),"")</f>
        <v>20</v>
      </c>
      <c r="B34" s="151"/>
      <c r="C34" s="456" t="s">
        <v>46</v>
      </c>
      <c r="D34" s="394"/>
      <c r="E34" s="447"/>
      <c r="G34" s="293"/>
      <c r="H34" s="396" t="str">
        <f>+'Bill_Bos G3 p1'!G40</f>
        <v>Rates</v>
      </c>
      <c r="I34" s="396" t="str">
        <f>+'Bill_Bos G3 p1'!I40</f>
        <v>Rates</v>
      </c>
      <c r="J34" s="396" t="str">
        <f>+'Bill_Bos G3 p1'!J40</f>
        <v>Change</v>
      </c>
      <c r="O34" s="232"/>
      <c r="P34" s="233"/>
      <c r="Q34" s="422"/>
      <c r="R34" s="422"/>
    </row>
    <row r="35" spans="1:18" ht="14" x14ac:dyDescent="0.3">
      <c r="A35" s="151">
        <f>IF(C35&lt;&gt;"",COUNTA($C$12:C35),"")</f>
        <v>21</v>
      </c>
      <c r="B35" s="151"/>
      <c r="C35" s="394" t="s">
        <v>296</v>
      </c>
      <c r="D35" s="456"/>
      <c r="E35" s="447"/>
      <c r="G35" s="398" t="s">
        <v>46</v>
      </c>
      <c r="H35" s="471">
        <v>10</v>
      </c>
      <c r="I35" s="471">
        <f>+H35</f>
        <v>10</v>
      </c>
      <c r="J35" s="351">
        <f>I35-H35</f>
        <v>0</v>
      </c>
      <c r="O35" s="232"/>
      <c r="P35" s="233"/>
      <c r="Q35" s="424"/>
      <c r="R35" s="424"/>
    </row>
    <row r="36" spans="1:18" ht="14" x14ac:dyDescent="0.3">
      <c r="A36" s="151">
        <f>IF(C36&lt;&gt;"",COUNTA($C$12:C36),"")</f>
        <v>22</v>
      </c>
      <c r="B36" s="151"/>
      <c r="C36" s="394" t="s">
        <v>389</v>
      </c>
      <c r="D36" s="456"/>
      <c r="E36" s="447"/>
      <c r="G36" s="398"/>
      <c r="H36" s="472">
        <v>6.9199999999999998E-2</v>
      </c>
      <c r="I36" s="473">
        <v>7.2690000000000005E-2</v>
      </c>
      <c r="J36" s="354">
        <f t="shared" ref="J36:J62" si="19">I36-H36</f>
        <v>3.490000000000007E-3</v>
      </c>
      <c r="O36" s="232"/>
      <c r="P36" s="233"/>
      <c r="Q36" s="424"/>
      <c r="R36" s="424"/>
    </row>
    <row r="37" spans="1:18" ht="14" x14ac:dyDescent="0.3">
      <c r="A37" s="151">
        <f>IF(C37&lt;&gt;"",COUNTA($C$12:C37),"")</f>
        <v>23</v>
      </c>
      <c r="B37" s="151"/>
      <c r="C37" s="394" t="s">
        <v>390</v>
      </c>
      <c r="D37" s="456"/>
      <c r="E37" s="447"/>
      <c r="G37" s="398"/>
      <c r="H37" s="472">
        <v>1.7639999999999999E-2</v>
      </c>
      <c r="I37" s="473">
        <v>1.8530000000000001E-2</v>
      </c>
      <c r="J37" s="354">
        <f t="shared" si="19"/>
        <v>8.900000000000019E-4</v>
      </c>
      <c r="O37" s="232"/>
      <c r="P37" s="233"/>
      <c r="Q37" s="424"/>
      <c r="R37" s="424"/>
    </row>
    <row r="38" spans="1:18" ht="14" x14ac:dyDescent="0.3">
      <c r="A38" s="151">
        <f>IF(C38&lt;&gt;"",COUNTA($C$12:C38),"")</f>
        <v>24</v>
      </c>
      <c r="B38" s="151"/>
      <c r="C38" s="394" t="s">
        <v>391</v>
      </c>
      <c r="D38" s="456"/>
      <c r="E38" s="447"/>
      <c r="G38" s="398"/>
      <c r="H38" s="472">
        <v>0.14760999999999999</v>
      </c>
      <c r="I38" s="473">
        <v>0.15506</v>
      </c>
      <c r="J38" s="354">
        <f t="shared" si="19"/>
        <v>7.4500000000000122E-3</v>
      </c>
      <c r="O38" s="232"/>
      <c r="P38" s="233"/>
      <c r="Q38" s="424"/>
      <c r="R38" s="424"/>
    </row>
    <row r="39" spans="1:18" ht="14" x14ac:dyDescent="0.3">
      <c r="A39" s="151">
        <f>IF(C39&lt;&gt;"",COUNTA($C$12:C39),"")</f>
        <v>25</v>
      </c>
      <c r="B39" s="151"/>
      <c r="C39" s="394" t="s">
        <v>392</v>
      </c>
      <c r="D39" s="456"/>
      <c r="E39" s="447"/>
      <c r="G39" s="398"/>
      <c r="H39" s="472">
        <v>1.9460000000000002E-2</v>
      </c>
      <c r="I39" s="473">
        <v>2.044E-2</v>
      </c>
      <c r="J39" s="354">
        <f t="shared" si="19"/>
        <v>9.7999999999999823E-4</v>
      </c>
      <c r="O39" s="232"/>
      <c r="P39" s="233"/>
      <c r="Q39" s="422"/>
      <c r="R39" s="423"/>
    </row>
    <row r="40" spans="1:18" ht="14" x14ac:dyDescent="0.3">
      <c r="A40" s="151">
        <f>IF(C40&lt;&gt;"",COUNTA($C$12:C40),"")</f>
        <v>26</v>
      </c>
      <c r="B40" s="151"/>
      <c r="C40" s="394" t="str">
        <f>+'Bill_Bos G3 p1'!C46</f>
        <v>Revenue Decoupling</v>
      </c>
      <c r="D40" s="456"/>
      <c r="E40" s="447"/>
      <c r="G40" s="398"/>
      <c r="H40" s="277">
        <v>0</v>
      </c>
      <c r="I40" s="277">
        <v>-6.6E-4</v>
      </c>
      <c r="J40" s="354">
        <f t="shared" si="19"/>
        <v>-6.6E-4</v>
      </c>
      <c r="O40" s="232"/>
      <c r="P40" s="233"/>
      <c r="Q40" s="426"/>
      <c r="R40" s="426"/>
    </row>
    <row r="41" spans="1:18" ht="14" x14ac:dyDescent="0.3">
      <c r="A41" s="151">
        <f>IF(C41&lt;&gt;"",COUNTA($C$12:C41),"")</f>
        <v>27</v>
      </c>
      <c r="B41" s="151"/>
      <c r="C41" s="394" t="str">
        <f>+'Bill_Bos G3 p1'!C47</f>
        <v>Residential Assistance Adjustment Factor</v>
      </c>
      <c r="D41" s="456"/>
      <c r="E41" s="447"/>
      <c r="G41" s="398"/>
      <c r="H41" s="277">
        <v>4.0699999999999998E-3</v>
      </c>
      <c r="I41" s="277">
        <v>5.5599999999999998E-3</v>
      </c>
      <c r="J41" s="354">
        <f t="shared" si="19"/>
        <v>1.49E-3</v>
      </c>
      <c r="O41" s="232"/>
      <c r="P41" s="233"/>
      <c r="Q41" s="426"/>
      <c r="R41" s="426"/>
    </row>
    <row r="42" spans="1:18" ht="14" x14ac:dyDescent="0.3">
      <c r="A42" s="151">
        <f>IF(C42&lt;&gt;"",COUNTA($C$12:C42),"")</f>
        <v>28</v>
      </c>
      <c r="B42" s="151"/>
      <c r="C42" s="394" t="str">
        <f>+'Bill_Bos G3 p1'!C48</f>
        <v>Pension Adjustment Factor</v>
      </c>
      <c r="D42" s="456"/>
      <c r="E42" s="447"/>
      <c r="G42" s="293"/>
      <c r="H42" s="277">
        <v>-1.1E-4</v>
      </c>
      <c r="I42" s="277">
        <v>9.7000000000000005E-4</v>
      </c>
      <c r="J42" s="354">
        <f t="shared" si="19"/>
        <v>1.08E-3</v>
      </c>
      <c r="O42" s="232"/>
      <c r="P42" s="233"/>
      <c r="Q42" s="426"/>
      <c r="R42" s="426"/>
    </row>
    <row r="43" spans="1:18" ht="14" x14ac:dyDescent="0.3">
      <c r="A43" s="151">
        <f>IF(C43&lt;&gt;"",COUNTA($C$12:C43),"")</f>
        <v>29</v>
      </c>
      <c r="B43" s="151"/>
      <c r="C43" s="394" t="str">
        <f>+'Bill_Bos G3 p1'!C49</f>
        <v>Net Metering Recovery Surcharge</v>
      </c>
      <c r="D43" s="456"/>
      <c r="E43" s="447"/>
      <c r="G43" s="293"/>
      <c r="H43" s="277">
        <v>8.0300000000000007E-3</v>
      </c>
      <c r="I43" s="277">
        <v>7.2500000000000004E-3</v>
      </c>
      <c r="J43" s="354">
        <f t="shared" si="19"/>
        <v>-7.8000000000000031E-4</v>
      </c>
      <c r="O43" s="232"/>
      <c r="P43" s="233"/>
      <c r="Q43" s="426"/>
      <c r="R43" s="426"/>
    </row>
    <row r="44" spans="1:18" ht="14" x14ac:dyDescent="0.3">
      <c r="A44" s="151">
        <f>IF(C44&lt;&gt;"",COUNTA($C$12:C44),"")</f>
        <v>30</v>
      </c>
      <c r="B44" s="151"/>
      <c r="C44" s="394" t="str">
        <f>+'Bill_Bos G3 p1'!C50</f>
        <v>Long Term Renewable Contract Adjustment</v>
      </c>
      <c r="D44" s="456"/>
      <c r="E44" s="447"/>
      <c r="G44" s="293"/>
      <c r="H44" s="277">
        <v>2.3600000000000001E-3</v>
      </c>
      <c r="I44" s="277">
        <v>1.74E-3</v>
      </c>
      <c r="J44" s="354">
        <f t="shared" si="19"/>
        <v>-6.2000000000000011E-4</v>
      </c>
      <c r="O44" s="232"/>
      <c r="P44" s="233"/>
      <c r="Q44" s="426"/>
      <c r="R44" s="426"/>
    </row>
    <row r="45" spans="1:18" ht="14" x14ac:dyDescent="0.3">
      <c r="A45" s="151">
        <f>IF(C45&lt;&gt;"",COUNTA($C$12:C45),"")</f>
        <v>31</v>
      </c>
      <c r="B45" s="151"/>
      <c r="C45" s="394" t="str">
        <f>+'Bill_Bos G3 p1'!C51</f>
        <v>AG Consulting Expense</v>
      </c>
      <c r="D45" s="456"/>
      <c r="E45" s="447"/>
      <c r="G45" s="293"/>
      <c r="H45" s="277">
        <v>4.0000000000000003E-5</v>
      </c>
      <c r="I45" s="277">
        <v>1.0000000000000001E-5</v>
      </c>
      <c r="J45" s="354">
        <f t="shared" si="19"/>
        <v>-3.0000000000000004E-5</v>
      </c>
      <c r="O45" s="232"/>
      <c r="P45" s="233"/>
      <c r="Q45" s="426"/>
      <c r="R45" s="426"/>
    </row>
    <row r="46" spans="1:18" ht="14" x14ac:dyDescent="0.3">
      <c r="A46" s="151">
        <f>IF(C46&lt;&gt;"",COUNTA($C$12:C46),"")</f>
        <v>32</v>
      </c>
      <c r="B46" s="151"/>
      <c r="C46" s="394" t="str">
        <f>+'Bill_Bos G3 p1'!C52</f>
        <v>Storm Cost Recovery Adjustment Factor</v>
      </c>
      <c r="D46" s="456"/>
      <c r="E46" s="447"/>
      <c r="G46" s="293"/>
      <c r="H46" s="277">
        <v>2.5100000000000001E-3</v>
      </c>
      <c r="I46" s="277">
        <v>4.2100000000000002E-3</v>
      </c>
      <c r="J46" s="354">
        <f t="shared" si="19"/>
        <v>1.7000000000000001E-3</v>
      </c>
      <c r="O46" s="232"/>
      <c r="P46" s="233"/>
      <c r="Q46" s="426"/>
      <c r="R46" s="426"/>
    </row>
    <row r="47" spans="1:18" ht="14" x14ac:dyDescent="0.3">
      <c r="A47" s="151">
        <f>IF(C47&lt;&gt;"",COUNTA($C$12:C47),"")</f>
        <v>33</v>
      </c>
      <c r="B47" s="151"/>
      <c r="C47" s="394" t="str">
        <f>+'Bill_Bos G3 p1'!C53</f>
        <v>Storm Reserve Adjustment</v>
      </c>
      <c r="D47" s="456"/>
      <c r="E47" s="447"/>
      <c r="G47" s="293"/>
      <c r="H47" s="277">
        <v>0</v>
      </c>
      <c r="I47" s="277">
        <v>0</v>
      </c>
      <c r="J47" s="354">
        <f t="shared" si="19"/>
        <v>0</v>
      </c>
      <c r="O47" s="232"/>
      <c r="P47" s="233"/>
      <c r="Q47" s="426"/>
      <c r="R47" s="426"/>
    </row>
    <row r="48" spans="1:18" ht="14" x14ac:dyDescent="0.3">
      <c r="A48" s="151">
        <f>IF(C48&lt;&gt;"",COUNTA($C$12:C48),"")</f>
        <v>34</v>
      </c>
      <c r="B48" s="151"/>
      <c r="C48" s="394" t="str">
        <f>+'Bill_Bos G3 p1'!C54</f>
        <v>Basic Service Cost True Up Factor</v>
      </c>
      <c r="D48" s="447"/>
      <c r="E48" s="447"/>
      <c r="G48" s="293"/>
      <c r="H48" s="277">
        <v>2.1700000000000001E-3</v>
      </c>
      <c r="I48" s="277">
        <v>-2.7999999999999998E-4</v>
      </c>
      <c r="J48" s="354">
        <f t="shared" si="19"/>
        <v>-2.4499999999999999E-3</v>
      </c>
      <c r="O48" s="232"/>
      <c r="P48" s="233"/>
      <c r="Q48" s="426"/>
      <c r="R48" s="426"/>
    </row>
    <row r="49" spans="1:18" ht="14" x14ac:dyDescent="0.3">
      <c r="A49" s="151">
        <f>IF(C49&lt;&gt;"",COUNTA($C$12:C49),"")</f>
        <v>35</v>
      </c>
      <c r="B49" s="151"/>
      <c r="C49" s="394" t="str">
        <f>+'Bill_Bos G3 p1'!C55</f>
        <v>Solar Program Cost Adjustment Factor</v>
      </c>
      <c r="D49" s="456"/>
      <c r="E49" s="447"/>
      <c r="F49" s="369"/>
      <c r="G49" s="293"/>
      <c r="H49" s="277">
        <v>0</v>
      </c>
      <c r="I49" s="277">
        <v>5.0000000000000002E-5</v>
      </c>
      <c r="J49" s="354">
        <f t="shared" si="19"/>
        <v>5.0000000000000002E-5</v>
      </c>
      <c r="O49" s="232"/>
      <c r="P49" s="233"/>
      <c r="Q49" s="426"/>
      <c r="R49" s="426"/>
    </row>
    <row r="50" spans="1:18" ht="14" x14ac:dyDescent="0.3">
      <c r="A50" s="151">
        <f>IF(C50&lt;&gt;"",COUNTA($C$12:C50),"")</f>
        <v>36</v>
      </c>
      <c r="B50" s="151"/>
      <c r="C50" s="394" t="str">
        <f>+'Bill_Bos G3 p1'!C56</f>
        <v>Solar Expansion Cost Recovery Factor</v>
      </c>
      <c r="D50" s="456"/>
      <c r="E50" s="447"/>
      <c r="F50" s="369"/>
      <c r="G50" s="293"/>
      <c r="H50" s="277">
        <v>0</v>
      </c>
      <c r="I50" s="277">
        <v>8.7000000000000001E-4</v>
      </c>
      <c r="J50" s="354">
        <f t="shared" si="19"/>
        <v>8.7000000000000001E-4</v>
      </c>
      <c r="O50" s="232"/>
      <c r="P50" s="233"/>
      <c r="Q50" s="426"/>
      <c r="R50" s="426"/>
    </row>
    <row r="51" spans="1:18" ht="14" x14ac:dyDescent="0.3">
      <c r="A51" s="151">
        <f>IF(C51&lt;&gt;"",COUNTA($C$12:C51),"")</f>
        <v>37</v>
      </c>
      <c r="B51" s="151"/>
      <c r="C51" s="394" t="str">
        <f>+'Bill_Bos G3 p1'!C57</f>
        <v>Vegetation Management</v>
      </c>
      <c r="D51" s="456"/>
      <c r="E51" s="447"/>
      <c r="F51" s="369"/>
      <c r="G51" s="293"/>
      <c r="H51" s="277">
        <v>0</v>
      </c>
      <c r="I51" s="277">
        <v>1.73E-3</v>
      </c>
      <c r="J51" s="354">
        <f t="shared" si="19"/>
        <v>1.73E-3</v>
      </c>
      <c r="O51" s="232"/>
      <c r="P51" s="233"/>
      <c r="Q51" s="426"/>
      <c r="R51" s="426"/>
    </row>
    <row r="52" spans="1:18" ht="14" x14ac:dyDescent="0.3">
      <c r="A52" s="151">
        <f>IF(C52&lt;&gt;"",COUNTA($C$12:C52),"")</f>
        <v>38</v>
      </c>
      <c r="B52" s="151"/>
      <c r="C52" s="394" t="str">
        <f>+'Bill_Bos G3 p1'!C58</f>
        <v>Solar Massachusetts Renewable Target</v>
      </c>
      <c r="D52" s="339"/>
      <c r="E52" s="339"/>
      <c r="F52" s="277"/>
      <c r="G52" s="277"/>
      <c r="H52" s="277">
        <v>0</v>
      </c>
      <c r="I52" s="277">
        <v>1.01E-3</v>
      </c>
      <c r="J52" s="354">
        <f t="shared" si="19"/>
        <v>1.01E-3</v>
      </c>
      <c r="K52" s="339"/>
      <c r="L52" s="339"/>
      <c r="O52" s="232"/>
      <c r="P52" s="233"/>
      <c r="Q52" s="426"/>
      <c r="R52" s="426"/>
    </row>
    <row r="53" spans="1:18" ht="14" x14ac:dyDescent="0.3">
      <c r="A53" s="151">
        <f>IF(C53&lt;&gt;"",COUNTA($C$12:C53),"")</f>
        <v>39</v>
      </c>
      <c r="B53" s="151"/>
      <c r="C53" s="394" t="str">
        <f>+'Bill_Bos G3 p1'!C59</f>
        <v>Tax Act Credit Factor</v>
      </c>
      <c r="D53" s="339"/>
      <c r="E53" s="339"/>
      <c r="F53" s="277"/>
      <c r="G53" s="277"/>
      <c r="H53" s="277">
        <v>0</v>
      </c>
      <c r="I53" s="277">
        <v>-1.5399999999999999E-3</v>
      </c>
      <c r="J53" s="354">
        <f t="shared" si="19"/>
        <v>-1.5399999999999999E-3</v>
      </c>
      <c r="K53" s="339"/>
      <c r="L53" s="339"/>
      <c r="O53" s="232"/>
      <c r="P53" s="233"/>
      <c r="Q53" s="426"/>
      <c r="R53" s="426"/>
    </row>
    <row r="54" spans="1:18" ht="14" x14ac:dyDescent="0.3">
      <c r="A54" s="151">
        <f>IF(C54&lt;&gt;"",COUNTA($C$12:C54),"")</f>
        <v>40</v>
      </c>
      <c r="B54" s="151"/>
      <c r="C54" s="394" t="str">
        <f>+'Bill_Bos G3 p1'!C60</f>
        <v>Transition</v>
      </c>
      <c r="D54" s="456"/>
      <c r="E54" s="447"/>
      <c r="F54" s="369"/>
      <c r="G54" s="293"/>
      <c r="H54" s="472">
        <v>-6.0999999999999997E-4</v>
      </c>
      <c r="I54" s="277">
        <v>-5.1999999999999995E-4</v>
      </c>
      <c r="J54" s="354">
        <f t="shared" si="19"/>
        <v>9.0000000000000019E-5</v>
      </c>
      <c r="O54" s="232"/>
      <c r="P54" s="233"/>
      <c r="Q54" s="426"/>
      <c r="R54" s="428"/>
    </row>
    <row r="55" spans="1:18" ht="14" x14ac:dyDescent="0.3">
      <c r="A55" s="151">
        <f>IF(C55&lt;&gt;"",COUNTA($C$12:C55),"")</f>
        <v>41</v>
      </c>
      <c r="B55" s="151"/>
      <c r="C55" s="394" t="s">
        <v>393</v>
      </c>
      <c r="D55" s="456"/>
      <c r="E55" s="447"/>
      <c r="F55" s="369"/>
      <c r="G55" s="293"/>
      <c r="H55" s="472">
        <v>7.8329999999999997E-2</v>
      </c>
      <c r="I55" s="473">
        <v>7.4609999999999996E-2</v>
      </c>
      <c r="J55" s="354">
        <f t="shared" si="19"/>
        <v>-3.7200000000000011E-3</v>
      </c>
      <c r="O55" s="232"/>
      <c r="P55" s="233"/>
      <c r="Q55" s="426"/>
      <c r="R55" s="428"/>
    </row>
    <row r="56" spans="1:18" ht="14" x14ac:dyDescent="0.3">
      <c r="A56" s="151">
        <f>IF(C56&lt;&gt;"",COUNTA($C$12:C56),"")</f>
        <v>42</v>
      </c>
      <c r="B56" s="151"/>
      <c r="C56" s="394" t="s">
        <v>394</v>
      </c>
      <c r="D56" s="456"/>
      <c r="E56" s="447"/>
      <c r="F56" s="369"/>
      <c r="G56" s="293"/>
      <c r="H56" s="472">
        <v>0</v>
      </c>
      <c r="I56" s="473">
        <v>0</v>
      </c>
      <c r="J56" s="354">
        <f t="shared" si="19"/>
        <v>0</v>
      </c>
      <c r="O56" s="232"/>
      <c r="P56" s="233"/>
      <c r="Q56" s="426"/>
      <c r="R56" s="428"/>
    </row>
    <row r="57" spans="1:18" ht="14" x14ac:dyDescent="0.3">
      <c r="A57" s="151">
        <f>IF(C57&lt;&gt;"",COUNTA($C$12:C57),"")</f>
        <v>43</v>
      </c>
      <c r="B57" s="151"/>
      <c r="C57" s="394" t="s">
        <v>395</v>
      </c>
      <c r="D57" s="456"/>
      <c r="E57" s="447"/>
      <c r="F57" s="369"/>
      <c r="G57" s="293"/>
      <c r="H57" s="472">
        <v>0.17133000000000001</v>
      </c>
      <c r="I57" s="473">
        <v>7.8630000000000005E-2</v>
      </c>
      <c r="J57" s="354">
        <f t="shared" si="19"/>
        <v>-9.2700000000000005E-2</v>
      </c>
      <c r="O57" s="232"/>
      <c r="P57" s="233"/>
      <c r="Q57" s="426"/>
      <c r="R57" s="428"/>
    </row>
    <row r="58" spans="1:18" ht="14" x14ac:dyDescent="0.3">
      <c r="A58" s="151">
        <f>IF(C58&lt;&gt;"",COUNTA($C$12:C58),"")</f>
        <v>44</v>
      </c>
      <c r="B58" s="151"/>
      <c r="C58" s="394" t="s">
        <v>396</v>
      </c>
      <c r="D58" s="456"/>
      <c r="E58" s="447"/>
      <c r="F58" s="369"/>
      <c r="G58" s="293"/>
      <c r="H58" s="472">
        <v>0</v>
      </c>
      <c r="I58" s="473">
        <v>0</v>
      </c>
      <c r="J58" s="354">
        <f t="shared" si="19"/>
        <v>0</v>
      </c>
      <c r="O58" s="232"/>
      <c r="P58" s="233"/>
      <c r="Q58" s="426"/>
      <c r="R58" s="428"/>
    </row>
    <row r="59" spans="1:18" ht="14" x14ac:dyDescent="0.3">
      <c r="A59" s="151">
        <f>IF(C59&lt;&gt;"",COUNTA($C$12:C59),"")</f>
        <v>45</v>
      </c>
      <c r="B59" s="151"/>
      <c r="C59" s="293" t="str">
        <f>'Bill_Bos G3 p1'!C61</f>
        <v>Energy Efficiency Reconciliation Factor</v>
      </c>
      <c r="D59" s="274"/>
      <c r="F59" s="369"/>
      <c r="G59" s="293"/>
      <c r="H59" s="308">
        <v>8.4600000000000005E-3</v>
      </c>
      <c r="I59" s="308">
        <v>8.4600000000000005E-3</v>
      </c>
      <c r="J59" s="354">
        <f t="shared" si="19"/>
        <v>0</v>
      </c>
      <c r="O59" s="232"/>
      <c r="P59" s="233"/>
      <c r="Q59" s="426"/>
      <c r="R59" s="426"/>
    </row>
    <row r="60" spans="1:18" ht="14" x14ac:dyDescent="0.3">
      <c r="A60" s="151">
        <f>IF(C60&lt;&gt;"",COUNTA($C$12:C60),"")</f>
        <v>46</v>
      </c>
      <c r="B60" s="151"/>
      <c r="C60" s="293" t="str">
        <f>'Bill_Bos G3 p1'!C62</f>
        <v>System Benefits Charge</v>
      </c>
      <c r="D60" s="274"/>
      <c r="F60" s="369"/>
      <c r="G60" s="293"/>
      <c r="H60" s="308">
        <v>2.5000000000000001E-3</v>
      </c>
      <c r="I60" s="308">
        <f>+H60</f>
        <v>2.5000000000000001E-3</v>
      </c>
      <c r="J60" s="354">
        <f t="shared" si="19"/>
        <v>0</v>
      </c>
      <c r="O60" s="232"/>
      <c r="P60" s="233"/>
      <c r="Q60" s="426"/>
      <c r="R60" s="426"/>
    </row>
    <row r="61" spans="1:18" ht="14" x14ac:dyDescent="0.3">
      <c r="A61" s="151">
        <f>IF(C61&lt;&gt;"",COUNTA($C$12:C61),"")</f>
        <v>47</v>
      </c>
      <c r="B61" s="151"/>
      <c r="C61" s="293" t="str">
        <f>'Bill_Bos G3 p1'!C63</f>
        <v>Renewable Energy Charge</v>
      </c>
      <c r="D61" s="274"/>
      <c r="F61" s="369"/>
      <c r="G61" s="293"/>
      <c r="H61" s="308">
        <v>5.0000000000000001E-4</v>
      </c>
      <c r="I61" s="308">
        <f>+H61</f>
        <v>5.0000000000000001E-4</v>
      </c>
      <c r="J61" s="354">
        <f t="shared" si="19"/>
        <v>0</v>
      </c>
      <c r="O61" s="232"/>
      <c r="P61" s="233"/>
      <c r="Q61" s="426"/>
      <c r="R61" s="426"/>
    </row>
    <row r="62" spans="1:18" ht="14" x14ac:dyDescent="0.3">
      <c r="A62" s="151">
        <f>IF(C62&lt;&gt;"",COUNTA($C$12:C62),"")</f>
        <v>48</v>
      </c>
      <c r="B62" s="151"/>
      <c r="C62" s="293" t="str">
        <f>'Bill_Bos G3 p1'!C64</f>
        <v>Basic Service Charge</v>
      </c>
      <c r="D62" s="274"/>
      <c r="F62" s="369"/>
      <c r="G62" s="293"/>
      <c r="H62" s="308">
        <v>0.11403000000000001</v>
      </c>
      <c r="I62" s="308">
        <v>0.13185000000000002</v>
      </c>
      <c r="J62" s="354">
        <f t="shared" si="19"/>
        <v>1.7820000000000016E-2</v>
      </c>
      <c r="O62" s="232"/>
      <c r="P62" s="233"/>
      <c r="Q62" s="426"/>
      <c r="R62" s="426"/>
    </row>
    <row r="63" spans="1:18" ht="14" x14ac:dyDescent="0.3">
      <c r="A63" s="151" t="str">
        <f>IF(C63&lt;&gt;"",COUNTA($C$12:C63),"")</f>
        <v/>
      </c>
      <c r="B63" s="151"/>
      <c r="F63" s="369"/>
    </row>
    <row r="64" spans="1:18" ht="14" x14ac:dyDescent="0.3">
      <c r="A64" s="151">
        <f>IF(C64&lt;&gt;"",COUNTA($C$12:C64),"")</f>
        <v>49</v>
      </c>
      <c r="B64" s="151"/>
      <c r="C64" s="369" t="s">
        <v>46</v>
      </c>
      <c r="E64" s="474" t="s">
        <v>537</v>
      </c>
      <c r="F64" s="474" t="s">
        <v>538</v>
      </c>
      <c r="J64" s="378"/>
    </row>
    <row r="65" spans="1:10" ht="14" x14ac:dyDescent="0.3">
      <c r="A65" s="151">
        <f>IF(C65&lt;&gt;"",COUNTA($C$12:C65),"")</f>
        <v>50</v>
      </c>
      <c r="B65" s="151"/>
      <c r="C65" s="475" t="s">
        <v>585</v>
      </c>
      <c r="E65" s="476">
        <v>0.35</v>
      </c>
      <c r="F65" s="302">
        <v>0.28999999999999998</v>
      </c>
      <c r="J65" s="477"/>
    </row>
    <row r="66" spans="1:10" ht="14" x14ac:dyDescent="0.3">
      <c r="A66" s="151">
        <f>IF(C66&lt;&gt;"",COUNTA($C$12:C66),"")</f>
        <v>51</v>
      </c>
      <c r="B66" s="151"/>
      <c r="C66" s="475" t="s">
        <v>586</v>
      </c>
      <c r="E66" s="476">
        <v>0.65</v>
      </c>
      <c r="F66" s="302">
        <v>0.71</v>
      </c>
      <c r="J66" s="477"/>
    </row>
    <row r="67" spans="1:10" ht="14" x14ac:dyDescent="0.3">
      <c r="A67" s="151"/>
      <c r="B67" s="151"/>
    </row>
    <row r="69" spans="1:10" ht="14" x14ac:dyDescent="0.3">
      <c r="C69" s="369" t="s">
        <v>537</v>
      </c>
    </row>
    <row r="70" spans="1:10" ht="14" x14ac:dyDescent="0.3">
      <c r="C70" s="369" t="s">
        <v>587</v>
      </c>
      <c r="H70" s="403">
        <f>SUM(H36,H$40:H$54,H55,H$59:H$61)</f>
        <v>0.17745</v>
      </c>
      <c r="I70" s="403">
        <f>SUM(I36,I$40:I$54,I55,I$59:I$61)</f>
        <v>0.17915999999999999</v>
      </c>
      <c r="J70" s="354">
        <f t="shared" ref="J70:J71" si="20">I70-H70</f>
        <v>1.7099999999999893E-3</v>
      </c>
    </row>
    <row r="71" spans="1:10" ht="14" x14ac:dyDescent="0.3">
      <c r="C71" s="369" t="s">
        <v>588</v>
      </c>
      <c r="H71" s="403">
        <f>SUM(H37,H$40:H$54,H56,H$59:H$61)</f>
        <v>4.7560000000000005E-2</v>
      </c>
      <c r="I71" s="403">
        <f>SUM(I37,I$40:I$54,I56,I$59:I$61)</f>
        <v>5.0390000000000004E-2</v>
      </c>
      <c r="J71" s="354">
        <f t="shared" si="20"/>
        <v>2.8299999999999992E-3</v>
      </c>
    </row>
    <row r="72" spans="1:10" ht="14" x14ac:dyDescent="0.3">
      <c r="J72" s="354"/>
    </row>
    <row r="73" spans="1:10" ht="14" x14ac:dyDescent="0.3">
      <c r="C73" s="369" t="s">
        <v>538</v>
      </c>
      <c r="J73" s="354"/>
    </row>
    <row r="74" spans="1:10" ht="14" x14ac:dyDescent="0.3">
      <c r="C74" s="369" t="str">
        <f>C70</f>
        <v>Total Energy - Peak</v>
      </c>
      <c r="H74" s="403">
        <f>SUM(H38,H$40:H$54,H57,H$59:H$61)</f>
        <v>0.34886000000000006</v>
      </c>
      <c r="I74" s="403">
        <f>SUM(I38,I$40:I$54,I57,I$59:I$61)</f>
        <v>0.26555000000000006</v>
      </c>
      <c r="J74" s="354">
        <f t="shared" ref="J74:J75" si="21">I74-H74</f>
        <v>-8.3309999999999995E-2</v>
      </c>
    </row>
    <row r="75" spans="1:10" ht="14" x14ac:dyDescent="0.3">
      <c r="C75" s="369" t="str">
        <f>C71</f>
        <v>Total Energy - Off Peak</v>
      </c>
      <c r="H75" s="403">
        <f>SUM(H39,H$40:H$54,H58,H$59:H$61)</f>
        <v>4.9380000000000007E-2</v>
      </c>
      <c r="I75" s="403">
        <f>SUM(I39,I$40:I$54,I58,I$59:I$61)</f>
        <v>5.2300000000000006E-2</v>
      </c>
      <c r="J75" s="354">
        <f t="shared" si="21"/>
        <v>2.919999999999999E-3</v>
      </c>
    </row>
    <row r="76" spans="1:10" ht="14" x14ac:dyDescent="0.3">
      <c r="J76" s="354"/>
    </row>
    <row r="77" spans="1:10" ht="14" x14ac:dyDescent="0.3">
      <c r="C77" s="369" t="str">
        <f>'Bill_Bos G3 p1'!C70</f>
        <v>Total Basic Service</v>
      </c>
      <c r="H77" s="403">
        <f>H62</f>
        <v>0.11403000000000001</v>
      </c>
      <c r="I77" s="403">
        <f>I62</f>
        <v>0.13185000000000002</v>
      </c>
      <c r="J77" s="354">
        <f t="shared" ref="J77" si="22">I77-H77</f>
        <v>1.7820000000000016E-2</v>
      </c>
    </row>
    <row r="78" spans="1:10" ht="14" x14ac:dyDescent="0.3">
      <c r="J78" s="354"/>
    </row>
  </sheetData>
  <mergeCells count="11">
    <mergeCell ref="D22:F22"/>
    <mergeCell ref="H22:J22"/>
    <mergeCell ref="L22:M22"/>
    <mergeCell ref="A4:M4"/>
    <mergeCell ref="A5:M5"/>
    <mergeCell ref="A6:M6"/>
    <mergeCell ref="A8:M8"/>
    <mergeCell ref="A9:M9"/>
    <mergeCell ref="D12:F12"/>
    <mergeCell ref="H12:J12"/>
    <mergeCell ref="L12:M12"/>
  </mergeCells>
  <pageMargins left="0.7" right="0.7" top="0.75" bottom="0.75" header="0.3" footer="0.3"/>
  <pageSetup scale="69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DB7C2-D1DA-4106-B355-5CE3FA3CD3FA}">
  <sheetPr>
    <tabColor theme="3" tint="0.59999389629810485"/>
    <pageSetUpPr fitToPage="1"/>
  </sheetPr>
  <dimension ref="A4:Z80"/>
  <sheetViews>
    <sheetView zoomScaleNormal="100" workbookViewId="0"/>
  </sheetViews>
  <sheetFormatPr defaultRowHeight="12.5" x14ac:dyDescent="0.25"/>
  <cols>
    <col min="1" max="1" width="4" customWidth="1"/>
    <col min="2" max="2" width="4.453125" bestFit="1" customWidth="1"/>
    <col min="3" max="3" width="9.453125" customWidth="1"/>
    <col min="4" max="4" width="10.7265625" customWidth="1"/>
    <col min="5" max="7" width="14.7265625" customWidth="1"/>
    <col min="8" max="8" width="1.7265625" customWidth="1"/>
    <col min="9" max="11" width="14.7265625" customWidth="1"/>
    <col min="12" max="12" width="1.7265625" customWidth="1"/>
    <col min="13" max="13" width="12.54296875" bestFit="1" customWidth="1"/>
    <col min="14" max="14" width="11.7265625" customWidth="1"/>
    <col min="15" max="15" width="10.81640625" bestFit="1" customWidth="1"/>
    <col min="16" max="16" width="13.7265625" bestFit="1" customWidth="1"/>
    <col min="17" max="17" width="12.54296875" bestFit="1" customWidth="1"/>
    <col min="18" max="18" width="13.7265625" bestFit="1" customWidth="1"/>
    <col min="19" max="19" width="13" bestFit="1" customWidth="1"/>
    <col min="20" max="20" width="8.453125" bestFit="1" customWidth="1"/>
    <col min="21" max="21" width="10.81640625" bestFit="1" customWidth="1"/>
    <col min="22" max="22" width="13" bestFit="1" customWidth="1"/>
    <col min="23" max="23" width="12.54296875" bestFit="1" customWidth="1"/>
    <col min="24" max="24" width="13.7265625" bestFit="1" customWidth="1"/>
    <col min="25" max="25" width="13" bestFit="1" customWidth="1"/>
    <col min="26" max="26" width="8.453125" bestFit="1" customWidth="1"/>
  </cols>
  <sheetData>
    <row r="4" spans="1:26" ht="14" x14ac:dyDescent="0.3">
      <c r="A4" s="762" t="str">
        <f>'Bill_Bos T1'!A4:M4</f>
        <v>Eastern Massachusetts</v>
      </c>
      <c r="B4" s="762"/>
      <c r="C4" s="762"/>
      <c r="D4" s="762"/>
      <c r="E4" s="762"/>
      <c r="F4" s="762"/>
      <c r="G4" s="762"/>
      <c r="H4" s="762"/>
      <c r="I4" s="762"/>
      <c r="J4" s="762"/>
      <c r="K4" s="762"/>
      <c r="L4" s="762"/>
      <c r="M4" s="762"/>
      <c r="N4" s="762"/>
    </row>
    <row r="5" spans="1:26" ht="14" x14ac:dyDescent="0.3">
      <c r="A5" s="762" t="str">
        <f>+'Bill_Bos G1 nonDem'!A5</f>
        <v>Calculation of Monthly Typical Bill</v>
      </c>
      <c r="B5" s="762"/>
      <c r="C5" s="762"/>
      <c r="D5" s="762"/>
      <c r="E5" s="762"/>
      <c r="F5" s="762"/>
      <c r="G5" s="762"/>
      <c r="H5" s="762"/>
      <c r="I5" s="762"/>
      <c r="J5" s="762"/>
      <c r="K5" s="762"/>
      <c r="L5" s="762"/>
      <c r="M5" s="762"/>
      <c r="N5" s="762"/>
    </row>
    <row r="6" spans="1:26" ht="14" x14ac:dyDescent="0.3">
      <c r="A6" s="762" t="str">
        <f>+'Bill_Bos G1 nonDem'!A6</f>
        <v>Proposed January 1, 2019</v>
      </c>
      <c r="B6" s="762"/>
      <c r="C6" s="762"/>
      <c r="D6" s="762"/>
      <c r="E6" s="762"/>
      <c r="F6" s="762"/>
      <c r="G6" s="762"/>
      <c r="H6" s="762"/>
      <c r="I6" s="762"/>
      <c r="J6" s="762"/>
      <c r="K6" s="762"/>
      <c r="L6" s="762"/>
      <c r="M6" s="762"/>
      <c r="N6" s="762"/>
    </row>
    <row r="7" spans="1:26" ht="14" x14ac:dyDescent="0.3">
      <c r="A7" s="467"/>
      <c r="B7" s="467"/>
      <c r="C7" s="293"/>
      <c r="D7" s="293"/>
      <c r="E7" s="468"/>
      <c r="F7" s="243"/>
      <c r="G7" s="469"/>
      <c r="H7" s="293"/>
      <c r="I7" s="369"/>
      <c r="J7" s="369"/>
      <c r="K7" s="369"/>
      <c r="L7" s="369"/>
      <c r="M7" s="369"/>
      <c r="N7" s="369"/>
    </row>
    <row r="8" spans="1:26" ht="14" x14ac:dyDescent="0.3">
      <c r="A8" s="762" t="str">
        <f>+'Bill_Bos G1 nonDem'!A8</f>
        <v>Greater Boston Service Area</v>
      </c>
      <c r="B8" s="762"/>
      <c r="C8" s="762"/>
      <c r="D8" s="762"/>
      <c r="E8" s="762"/>
      <c r="F8" s="762"/>
      <c r="G8" s="762"/>
      <c r="H8" s="762"/>
      <c r="I8" s="762"/>
      <c r="J8" s="762"/>
      <c r="K8" s="762"/>
      <c r="L8" s="762"/>
      <c r="M8" s="762"/>
      <c r="N8" s="762"/>
    </row>
    <row r="9" spans="1:26" ht="14" x14ac:dyDescent="0.3">
      <c r="A9" s="762" t="s">
        <v>589</v>
      </c>
      <c r="B9" s="762"/>
      <c r="C9" s="762"/>
      <c r="D9" s="762"/>
      <c r="E9" s="762"/>
      <c r="F9" s="762"/>
      <c r="G9" s="762"/>
      <c r="H9" s="762"/>
      <c r="I9" s="762"/>
      <c r="J9" s="762"/>
      <c r="K9" s="762"/>
      <c r="L9" s="762"/>
      <c r="M9" s="762"/>
      <c r="N9" s="762"/>
    </row>
    <row r="10" spans="1:26" ht="14" x14ac:dyDescent="0.3">
      <c r="A10" s="366"/>
      <c r="B10" s="366"/>
      <c r="D10" s="293"/>
      <c r="E10" s="293"/>
      <c r="F10" s="293"/>
      <c r="G10" s="367"/>
      <c r="H10" s="293"/>
    </row>
    <row r="11" spans="1:26" ht="14" x14ac:dyDescent="0.3">
      <c r="A11" s="366"/>
      <c r="B11" s="366"/>
      <c r="C11" s="293"/>
      <c r="D11" s="293"/>
      <c r="E11" s="293"/>
      <c r="F11" s="293"/>
      <c r="G11" s="368"/>
      <c r="H11" s="293"/>
    </row>
    <row r="12" spans="1:26" ht="14" x14ac:dyDescent="0.3">
      <c r="A12" s="151">
        <f>IF(C12&lt;&gt;"",COUNTA($C12:C$12),"")</f>
        <v>1</v>
      </c>
      <c r="B12" s="151"/>
      <c r="C12" s="405" t="s">
        <v>580</v>
      </c>
      <c r="D12" s="293"/>
      <c r="E12" s="293"/>
      <c r="F12" s="293"/>
      <c r="G12" s="368"/>
      <c r="H12" s="293"/>
    </row>
    <row r="13" spans="1:26" ht="14" x14ac:dyDescent="0.3">
      <c r="A13" s="151">
        <f>IF(C13&lt;&gt;"",COUNTA($C$12:C13),"")</f>
        <v>2</v>
      </c>
      <c r="B13" s="151"/>
      <c r="C13" s="406" t="str">
        <f>+'Bill_Bos G1 nonDem'!C12</f>
        <v>Monthly</v>
      </c>
      <c r="D13" s="366" t="str">
        <f>+C13</f>
        <v>Monthly</v>
      </c>
      <c r="E13" s="407" t="str">
        <f>+'Bill_Bos G1 nonDem'!D12</f>
        <v>Current Monthly Bill (Winter)</v>
      </c>
      <c r="F13" s="440"/>
      <c r="G13" s="407"/>
      <c r="H13" s="293"/>
      <c r="I13" s="407" t="str">
        <f>+'Bill_Bos G1 nonDem'!H12</f>
        <v>Proposed Monthly Bill (Winter)</v>
      </c>
      <c r="J13" s="440"/>
      <c r="K13" s="407"/>
      <c r="M13" s="407" t="s">
        <v>550</v>
      </c>
      <c r="N13" s="440"/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</row>
    <row r="14" spans="1:26" ht="14" x14ac:dyDescent="0.3">
      <c r="A14" s="151">
        <f>IF(C14&lt;&gt;"",COUNTA($C$12:C14),"")</f>
        <v>3</v>
      </c>
      <c r="B14" s="151"/>
      <c r="C14" s="408" t="s">
        <v>534</v>
      </c>
      <c r="D14" s="370" t="s">
        <v>551</v>
      </c>
      <c r="E14" s="370" t="s">
        <v>552</v>
      </c>
      <c r="F14" s="370" t="s">
        <v>553</v>
      </c>
      <c r="G14" s="370" t="s">
        <v>47</v>
      </c>
      <c r="H14" s="293"/>
      <c r="I14" s="370" t="s">
        <v>552</v>
      </c>
      <c r="J14" s="370" t="s">
        <v>553</v>
      </c>
      <c r="K14" s="370" t="s">
        <v>47</v>
      </c>
      <c r="M14" s="370" t="s">
        <v>65</v>
      </c>
      <c r="N14" s="370" t="s">
        <v>325</v>
      </c>
      <c r="O14" s="369"/>
      <c r="P14" s="369"/>
      <c r="Q14" s="369"/>
      <c r="R14" s="369"/>
      <c r="S14" s="369"/>
      <c r="T14" s="369"/>
      <c r="U14" s="369"/>
      <c r="V14" s="369"/>
      <c r="W14" s="369"/>
      <c r="X14" s="369"/>
      <c r="Y14" s="369"/>
      <c r="Z14" s="369"/>
    </row>
    <row r="15" spans="1:26" ht="14" x14ac:dyDescent="0.3">
      <c r="A15" s="151">
        <f>IF(C15&lt;&gt;"",COUNTA($C$12:C15),"")</f>
        <v>4</v>
      </c>
      <c r="B15" s="151"/>
      <c r="C15" s="371">
        <v>50</v>
      </c>
      <c r="D15" s="409">
        <f>+C15*350</f>
        <v>17500</v>
      </c>
      <c r="E15" s="372">
        <f t="shared" ref="E15:E23" si="0">ROUND($C15*SUM($G$44,$G$46)+SUM($G$47:$G$62,$G$63:$G$65)*$D15,2)+ROUND(IF($C15&gt;1000,$G$43,IF($C15&gt;300,$G$42,IF($C15&gt;150,$G$41,$G$40))),2)</f>
        <v>1442.25</v>
      </c>
      <c r="F15" s="372">
        <f t="shared" ref="F15:F23" si="1">ROUND(G$66*D15,2)</f>
        <v>2320.5</v>
      </c>
      <c r="G15" s="372">
        <f t="shared" ref="G15:G23" si="2">SUM(E15:F15)</f>
        <v>3762.75</v>
      </c>
      <c r="H15" s="373"/>
      <c r="I15" s="372">
        <f t="shared" ref="I15:I23" si="3">ROUND($C15*SUM($I$44,$I$46)+SUM($I$47:$I$62,$I$63:$I$65)*$D15,2)+ROUND(IF($C15&gt;1000,$I$43,IF($C15&gt;300,$I$42,IF($C15&gt;150,$I$41,$I$40))),2)</f>
        <v>1410.88</v>
      </c>
      <c r="J15" s="372">
        <f t="shared" ref="J15:J23" si="4">ROUND(I$66*D15,2)</f>
        <v>3021.38</v>
      </c>
      <c r="K15" s="372">
        <f t="shared" ref="K15:K23" si="5">SUM(I15:J15)</f>
        <v>4432.26</v>
      </c>
      <c r="L15" s="374"/>
      <c r="M15" s="375">
        <f t="shared" ref="M15:M23" si="6">+K15-G15</f>
        <v>669.51000000000022</v>
      </c>
      <c r="N15" s="376">
        <f t="shared" ref="N15:N23" si="7">+M15/G15</f>
        <v>0.17793103448275868</v>
      </c>
      <c r="O15" s="377"/>
      <c r="P15" s="322"/>
      <c r="Q15" s="322"/>
      <c r="R15" s="322"/>
      <c r="S15" s="377"/>
      <c r="T15" s="378"/>
      <c r="U15" s="377"/>
      <c r="V15" s="325"/>
      <c r="W15" s="322"/>
      <c r="X15" s="322"/>
      <c r="Y15" s="377"/>
      <c r="Z15" s="374"/>
    </row>
    <row r="16" spans="1:26" ht="14" x14ac:dyDescent="0.3">
      <c r="A16" s="151">
        <f>IF(C16&lt;&gt;"",COUNTA($C$12:C16),"")</f>
        <v>5</v>
      </c>
      <c r="B16" s="151"/>
      <c r="C16" s="371">
        <v>100</v>
      </c>
      <c r="D16" s="409">
        <f t="shared" ref="D16:D23" si="8">+C16*350</f>
        <v>35000</v>
      </c>
      <c r="E16" s="372">
        <f t="shared" si="0"/>
        <v>2857.5</v>
      </c>
      <c r="F16" s="372">
        <f t="shared" si="1"/>
        <v>4641</v>
      </c>
      <c r="G16" s="372">
        <f t="shared" si="2"/>
        <v>7498.5</v>
      </c>
      <c r="H16" s="373"/>
      <c r="I16" s="372">
        <f t="shared" si="3"/>
        <v>2794.75</v>
      </c>
      <c r="J16" s="372">
        <f t="shared" si="4"/>
        <v>6042.75</v>
      </c>
      <c r="K16" s="372">
        <f t="shared" si="5"/>
        <v>8837.5</v>
      </c>
      <c r="L16" s="374"/>
      <c r="M16" s="375">
        <f t="shared" si="6"/>
        <v>1339</v>
      </c>
      <c r="N16" s="376">
        <f t="shared" si="7"/>
        <v>0.17856904714276189</v>
      </c>
      <c r="O16" s="377"/>
      <c r="P16" s="322"/>
      <c r="Q16" s="322"/>
      <c r="R16" s="322"/>
      <c r="S16" s="377"/>
      <c r="T16" s="378"/>
      <c r="U16" s="377"/>
      <c r="V16" s="325"/>
      <c r="W16" s="322"/>
      <c r="X16" s="322"/>
      <c r="Y16" s="377"/>
      <c r="Z16" s="374"/>
    </row>
    <row r="17" spans="1:26" ht="14" x14ac:dyDescent="0.3">
      <c r="A17" s="151">
        <f>IF(C17&lt;&gt;"",COUNTA($C$12:C17),"")</f>
        <v>6</v>
      </c>
      <c r="B17" s="151"/>
      <c r="C17" s="371">
        <v>150</v>
      </c>
      <c r="D17" s="409">
        <f t="shared" si="8"/>
        <v>52500</v>
      </c>
      <c r="E17" s="372">
        <f t="shared" si="0"/>
        <v>4272.75</v>
      </c>
      <c r="F17" s="372">
        <f t="shared" si="1"/>
        <v>6961.5</v>
      </c>
      <c r="G17" s="372">
        <f t="shared" si="2"/>
        <v>11234.25</v>
      </c>
      <c r="H17" s="373"/>
      <c r="I17" s="372">
        <f t="shared" si="3"/>
        <v>4178.63</v>
      </c>
      <c r="J17" s="372">
        <f t="shared" si="4"/>
        <v>9064.1299999999992</v>
      </c>
      <c r="K17" s="372">
        <f t="shared" si="5"/>
        <v>13242.759999999998</v>
      </c>
      <c r="L17" s="374"/>
      <c r="M17" s="375">
        <f t="shared" si="6"/>
        <v>2008.5099999999984</v>
      </c>
      <c r="N17" s="376">
        <f t="shared" si="7"/>
        <v>0.17878452055099348</v>
      </c>
      <c r="O17" s="377"/>
      <c r="P17" s="322"/>
      <c r="Q17" s="322"/>
      <c r="R17" s="322"/>
      <c r="S17" s="377"/>
      <c r="T17" s="378"/>
      <c r="U17" s="377"/>
      <c r="V17" s="325"/>
      <c r="W17" s="322"/>
      <c r="X17" s="322"/>
      <c r="Y17" s="377"/>
      <c r="Z17" s="374"/>
    </row>
    <row r="18" spans="1:26" ht="14" x14ac:dyDescent="0.3">
      <c r="A18" s="151">
        <f>IF(C18&lt;&gt;"",COUNTA($C$12:C18),"")</f>
        <v>7</v>
      </c>
      <c r="B18" s="151"/>
      <c r="C18" s="379">
        <v>200</v>
      </c>
      <c r="D18" s="409">
        <f t="shared" si="8"/>
        <v>70000</v>
      </c>
      <c r="E18" s="372">
        <f t="shared" si="0"/>
        <v>5771</v>
      </c>
      <c r="F18" s="380">
        <f t="shared" si="1"/>
        <v>9282</v>
      </c>
      <c r="G18" s="380">
        <f t="shared" si="2"/>
        <v>15053</v>
      </c>
      <c r="H18" s="381"/>
      <c r="I18" s="372">
        <f t="shared" si="3"/>
        <v>5645.5</v>
      </c>
      <c r="J18" s="380">
        <f t="shared" si="4"/>
        <v>12085.5</v>
      </c>
      <c r="K18" s="380">
        <f t="shared" si="5"/>
        <v>17731</v>
      </c>
      <c r="L18" s="382"/>
      <c r="M18" s="383">
        <f t="shared" si="6"/>
        <v>2678</v>
      </c>
      <c r="N18" s="384">
        <f t="shared" si="7"/>
        <v>0.17790473659735601</v>
      </c>
      <c r="O18" s="377"/>
      <c r="P18" s="322"/>
      <c r="Q18" s="322"/>
      <c r="R18" s="322"/>
      <c r="S18" s="377"/>
      <c r="T18" s="378"/>
      <c r="U18" s="377"/>
      <c r="V18" s="325"/>
      <c r="W18" s="322"/>
      <c r="X18" s="322"/>
      <c r="Y18" s="377"/>
      <c r="Z18" s="374"/>
    </row>
    <row r="19" spans="1:26" ht="14" x14ac:dyDescent="0.3">
      <c r="A19" s="151">
        <f>IF(C19&lt;&gt;"",COUNTA($C$12:C19),"")</f>
        <v>8</v>
      </c>
      <c r="B19" s="151"/>
      <c r="C19" s="379">
        <v>250</v>
      </c>
      <c r="D19" s="409">
        <f t="shared" si="8"/>
        <v>87500</v>
      </c>
      <c r="E19" s="372">
        <f t="shared" si="0"/>
        <v>7186.25</v>
      </c>
      <c r="F19" s="380">
        <f t="shared" si="1"/>
        <v>11602.5</v>
      </c>
      <c r="G19" s="380">
        <f t="shared" si="2"/>
        <v>18788.75</v>
      </c>
      <c r="H19" s="381"/>
      <c r="I19" s="372">
        <f t="shared" si="3"/>
        <v>7029.38</v>
      </c>
      <c r="J19" s="380">
        <f t="shared" si="4"/>
        <v>15106.88</v>
      </c>
      <c r="K19" s="380">
        <f t="shared" si="5"/>
        <v>22136.26</v>
      </c>
      <c r="L19" s="382"/>
      <c r="M19" s="383">
        <f t="shared" si="6"/>
        <v>3347.5099999999984</v>
      </c>
      <c r="N19" s="384">
        <f t="shared" si="7"/>
        <v>0.17816565764087544</v>
      </c>
      <c r="O19" s="377"/>
      <c r="P19" s="322"/>
      <c r="Q19" s="322"/>
      <c r="R19" s="322"/>
      <c r="S19" s="377"/>
      <c r="T19" s="378"/>
      <c r="U19" s="377"/>
      <c r="V19" s="325"/>
      <c r="W19" s="322"/>
      <c r="X19" s="322"/>
      <c r="Y19" s="377"/>
      <c r="Z19" s="374"/>
    </row>
    <row r="20" spans="1:26" ht="14" x14ac:dyDescent="0.3">
      <c r="A20" s="151">
        <f>IF(C20&lt;&gt;"",COUNTA($C$12:C20),"")</f>
        <v>9</v>
      </c>
      <c r="B20" s="151"/>
      <c r="C20" s="379">
        <v>300</v>
      </c>
      <c r="D20" s="409">
        <f t="shared" si="8"/>
        <v>105000</v>
      </c>
      <c r="E20" s="372">
        <f t="shared" si="0"/>
        <v>8601.5</v>
      </c>
      <c r="F20" s="380">
        <f t="shared" si="1"/>
        <v>13923</v>
      </c>
      <c r="G20" s="380">
        <f t="shared" si="2"/>
        <v>22524.5</v>
      </c>
      <c r="H20" s="381"/>
      <c r="I20" s="372">
        <f t="shared" si="3"/>
        <v>8413.25</v>
      </c>
      <c r="J20" s="380">
        <f t="shared" si="4"/>
        <v>18128.25</v>
      </c>
      <c r="K20" s="380">
        <f t="shared" si="5"/>
        <v>26541.5</v>
      </c>
      <c r="L20" s="382"/>
      <c r="M20" s="383">
        <f t="shared" si="6"/>
        <v>4017</v>
      </c>
      <c r="N20" s="384">
        <f t="shared" si="7"/>
        <v>0.1783391418233479</v>
      </c>
      <c r="O20" s="377"/>
      <c r="P20" s="322"/>
      <c r="Q20" s="322"/>
      <c r="R20" s="322"/>
      <c r="S20" s="377"/>
      <c r="T20" s="378"/>
      <c r="U20" s="377"/>
      <c r="V20" s="325"/>
      <c r="W20" s="322"/>
      <c r="X20" s="322"/>
      <c r="Y20" s="377"/>
      <c r="Z20" s="374"/>
    </row>
    <row r="21" spans="1:26" ht="14" x14ac:dyDescent="0.3">
      <c r="A21" s="151">
        <f>IF(C21&lt;&gt;"",COUNTA($C$12:C21),"")</f>
        <v>10</v>
      </c>
      <c r="B21" s="151"/>
      <c r="C21" s="389">
        <v>500</v>
      </c>
      <c r="D21" s="409">
        <f t="shared" si="8"/>
        <v>175000</v>
      </c>
      <c r="E21" s="372">
        <f t="shared" si="0"/>
        <v>14312.5</v>
      </c>
      <c r="F21" s="380">
        <f t="shared" si="1"/>
        <v>23205</v>
      </c>
      <c r="G21" s="380">
        <f t="shared" si="2"/>
        <v>37517.5</v>
      </c>
      <c r="H21" s="381"/>
      <c r="I21" s="372">
        <f t="shared" si="3"/>
        <v>13998.75</v>
      </c>
      <c r="J21" s="380">
        <f t="shared" si="4"/>
        <v>30213.75</v>
      </c>
      <c r="K21" s="380">
        <f t="shared" si="5"/>
        <v>44212.5</v>
      </c>
      <c r="L21" s="382"/>
      <c r="M21" s="383">
        <f t="shared" si="6"/>
        <v>6695</v>
      </c>
      <c r="N21" s="384">
        <f t="shared" si="7"/>
        <v>0.17845005664023456</v>
      </c>
      <c r="O21" s="377"/>
      <c r="P21" s="322"/>
      <c r="Q21" s="322"/>
      <c r="R21" s="322"/>
      <c r="S21" s="377"/>
      <c r="T21" s="378"/>
      <c r="U21" s="377"/>
      <c r="V21" s="325"/>
      <c r="W21" s="322"/>
      <c r="X21" s="322"/>
      <c r="Y21" s="377"/>
      <c r="Z21" s="374"/>
    </row>
    <row r="22" spans="1:26" ht="14" x14ac:dyDescent="0.3">
      <c r="A22" s="151">
        <f>IF(C22&lt;&gt;"",COUNTA($C$12:C22),"")</f>
        <v>11</v>
      </c>
      <c r="B22" s="151"/>
      <c r="C22" s="389">
        <v>1000</v>
      </c>
      <c r="D22" s="409">
        <f t="shared" si="8"/>
        <v>350000</v>
      </c>
      <c r="E22" s="372">
        <f t="shared" si="0"/>
        <v>28465</v>
      </c>
      <c r="F22" s="380">
        <f t="shared" si="1"/>
        <v>46410</v>
      </c>
      <c r="G22" s="380">
        <f t="shared" si="2"/>
        <v>74875</v>
      </c>
      <c r="H22" s="381"/>
      <c r="I22" s="372">
        <f t="shared" si="3"/>
        <v>27837.5</v>
      </c>
      <c r="J22" s="380">
        <f t="shared" si="4"/>
        <v>60427.5</v>
      </c>
      <c r="K22" s="380">
        <f t="shared" si="5"/>
        <v>88265</v>
      </c>
      <c r="L22" s="382"/>
      <c r="M22" s="383">
        <f t="shared" si="6"/>
        <v>13390</v>
      </c>
      <c r="N22" s="384">
        <f t="shared" si="7"/>
        <v>0.1788313856427379</v>
      </c>
      <c r="O22" s="377"/>
      <c r="P22" s="322"/>
      <c r="Q22" s="322"/>
      <c r="R22" s="322"/>
      <c r="S22" s="377"/>
      <c r="T22" s="378"/>
      <c r="U22" s="377"/>
      <c r="V22" s="325"/>
      <c r="W22" s="322"/>
      <c r="X22" s="322"/>
      <c r="Y22" s="377"/>
      <c r="Z22" s="374"/>
    </row>
    <row r="23" spans="1:26" ht="14" x14ac:dyDescent="0.3">
      <c r="A23" s="151">
        <f>IF(C23&lt;&gt;"",COUNTA($C$12:C23),"")</f>
        <v>12</v>
      </c>
      <c r="B23" s="151" t="s">
        <v>554</v>
      </c>
      <c r="C23" s="389">
        <v>201</v>
      </c>
      <c r="D23" s="409">
        <f t="shared" si="8"/>
        <v>70350</v>
      </c>
      <c r="E23" s="372">
        <f t="shared" si="0"/>
        <v>5799.31</v>
      </c>
      <c r="F23" s="380">
        <f t="shared" si="1"/>
        <v>9328.41</v>
      </c>
      <c r="G23" s="380">
        <f t="shared" si="2"/>
        <v>15127.720000000001</v>
      </c>
      <c r="H23" s="381"/>
      <c r="I23" s="372">
        <f t="shared" si="3"/>
        <v>5673.18</v>
      </c>
      <c r="J23" s="380">
        <f t="shared" si="4"/>
        <v>12145.93</v>
      </c>
      <c r="K23" s="380">
        <f t="shared" si="5"/>
        <v>17819.11</v>
      </c>
      <c r="L23" s="382"/>
      <c r="M23" s="383">
        <f t="shared" si="6"/>
        <v>2691.3899999999994</v>
      </c>
      <c r="N23" s="384">
        <f t="shared" si="7"/>
        <v>0.17791114589640733</v>
      </c>
      <c r="O23" s="377"/>
      <c r="P23" s="322"/>
      <c r="Q23" s="322"/>
      <c r="R23" s="322"/>
      <c r="S23" s="377"/>
      <c r="T23" s="378"/>
      <c r="U23" s="377"/>
      <c r="V23" s="325"/>
      <c r="W23" s="322"/>
      <c r="X23" s="322"/>
      <c r="Y23" s="377"/>
      <c r="Z23" s="374"/>
    </row>
    <row r="24" spans="1:26" ht="14" x14ac:dyDescent="0.3">
      <c r="A24" s="151" t="str">
        <f>IF(C24&lt;&gt;"",COUNTA($C$12:C24),"")</f>
        <v/>
      </c>
      <c r="B24" s="151"/>
      <c r="C24" s="433"/>
      <c r="D24" s="389"/>
      <c r="E24" s="380"/>
      <c r="F24" s="380"/>
      <c r="G24" s="380"/>
      <c r="H24" s="381"/>
      <c r="I24" s="380"/>
      <c r="J24" s="382"/>
      <c r="K24" s="382"/>
      <c r="L24" s="382"/>
      <c r="M24" s="382"/>
      <c r="N24" s="385"/>
    </row>
    <row r="25" spans="1:26" ht="14" x14ac:dyDescent="0.3">
      <c r="A25" s="151">
        <f>IF(C25&lt;&gt;"",COUNTA($C$12:C25),"")</f>
        <v>13</v>
      </c>
      <c r="B25" s="151"/>
      <c r="C25" s="417" t="str">
        <f>+C13</f>
        <v>Monthly</v>
      </c>
      <c r="D25" s="417" t="str">
        <f>+D13</f>
        <v>Monthly</v>
      </c>
      <c r="E25" s="418" t="str">
        <f>+'Bill_Bos G1 nonDem'!D26</f>
        <v>Current Monthly Bill (Summer)</v>
      </c>
      <c r="F25" s="478"/>
      <c r="G25" s="418"/>
      <c r="H25" s="386"/>
      <c r="I25" s="418" t="str">
        <f>+'Bill_Bos G1 nonDem'!H26</f>
        <v>Proposed Monthly Bill (Summer)</v>
      </c>
      <c r="J25" s="478"/>
      <c r="K25" s="478"/>
      <c r="L25" s="382"/>
      <c r="M25" s="418" t="s">
        <v>550</v>
      </c>
      <c r="N25" s="479"/>
    </row>
    <row r="26" spans="1:26" ht="14" x14ac:dyDescent="0.3">
      <c r="A26" s="151">
        <f>IF(C26&lt;&gt;"",COUNTA($C$12:C26),"")</f>
        <v>14</v>
      </c>
      <c r="B26" s="151"/>
      <c r="C26" s="387" t="s">
        <v>534</v>
      </c>
      <c r="D26" s="387" t="s">
        <v>551</v>
      </c>
      <c r="E26" s="388" t="s">
        <v>552</v>
      </c>
      <c r="F26" s="388" t="s">
        <v>553</v>
      </c>
      <c r="G26" s="388" t="s">
        <v>47</v>
      </c>
      <c r="H26" s="386"/>
      <c r="I26" s="388" t="s">
        <v>552</v>
      </c>
      <c r="J26" s="388" t="s">
        <v>553</v>
      </c>
      <c r="K26" s="388" t="s">
        <v>47</v>
      </c>
      <c r="L26" s="382"/>
      <c r="M26" s="388" t="s">
        <v>65</v>
      </c>
      <c r="N26" s="387" t="s">
        <v>325</v>
      </c>
      <c r="O26" s="378"/>
    </row>
    <row r="27" spans="1:26" ht="14" x14ac:dyDescent="0.3">
      <c r="A27" s="151">
        <f>IF(C27&lt;&gt;"",COUNTA($C$12:C27),"")</f>
        <v>15</v>
      </c>
      <c r="B27" s="151"/>
      <c r="C27" s="389">
        <f>+C15</f>
        <v>50</v>
      </c>
      <c r="D27" s="409">
        <f>+C27*350</f>
        <v>17500</v>
      </c>
      <c r="E27" s="380">
        <f t="shared" ref="E27:E35" si="9">ROUND($C27*SUM($G$45,$G$46)+SUM($G$47:$G$62,$G$63:$G$65)*$D27,2)+ROUND(IF($C27&gt;1000,$G$43,IF($C27&gt;300,$G$42,IF($C27&gt;150,$G$41,$G$40))),2)</f>
        <v>1860.75</v>
      </c>
      <c r="F27" s="380">
        <f t="shared" ref="F27:F35" si="10">ROUND($G$66*D27,2)</f>
        <v>2320.5</v>
      </c>
      <c r="G27" s="380">
        <f t="shared" ref="G27:G35" si="11">SUM(E27:F27)</f>
        <v>4181.25</v>
      </c>
      <c r="H27" s="381"/>
      <c r="I27" s="380">
        <f t="shared" ref="I27:I35" si="12">ROUND($C27*SUM($I$45,$I$46)+SUM($I$47:$I$62,$I$63:$I$65)*$D27,2)+ROUND(IF($C27&gt;1000,$I$43,IF($C27&gt;300,$I$42,IF($C27&gt;150,$I$41,$I$40))),2)</f>
        <v>1843.38</v>
      </c>
      <c r="J27" s="380">
        <f t="shared" ref="J27:J35" si="13">ROUND(I$66*D27,2)</f>
        <v>3021.38</v>
      </c>
      <c r="K27" s="380">
        <f t="shared" ref="K27:K35" si="14">SUM(I27:J27)</f>
        <v>4864.76</v>
      </c>
      <c r="L27" s="382"/>
      <c r="M27" s="383">
        <f t="shared" ref="M27:M35" si="15">+K27-G27</f>
        <v>683.51000000000022</v>
      </c>
      <c r="N27" s="384">
        <f t="shared" ref="N27:N35" si="16">+M27/G27</f>
        <v>0.16347025411061292</v>
      </c>
      <c r="O27" s="377"/>
      <c r="P27" s="322"/>
      <c r="Q27" s="322"/>
      <c r="R27" s="322"/>
      <c r="S27" s="377"/>
      <c r="T27" s="378"/>
      <c r="U27" s="377"/>
      <c r="V27" s="325"/>
      <c r="W27" s="322"/>
      <c r="X27" s="322"/>
      <c r="Y27" s="377"/>
      <c r="Z27" s="374"/>
    </row>
    <row r="28" spans="1:26" ht="14" x14ac:dyDescent="0.3">
      <c r="A28" s="151">
        <f>IF(C28&lt;&gt;"",COUNTA($C$12:C28),"")</f>
        <v>16</v>
      </c>
      <c r="B28" s="151"/>
      <c r="C28" s="389">
        <f t="shared" ref="C28:C34" si="17">+C16</f>
        <v>100</v>
      </c>
      <c r="D28" s="409">
        <f t="shared" ref="D28:D35" si="18">+C28*350</f>
        <v>35000</v>
      </c>
      <c r="E28" s="380">
        <f t="shared" si="9"/>
        <v>3694.5</v>
      </c>
      <c r="F28" s="380">
        <f t="shared" si="10"/>
        <v>4641</v>
      </c>
      <c r="G28" s="380">
        <f t="shared" si="11"/>
        <v>8335.5</v>
      </c>
      <c r="H28" s="381"/>
      <c r="I28" s="380">
        <f t="shared" si="12"/>
        <v>3659.75</v>
      </c>
      <c r="J28" s="380">
        <f t="shared" si="13"/>
        <v>6042.75</v>
      </c>
      <c r="K28" s="380">
        <f t="shared" si="14"/>
        <v>9702.5</v>
      </c>
      <c r="L28" s="382"/>
      <c r="M28" s="383">
        <f t="shared" si="15"/>
        <v>1367</v>
      </c>
      <c r="N28" s="384">
        <f t="shared" si="16"/>
        <v>0.16399736068622159</v>
      </c>
      <c r="O28" s="377"/>
      <c r="P28" s="322"/>
      <c r="Q28" s="322"/>
      <c r="R28" s="322"/>
      <c r="S28" s="377"/>
      <c r="T28" s="378"/>
      <c r="U28" s="377"/>
      <c r="V28" s="325"/>
      <c r="W28" s="322"/>
      <c r="X28" s="322"/>
      <c r="Y28" s="377"/>
      <c r="Z28" s="374"/>
    </row>
    <row r="29" spans="1:26" ht="14" x14ac:dyDescent="0.3">
      <c r="A29" s="151">
        <f>IF(C29&lt;&gt;"",COUNTA($C$12:C29),"")</f>
        <v>17</v>
      </c>
      <c r="B29" s="151"/>
      <c r="C29" s="389">
        <f t="shared" si="17"/>
        <v>150</v>
      </c>
      <c r="D29" s="409">
        <f t="shared" si="18"/>
        <v>52500</v>
      </c>
      <c r="E29" s="380">
        <f t="shared" si="9"/>
        <v>5528.25</v>
      </c>
      <c r="F29" s="380">
        <f t="shared" si="10"/>
        <v>6961.5</v>
      </c>
      <c r="G29" s="380">
        <f t="shared" si="11"/>
        <v>12489.75</v>
      </c>
      <c r="H29" s="381"/>
      <c r="I29" s="380">
        <f t="shared" si="12"/>
        <v>5476.13</v>
      </c>
      <c r="J29" s="380">
        <f t="shared" si="13"/>
        <v>9064.1299999999992</v>
      </c>
      <c r="K29" s="380">
        <f t="shared" si="14"/>
        <v>14540.259999999998</v>
      </c>
      <c r="L29" s="382"/>
      <c r="M29" s="383">
        <f t="shared" si="15"/>
        <v>2050.5099999999984</v>
      </c>
      <c r="N29" s="384">
        <f t="shared" si="16"/>
        <v>0.16417542384755487</v>
      </c>
      <c r="O29" s="377"/>
      <c r="P29" s="322"/>
      <c r="Q29" s="322"/>
      <c r="R29" s="322"/>
      <c r="S29" s="377"/>
      <c r="T29" s="378"/>
      <c r="U29" s="377"/>
      <c r="V29" s="325"/>
      <c r="W29" s="322"/>
      <c r="X29" s="322"/>
      <c r="Y29" s="377"/>
      <c r="Z29" s="374"/>
    </row>
    <row r="30" spans="1:26" ht="14" x14ac:dyDescent="0.3">
      <c r="A30" s="151">
        <f>IF(C30&lt;&gt;"",COUNTA($C$12:C30),"")</f>
        <v>18</v>
      </c>
      <c r="B30" s="151"/>
      <c r="C30" s="389">
        <f t="shared" si="17"/>
        <v>200</v>
      </c>
      <c r="D30" s="409">
        <f t="shared" si="18"/>
        <v>70000</v>
      </c>
      <c r="E30" s="380">
        <f t="shared" si="9"/>
        <v>7445</v>
      </c>
      <c r="F30" s="380">
        <f t="shared" si="10"/>
        <v>9282</v>
      </c>
      <c r="G30" s="380">
        <f t="shared" si="11"/>
        <v>16727</v>
      </c>
      <c r="H30" s="381"/>
      <c r="I30" s="380">
        <f t="shared" si="12"/>
        <v>7375.5</v>
      </c>
      <c r="J30" s="380">
        <f t="shared" si="13"/>
        <v>12085.5</v>
      </c>
      <c r="K30" s="380">
        <f t="shared" si="14"/>
        <v>19461</v>
      </c>
      <c r="L30" s="382"/>
      <c r="M30" s="383">
        <f t="shared" si="15"/>
        <v>2734</v>
      </c>
      <c r="N30" s="384">
        <f t="shared" si="16"/>
        <v>0.16344831709212651</v>
      </c>
      <c r="O30" s="377"/>
      <c r="P30" s="322"/>
      <c r="Q30" s="322"/>
      <c r="R30" s="322"/>
      <c r="S30" s="377"/>
      <c r="T30" s="378"/>
      <c r="U30" s="377"/>
      <c r="V30" s="325"/>
      <c r="W30" s="322"/>
      <c r="X30" s="322"/>
      <c r="Y30" s="377"/>
      <c r="Z30" s="374"/>
    </row>
    <row r="31" spans="1:26" ht="14" x14ac:dyDescent="0.3">
      <c r="A31" s="151">
        <f>IF(C31&lt;&gt;"",COUNTA($C$12:C31),"")</f>
        <v>19</v>
      </c>
      <c r="B31" s="151"/>
      <c r="C31" s="389">
        <f t="shared" si="17"/>
        <v>250</v>
      </c>
      <c r="D31" s="409">
        <f t="shared" si="18"/>
        <v>87500</v>
      </c>
      <c r="E31" s="380">
        <f t="shared" si="9"/>
        <v>9278.75</v>
      </c>
      <c r="F31" s="380">
        <f t="shared" si="10"/>
        <v>11602.5</v>
      </c>
      <c r="G31" s="380">
        <f t="shared" si="11"/>
        <v>20881.25</v>
      </c>
      <c r="H31" s="381"/>
      <c r="I31" s="380">
        <f t="shared" si="12"/>
        <v>9191.8799999999992</v>
      </c>
      <c r="J31" s="380">
        <f t="shared" si="13"/>
        <v>15106.88</v>
      </c>
      <c r="K31" s="380">
        <f t="shared" si="14"/>
        <v>24298.76</v>
      </c>
      <c r="L31" s="382"/>
      <c r="M31" s="383">
        <f t="shared" si="15"/>
        <v>3417.5099999999984</v>
      </c>
      <c r="N31" s="384">
        <f t="shared" si="16"/>
        <v>0.1636640526788386</v>
      </c>
      <c r="O31" s="377"/>
      <c r="P31" s="322"/>
      <c r="Q31" s="322"/>
      <c r="R31" s="322"/>
      <c r="S31" s="377"/>
      <c r="T31" s="378"/>
      <c r="U31" s="377"/>
      <c r="V31" s="325"/>
      <c r="W31" s="322"/>
      <c r="X31" s="322"/>
      <c r="Y31" s="377"/>
      <c r="Z31" s="374"/>
    </row>
    <row r="32" spans="1:26" ht="14" x14ac:dyDescent="0.3">
      <c r="A32" s="151">
        <f>IF(C32&lt;&gt;"",COUNTA($C$12:C32),"")</f>
        <v>20</v>
      </c>
      <c r="B32" s="151"/>
      <c r="C32" s="389">
        <f t="shared" si="17"/>
        <v>300</v>
      </c>
      <c r="D32" s="409">
        <f t="shared" si="18"/>
        <v>105000</v>
      </c>
      <c r="E32" s="380">
        <f t="shared" si="9"/>
        <v>11112.5</v>
      </c>
      <c r="F32" s="380">
        <f t="shared" si="10"/>
        <v>13923</v>
      </c>
      <c r="G32" s="380">
        <f t="shared" si="11"/>
        <v>25035.5</v>
      </c>
      <c r="H32" s="381"/>
      <c r="I32" s="380">
        <f t="shared" si="12"/>
        <v>11008.25</v>
      </c>
      <c r="J32" s="380">
        <f t="shared" si="13"/>
        <v>18128.25</v>
      </c>
      <c r="K32" s="380">
        <f t="shared" si="14"/>
        <v>29136.5</v>
      </c>
      <c r="L32" s="382"/>
      <c r="M32" s="383">
        <f t="shared" si="15"/>
        <v>4101</v>
      </c>
      <c r="N32" s="384">
        <f t="shared" si="16"/>
        <v>0.16380739350122825</v>
      </c>
      <c r="O32" s="377"/>
      <c r="P32" s="322"/>
      <c r="Q32" s="322"/>
      <c r="R32" s="322"/>
      <c r="S32" s="377"/>
      <c r="T32" s="378"/>
      <c r="U32" s="377"/>
      <c r="V32" s="325"/>
      <c r="W32" s="322"/>
      <c r="X32" s="322"/>
      <c r="Y32" s="377"/>
      <c r="Z32" s="374"/>
    </row>
    <row r="33" spans="1:26" ht="14" x14ac:dyDescent="0.3">
      <c r="A33" s="151">
        <f>IF(C33&lt;&gt;"",COUNTA($C$12:C33),"")</f>
        <v>21</v>
      </c>
      <c r="B33" s="151"/>
      <c r="C33" s="389">
        <f t="shared" si="17"/>
        <v>500</v>
      </c>
      <c r="D33" s="409">
        <f t="shared" si="18"/>
        <v>175000</v>
      </c>
      <c r="E33" s="380">
        <f t="shared" si="9"/>
        <v>18497.5</v>
      </c>
      <c r="F33" s="380">
        <f t="shared" si="10"/>
        <v>23205</v>
      </c>
      <c r="G33" s="380">
        <f t="shared" si="11"/>
        <v>41702.5</v>
      </c>
      <c r="H33" s="381"/>
      <c r="I33" s="380">
        <f t="shared" si="12"/>
        <v>18323.75</v>
      </c>
      <c r="J33" s="380">
        <f t="shared" si="13"/>
        <v>30213.75</v>
      </c>
      <c r="K33" s="380">
        <f t="shared" si="14"/>
        <v>48537.5</v>
      </c>
      <c r="L33" s="382"/>
      <c r="M33" s="383">
        <f t="shared" si="15"/>
        <v>6835</v>
      </c>
      <c r="N33" s="384">
        <f t="shared" si="16"/>
        <v>0.16389904681973502</v>
      </c>
      <c r="O33" s="377"/>
      <c r="P33" s="322"/>
      <c r="Q33" s="322"/>
      <c r="R33" s="322"/>
      <c r="S33" s="377"/>
      <c r="T33" s="378"/>
      <c r="U33" s="377"/>
      <c r="V33" s="325"/>
      <c r="W33" s="322"/>
      <c r="X33" s="322"/>
      <c r="Y33" s="377"/>
      <c r="Z33" s="374"/>
    </row>
    <row r="34" spans="1:26" ht="14" x14ac:dyDescent="0.3">
      <c r="A34" s="151">
        <f>IF(C34&lt;&gt;"",COUNTA($C$12:C34),"")</f>
        <v>22</v>
      </c>
      <c r="B34" s="151"/>
      <c r="C34" s="389">
        <f t="shared" si="17"/>
        <v>1000</v>
      </c>
      <c r="D34" s="409">
        <f t="shared" si="18"/>
        <v>350000</v>
      </c>
      <c r="E34" s="380">
        <f t="shared" si="9"/>
        <v>36835</v>
      </c>
      <c r="F34" s="380">
        <f t="shared" si="10"/>
        <v>46410</v>
      </c>
      <c r="G34" s="380">
        <f t="shared" si="11"/>
        <v>83245</v>
      </c>
      <c r="H34" s="381"/>
      <c r="I34" s="380">
        <f t="shared" si="12"/>
        <v>36487.5</v>
      </c>
      <c r="J34" s="380">
        <f t="shared" si="13"/>
        <v>60427.5</v>
      </c>
      <c r="K34" s="380">
        <f t="shared" si="14"/>
        <v>96915</v>
      </c>
      <c r="L34" s="382"/>
      <c r="M34" s="383">
        <f t="shared" si="15"/>
        <v>13670</v>
      </c>
      <c r="N34" s="384">
        <f t="shared" si="16"/>
        <v>0.16421406691092558</v>
      </c>
      <c r="O34" s="377"/>
      <c r="P34" s="322"/>
      <c r="Q34" s="322"/>
      <c r="R34" s="322"/>
      <c r="S34" s="377"/>
      <c r="T34" s="378"/>
      <c r="U34" s="377"/>
      <c r="V34" s="325"/>
      <c r="W34" s="322"/>
      <c r="X34" s="322"/>
      <c r="Y34" s="377"/>
      <c r="Z34" s="374"/>
    </row>
    <row r="35" spans="1:26" ht="14" x14ac:dyDescent="0.3">
      <c r="A35" s="151">
        <f>IF(C35&lt;&gt;"",COUNTA($C$12:C35),"")</f>
        <v>23</v>
      </c>
      <c r="B35" s="151" t="s">
        <v>554</v>
      </c>
      <c r="C35" s="389">
        <v>246</v>
      </c>
      <c r="D35" s="409">
        <f t="shared" si="18"/>
        <v>86100</v>
      </c>
      <c r="E35" s="380">
        <f t="shared" si="9"/>
        <v>9132.0499999999993</v>
      </c>
      <c r="F35" s="380">
        <f t="shared" si="10"/>
        <v>11416.86</v>
      </c>
      <c r="G35" s="380">
        <f t="shared" si="11"/>
        <v>20548.91</v>
      </c>
      <c r="H35" s="381"/>
      <c r="I35" s="380">
        <f t="shared" si="12"/>
        <v>9046.57</v>
      </c>
      <c r="J35" s="380">
        <f t="shared" si="13"/>
        <v>14865.17</v>
      </c>
      <c r="K35" s="380">
        <f t="shared" si="14"/>
        <v>23911.739999999998</v>
      </c>
      <c r="L35" s="382"/>
      <c r="M35" s="383">
        <f t="shared" si="15"/>
        <v>3362.8299999999981</v>
      </c>
      <c r="N35" s="384">
        <f t="shared" si="16"/>
        <v>0.16365004275165923</v>
      </c>
      <c r="O35" s="377"/>
      <c r="P35" s="322"/>
      <c r="Q35" s="322"/>
      <c r="R35" s="322"/>
      <c r="S35" s="377"/>
      <c r="T35" s="378"/>
      <c r="U35" s="377"/>
      <c r="V35" s="325"/>
      <c r="W35" s="322"/>
      <c r="X35" s="322"/>
      <c r="Y35" s="377"/>
      <c r="Z35" s="374"/>
    </row>
    <row r="36" spans="1:26" ht="14" x14ac:dyDescent="0.3">
      <c r="A36" s="151" t="str">
        <f>IF(C36&lt;&gt;"",COUNTA($C$12:C36),"")</f>
        <v/>
      </c>
      <c r="B36" s="151"/>
      <c r="C36" s="385"/>
      <c r="D36" s="419"/>
      <c r="E36" s="380"/>
      <c r="F36" s="380"/>
      <c r="G36" s="380"/>
      <c r="H36" s="381"/>
      <c r="I36" s="382"/>
      <c r="J36" s="382"/>
      <c r="K36" s="382"/>
      <c r="L36" s="382"/>
      <c r="M36" s="382"/>
      <c r="N36" s="385"/>
    </row>
    <row r="37" spans="1:26" ht="14" x14ac:dyDescent="0.3">
      <c r="A37" s="151" t="str">
        <f>IF(C37&lt;&gt;"",COUNTA($C$12:C37),"")</f>
        <v/>
      </c>
      <c r="B37" s="151"/>
      <c r="C37" s="433"/>
      <c r="D37" s="433"/>
      <c r="E37" s="386"/>
      <c r="F37" s="386"/>
      <c r="G37" s="380"/>
      <c r="H37" s="381"/>
      <c r="I37" s="382"/>
      <c r="J37" s="382"/>
      <c r="K37" s="382"/>
      <c r="L37" s="382"/>
      <c r="M37" s="382"/>
      <c r="N37" s="385"/>
    </row>
    <row r="38" spans="1:26" ht="14" x14ac:dyDescent="0.3">
      <c r="A38" s="151">
        <f>IF(C38&lt;&gt;"",COUNTA($C$12:C38),"")</f>
        <v>24</v>
      </c>
      <c r="B38" s="151"/>
      <c r="C38" s="293" t="s">
        <v>46</v>
      </c>
      <c r="D38" s="293"/>
      <c r="E38" s="448"/>
      <c r="F38" s="374"/>
      <c r="G38" s="480" t="str">
        <f>'Bill_Bos G3 p1'!G39</f>
        <v>Current</v>
      </c>
      <c r="H38" s="374"/>
      <c r="I38" s="480" t="str">
        <f>'Bill_Bos G3 p1'!I39</f>
        <v>Proposed</v>
      </c>
      <c r="J38" s="481"/>
      <c r="K38" s="374"/>
      <c r="L38" s="374"/>
      <c r="M38" s="374"/>
    </row>
    <row r="39" spans="1:26" ht="17" x14ac:dyDescent="0.6">
      <c r="A39" s="151">
        <f>IF(C39&lt;&gt;"",COUNTA($C$12:C39),"")</f>
        <v>25</v>
      </c>
      <c r="B39" s="151"/>
      <c r="C39" s="274" t="s">
        <v>46</v>
      </c>
      <c r="D39" s="274"/>
      <c r="E39" s="448"/>
      <c r="F39" s="374"/>
      <c r="G39" s="482" t="str">
        <f>'Bill_Bos G3 p1'!G40</f>
        <v>Rates</v>
      </c>
      <c r="H39" s="374"/>
      <c r="I39" s="482" t="str">
        <f>'Bill_Bos G3 p1'!I40</f>
        <v>Rates</v>
      </c>
      <c r="J39" s="482" t="str">
        <f>'Bill_Bos G3 p1'!J40</f>
        <v>Change</v>
      </c>
      <c r="K39" s="374"/>
      <c r="L39" s="374"/>
      <c r="M39" s="374"/>
      <c r="O39" s="233"/>
      <c r="P39" s="422"/>
      <c r="Q39" s="422"/>
    </row>
    <row r="40" spans="1:26" ht="14" x14ac:dyDescent="0.3">
      <c r="A40" s="151">
        <f>IF(C40&lt;&gt;"",COUNTA($C$12:C40),"")</f>
        <v>26</v>
      </c>
      <c r="B40" s="151"/>
      <c r="C40" s="293" t="s">
        <v>411</v>
      </c>
      <c r="D40" s="293"/>
      <c r="E40" s="483"/>
      <c r="F40" s="374"/>
      <c r="G40" s="454">
        <v>27</v>
      </c>
      <c r="H40" s="455" t="s">
        <v>46</v>
      </c>
      <c r="I40" s="454">
        <f>+G40</f>
        <v>27</v>
      </c>
      <c r="J40" s="421">
        <f>I40-G40</f>
        <v>0</v>
      </c>
      <c r="K40" s="374"/>
      <c r="L40" s="374"/>
      <c r="M40" s="374"/>
      <c r="O40" s="233"/>
      <c r="P40" s="422"/>
      <c r="Q40" s="422"/>
    </row>
    <row r="41" spans="1:26" ht="14" x14ac:dyDescent="0.3">
      <c r="A41" s="151">
        <f>IF(C41&lt;&gt;"",COUNTA($C$12:C41),"")</f>
        <v>27</v>
      </c>
      <c r="B41" s="151"/>
      <c r="C41" s="293" t="s">
        <v>413</v>
      </c>
      <c r="D41" s="293"/>
      <c r="E41" s="483"/>
      <c r="F41" s="374"/>
      <c r="G41" s="454">
        <v>110</v>
      </c>
      <c r="H41" s="455"/>
      <c r="I41" s="454">
        <f t="shared" ref="I41:I43" si="19">+G41</f>
        <v>110</v>
      </c>
      <c r="J41" s="421">
        <f t="shared" ref="J41:J66" si="20">I41-G41</f>
        <v>0</v>
      </c>
      <c r="K41" s="374"/>
      <c r="L41" s="374"/>
      <c r="M41" s="374"/>
      <c r="O41" s="233"/>
      <c r="P41" s="422"/>
      <c r="Q41" s="422"/>
    </row>
    <row r="42" spans="1:26" ht="14" x14ac:dyDescent="0.3">
      <c r="A42" s="151">
        <f>IF(C42&lt;&gt;"",COUNTA($C$12:C42),"")</f>
        <v>28</v>
      </c>
      <c r="B42" s="151"/>
      <c r="C42" s="293" t="s">
        <v>415</v>
      </c>
      <c r="D42" s="293"/>
      <c r="E42" s="483"/>
      <c r="F42" s="374"/>
      <c r="G42" s="454">
        <v>160</v>
      </c>
      <c r="H42" s="455"/>
      <c r="I42" s="454">
        <f t="shared" si="19"/>
        <v>160</v>
      </c>
      <c r="J42" s="421">
        <f t="shared" si="20"/>
        <v>0</v>
      </c>
      <c r="K42" s="374"/>
      <c r="L42" s="374"/>
      <c r="M42" s="374"/>
      <c r="O42" s="233"/>
      <c r="P42" s="422"/>
      <c r="Q42" s="422"/>
    </row>
    <row r="43" spans="1:26" ht="14" x14ac:dyDescent="0.3">
      <c r="A43" s="151">
        <f>IF(C43&lt;&gt;"",COUNTA($C$12:C43),"")</f>
        <v>29</v>
      </c>
      <c r="B43" s="151"/>
      <c r="C43" s="293" t="s">
        <v>417</v>
      </c>
      <c r="D43" s="293"/>
      <c r="E43" s="483"/>
      <c r="F43" s="374"/>
      <c r="G43" s="454">
        <v>360</v>
      </c>
      <c r="H43" s="455"/>
      <c r="I43" s="454">
        <f t="shared" si="19"/>
        <v>360</v>
      </c>
      <c r="J43" s="421">
        <f t="shared" si="20"/>
        <v>0</v>
      </c>
      <c r="K43" s="374"/>
      <c r="L43" s="374"/>
      <c r="M43" s="374"/>
      <c r="O43" s="233"/>
      <c r="P43" s="422"/>
      <c r="Q43" s="422"/>
    </row>
    <row r="44" spans="1:26" ht="14" x14ac:dyDescent="0.3">
      <c r="A44" s="151">
        <f>IF(C44&lt;&gt;"",COUNTA($C$12:C44),"")</f>
        <v>30</v>
      </c>
      <c r="B44" s="151"/>
      <c r="C44" s="293" t="s">
        <v>404</v>
      </c>
      <c r="D44" s="293"/>
      <c r="E44" s="483"/>
      <c r="F44" s="374"/>
      <c r="G44" s="454">
        <v>11.08</v>
      </c>
      <c r="H44" s="455"/>
      <c r="I44" s="454">
        <v>11.46</v>
      </c>
      <c r="J44" s="421">
        <f t="shared" si="20"/>
        <v>0.38000000000000078</v>
      </c>
      <c r="K44" s="374"/>
      <c r="L44" s="374"/>
      <c r="M44" s="374"/>
      <c r="O44" s="233"/>
      <c r="P44" s="424"/>
      <c r="Q44" s="424"/>
    </row>
    <row r="45" spans="1:26" ht="14" x14ac:dyDescent="0.3">
      <c r="A45" s="151">
        <f>IF(C45&lt;&gt;"",COUNTA($C$12:C45),"")</f>
        <v>31</v>
      </c>
      <c r="B45" s="151"/>
      <c r="C45" s="293" t="s">
        <v>406</v>
      </c>
      <c r="D45" s="293"/>
      <c r="E45" s="483"/>
      <c r="F45" s="374"/>
      <c r="G45" s="454">
        <v>19.45</v>
      </c>
      <c r="H45" s="455"/>
      <c r="I45" s="454">
        <v>20.11</v>
      </c>
      <c r="J45" s="421">
        <f t="shared" si="20"/>
        <v>0.66000000000000014</v>
      </c>
      <c r="K45" s="374"/>
      <c r="L45" s="374"/>
      <c r="M45" s="374"/>
      <c r="O45" s="233"/>
      <c r="P45" s="422"/>
      <c r="Q45" s="423"/>
    </row>
    <row r="46" spans="1:26" ht="14" x14ac:dyDescent="0.3">
      <c r="A46" s="151">
        <f>IF(C46&lt;&gt;"",COUNTA($C$12:C46),"")</f>
        <v>32</v>
      </c>
      <c r="B46" s="151"/>
      <c r="C46" s="293" t="str">
        <f>'Bill_Bos G3 p1'!C44</f>
        <v>Transmission Demand</v>
      </c>
      <c r="D46" s="293"/>
      <c r="E46" s="483"/>
      <c r="F46" s="374"/>
      <c r="G46" s="454">
        <v>9</v>
      </c>
      <c r="H46" s="448"/>
      <c r="I46" s="454">
        <v>7.73</v>
      </c>
      <c r="J46" s="421">
        <f>I46-G46</f>
        <v>-1.2699999999999996</v>
      </c>
      <c r="K46" s="374"/>
      <c r="L46" s="374"/>
      <c r="M46" s="374"/>
      <c r="O46" s="233"/>
      <c r="P46" s="423"/>
      <c r="Q46" s="423"/>
    </row>
    <row r="47" spans="1:26" ht="14" x14ac:dyDescent="0.3">
      <c r="A47" s="151">
        <f>IF(C47&lt;&gt;"",COUNTA($C$12:C47),"")</f>
        <v>33</v>
      </c>
      <c r="B47" s="151"/>
      <c r="C47" s="293" t="s">
        <v>298</v>
      </c>
      <c r="D47" s="293"/>
      <c r="E47" s="483"/>
      <c r="F47" s="374"/>
      <c r="G47" s="308">
        <v>0</v>
      </c>
      <c r="H47" s="484"/>
      <c r="I47" s="308">
        <v>0</v>
      </c>
      <c r="J47" s="354">
        <f t="shared" si="20"/>
        <v>0</v>
      </c>
      <c r="K47" s="374"/>
      <c r="L47" s="374"/>
      <c r="M47" s="374"/>
      <c r="O47" s="233"/>
      <c r="P47" s="422"/>
      <c r="Q47" s="423"/>
    </row>
    <row r="48" spans="1:26" ht="14" x14ac:dyDescent="0.3">
      <c r="A48" s="151">
        <f>IF(C48&lt;&gt;"",COUNTA($C$12:C48),"")</f>
        <v>34</v>
      </c>
      <c r="B48" s="151"/>
      <c r="C48" s="293" t="str">
        <f>'Bill_Bos G3 p1'!C46</f>
        <v>Revenue Decoupling</v>
      </c>
      <c r="D48" s="293"/>
      <c r="E48" s="483"/>
      <c r="F48" s="374"/>
      <c r="G48" s="308">
        <v>0</v>
      </c>
      <c r="H48" s="277"/>
      <c r="I48" s="277">
        <v>-4.0999999999999999E-4</v>
      </c>
      <c r="J48" s="354">
        <f t="shared" si="20"/>
        <v>-4.0999999999999999E-4</v>
      </c>
      <c r="K48" s="374"/>
      <c r="L48" s="374"/>
      <c r="M48" s="374"/>
      <c r="O48" s="233"/>
      <c r="P48" s="426"/>
      <c r="Q48" s="426"/>
    </row>
    <row r="49" spans="1:17" ht="14" x14ac:dyDescent="0.3">
      <c r="A49" s="151">
        <f>IF(C49&lt;&gt;"",COUNTA($C$12:C49),"")</f>
        <v>35</v>
      </c>
      <c r="B49" s="151"/>
      <c r="C49" s="293" t="str">
        <f>'Bill_Bos G3 p1'!C47</f>
        <v>Residential Assistance Adjustment Factor</v>
      </c>
      <c r="D49" s="293"/>
      <c r="E49" s="483"/>
      <c r="F49" s="374"/>
      <c r="G49" s="277">
        <v>2.5000000000000001E-3</v>
      </c>
      <c r="H49" s="277"/>
      <c r="I49" s="277">
        <v>3.46E-3</v>
      </c>
      <c r="J49" s="354">
        <f t="shared" si="20"/>
        <v>9.5999999999999992E-4</v>
      </c>
      <c r="K49" s="374"/>
      <c r="L49" s="374"/>
      <c r="M49" s="374"/>
      <c r="O49" s="233"/>
      <c r="P49" s="426"/>
      <c r="Q49" s="426"/>
    </row>
    <row r="50" spans="1:17" ht="14" x14ac:dyDescent="0.3">
      <c r="A50" s="151">
        <f>IF(C50&lt;&gt;"",COUNTA($C$12:C50),"")</f>
        <v>36</v>
      </c>
      <c r="B50" s="151"/>
      <c r="C50" s="293" t="str">
        <f>'Bill_Bos G3 p1'!C48</f>
        <v>Pension Adjustment Factor</v>
      </c>
      <c r="D50" s="293"/>
      <c r="E50" s="483"/>
      <c r="F50" s="374"/>
      <c r="G50" s="277">
        <v>-5.0000000000000002E-5</v>
      </c>
      <c r="H50" s="277"/>
      <c r="I50" s="277">
        <v>4.6999999999999999E-4</v>
      </c>
      <c r="J50" s="354">
        <f t="shared" si="20"/>
        <v>5.1999999999999995E-4</v>
      </c>
      <c r="K50" s="374"/>
      <c r="L50" s="374"/>
      <c r="M50" s="374"/>
      <c r="O50" s="233"/>
      <c r="P50" s="426"/>
      <c r="Q50" s="426"/>
    </row>
    <row r="51" spans="1:17" ht="14" x14ac:dyDescent="0.3">
      <c r="A51" s="151">
        <f>IF(C51&lt;&gt;"",COUNTA($C$12:C51),"")</f>
        <v>37</v>
      </c>
      <c r="B51" s="151"/>
      <c r="C51" s="293" t="str">
        <f>'Bill_Bos G3 p1'!C49</f>
        <v>Net Metering Recovery Surcharge</v>
      </c>
      <c r="D51" s="293"/>
      <c r="E51" s="483"/>
      <c r="F51" s="374"/>
      <c r="G51" s="277">
        <v>4.9300000000000004E-3</v>
      </c>
      <c r="H51" s="277"/>
      <c r="I51" s="277">
        <v>4.5100000000000001E-3</v>
      </c>
      <c r="J51" s="354">
        <f t="shared" si="20"/>
        <v>-4.2000000000000023E-4</v>
      </c>
      <c r="K51" s="374"/>
      <c r="L51" s="374"/>
      <c r="M51" s="374"/>
      <c r="O51" s="233"/>
      <c r="P51" s="426"/>
      <c r="Q51" s="426"/>
    </row>
    <row r="52" spans="1:17" ht="14" x14ac:dyDescent="0.3">
      <c r="A52" s="151">
        <f>IF(C52&lt;&gt;"",COUNTA($C$12:C52),"")</f>
        <v>38</v>
      </c>
      <c r="B52" s="151"/>
      <c r="C52" s="293" t="str">
        <f>'Bill_Bos G3 p1'!C50</f>
        <v>Long Term Renewable Contract Adjustment</v>
      </c>
      <c r="D52" s="293"/>
      <c r="E52" s="483"/>
      <c r="F52" s="374"/>
      <c r="G52" s="277">
        <v>2.3600000000000001E-3</v>
      </c>
      <c r="H52" s="277"/>
      <c r="I52" s="277">
        <v>1.74E-3</v>
      </c>
      <c r="J52" s="354">
        <f t="shared" si="20"/>
        <v>-6.2000000000000011E-4</v>
      </c>
      <c r="K52" s="374"/>
      <c r="L52" s="374"/>
      <c r="M52" s="374"/>
      <c r="O52" s="233"/>
      <c r="P52" s="426"/>
      <c r="Q52" s="426"/>
    </row>
    <row r="53" spans="1:17" ht="14" x14ac:dyDescent="0.3">
      <c r="A53" s="151">
        <f>IF(C53&lt;&gt;"",COUNTA($C$12:C53),"")</f>
        <v>39</v>
      </c>
      <c r="B53" s="151"/>
      <c r="C53" s="293" t="str">
        <f>'Bill_Bos G3 p1'!C51</f>
        <v>AG Consulting Expense</v>
      </c>
      <c r="D53" s="293"/>
      <c r="E53" s="483"/>
      <c r="F53" s="374"/>
      <c r="G53" s="277">
        <v>3.0000000000000001E-5</v>
      </c>
      <c r="H53" s="277"/>
      <c r="I53" s="277">
        <v>1.0000000000000001E-5</v>
      </c>
      <c r="J53" s="354">
        <f t="shared" si="20"/>
        <v>-1.9999999999999998E-5</v>
      </c>
      <c r="K53" s="374"/>
      <c r="L53" s="374"/>
      <c r="M53" s="374"/>
      <c r="O53" s="233"/>
      <c r="P53" s="426"/>
      <c r="Q53" s="426"/>
    </row>
    <row r="54" spans="1:17" ht="14" x14ac:dyDescent="0.3">
      <c r="A54" s="151">
        <f>IF(C54&lt;&gt;"",COUNTA($C$12:C54),"")</f>
        <v>40</v>
      </c>
      <c r="B54" s="151"/>
      <c r="C54" s="293" t="str">
        <f>'Bill_Bos G3 p1'!C52</f>
        <v>Storm Cost Recovery Adjustment Factor</v>
      </c>
      <c r="D54" s="293"/>
      <c r="E54" s="483"/>
      <c r="F54" s="374"/>
      <c r="G54" s="277">
        <v>1.5399999999999999E-3</v>
      </c>
      <c r="H54" s="277"/>
      <c r="I54" s="277">
        <v>2.6199999999999999E-3</v>
      </c>
      <c r="J54" s="354">
        <f t="shared" si="20"/>
        <v>1.08E-3</v>
      </c>
      <c r="K54" s="374"/>
      <c r="L54" s="374"/>
      <c r="M54" s="374"/>
      <c r="O54" s="233"/>
      <c r="P54" s="426"/>
      <c r="Q54" s="426"/>
    </row>
    <row r="55" spans="1:17" ht="14" x14ac:dyDescent="0.3">
      <c r="A55" s="151">
        <f>IF(C55&lt;&gt;"",COUNTA($C$12:C55),"")</f>
        <v>41</v>
      </c>
      <c r="B55" s="151"/>
      <c r="C55" s="293" t="str">
        <f>'Bill_Bos G3 p1'!C53</f>
        <v>Storm Reserve Adjustment</v>
      </c>
      <c r="D55" s="293"/>
      <c r="E55" s="483"/>
      <c r="F55" s="374"/>
      <c r="G55" s="277">
        <v>0</v>
      </c>
      <c r="H55" s="277"/>
      <c r="I55" s="277">
        <v>0</v>
      </c>
      <c r="J55" s="354">
        <f t="shared" si="20"/>
        <v>0</v>
      </c>
      <c r="K55" s="374"/>
      <c r="L55" s="374"/>
      <c r="M55" s="374"/>
      <c r="O55" s="233"/>
      <c r="P55" s="426"/>
      <c r="Q55" s="426"/>
    </row>
    <row r="56" spans="1:17" ht="14" x14ac:dyDescent="0.3">
      <c r="A56" s="151">
        <f>IF(C56&lt;&gt;"",COUNTA($C$12:C56),"")</f>
        <v>42</v>
      </c>
      <c r="B56" s="151"/>
      <c r="C56" s="293" t="str">
        <f>'Bill_Bos G3 p1'!C54</f>
        <v>Basic Service Cost True Up Factor</v>
      </c>
      <c r="D56" s="293"/>
      <c r="E56" s="483"/>
      <c r="F56" s="374"/>
      <c r="G56" s="277">
        <v>1.34E-3</v>
      </c>
      <c r="H56" s="277"/>
      <c r="I56" s="277">
        <v>-1.7000000000000001E-4</v>
      </c>
      <c r="J56" s="354">
        <f t="shared" si="20"/>
        <v>-1.5100000000000001E-3</v>
      </c>
      <c r="K56" s="374"/>
      <c r="L56" s="374"/>
      <c r="M56" s="374"/>
      <c r="O56" s="233"/>
      <c r="P56" s="426"/>
      <c r="Q56" s="426"/>
    </row>
    <row r="57" spans="1:17" ht="14" x14ac:dyDescent="0.3">
      <c r="A57" s="151">
        <f>IF(C57&lt;&gt;"",COUNTA($C$12:C57),"")</f>
        <v>43</v>
      </c>
      <c r="B57" s="151"/>
      <c r="C57" s="293" t="str">
        <f>'Bill_Bos G3 p1'!C55</f>
        <v>Solar Program Cost Adjustment Factor</v>
      </c>
      <c r="D57" s="293"/>
      <c r="E57" s="483"/>
      <c r="F57" s="374"/>
      <c r="G57" s="277">
        <v>0</v>
      </c>
      <c r="H57" s="277"/>
      <c r="I57" s="277">
        <v>3.0000000000000001E-5</v>
      </c>
      <c r="J57" s="354">
        <f t="shared" si="20"/>
        <v>3.0000000000000001E-5</v>
      </c>
      <c r="K57" s="374"/>
      <c r="L57" s="374"/>
      <c r="M57" s="374"/>
      <c r="O57" s="233"/>
      <c r="P57" s="426"/>
      <c r="Q57" s="426"/>
    </row>
    <row r="58" spans="1:17" ht="14" x14ac:dyDescent="0.3">
      <c r="A58" s="151">
        <f>IF(C58&lt;&gt;"",COUNTA($C$12:C58),"")</f>
        <v>44</v>
      </c>
      <c r="B58" s="151"/>
      <c r="C58" s="293" t="str">
        <f>'Bill_Bos G3 p1'!C56</f>
        <v>Solar Expansion Cost Recovery Factor</v>
      </c>
      <c r="D58" s="293"/>
      <c r="E58" s="483"/>
      <c r="F58" s="374"/>
      <c r="G58" s="277">
        <v>0</v>
      </c>
      <c r="H58" s="277"/>
      <c r="I58" s="277">
        <v>5.4000000000000001E-4</v>
      </c>
      <c r="J58" s="354">
        <f t="shared" si="20"/>
        <v>5.4000000000000001E-4</v>
      </c>
      <c r="K58" s="374"/>
      <c r="L58" s="374"/>
      <c r="M58" s="374"/>
      <c r="O58" s="233"/>
      <c r="P58" s="426"/>
      <c r="Q58" s="426"/>
    </row>
    <row r="59" spans="1:17" ht="14" x14ac:dyDescent="0.3">
      <c r="A59" s="151">
        <f>IF(C59&lt;&gt;"",COUNTA($C$12:C59),"")</f>
        <v>45</v>
      </c>
      <c r="B59" s="151"/>
      <c r="C59" s="293" t="str">
        <f>'Bill_Bos G3 p1'!C57</f>
        <v>Vegetation Management</v>
      </c>
      <c r="D59" s="293"/>
      <c r="E59" s="483"/>
      <c r="F59" s="374"/>
      <c r="G59" s="277">
        <v>0</v>
      </c>
      <c r="H59" s="277"/>
      <c r="I59" s="277">
        <v>8.3000000000000001E-4</v>
      </c>
      <c r="J59" s="354">
        <f t="shared" si="20"/>
        <v>8.3000000000000001E-4</v>
      </c>
      <c r="K59" s="374"/>
      <c r="L59" s="374"/>
      <c r="M59" s="374"/>
      <c r="O59" s="233"/>
      <c r="P59" s="426"/>
      <c r="Q59" s="426"/>
    </row>
    <row r="60" spans="1:17" ht="14" x14ac:dyDescent="0.3">
      <c r="A60" s="151">
        <f>IF(C60&lt;&gt;"",COUNTA($C$12:C60),"")</f>
        <v>46</v>
      </c>
      <c r="B60" s="151"/>
      <c r="C60" s="293" t="str">
        <f>'Bill_Bos G3 p1'!C58</f>
        <v>Solar Massachusetts Renewable Target</v>
      </c>
      <c r="D60" s="339"/>
      <c r="E60" s="339"/>
      <c r="F60" s="277"/>
      <c r="G60" s="277">
        <v>0</v>
      </c>
      <c r="H60" s="277"/>
      <c r="I60" s="277">
        <v>6.3000000000000003E-4</v>
      </c>
      <c r="J60" s="354">
        <f t="shared" si="20"/>
        <v>6.3000000000000003E-4</v>
      </c>
      <c r="K60" s="339"/>
      <c r="L60" s="339"/>
      <c r="O60" s="233"/>
      <c r="P60" s="426"/>
      <c r="Q60" s="426"/>
    </row>
    <row r="61" spans="1:17" ht="14" x14ac:dyDescent="0.3">
      <c r="A61" s="151">
        <f>IF(C61&lt;&gt;"",COUNTA($C$12:C61),"")</f>
        <v>47</v>
      </c>
      <c r="B61" s="151"/>
      <c r="C61" s="293" t="str">
        <f>'Bill_Bos G3 p1'!C59</f>
        <v>Tax Act Credit Factor</v>
      </c>
      <c r="D61" s="339"/>
      <c r="E61" s="339"/>
      <c r="F61" s="277"/>
      <c r="G61" s="277">
        <v>0</v>
      </c>
      <c r="H61" s="277"/>
      <c r="I61" s="277">
        <v>-9.5E-4</v>
      </c>
      <c r="J61" s="354">
        <f t="shared" si="20"/>
        <v>-9.5E-4</v>
      </c>
      <c r="K61" s="339"/>
      <c r="L61" s="339"/>
      <c r="O61" s="233"/>
      <c r="P61" s="426"/>
      <c r="Q61" s="426"/>
    </row>
    <row r="62" spans="1:17" ht="14" x14ac:dyDescent="0.3">
      <c r="A62" s="151">
        <f>IF(C62&lt;&gt;"",COUNTA($C$12:C62),"")</f>
        <v>48</v>
      </c>
      <c r="B62" s="151"/>
      <c r="C62" s="293" t="str">
        <f>'Bill_Bos G3 p1'!C60</f>
        <v>Transition</v>
      </c>
      <c r="D62" s="293"/>
      <c r="E62" s="483"/>
      <c r="F62" s="374"/>
      <c r="G62" s="308">
        <v>-6.0999999999999997E-4</v>
      </c>
      <c r="H62" s="277"/>
      <c r="I62" s="277">
        <v>-5.1999999999999995E-4</v>
      </c>
      <c r="J62" s="354">
        <f t="shared" si="20"/>
        <v>9.0000000000000019E-5</v>
      </c>
      <c r="K62" s="374"/>
      <c r="L62" s="374"/>
      <c r="M62" s="374"/>
      <c r="O62" s="233"/>
      <c r="P62" s="426"/>
      <c r="Q62" s="426"/>
    </row>
    <row r="63" spans="1:17" ht="14" x14ac:dyDescent="0.3">
      <c r="A63" s="151">
        <f>IF(C63&lt;&gt;"",COUNTA($C$12:C63),"")</f>
        <v>49</v>
      </c>
      <c r="B63" s="151"/>
      <c r="C63" s="293" t="str">
        <f>'Bill_Bos G3 p1'!C61</f>
        <v>Energy Efficiency Reconciliation Factor</v>
      </c>
      <c r="D63" s="293"/>
      <c r="E63" s="483"/>
      <c r="F63" s="374"/>
      <c r="G63" s="308">
        <v>8.4600000000000005E-3</v>
      </c>
      <c r="H63" s="400"/>
      <c r="I63" s="308">
        <v>8.4600000000000005E-3</v>
      </c>
      <c r="J63" s="354">
        <f t="shared" si="20"/>
        <v>0</v>
      </c>
      <c r="K63" s="374"/>
      <c r="L63" s="374"/>
      <c r="M63" s="374"/>
      <c r="O63" s="233"/>
      <c r="P63" s="426"/>
      <c r="Q63" s="426"/>
    </row>
    <row r="64" spans="1:17" ht="14" x14ac:dyDescent="0.3">
      <c r="A64" s="151">
        <f>IF(C64&lt;&gt;"",COUNTA($C$12:C64),"")</f>
        <v>50</v>
      </c>
      <c r="B64" s="151"/>
      <c r="C64" s="293" t="str">
        <f>'Bill_Bos G3 p1'!C62</f>
        <v>System Benefits Charge</v>
      </c>
      <c r="D64" s="293"/>
      <c r="E64" s="483"/>
      <c r="F64" s="374"/>
      <c r="G64" s="308">
        <v>2.5000000000000001E-3</v>
      </c>
      <c r="H64" s="400"/>
      <c r="I64" s="308">
        <f>+G64</f>
        <v>2.5000000000000001E-3</v>
      </c>
      <c r="J64" s="354">
        <f t="shared" si="20"/>
        <v>0</v>
      </c>
      <c r="K64" s="374"/>
      <c r="L64" s="374"/>
      <c r="M64" s="374"/>
      <c r="O64" s="233"/>
      <c r="P64" s="426"/>
      <c r="Q64" s="426"/>
    </row>
    <row r="65" spans="1:17" ht="14" x14ac:dyDescent="0.3">
      <c r="A65" s="151">
        <f>IF(C65&lt;&gt;"",COUNTA($C$12:C65),"")</f>
        <v>51</v>
      </c>
      <c r="B65" s="151"/>
      <c r="C65" s="293" t="str">
        <f>'Bill_Bos G3 p1'!C63</f>
        <v>Renewable Energy Charge</v>
      </c>
      <c r="D65" s="293"/>
      <c r="E65" s="483"/>
      <c r="F65" s="374"/>
      <c r="G65" s="308">
        <v>5.0000000000000001E-4</v>
      </c>
      <c r="H65" s="400"/>
      <c r="I65" s="308">
        <f>+G65</f>
        <v>5.0000000000000001E-4</v>
      </c>
      <c r="J65" s="354">
        <f t="shared" si="20"/>
        <v>0</v>
      </c>
      <c r="K65" s="374"/>
      <c r="L65" s="374"/>
      <c r="M65" s="374"/>
      <c r="O65" s="233"/>
      <c r="P65" s="426"/>
      <c r="Q65" s="426"/>
    </row>
    <row r="66" spans="1:17" ht="14" x14ac:dyDescent="0.3">
      <c r="A66" s="151">
        <f>IF(C66&lt;&gt;"",COUNTA($C$12:C66),"")</f>
        <v>52</v>
      </c>
      <c r="B66" s="151"/>
      <c r="C66" s="293" t="str">
        <f>'Bill_Bos G3 p1'!C64</f>
        <v>Basic Service Charge</v>
      </c>
      <c r="D66" s="293"/>
      <c r="E66" s="483"/>
      <c r="F66" s="374"/>
      <c r="G66" s="308">
        <v>0.1326</v>
      </c>
      <c r="H66" s="400"/>
      <c r="I66" s="308">
        <v>0.17265000000000003</v>
      </c>
      <c r="J66" s="354">
        <f t="shared" si="20"/>
        <v>4.005000000000003E-2</v>
      </c>
      <c r="K66" s="374"/>
      <c r="L66" s="374"/>
      <c r="M66" s="374"/>
      <c r="O66" s="233"/>
      <c r="P66" s="426"/>
      <c r="Q66" s="426"/>
    </row>
    <row r="67" spans="1:17" ht="14" x14ac:dyDescent="0.3">
      <c r="A67" s="151"/>
      <c r="B67" s="151"/>
      <c r="E67" s="374"/>
      <c r="F67" s="374"/>
      <c r="G67" s="374"/>
      <c r="H67" s="374"/>
      <c r="I67" s="374"/>
      <c r="J67" s="374"/>
      <c r="K67" s="374"/>
      <c r="L67" s="374"/>
      <c r="M67" s="374"/>
    </row>
    <row r="68" spans="1:17" ht="14" x14ac:dyDescent="0.3">
      <c r="A68" s="151"/>
      <c r="B68" s="151"/>
      <c r="E68" s="374"/>
      <c r="F68" s="374"/>
      <c r="G68" s="374"/>
      <c r="H68" s="374"/>
      <c r="I68" s="374"/>
      <c r="J68" s="374"/>
      <c r="K68" s="374"/>
      <c r="L68" s="374"/>
      <c r="M68" s="374"/>
    </row>
    <row r="69" spans="1:17" ht="14" x14ac:dyDescent="0.3">
      <c r="C69" s="369" t="str">
        <f>'Bill_Bos G3 p1'!C67</f>
        <v>Total Demand - Winter</v>
      </c>
      <c r="E69" s="374"/>
      <c r="F69" s="374"/>
      <c r="G69" s="374">
        <f>G44+G46</f>
        <v>20.079999999999998</v>
      </c>
      <c r="H69" s="374"/>
      <c r="I69" s="374">
        <f>I44+I46</f>
        <v>19.190000000000001</v>
      </c>
      <c r="J69" s="421">
        <f t="shared" ref="J69:J72" si="21">I69-G69</f>
        <v>-0.88999999999999702</v>
      </c>
      <c r="K69" s="374"/>
      <c r="L69" s="374"/>
      <c r="M69" s="374"/>
    </row>
    <row r="70" spans="1:17" ht="14" x14ac:dyDescent="0.3">
      <c r="C70" s="369" t="str">
        <f>'Bill_Bos G3 p1'!C68</f>
        <v>Total Demand - Summer</v>
      </c>
      <c r="E70" s="374"/>
      <c r="F70" s="374"/>
      <c r="G70" s="374">
        <f>+G45+G46</f>
        <v>28.45</v>
      </c>
      <c r="H70" s="374"/>
      <c r="I70" s="374">
        <f>+I45+I46</f>
        <v>27.84</v>
      </c>
      <c r="J70" s="421">
        <f t="shared" si="21"/>
        <v>-0.60999999999999943</v>
      </c>
      <c r="K70" s="374"/>
      <c r="L70" s="374"/>
      <c r="M70" s="374"/>
    </row>
    <row r="71" spans="1:17" ht="14" x14ac:dyDescent="0.3">
      <c r="C71" s="369" t="str">
        <f>'Bill_Bos G3 p1'!C69</f>
        <v>Total Energy</v>
      </c>
      <c r="E71" s="374"/>
      <c r="F71" s="374"/>
      <c r="G71" s="403">
        <f>SUM(G47:G62,G63:G65)</f>
        <v>2.3500000000000004E-2</v>
      </c>
      <c r="H71" s="403"/>
      <c r="I71" s="403">
        <f>SUM(I47:I62,I63:I65)</f>
        <v>2.4250000000000001E-2</v>
      </c>
      <c r="J71" s="354">
        <f t="shared" si="21"/>
        <v>7.499999999999972E-4</v>
      </c>
      <c r="K71" s="374"/>
      <c r="L71" s="374"/>
      <c r="M71" s="374"/>
    </row>
    <row r="72" spans="1:17" ht="14" x14ac:dyDescent="0.3">
      <c r="C72" s="369" t="str">
        <f>'Bill_Bos G3 p1'!C70</f>
        <v>Total Basic Service</v>
      </c>
      <c r="E72" s="374"/>
      <c r="F72" s="374"/>
      <c r="G72" s="403">
        <f>G66</f>
        <v>0.1326</v>
      </c>
      <c r="H72" s="403"/>
      <c r="I72" s="403">
        <f>I66</f>
        <v>0.17265000000000003</v>
      </c>
      <c r="J72" s="354">
        <f t="shared" si="21"/>
        <v>4.005000000000003E-2</v>
      </c>
      <c r="K72" s="374"/>
      <c r="L72" s="374"/>
      <c r="M72" s="374"/>
    </row>
    <row r="73" spans="1:17" ht="14" x14ac:dyDescent="0.3">
      <c r="E73" s="374"/>
      <c r="F73" s="374"/>
      <c r="G73" s="374"/>
      <c r="H73" s="374"/>
      <c r="I73" s="374"/>
      <c r="J73" s="374"/>
      <c r="K73" s="374"/>
      <c r="L73" s="374"/>
      <c r="M73" s="374"/>
    </row>
    <row r="74" spans="1:17" ht="14" x14ac:dyDescent="0.3">
      <c r="E74" s="374"/>
      <c r="F74" s="374"/>
      <c r="G74" s="374"/>
      <c r="H74" s="374"/>
      <c r="I74" s="374"/>
      <c r="J74" s="374"/>
      <c r="K74" s="374"/>
      <c r="L74" s="374"/>
      <c r="M74" s="374"/>
    </row>
    <row r="75" spans="1:17" ht="14" x14ac:dyDescent="0.3">
      <c r="E75" s="374"/>
      <c r="F75" s="374"/>
      <c r="G75" s="374"/>
      <c r="H75" s="374"/>
      <c r="I75" s="374"/>
      <c r="J75" s="374"/>
      <c r="K75" s="374"/>
      <c r="L75" s="374"/>
      <c r="M75" s="374"/>
    </row>
    <row r="76" spans="1:17" ht="14" x14ac:dyDescent="0.3">
      <c r="E76" s="374"/>
      <c r="F76" s="374"/>
      <c r="G76" s="374"/>
      <c r="H76" s="374"/>
      <c r="I76" s="374"/>
      <c r="J76" s="374"/>
      <c r="K76" s="374"/>
      <c r="L76" s="374"/>
      <c r="M76" s="374"/>
    </row>
    <row r="77" spans="1:17" ht="14" x14ac:dyDescent="0.3">
      <c r="E77" s="374"/>
      <c r="F77" s="374"/>
      <c r="G77" s="374"/>
      <c r="H77" s="374"/>
      <c r="I77" s="374"/>
      <c r="J77" s="374"/>
      <c r="K77" s="374"/>
      <c r="L77" s="374"/>
      <c r="M77" s="374"/>
    </row>
    <row r="78" spans="1:17" ht="14" x14ac:dyDescent="0.3">
      <c r="E78" s="374"/>
      <c r="F78" s="374"/>
      <c r="G78" s="374"/>
      <c r="H78" s="374"/>
      <c r="I78" s="374"/>
      <c r="J78" s="374"/>
      <c r="K78" s="374"/>
      <c r="L78" s="374"/>
      <c r="M78" s="374"/>
    </row>
    <row r="79" spans="1:17" ht="14" x14ac:dyDescent="0.3">
      <c r="E79" s="374"/>
      <c r="F79" s="374"/>
      <c r="G79" s="374"/>
      <c r="H79" s="374"/>
      <c r="I79" s="374"/>
      <c r="J79" s="374"/>
      <c r="K79" s="374"/>
      <c r="L79" s="374"/>
      <c r="M79" s="374"/>
    </row>
    <row r="80" spans="1:17" ht="14" x14ac:dyDescent="0.3">
      <c r="E80" s="374"/>
      <c r="F80" s="374"/>
      <c r="G80" s="374"/>
      <c r="H80" s="374"/>
      <c r="I80" s="374"/>
      <c r="J80" s="374"/>
      <c r="K80" s="374"/>
      <c r="L80" s="374"/>
      <c r="M80" s="374"/>
    </row>
  </sheetData>
  <mergeCells count="5">
    <mergeCell ref="A4:N4"/>
    <mergeCell ref="A5:N5"/>
    <mergeCell ref="A6:N6"/>
    <mergeCell ref="A8:N8"/>
    <mergeCell ref="A9:N9"/>
  </mergeCells>
  <pageMargins left="0.7" right="0.7" top="0.75" bottom="0.75" header="0.3" footer="0.3"/>
  <pageSetup scale="63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330B2-0DD0-4E3D-A9D1-75F01FE709B1}">
  <sheetPr>
    <tabColor theme="3" tint="0.59999389629810485"/>
    <pageSetUpPr fitToPage="1"/>
  </sheetPr>
  <dimension ref="A4:Z80"/>
  <sheetViews>
    <sheetView zoomScaleNormal="100" workbookViewId="0"/>
  </sheetViews>
  <sheetFormatPr defaultRowHeight="12.5" x14ac:dyDescent="0.25"/>
  <cols>
    <col min="1" max="1" width="4" customWidth="1"/>
    <col min="2" max="2" width="4.453125" bestFit="1" customWidth="1"/>
    <col min="3" max="3" width="9.453125" customWidth="1"/>
    <col min="4" max="4" width="10.7265625" customWidth="1"/>
    <col min="5" max="7" width="14.7265625" customWidth="1"/>
    <col min="8" max="8" width="1.7265625" customWidth="1"/>
    <col min="9" max="11" width="14.7265625" customWidth="1"/>
    <col min="12" max="12" width="1.7265625" customWidth="1"/>
    <col min="13" max="13" width="12.54296875" bestFit="1" customWidth="1"/>
    <col min="14" max="14" width="11.7265625" customWidth="1"/>
    <col min="15" max="15" width="10.81640625" bestFit="1" customWidth="1"/>
    <col min="16" max="16" width="13.7265625" bestFit="1" customWidth="1"/>
    <col min="17" max="17" width="13.26953125" bestFit="1" customWidth="1"/>
    <col min="18" max="18" width="13.7265625" bestFit="1" customWidth="1"/>
    <col min="19" max="19" width="13" bestFit="1" customWidth="1"/>
    <col min="20" max="20" width="8.453125" bestFit="1" customWidth="1"/>
    <col min="21" max="21" width="10.81640625" bestFit="1" customWidth="1"/>
    <col min="22" max="22" width="13" bestFit="1" customWidth="1"/>
    <col min="23" max="23" width="12.54296875" bestFit="1" customWidth="1"/>
    <col min="24" max="24" width="13.7265625" bestFit="1" customWidth="1"/>
    <col min="25" max="25" width="13" bestFit="1" customWidth="1"/>
    <col min="26" max="26" width="8.453125" bestFit="1" customWidth="1"/>
  </cols>
  <sheetData>
    <row r="4" spans="1:26" ht="14" x14ac:dyDescent="0.3">
      <c r="A4" s="762" t="str">
        <f>'Bill_Bos T2 p1'!A4:N4</f>
        <v>Eastern Massachusetts</v>
      </c>
      <c r="B4" s="762"/>
      <c r="C4" s="762"/>
      <c r="D4" s="762"/>
      <c r="E4" s="762"/>
      <c r="F4" s="762"/>
      <c r="G4" s="762"/>
      <c r="H4" s="762"/>
      <c r="I4" s="762"/>
      <c r="J4" s="762"/>
      <c r="K4" s="762"/>
      <c r="L4" s="762"/>
      <c r="M4" s="762"/>
      <c r="N4" s="762"/>
    </row>
    <row r="5" spans="1:26" ht="14" x14ac:dyDescent="0.3">
      <c r="A5" s="762" t="str">
        <f>+'Bill_Bos G1 nonDem'!A5</f>
        <v>Calculation of Monthly Typical Bill</v>
      </c>
      <c r="B5" s="762"/>
      <c r="C5" s="762"/>
      <c r="D5" s="762"/>
      <c r="E5" s="762"/>
      <c r="F5" s="762"/>
      <c r="G5" s="762"/>
      <c r="H5" s="762"/>
      <c r="I5" s="762"/>
      <c r="J5" s="762"/>
      <c r="K5" s="762"/>
      <c r="L5" s="762"/>
      <c r="M5" s="762"/>
      <c r="N5" s="762"/>
    </row>
    <row r="6" spans="1:26" ht="14" x14ac:dyDescent="0.3">
      <c r="A6" s="762" t="str">
        <f>+'Bill_Bos G1 nonDem'!A6</f>
        <v>Proposed January 1, 2019</v>
      </c>
      <c r="B6" s="762"/>
      <c r="C6" s="762"/>
      <c r="D6" s="762"/>
      <c r="E6" s="762"/>
      <c r="F6" s="762"/>
      <c r="G6" s="762"/>
      <c r="H6" s="762"/>
      <c r="I6" s="762"/>
      <c r="J6" s="762"/>
      <c r="K6" s="762"/>
      <c r="L6" s="762"/>
      <c r="M6" s="762"/>
      <c r="N6" s="762"/>
    </row>
    <row r="7" spans="1:26" ht="14" x14ac:dyDescent="0.3">
      <c r="A7" s="467"/>
      <c r="B7" s="467"/>
      <c r="C7" s="293"/>
      <c r="D7" s="293"/>
      <c r="E7" s="468"/>
      <c r="F7" s="243"/>
      <c r="G7" s="469"/>
      <c r="H7" s="293"/>
      <c r="I7" s="369"/>
      <c r="J7" s="369"/>
      <c r="K7" s="369"/>
      <c r="L7" s="369"/>
      <c r="M7" s="369"/>
      <c r="N7" s="369"/>
    </row>
    <row r="8" spans="1:26" ht="14" x14ac:dyDescent="0.3">
      <c r="A8" s="762" t="str">
        <f>+'Bill_Bos G1 nonDem'!A8</f>
        <v>Greater Boston Service Area</v>
      </c>
      <c r="B8" s="762"/>
      <c r="C8" s="762"/>
      <c r="D8" s="762"/>
      <c r="E8" s="762"/>
      <c r="F8" s="762"/>
      <c r="G8" s="762"/>
      <c r="H8" s="762"/>
      <c r="I8" s="762"/>
      <c r="J8" s="762"/>
      <c r="K8" s="762"/>
      <c r="L8" s="762"/>
      <c r="M8" s="762"/>
      <c r="N8" s="762"/>
    </row>
    <row r="9" spans="1:26" ht="14" x14ac:dyDescent="0.3">
      <c r="A9" s="762" t="str">
        <f>+'Bill_Bos T2 p1'!A9:N9</f>
        <v>Rate T-2 Time-of-Use - NEMA</v>
      </c>
      <c r="B9" s="762"/>
      <c r="C9" s="762"/>
      <c r="D9" s="762"/>
      <c r="E9" s="762"/>
      <c r="F9" s="762"/>
      <c r="G9" s="762"/>
      <c r="H9" s="762"/>
      <c r="I9" s="762"/>
      <c r="J9" s="762"/>
      <c r="K9" s="762"/>
      <c r="L9" s="762"/>
      <c r="M9" s="762"/>
      <c r="N9" s="762"/>
    </row>
    <row r="10" spans="1:26" ht="14" x14ac:dyDescent="0.3">
      <c r="A10" s="366"/>
      <c r="B10" s="366"/>
      <c r="D10" s="293"/>
      <c r="E10" s="293"/>
      <c r="F10" s="293"/>
      <c r="G10" s="367"/>
      <c r="H10" s="293"/>
    </row>
    <row r="11" spans="1:26" ht="14" x14ac:dyDescent="0.3">
      <c r="A11" s="366"/>
      <c r="B11" s="366"/>
      <c r="D11" s="293"/>
      <c r="E11" s="293"/>
      <c r="F11" s="293"/>
      <c r="G11" s="367"/>
      <c r="H11" s="293"/>
    </row>
    <row r="12" spans="1:26" ht="14" x14ac:dyDescent="0.3">
      <c r="A12" s="151">
        <f>IF(C12&lt;&gt;"",COUNTA($C12:C$12),"")</f>
        <v>1</v>
      </c>
      <c r="B12" s="151"/>
      <c r="C12" s="405" t="s">
        <v>578</v>
      </c>
      <c r="D12" s="293"/>
      <c r="E12" s="293"/>
      <c r="F12" s="293"/>
      <c r="G12" s="368"/>
      <c r="H12" s="293"/>
    </row>
    <row r="13" spans="1:26" ht="14" x14ac:dyDescent="0.3">
      <c r="A13" s="151">
        <f>IF(C13&lt;&gt;"",COUNTA($C$12:C13),"")</f>
        <v>2</v>
      </c>
      <c r="B13" s="151"/>
      <c r="C13" s="406" t="str">
        <f>+'Bill_Bos G1 nonDem'!C12</f>
        <v>Monthly</v>
      </c>
      <c r="D13" s="366" t="str">
        <f>+C13</f>
        <v>Monthly</v>
      </c>
      <c r="E13" s="407" t="str">
        <f>+'Bill_Bos G1 nonDem'!D12</f>
        <v>Current Monthly Bill (Winter)</v>
      </c>
      <c r="F13" s="440"/>
      <c r="G13" s="407"/>
      <c r="H13" s="293"/>
      <c r="I13" s="407" t="str">
        <f>+'Bill_Bos G1 nonDem'!H12</f>
        <v>Proposed Monthly Bill (Winter)</v>
      </c>
      <c r="J13" s="440"/>
      <c r="K13" s="407"/>
      <c r="M13" s="407" t="s">
        <v>550</v>
      </c>
      <c r="N13" s="440"/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</row>
    <row r="14" spans="1:26" ht="14" x14ac:dyDescent="0.3">
      <c r="A14" s="151">
        <f>IF(C14&lt;&gt;"",COUNTA($C$12:C14),"")</f>
        <v>3</v>
      </c>
      <c r="B14" s="151"/>
      <c r="C14" s="408" t="s">
        <v>534</v>
      </c>
      <c r="D14" s="370" t="s">
        <v>551</v>
      </c>
      <c r="E14" s="370" t="s">
        <v>552</v>
      </c>
      <c r="F14" s="370" t="s">
        <v>553</v>
      </c>
      <c r="G14" s="370" t="s">
        <v>47</v>
      </c>
      <c r="H14" s="293"/>
      <c r="I14" s="370" t="s">
        <v>552</v>
      </c>
      <c r="J14" s="370" t="s">
        <v>553</v>
      </c>
      <c r="K14" s="370" t="s">
        <v>47</v>
      </c>
      <c r="M14" s="370" t="s">
        <v>65</v>
      </c>
      <c r="N14" s="370" t="s">
        <v>325</v>
      </c>
      <c r="O14" s="369"/>
      <c r="P14" s="369"/>
      <c r="Q14" s="369"/>
      <c r="R14" s="369"/>
      <c r="S14" s="369"/>
      <c r="T14" s="369"/>
      <c r="U14" s="369"/>
      <c r="V14" s="369"/>
      <c r="W14" s="369"/>
      <c r="X14" s="369"/>
      <c r="Y14" s="369"/>
      <c r="Z14" s="369"/>
    </row>
    <row r="15" spans="1:26" ht="14" x14ac:dyDescent="0.3">
      <c r="A15" s="151">
        <f>IF(C15&lt;&gt;"",COUNTA($C$12:C15),"")</f>
        <v>4</v>
      </c>
      <c r="B15" s="151"/>
      <c r="C15" s="409">
        <f>+'Bill_Bos T2 p1'!C15</f>
        <v>50</v>
      </c>
      <c r="D15" s="409">
        <f>+C15*450</f>
        <v>22500</v>
      </c>
      <c r="E15" s="372">
        <f t="shared" ref="E15:E23" si="0">ROUND($C15*SUM($G$44,$G$46)+SUM($G$47:$G$62,$G$63:$G$65)*$D15,2)+ROUND(IF($C15&gt;1000,$G$43,IF($C15&gt;300,$G$42,IF($C15&gt;150,$G$41,$G$40))),2)</f>
        <v>1559.75</v>
      </c>
      <c r="F15" s="372">
        <f t="shared" ref="F15:F23" si="1">ROUND(G$66*D15,2)</f>
        <v>2983.5</v>
      </c>
      <c r="G15" s="372">
        <f t="shared" ref="G15:G23" si="2">SUM(E15:F15)</f>
        <v>4543.25</v>
      </c>
      <c r="H15" s="373"/>
      <c r="I15" s="372">
        <f t="shared" ref="I15:I23" si="3">ROUND($C15*SUM($I$44,$I$46)+SUM($I$47:$I$62,$I$63:$I$65)*$D15,2)+ROUND(IF($C15&gt;1000,$I$43,IF($C15&gt;300,$I$42,IF($C15&gt;150,$I$41,$I$40))),2)</f>
        <v>1532.13</v>
      </c>
      <c r="J15" s="372">
        <f t="shared" ref="J15:J23" si="4">ROUND(I$66*D15,2)</f>
        <v>3884.63</v>
      </c>
      <c r="K15" s="372">
        <f t="shared" ref="K15:K23" si="5">SUM(I15:J15)</f>
        <v>5416.76</v>
      </c>
      <c r="L15" s="374"/>
      <c r="M15" s="375">
        <f t="shared" ref="M15:M23" si="6">+K15-G15</f>
        <v>873.51000000000022</v>
      </c>
      <c r="N15" s="376">
        <f t="shared" ref="N15:N23" si="7">+M15/G15</f>
        <v>0.19226544874264023</v>
      </c>
      <c r="O15" s="377"/>
      <c r="P15" s="322"/>
      <c r="Q15" s="322"/>
      <c r="R15" s="322"/>
      <c r="S15" s="377"/>
      <c r="T15" s="378"/>
      <c r="U15" s="377"/>
      <c r="V15" s="325"/>
      <c r="W15" s="322"/>
      <c r="X15" s="322"/>
      <c r="Y15" s="377"/>
      <c r="Z15" s="374"/>
    </row>
    <row r="16" spans="1:26" ht="14" x14ac:dyDescent="0.3">
      <c r="A16" s="151">
        <f>IF(C16&lt;&gt;"",COUNTA($C$12:C16),"")</f>
        <v>5</v>
      </c>
      <c r="B16" s="151"/>
      <c r="C16" s="409">
        <f>+'Bill_Bos T2 p1'!C16</f>
        <v>100</v>
      </c>
      <c r="D16" s="409">
        <f t="shared" ref="D16:D23" si="8">+C16*450</f>
        <v>45000</v>
      </c>
      <c r="E16" s="372">
        <f t="shared" si="0"/>
        <v>3092.5</v>
      </c>
      <c r="F16" s="372">
        <f t="shared" si="1"/>
        <v>5967</v>
      </c>
      <c r="G16" s="372">
        <f t="shared" si="2"/>
        <v>9059.5</v>
      </c>
      <c r="H16" s="373"/>
      <c r="I16" s="372">
        <f t="shared" si="3"/>
        <v>3037.25</v>
      </c>
      <c r="J16" s="372">
        <f t="shared" si="4"/>
        <v>7769.25</v>
      </c>
      <c r="K16" s="372">
        <f t="shared" si="5"/>
        <v>10806.5</v>
      </c>
      <c r="L16" s="374"/>
      <c r="M16" s="375">
        <f t="shared" si="6"/>
        <v>1747</v>
      </c>
      <c r="N16" s="376">
        <f t="shared" si="7"/>
        <v>0.1928362492411281</v>
      </c>
      <c r="O16" s="377"/>
      <c r="P16" s="322"/>
      <c r="Q16" s="322"/>
      <c r="R16" s="322"/>
      <c r="S16" s="377"/>
      <c r="T16" s="378"/>
      <c r="U16" s="377"/>
      <c r="V16" s="325"/>
      <c r="W16" s="322"/>
      <c r="X16" s="322"/>
      <c r="Y16" s="377"/>
      <c r="Z16" s="374"/>
    </row>
    <row r="17" spans="1:26" ht="14" x14ac:dyDescent="0.3">
      <c r="A17" s="151">
        <f>IF(C17&lt;&gt;"",COUNTA($C$12:C17),"")</f>
        <v>6</v>
      </c>
      <c r="B17" s="151"/>
      <c r="C17" s="409">
        <f>+'Bill_Bos T2 p1'!C17</f>
        <v>150</v>
      </c>
      <c r="D17" s="409">
        <f t="shared" si="8"/>
        <v>67500</v>
      </c>
      <c r="E17" s="372">
        <f t="shared" si="0"/>
        <v>4625.25</v>
      </c>
      <c r="F17" s="372">
        <f t="shared" si="1"/>
        <v>8950.5</v>
      </c>
      <c r="G17" s="372">
        <f t="shared" si="2"/>
        <v>13575.75</v>
      </c>
      <c r="H17" s="373"/>
      <c r="I17" s="372">
        <f t="shared" si="3"/>
        <v>4542.38</v>
      </c>
      <c r="J17" s="372">
        <f t="shared" si="4"/>
        <v>11653.88</v>
      </c>
      <c r="K17" s="372">
        <f t="shared" si="5"/>
        <v>16196.259999999998</v>
      </c>
      <c r="L17" s="374"/>
      <c r="M17" s="375">
        <f t="shared" si="6"/>
        <v>2620.5099999999984</v>
      </c>
      <c r="N17" s="376">
        <f t="shared" si="7"/>
        <v>0.19302874610979123</v>
      </c>
      <c r="O17" s="377"/>
      <c r="P17" s="322"/>
      <c r="Q17" s="322"/>
      <c r="R17" s="322"/>
      <c r="S17" s="377"/>
      <c r="T17" s="378"/>
      <c r="U17" s="377"/>
      <c r="V17" s="325"/>
      <c r="W17" s="322"/>
      <c r="X17" s="322"/>
      <c r="Y17" s="377"/>
      <c r="Z17" s="374"/>
    </row>
    <row r="18" spans="1:26" ht="14" x14ac:dyDescent="0.3">
      <c r="A18" s="151">
        <f>IF(C18&lt;&gt;"",COUNTA($C$12:C18),"")</f>
        <v>7</v>
      </c>
      <c r="B18" s="151"/>
      <c r="C18" s="409">
        <f>+'Bill_Bos T2 p1'!C18</f>
        <v>200</v>
      </c>
      <c r="D18" s="409">
        <f t="shared" si="8"/>
        <v>90000</v>
      </c>
      <c r="E18" s="372">
        <f t="shared" si="0"/>
        <v>6241</v>
      </c>
      <c r="F18" s="372">
        <f t="shared" si="1"/>
        <v>11934</v>
      </c>
      <c r="G18" s="372">
        <f t="shared" si="2"/>
        <v>18175</v>
      </c>
      <c r="H18" s="373"/>
      <c r="I18" s="372">
        <f t="shared" si="3"/>
        <v>6130.5</v>
      </c>
      <c r="J18" s="372">
        <f t="shared" si="4"/>
        <v>15538.5</v>
      </c>
      <c r="K18" s="372">
        <f t="shared" si="5"/>
        <v>21669</v>
      </c>
      <c r="L18" s="374"/>
      <c r="M18" s="375">
        <f t="shared" si="6"/>
        <v>3494</v>
      </c>
      <c r="N18" s="376">
        <f t="shared" si="7"/>
        <v>0.19224209078404403</v>
      </c>
      <c r="O18" s="377"/>
      <c r="P18" s="322"/>
      <c r="Q18" s="322"/>
      <c r="R18" s="322"/>
      <c r="S18" s="377"/>
      <c r="T18" s="378"/>
      <c r="U18" s="377"/>
      <c r="V18" s="325"/>
      <c r="W18" s="322"/>
      <c r="X18" s="322"/>
      <c r="Y18" s="377"/>
      <c r="Z18" s="374"/>
    </row>
    <row r="19" spans="1:26" ht="14" x14ac:dyDescent="0.3">
      <c r="A19" s="151">
        <f>IF(C19&lt;&gt;"",COUNTA($C$12:C19),"")</f>
        <v>8</v>
      </c>
      <c r="B19" s="151"/>
      <c r="C19" s="409">
        <f>+'Bill_Bos T2 p1'!C19</f>
        <v>250</v>
      </c>
      <c r="D19" s="409">
        <f t="shared" si="8"/>
        <v>112500</v>
      </c>
      <c r="E19" s="372">
        <f t="shared" si="0"/>
        <v>7773.75</v>
      </c>
      <c r="F19" s="372">
        <f t="shared" si="1"/>
        <v>14917.5</v>
      </c>
      <c r="G19" s="372">
        <f t="shared" si="2"/>
        <v>22691.25</v>
      </c>
      <c r="H19" s="373"/>
      <c r="I19" s="372">
        <f t="shared" si="3"/>
        <v>7635.63</v>
      </c>
      <c r="J19" s="372">
        <f t="shared" si="4"/>
        <v>19423.13</v>
      </c>
      <c r="K19" s="372">
        <f t="shared" si="5"/>
        <v>27058.760000000002</v>
      </c>
      <c r="L19" s="374"/>
      <c r="M19" s="375">
        <f t="shared" si="6"/>
        <v>4367.510000000002</v>
      </c>
      <c r="N19" s="376">
        <f t="shared" si="7"/>
        <v>0.19247551368919746</v>
      </c>
      <c r="O19" s="377"/>
      <c r="P19" s="322"/>
      <c r="Q19" s="322"/>
      <c r="R19" s="322"/>
      <c r="S19" s="377"/>
      <c r="T19" s="378"/>
      <c r="U19" s="377"/>
      <c r="V19" s="325"/>
      <c r="W19" s="322"/>
      <c r="X19" s="322"/>
      <c r="Y19" s="377"/>
      <c r="Z19" s="374"/>
    </row>
    <row r="20" spans="1:26" ht="14" x14ac:dyDescent="0.3">
      <c r="A20" s="151">
        <f>IF(C20&lt;&gt;"",COUNTA($C$12:C20),"")</f>
        <v>9</v>
      </c>
      <c r="B20" s="151"/>
      <c r="C20" s="409">
        <f>+'Bill_Bos T2 p1'!C20</f>
        <v>300</v>
      </c>
      <c r="D20" s="409">
        <f t="shared" si="8"/>
        <v>135000</v>
      </c>
      <c r="E20" s="372">
        <f t="shared" si="0"/>
        <v>9306.5</v>
      </c>
      <c r="F20" s="372">
        <f t="shared" si="1"/>
        <v>17901</v>
      </c>
      <c r="G20" s="372">
        <f t="shared" si="2"/>
        <v>27207.5</v>
      </c>
      <c r="H20" s="373"/>
      <c r="I20" s="372">
        <f t="shared" si="3"/>
        <v>9140.75</v>
      </c>
      <c r="J20" s="372">
        <f t="shared" si="4"/>
        <v>23307.75</v>
      </c>
      <c r="K20" s="372">
        <f t="shared" si="5"/>
        <v>32448.5</v>
      </c>
      <c r="L20" s="374"/>
      <c r="M20" s="375">
        <f t="shared" si="6"/>
        <v>5241</v>
      </c>
      <c r="N20" s="376">
        <f t="shared" si="7"/>
        <v>0.19263070844436278</v>
      </c>
      <c r="O20" s="377"/>
      <c r="P20" s="322"/>
      <c r="Q20" s="322"/>
      <c r="R20" s="322"/>
      <c r="S20" s="377"/>
      <c r="T20" s="378"/>
      <c r="U20" s="377"/>
      <c r="V20" s="325"/>
      <c r="W20" s="322"/>
      <c r="X20" s="322"/>
      <c r="Y20" s="377"/>
      <c r="Z20" s="374"/>
    </row>
    <row r="21" spans="1:26" ht="14" x14ac:dyDescent="0.3">
      <c r="A21" s="151">
        <f>IF(C21&lt;&gt;"",COUNTA($C$12:C21),"")</f>
        <v>10</v>
      </c>
      <c r="B21" s="151"/>
      <c r="C21" s="409">
        <f>+'Bill_Bos T2 p1'!C21</f>
        <v>500</v>
      </c>
      <c r="D21" s="409">
        <f t="shared" si="8"/>
        <v>225000</v>
      </c>
      <c r="E21" s="372">
        <f t="shared" si="0"/>
        <v>15487.5</v>
      </c>
      <c r="F21" s="372">
        <f t="shared" si="1"/>
        <v>29835</v>
      </c>
      <c r="G21" s="372">
        <f t="shared" si="2"/>
        <v>45322.5</v>
      </c>
      <c r="H21" s="373"/>
      <c r="I21" s="372">
        <f t="shared" si="3"/>
        <v>15211.25</v>
      </c>
      <c r="J21" s="372">
        <f t="shared" si="4"/>
        <v>38846.25</v>
      </c>
      <c r="K21" s="372">
        <f t="shared" si="5"/>
        <v>54057.5</v>
      </c>
      <c r="L21" s="374"/>
      <c r="M21" s="375">
        <f t="shared" si="6"/>
        <v>8735</v>
      </c>
      <c r="N21" s="376">
        <f t="shared" si="7"/>
        <v>0.19272988030227811</v>
      </c>
      <c r="O21" s="377"/>
      <c r="P21" s="322"/>
      <c r="Q21" s="322"/>
      <c r="R21" s="322"/>
      <c r="S21" s="377"/>
      <c r="T21" s="378"/>
      <c r="U21" s="377"/>
      <c r="V21" s="325"/>
      <c r="W21" s="322"/>
      <c r="X21" s="322"/>
      <c r="Y21" s="377"/>
      <c r="Z21" s="374"/>
    </row>
    <row r="22" spans="1:26" ht="14" x14ac:dyDescent="0.3">
      <c r="A22" s="151">
        <f>IF(C22&lt;&gt;"",COUNTA($C$12:C22),"")</f>
        <v>11</v>
      </c>
      <c r="B22" s="151"/>
      <c r="C22" s="409">
        <f>+'Bill_Bos T2 p1'!C22</f>
        <v>1000</v>
      </c>
      <c r="D22" s="409">
        <f t="shared" si="8"/>
        <v>450000</v>
      </c>
      <c r="E22" s="372">
        <f t="shared" si="0"/>
        <v>30815</v>
      </c>
      <c r="F22" s="372">
        <f t="shared" si="1"/>
        <v>59670</v>
      </c>
      <c r="G22" s="372">
        <f t="shared" si="2"/>
        <v>90485</v>
      </c>
      <c r="H22" s="373"/>
      <c r="I22" s="372">
        <f t="shared" si="3"/>
        <v>30262.5</v>
      </c>
      <c r="J22" s="372">
        <f t="shared" si="4"/>
        <v>77692.5</v>
      </c>
      <c r="K22" s="372">
        <f t="shared" si="5"/>
        <v>107955</v>
      </c>
      <c r="L22" s="374"/>
      <c r="M22" s="375">
        <f t="shared" si="6"/>
        <v>17470</v>
      </c>
      <c r="N22" s="376">
        <f t="shared" si="7"/>
        <v>0.19307067469746367</v>
      </c>
      <c r="O22" s="377"/>
      <c r="P22" s="322"/>
      <c r="Q22" s="322"/>
      <c r="R22" s="322"/>
      <c r="S22" s="377"/>
      <c r="T22" s="378"/>
      <c r="U22" s="377"/>
      <c r="V22" s="325"/>
      <c r="W22" s="322"/>
      <c r="X22" s="322"/>
      <c r="Y22" s="377"/>
      <c r="Z22" s="374"/>
    </row>
    <row r="23" spans="1:26" ht="14" x14ac:dyDescent="0.3">
      <c r="A23" s="151">
        <f>IF(C23&lt;&gt;"",COUNTA($C$12:C23),"")</f>
        <v>12</v>
      </c>
      <c r="B23" s="151" t="s">
        <v>554</v>
      </c>
      <c r="C23" s="409">
        <v>281</v>
      </c>
      <c r="D23" s="409">
        <f t="shared" si="8"/>
        <v>126450</v>
      </c>
      <c r="E23" s="372">
        <f t="shared" si="0"/>
        <v>8724.06</v>
      </c>
      <c r="F23" s="372">
        <f t="shared" si="1"/>
        <v>16767.27</v>
      </c>
      <c r="G23" s="372">
        <f t="shared" si="2"/>
        <v>25491.33</v>
      </c>
      <c r="H23" s="373"/>
      <c r="I23" s="372">
        <f t="shared" si="3"/>
        <v>8568.7999999999993</v>
      </c>
      <c r="J23" s="372">
        <f t="shared" si="4"/>
        <v>21831.59</v>
      </c>
      <c r="K23" s="372">
        <f t="shared" si="5"/>
        <v>30400.39</v>
      </c>
      <c r="L23" s="374"/>
      <c r="M23" s="375">
        <f t="shared" si="6"/>
        <v>4909.0599999999977</v>
      </c>
      <c r="N23" s="376">
        <f t="shared" si="7"/>
        <v>0.19257763325805274</v>
      </c>
      <c r="O23" s="377"/>
      <c r="P23" s="322"/>
      <c r="Q23" s="322"/>
      <c r="R23" s="322"/>
      <c r="S23" s="377"/>
      <c r="T23" s="378"/>
      <c r="U23" s="377"/>
      <c r="V23" s="325"/>
      <c r="W23" s="322"/>
      <c r="X23" s="322"/>
      <c r="Y23" s="377"/>
      <c r="Z23" s="374"/>
    </row>
    <row r="24" spans="1:26" ht="14" x14ac:dyDescent="0.3">
      <c r="A24" s="151" t="str">
        <f>IF(C24&lt;&gt;"",COUNTA($C$12:C24),"")</f>
        <v/>
      </c>
      <c r="B24" s="151"/>
      <c r="C24" s="293"/>
      <c r="D24" s="409"/>
      <c r="E24" s="372"/>
      <c r="F24" s="372"/>
      <c r="G24" s="372"/>
      <c r="H24" s="373"/>
      <c r="I24" s="372"/>
      <c r="J24" s="374"/>
      <c r="K24" s="374"/>
      <c r="L24" s="374"/>
      <c r="M24" s="374"/>
      <c r="O24" s="369"/>
      <c r="P24" s="369"/>
      <c r="Q24" s="369"/>
      <c r="R24" s="369"/>
      <c r="S24" s="369"/>
      <c r="T24" s="369"/>
      <c r="U24" s="369"/>
      <c r="V24" s="369"/>
      <c r="W24" s="369"/>
      <c r="X24" s="369"/>
      <c r="Y24" s="369"/>
      <c r="Z24" s="369"/>
    </row>
    <row r="25" spans="1:26" ht="14" x14ac:dyDescent="0.3">
      <c r="A25" s="151">
        <f>IF(C25&lt;&gt;"",COUNTA($C$12:C25),"")</f>
        <v>13</v>
      </c>
      <c r="B25" s="151"/>
      <c r="C25" s="366" t="str">
        <f>+C13</f>
        <v>Monthly</v>
      </c>
      <c r="D25" s="366" t="str">
        <f>+D13</f>
        <v>Monthly</v>
      </c>
      <c r="E25" s="485" t="str">
        <f>+'Bill_Bos G1 nonDem'!D26</f>
        <v>Current Monthly Bill (Summer)</v>
      </c>
      <c r="F25" s="486"/>
      <c r="G25" s="485"/>
      <c r="H25" s="448"/>
      <c r="I25" s="485" t="str">
        <f>+'Bill_Bos G1 nonDem'!H26</f>
        <v>Proposed Monthly Bill (Summer)</v>
      </c>
      <c r="J25" s="486"/>
      <c r="K25" s="486"/>
      <c r="L25" s="374"/>
      <c r="M25" s="485" t="s">
        <v>550</v>
      </c>
      <c r="N25" s="440"/>
      <c r="O25" s="369"/>
      <c r="P25" s="369"/>
      <c r="Q25" s="369"/>
      <c r="R25" s="369"/>
      <c r="S25" s="369"/>
      <c r="T25" s="369"/>
      <c r="U25" s="369"/>
      <c r="V25" s="369"/>
      <c r="W25" s="369"/>
      <c r="X25" s="369"/>
      <c r="Y25" s="369"/>
      <c r="Z25" s="369"/>
    </row>
    <row r="26" spans="1:26" ht="14" x14ac:dyDescent="0.3">
      <c r="A26" s="151">
        <f>IF(C26&lt;&gt;"",COUNTA($C$12:C26),"")</f>
        <v>14</v>
      </c>
      <c r="B26" s="151"/>
      <c r="C26" s="370" t="s">
        <v>534</v>
      </c>
      <c r="D26" s="370" t="s">
        <v>551</v>
      </c>
      <c r="E26" s="442" t="s">
        <v>552</v>
      </c>
      <c r="F26" s="442" t="s">
        <v>553</v>
      </c>
      <c r="G26" s="442" t="s">
        <v>47</v>
      </c>
      <c r="H26" s="448"/>
      <c r="I26" s="442" t="s">
        <v>552</v>
      </c>
      <c r="J26" s="442" t="s">
        <v>553</v>
      </c>
      <c r="K26" s="442" t="s">
        <v>47</v>
      </c>
      <c r="L26" s="374"/>
      <c r="M26" s="442" t="s">
        <v>65</v>
      </c>
      <c r="N26" s="370" t="s">
        <v>325</v>
      </c>
      <c r="O26" s="378"/>
      <c r="P26" s="369"/>
      <c r="Q26" s="369"/>
      <c r="R26" s="369"/>
      <c r="S26" s="369"/>
      <c r="T26" s="369"/>
      <c r="U26" s="369"/>
      <c r="V26" s="369"/>
      <c r="W26" s="369"/>
      <c r="X26" s="369"/>
      <c r="Y26" s="369"/>
      <c r="Z26" s="369"/>
    </row>
    <row r="27" spans="1:26" ht="14" x14ac:dyDescent="0.3">
      <c r="A27" s="151">
        <f>IF(C27&lt;&gt;"",COUNTA($C$12:C27),"")</f>
        <v>15</v>
      </c>
      <c r="B27" s="151"/>
      <c r="C27" s="409">
        <f>+'Bill_Bos T2 p1'!C27</f>
        <v>50</v>
      </c>
      <c r="D27" s="409">
        <f>+C27*450</f>
        <v>22500</v>
      </c>
      <c r="E27" s="372">
        <f t="shared" ref="E27:E35" si="9">ROUND($C27*SUM($G$45,$G$46)+SUM($G$47:$G$62,$G$63:$G$65)*$D27,2)+ROUND(IF($C27&gt;1000,$G$43,IF($C27&gt;300,$G$42,IF($C27&gt;150,$G$41,$G$40))),2)</f>
        <v>1978.25</v>
      </c>
      <c r="F27" s="372">
        <f t="shared" ref="F27:F35" si="10">ROUND($G$66*D27,2)</f>
        <v>2983.5</v>
      </c>
      <c r="G27" s="372">
        <f t="shared" ref="G27:G35" si="11">SUM(E27:F27)</f>
        <v>4961.75</v>
      </c>
      <c r="H27" s="373"/>
      <c r="I27" s="372">
        <f t="shared" ref="I27:I35" si="12">ROUND($C27*SUM($I$45,$I$46)+SUM($I$47:$I$62,$I$63:$I$65)*$D27,2)+ROUND(IF($C27&gt;1000,$I$43,IF($C27&gt;300,$I$42,IF($C27&gt;150,$I$41,$I$40))),2)</f>
        <v>1964.63</v>
      </c>
      <c r="J27" s="372">
        <f t="shared" ref="J27:J35" si="13">ROUND(I$66*D27,2)</f>
        <v>3884.63</v>
      </c>
      <c r="K27" s="372">
        <f t="shared" ref="K27:K35" si="14">SUM(I27:J27)</f>
        <v>5849.26</v>
      </c>
      <c r="L27" s="374"/>
      <c r="M27" s="375">
        <f t="shared" ref="M27:M35" si="15">+K27-G27</f>
        <v>887.51000000000022</v>
      </c>
      <c r="N27" s="376">
        <f t="shared" ref="N27:N35" si="16">+M27/G27</f>
        <v>0.17887035824054018</v>
      </c>
      <c r="O27" s="377"/>
      <c r="P27" s="322"/>
      <c r="Q27" s="322"/>
      <c r="R27" s="322"/>
      <c r="S27" s="377"/>
      <c r="T27" s="378"/>
      <c r="U27" s="377"/>
      <c r="V27" s="325"/>
      <c r="W27" s="322"/>
      <c r="X27" s="322"/>
      <c r="Y27" s="377"/>
      <c r="Z27" s="374"/>
    </row>
    <row r="28" spans="1:26" ht="14" x14ac:dyDescent="0.3">
      <c r="A28" s="151">
        <f>IF(C28&lt;&gt;"",COUNTA($C$12:C28),"")</f>
        <v>16</v>
      </c>
      <c r="B28" s="151"/>
      <c r="C28" s="409">
        <f>+'Bill_Bos T2 p1'!C28</f>
        <v>100</v>
      </c>
      <c r="D28" s="409">
        <f t="shared" ref="D28:D35" si="17">+C28*450</f>
        <v>45000</v>
      </c>
      <c r="E28" s="372">
        <f t="shared" si="9"/>
        <v>3929.5</v>
      </c>
      <c r="F28" s="372">
        <f t="shared" si="10"/>
        <v>5967</v>
      </c>
      <c r="G28" s="372">
        <f t="shared" si="11"/>
        <v>9896.5</v>
      </c>
      <c r="H28" s="373"/>
      <c r="I28" s="372">
        <f t="shared" si="12"/>
        <v>3902.25</v>
      </c>
      <c r="J28" s="372">
        <f t="shared" si="13"/>
        <v>7769.25</v>
      </c>
      <c r="K28" s="372">
        <f t="shared" si="14"/>
        <v>11671.5</v>
      </c>
      <c r="L28" s="374"/>
      <c r="M28" s="375">
        <f t="shared" si="15"/>
        <v>1775</v>
      </c>
      <c r="N28" s="376">
        <f t="shared" si="16"/>
        <v>0.17935633809932805</v>
      </c>
      <c r="O28" s="377"/>
      <c r="P28" s="322"/>
      <c r="Q28" s="322"/>
      <c r="R28" s="322"/>
      <c r="S28" s="377"/>
      <c r="T28" s="378"/>
      <c r="U28" s="377"/>
      <c r="V28" s="325"/>
      <c r="W28" s="322"/>
      <c r="X28" s="322"/>
      <c r="Y28" s="377"/>
      <c r="Z28" s="374"/>
    </row>
    <row r="29" spans="1:26" ht="14" x14ac:dyDescent="0.3">
      <c r="A29" s="151">
        <f>IF(C29&lt;&gt;"",COUNTA($C$12:C29),"")</f>
        <v>17</v>
      </c>
      <c r="B29" s="151"/>
      <c r="C29" s="409">
        <f>+'Bill_Bos T2 p1'!C29</f>
        <v>150</v>
      </c>
      <c r="D29" s="409">
        <f t="shared" si="17"/>
        <v>67500</v>
      </c>
      <c r="E29" s="372">
        <f t="shared" si="9"/>
        <v>5880.75</v>
      </c>
      <c r="F29" s="372">
        <f t="shared" si="10"/>
        <v>8950.5</v>
      </c>
      <c r="G29" s="372">
        <f t="shared" si="11"/>
        <v>14831.25</v>
      </c>
      <c r="H29" s="373"/>
      <c r="I29" s="372">
        <f t="shared" si="12"/>
        <v>5839.88</v>
      </c>
      <c r="J29" s="372">
        <f t="shared" si="13"/>
        <v>11653.88</v>
      </c>
      <c r="K29" s="372">
        <f t="shared" si="14"/>
        <v>17493.759999999998</v>
      </c>
      <c r="L29" s="374"/>
      <c r="M29" s="375">
        <f t="shared" si="15"/>
        <v>2662.5099999999984</v>
      </c>
      <c r="N29" s="376">
        <f t="shared" si="16"/>
        <v>0.17952026970080057</v>
      </c>
      <c r="O29" s="377"/>
      <c r="P29" s="322"/>
      <c r="Q29" s="322"/>
      <c r="R29" s="322"/>
      <c r="S29" s="377"/>
      <c r="T29" s="378"/>
      <c r="U29" s="377"/>
      <c r="V29" s="325"/>
      <c r="W29" s="322"/>
      <c r="X29" s="322"/>
      <c r="Y29" s="377"/>
      <c r="Z29" s="374"/>
    </row>
    <row r="30" spans="1:26" ht="14" x14ac:dyDescent="0.3">
      <c r="A30" s="151">
        <f>IF(C30&lt;&gt;"",COUNTA($C$12:C30),"")</f>
        <v>18</v>
      </c>
      <c r="B30" s="151"/>
      <c r="C30" s="409">
        <f>+'Bill_Bos T2 p1'!C30</f>
        <v>200</v>
      </c>
      <c r="D30" s="409">
        <f t="shared" si="17"/>
        <v>90000</v>
      </c>
      <c r="E30" s="372">
        <f t="shared" si="9"/>
        <v>7915</v>
      </c>
      <c r="F30" s="372">
        <f t="shared" si="10"/>
        <v>11934</v>
      </c>
      <c r="G30" s="372">
        <f t="shared" si="11"/>
        <v>19849</v>
      </c>
      <c r="H30" s="373"/>
      <c r="I30" s="372">
        <f t="shared" si="12"/>
        <v>7860.5</v>
      </c>
      <c r="J30" s="372">
        <f t="shared" si="13"/>
        <v>15538.5</v>
      </c>
      <c r="K30" s="372">
        <f t="shared" si="14"/>
        <v>23399</v>
      </c>
      <c r="L30" s="374"/>
      <c r="M30" s="375">
        <f t="shared" si="15"/>
        <v>3550</v>
      </c>
      <c r="N30" s="376">
        <f t="shared" si="16"/>
        <v>0.17885031991536099</v>
      </c>
      <c r="O30" s="377"/>
      <c r="P30" s="322"/>
      <c r="Q30" s="322"/>
      <c r="R30" s="322"/>
      <c r="S30" s="377"/>
      <c r="T30" s="378"/>
      <c r="U30" s="377"/>
      <c r="V30" s="325"/>
      <c r="W30" s="322"/>
      <c r="X30" s="322"/>
      <c r="Y30" s="377"/>
      <c r="Z30" s="374"/>
    </row>
    <row r="31" spans="1:26" ht="14" x14ac:dyDescent="0.3">
      <c r="A31" s="151">
        <f>IF(C31&lt;&gt;"",COUNTA($C$12:C31),"")</f>
        <v>19</v>
      </c>
      <c r="B31" s="151"/>
      <c r="C31" s="409">
        <f>+'Bill_Bos T2 p1'!C31</f>
        <v>250</v>
      </c>
      <c r="D31" s="409">
        <f t="shared" si="17"/>
        <v>112500</v>
      </c>
      <c r="E31" s="372">
        <f t="shared" si="9"/>
        <v>9866.25</v>
      </c>
      <c r="F31" s="380">
        <f t="shared" si="10"/>
        <v>14917.5</v>
      </c>
      <c r="G31" s="380">
        <f t="shared" si="11"/>
        <v>24783.75</v>
      </c>
      <c r="H31" s="381"/>
      <c r="I31" s="372">
        <f t="shared" si="12"/>
        <v>9798.1299999999992</v>
      </c>
      <c r="J31" s="380">
        <f t="shared" si="13"/>
        <v>19423.13</v>
      </c>
      <c r="K31" s="380">
        <f t="shared" si="14"/>
        <v>29221.260000000002</v>
      </c>
      <c r="L31" s="382"/>
      <c r="M31" s="383">
        <f t="shared" si="15"/>
        <v>4437.510000000002</v>
      </c>
      <c r="N31" s="384">
        <f t="shared" si="16"/>
        <v>0.17904917536692397</v>
      </c>
      <c r="O31" s="377"/>
      <c r="P31" s="322"/>
      <c r="Q31" s="322"/>
      <c r="R31" s="322"/>
      <c r="S31" s="377"/>
      <c r="T31" s="378"/>
      <c r="U31" s="377"/>
      <c r="V31" s="325"/>
      <c r="W31" s="322"/>
      <c r="X31" s="322"/>
      <c r="Y31" s="377"/>
      <c r="Z31" s="374"/>
    </row>
    <row r="32" spans="1:26" ht="14" x14ac:dyDescent="0.3">
      <c r="A32" s="151">
        <f>IF(C32&lt;&gt;"",COUNTA($C$12:C32),"")</f>
        <v>20</v>
      </c>
      <c r="B32" s="151"/>
      <c r="C32" s="409">
        <f>+'Bill_Bos T2 p1'!C32</f>
        <v>300</v>
      </c>
      <c r="D32" s="409">
        <f t="shared" si="17"/>
        <v>135000</v>
      </c>
      <c r="E32" s="372">
        <f t="shared" si="9"/>
        <v>11817.5</v>
      </c>
      <c r="F32" s="380">
        <f t="shared" si="10"/>
        <v>17901</v>
      </c>
      <c r="G32" s="380">
        <f t="shared" si="11"/>
        <v>29718.5</v>
      </c>
      <c r="H32" s="381"/>
      <c r="I32" s="372">
        <f t="shared" si="12"/>
        <v>11735.75</v>
      </c>
      <c r="J32" s="380">
        <f t="shared" si="13"/>
        <v>23307.75</v>
      </c>
      <c r="K32" s="380">
        <f t="shared" si="14"/>
        <v>35043.5</v>
      </c>
      <c r="L32" s="382"/>
      <c r="M32" s="383">
        <f t="shared" si="15"/>
        <v>5325</v>
      </c>
      <c r="N32" s="384">
        <f t="shared" si="16"/>
        <v>0.1791813180342211</v>
      </c>
      <c r="O32" s="377"/>
      <c r="P32" s="322"/>
      <c r="Q32" s="322"/>
      <c r="R32" s="322"/>
      <c r="S32" s="377"/>
      <c r="T32" s="378"/>
      <c r="U32" s="377"/>
      <c r="V32" s="325"/>
      <c r="W32" s="322"/>
      <c r="X32" s="322"/>
      <c r="Y32" s="377"/>
      <c r="Z32" s="374"/>
    </row>
    <row r="33" spans="1:26" ht="14" x14ac:dyDescent="0.3">
      <c r="A33" s="151">
        <f>IF(C33&lt;&gt;"",COUNTA($C$12:C33),"")</f>
        <v>21</v>
      </c>
      <c r="B33" s="151"/>
      <c r="C33" s="409">
        <f>+'Bill_Bos T2 p1'!C33</f>
        <v>500</v>
      </c>
      <c r="D33" s="409">
        <f t="shared" si="17"/>
        <v>225000</v>
      </c>
      <c r="E33" s="372">
        <f t="shared" si="9"/>
        <v>19672.5</v>
      </c>
      <c r="F33" s="380">
        <f t="shared" si="10"/>
        <v>29835</v>
      </c>
      <c r="G33" s="380">
        <f t="shared" si="11"/>
        <v>49507.5</v>
      </c>
      <c r="H33" s="381"/>
      <c r="I33" s="372">
        <f t="shared" si="12"/>
        <v>19536.25</v>
      </c>
      <c r="J33" s="380">
        <f t="shared" si="13"/>
        <v>38846.25</v>
      </c>
      <c r="K33" s="380">
        <f t="shared" si="14"/>
        <v>58382.5</v>
      </c>
      <c r="L33" s="382"/>
      <c r="M33" s="383">
        <f t="shared" si="15"/>
        <v>8875</v>
      </c>
      <c r="N33" s="384">
        <f t="shared" si="16"/>
        <v>0.17926576781295764</v>
      </c>
      <c r="O33" s="377"/>
      <c r="P33" s="322"/>
      <c r="Q33" s="322"/>
      <c r="R33" s="322"/>
      <c r="S33" s="377"/>
      <c r="T33" s="378"/>
      <c r="U33" s="377"/>
      <c r="V33" s="325"/>
      <c r="W33" s="322"/>
      <c r="X33" s="322"/>
      <c r="Y33" s="377"/>
      <c r="Z33" s="374"/>
    </row>
    <row r="34" spans="1:26" ht="14" x14ac:dyDescent="0.3">
      <c r="A34" s="151">
        <f>IF(C34&lt;&gt;"",COUNTA($C$12:C34),"")</f>
        <v>22</v>
      </c>
      <c r="B34" s="151"/>
      <c r="C34" s="409">
        <f>+'Bill_Bos T2 p1'!C34</f>
        <v>1000</v>
      </c>
      <c r="D34" s="409">
        <f t="shared" si="17"/>
        <v>450000</v>
      </c>
      <c r="E34" s="372">
        <f t="shared" si="9"/>
        <v>39185</v>
      </c>
      <c r="F34" s="380">
        <f t="shared" si="10"/>
        <v>59670</v>
      </c>
      <c r="G34" s="380">
        <f t="shared" si="11"/>
        <v>98855</v>
      </c>
      <c r="H34" s="381"/>
      <c r="I34" s="372">
        <f t="shared" si="12"/>
        <v>38912.5</v>
      </c>
      <c r="J34" s="380">
        <f t="shared" si="13"/>
        <v>77692.5</v>
      </c>
      <c r="K34" s="380">
        <f t="shared" si="14"/>
        <v>116605</v>
      </c>
      <c r="L34" s="382"/>
      <c r="M34" s="383">
        <f t="shared" si="15"/>
        <v>17750</v>
      </c>
      <c r="N34" s="384">
        <f t="shared" si="16"/>
        <v>0.17955591522937636</v>
      </c>
      <c r="O34" s="377"/>
      <c r="P34" s="322"/>
      <c r="Q34" s="322"/>
      <c r="R34" s="322"/>
      <c r="S34" s="377"/>
      <c r="T34" s="378"/>
      <c r="U34" s="377"/>
      <c r="V34" s="325"/>
      <c r="W34" s="322"/>
      <c r="X34" s="322"/>
      <c r="Y34" s="377"/>
      <c r="Z34" s="374"/>
    </row>
    <row r="35" spans="1:26" ht="14" x14ac:dyDescent="0.3">
      <c r="A35" s="151">
        <f>IF(C35&lt;&gt;"",COUNTA($C$12:C35),"")</f>
        <v>23</v>
      </c>
      <c r="B35" s="151" t="s">
        <v>554</v>
      </c>
      <c r="C35" s="409">
        <v>319</v>
      </c>
      <c r="D35" s="409">
        <f t="shared" si="17"/>
        <v>143550</v>
      </c>
      <c r="E35" s="372">
        <f t="shared" si="9"/>
        <v>12608.98</v>
      </c>
      <c r="F35" s="380">
        <f t="shared" si="10"/>
        <v>19034.73</v>
      </c>
      <c r="G35" s="380">
        <f t="shared" si="11"/>
        <v>31643.71</v>
      </c>
      <c r="H35" s="381"/>
      <c r="I35" s="372">
        <f t="shared" si="12"/>
        <v>12522.05</v>
      </c>
      <c r="J35" s="380">
        <f t="shared" si="13"/>
        <v>24783.91</v>
      </c>
      <c r="K35" s="380">
        <f t="shared" si="14"/>
        <v>37305.96</v>
      </c>
      <c r="L35" s="382"/>
      <c r="M35" s="383">
        <f t="shared" si="15"/>
        <v>5662.25</v>
      </c>
      <c r="N35" s="384">
        <f t="shared" si="16"/>
        <v>0.17893761509001316</v>
      </c>
      <c r="O35" s="377"/>
      <c r="P35" s="322"/>
      <c r="Q35" s="322"/>
      <c r="R35" s="322"/>
      <c r="S35" s="377"/>
      <c r="T35" s="378"/>
      <c r="U35" s="377"/>
      <c r="V35" s="325"/>
      <c r="W35" s="322"/>
      <c r="X35" s="322"/>
      <c r="Y35" s="377"/>
      <c r="Z35" s="374"/>
    </row>
    <row r="36" spans="1:26" ht="14" x14ac:dyDescent="0.3">
      <c r="A36" s="151" t="str">
        <f>IF(C36&lt;&gt;"",COUNTA($C$12:C36),"")</f>
        <v/>
      </c>
      <c r="B36" s="151"/>
      <c r="D36" s="449"/>
      <c r="E36" s="372"/>
      <c r="F36" s="372"/>
      <c r="G36" s="372"/>
      <c r="H36" s="373"/>
      <c r="I36" s="374"/>
      <c r="J36" s="374"/>
      <c r="K36" s="374"/>
      <c r="L36" s="374"/>
      <c r="M36" s="374"/>
    </row>
    <row r="37" spans="1:26" ht="14" x14ac:dyDescent="0.3">
      <c r="A37" s="151" t="str">
        <f>IF(C37&lt;&gt;"",COUNTA($C$12:C37),"")</f>
        <v/>
      </c>
      <c r="B37" s="151"/>
      <c r="C37" s="293"/>
      <c r="D37" s="293"/>
      <c r="E37" s="448"/>
      <c r="F37" s="448"/>
      <c r="G37" s="372"/>
      <c r="H37" s="373"/>
      <c r="I37" s="374"/>
      <c r="J37" s="374"/>
      <c r="K37" s="374"/>
      <c r="L37" s="374"/>
      <c r="M37" s="374"/>
    </row>
    <row r="38" spans="1:26" ht="14" x14ac:dyDescent="0.3">
      <c r="A38" s="151">
        <f>IF(C38&lt;&gt;"",COUNTA($C$12:C38),"")</f>
        <v>24</v>
      </c>
      <c r="B38" s="151"/>
      <c r="C38" s="293" t="s">
        <v>46</v>
      </c>
      <c r="D38" s="293"/>
      <c r="E38" s="448"/>
      <c r="F38" s="374"/>
      <c r="G38" s="480" t="str">
        <f>'Bill_Bos T2 p1'!G38</f>
        <v>Current</v>
      </c>
      <c r="H38" s="374"/>
      <c r="I38" s="480" t="str">
        <f>'Bill_Bos T2 p1'!I38</f>
        <v>Proposed</v>
      </c>
      <c r="J38" s="481"/>
      <c r="K38" s="374"/>
      <c r="L38" s="374"/>
      <c r="M38" s="374"/>
    </row>
    <row r="39" spans="1:26" ht="17" x14ac:dyDescent="0.6">
      <c r="A39" s="151">
        <f>IF(C39&lt;&gt;"",COUNTA($C$12:C39),"")</f>
        <v>25</v>
      </c>
      <c r="B39" s="151"/>
      <c r="C39" s="274" t="s">
        <v>46</v>
      </c>
      <c r="D39" s="274"/>
      <c r="E39" s="448"/>
      <c r="F39" s="374"/>
      <c r="G39" s="482" t="str">
        <f>'Bill_Bos T2 p1'!G39</f>
        <v>Rates</v>
      </c>
      <c r="H39" s="374"/>
      <c r="I39" s="482" t="str">
        <f>'Bill_Bos T2 p1'!I39</f>
        <v>Rates</v>
      </c>
      <c r="J39" s="482" t="str">
        <f>'Bill_Bos T2 p1'!J39</f>
        <v>Change</v>
      </c>
      <c r="K39" s="374"/>
      <c r="L39" s="374"/>
      <c r="M39" s="374"/>
      <c r="O39" s="422"/>
      <c r="P39" s="422"/>
    </row>
    <row r="40" spans="1:26" ht="14" x14ac:dyDescent="0.3">
      <c r="A40" s="151">
        <f>IF(C40&lt;&gt;"",COUNTA($C$12:C40),"")</f>
        <v>26</v>
      </c>
      <c r="B40" s="151"/>
      <c r="C40" s="293" t="s">
        <v>411</v>
      </c>
      <c r="D40" s="293"/>
      <c r="E40" s="483"/>
      <c r="F40" s="374"/>
      <c r="G40" s="454">
        <v>27</v>
      </c>
      <c r="H40" s="455" t="s">
        <v>46</v>
      </c>
      <c r="I40" s="454">
        <f>+G40</f>
        <v>27</v>
      </c>
      <c r="J40" s="421">
        <f>I40-G40</f>
        <v>0</v>
      </c>
      <c r="K40" s="374"/>
      <c r="L40" s="374"/>
      <c r="M40" s="374"/>
      <c r="O40" s="422"/>
      <c r="P40" s="422"/>
    </row>
    <row r="41" spans="1:26" ht="14" x14ac:dyDescent="0.3">
      <c r="A41" s="151">
        <f>IF(C41&lt;&gt;"",COUNTA($C$12:C41),"")</f>
        <v>27</v>
      </c>
      <c r="B41" s="151"/>
      <c r="C41" s="293" t="s">
        <v>413</v>
      </c>
      <c r="D41" s="293"/>
      <c r="E41" s="483"/>
      <c r="F41" s="374"/>
      <c r="G41" s="454">
        <v>110</v>
      </c>
      <c r="H41" s="455"/>
      <c r="I41" s="454">
        <f t="shared" ref="I41:I43" si="18">+G41</f>
        <v>110</v>
      </c>
      <c r="J41" s="421">
        <f t="shared" ref="J41:J66" si="19">I41-G41</f>
        <v>0</v>
      </c>
      <c r="K41" s="374"/>
      <c r="L41" s="374"/>
      <c r="M41" s="374"/>
      <c r="O41" s="422"/>
      <c r="P41" s="422"/>
    </row>
    <row r="42" spans="1:26" ht="14" x14ac:dyDescent="0.3">
      <c r="A42" s="151">
        <f>IF(C42&lt;&gt;"",COUNTA($C$12:C42),"")</f>
        <v>28</v>
      </c>
      <c r="B42" s="151"/>
      <c r="C42" s="293" t="s">
        <v>415</v>
      </c>
      <c r="D42" s="293"/>
      <c r="E42" s="483"/>
      <c r="F42" s="374"/>
      <c r="G42" s="454">
        <v>160</v>
      </c>
      <c r="H42" s="455"/>
      <c r="I42" s="454">
        <f t="shared" si="18"/>
        <v>160</v>
      </c>
      <c r="J42" s="421">
        <f t="shared" si="19"/>
        <v>0</v>
      </c>
      <c r="K42" s="374"/>
      <c r="L42" s="374"/>
      <c r="M42" s="374"/>
      <c r="O42" s="422"/>
      <c r="P42" s="422"/>
    </row>
    <row r="43" spans="1:26" ht="14" x14ac:dyDescent="0.3">
      <c r="A43" s="151">
        <f>IF(C43&lt;&gt;"",COUNTA($C$12:C43),"")</f>
        <v>29</v>
      </c>
      <c r="B43" s="151"/>
      <c r="C43" s="293" t="s">
        <v>417</v>
      </c>
      <c r="D43" s="293"/>
      <c r="E43" s="483"/>
      <c r="F43" s="374"/>
      <c r="G43" s="454">
        <v>360</v>
      </c>
      <c r="H43" s="455"/>
      <c r="I43" s="454">
        <f t="shared" si="18"/>
        <v>360</v>
      </c>
      <c r="J43" s="421">
        <f t="shared" si="19"/>
        <v>0</v>
      </c>
      <c r="K43" s="374"/>
      <c r="L43" s="374"/>
      <c r="M43" s="374"/>
      <c r="O43" s="422"/>
      <c r="P43" s="422"/>
    </row>
    <row r="44" spans="1:26" ht="14" x14ac:dyDescent="0.3">
      <c r="A44" s="151">
        <f>IF(C44&lt;&gt;"",COUNTA($C$12:C44),"")</f>
        <v>30</v>
      </c>
      <c r="B44" s="151"/>
      <c r="C44" s="293" t="s">
        <v>404</v>
      </c>
      <c r="D44" s="293"/>
      <c r="E44" s="483"/>
      <c r="F44" s="374"/>
      <c r="G44" s="454">
        <v>11.08</v>
      </c>
      <c r="H44" s="455"/>
      <c r="I44" s="454">
        <v>11.46</v>
      </c>
      <c r="J44" s="421">
        <f t="shared" si="19"/>
        <v>0.38000000000000078</v>
      </c>
      <c r="K44" s="374"/>
      <c r="L44" s="374"/>
      <c r="M44" s="374"/>
      <c r="O44" s="424"/>
      <c r="P44" s="424"/>
    </row>
    <row r="45" spans="1:26" ht="14" x14ac:dyDescent="0.3">
      <c r="A45" s="151">
        <f>IF(C45&lt;&gt;"",COUNTA($C$12:C45),"")</f>
        <v>31</v>
      </c>
      <c r="B45" s="151"/>
      <c r="C45" s="293" t="s">
        <v>406</v>
      </c>
      <c r="D45" s="293"/>
      <c r="E45" s="483"/>
      <c r="F45" s="374"/>
      <c r="G45" s="454">
        <v>19.45</v>
      </c>
      <c r="H45" s="455"/>
      <c r="I45" s="454">
        <v>20.11</v>
      </c>
      <c r="J45" s="421">
        <f t="shared" si="19"/>
        <v>0.66000000000000014</v>
      </c>
      <c r="K45" s="374"/>
      <c r="L45" s="374"/>
      <c r="M45" s="374"/>
      <c r="O45" s="422"/>
      <c r="P45" s="423"/>
    </row>
    <row r="46" spans="1:26" ht="14" x14ac:dyDescent="0.3">
      <c r="A46" s="151">
        <f>IF(C46&lt;&gt;"",COUNTA($C$12:C46),"")</f>
        <v>32</v>
      </c>
      <c r="B46" s="151"/>
      <c r="C46" s="293" t="str">
        <f>'Bill_Bos T2 p1'!C46</f>
        <v>Transmission Demand</v>
      </c>
      <c r="D46" s="293"/>
      <c r="E46" s="483"/>
      <c r="F46" s="374"/>
      <c r="G46" s="454">
        <v>9</v>
      </c>
      <c r="H46" s="448"/>
      <c r="I46" s="454">
        <v>7.73</v>
      </c>
      <c r="J46" s="421">
        <f>I46-G46</f>
        <v>-1.2699999999999996</v>
      </c>
      <c r="K46" s="374"/>
      <c r="L46" s="374"/>
      <c r="M46" s="374"/>
      <c r="O46" s="423"/>
      <c r="P46" s="423"/>
    </row>
    <row r="47" spans="1:26" ht="14" x14ac:dyDescent="0.3">
      <c r="A47" s="151">
        <f>IF(C47&lt;&gt;"",COUNTA($C$12:C47),"")</f>
        <v>33</v>
      </c>
      <c r="B47" s="151"/>
      <c r="C47" s="293" t="s">
        <v>298</v>
      </c>
      <c r="D47" s="293"/>
      <c r="E47" s="483"/>
      <c r="F47" s="374"/>
      <c r="G47" s="308">
        <v>0</v>
      </c>
      <c r="H47" s="484"/>
      <c r="I47" s="308">
        <v>0</v>
      </c>
      <c r="J47" s="354">
        <f t="shared" si="19"/>
        <v>0</v>
      </c>
      <c r="K47" s="374"/>
      <c r="L47" s="374"/>
      <c r="M47" s="374"/>
      <c r="O47" s="422"/>
      <c r="P47" s="423"/>
    </row>
    <row r="48" spans="1:26" ht="14" x14ac:dyDescent="0.3">
      <c r="A48" s="151">
        <f>IF(C48&lt;&gt;"",COUNTA($C$12:C48),"")</f>
        <v>34</v>
      </c>
      <c r="B48" s="151"/>
      <c r="C48" s="293" t="str">
        <f>'Bill_Bos T2 p1'!C48</f>
        <v>Revenue Decoupling</v>
      </c>
      <c r="D48" s="293"/>
      <c r="E48" s="483"/>
      <c r="F48" s="374"/>
      <c r="G48" s="308">
        <v>0</v>
      </c>
      <c r="H48" s="277"/>
      <c r="I48" s="277">
        <v>-4.0999999999999999E-4</v>
      </c>
      <c r="J48" s="354">
        <f t="shared" si="19"/>
        <v>-4.0999999999999999E-4</v>
      </c>
      <c r="K48" s="374"/>
      <c r="L48" s="374"/>
      <c r="M48" s="374"/>
      <c r="O48" s="426"/>
      <c r="P48" s="426"/>
    </row>
    <row r="49" spans="1:16" ht="14" x14ac:dyDescent="0.3">
      <c r="A49" s="151">
        <f>IF(C49&lt;&gt;"",COUNTA($C$12:C49),"")</f>
        <v>35</v>
      </c>
      <c r="B49" s="151"/>
      <c r="C49" s="293" t="str">
        <f>'Bill_Bos T2 p1'!C49</f>
        <v>Residential Assistance Adjustment Factor</v>
      </c>
      <c r="D49" s="293"/>
      <c r="E49" s="483"/>
      <c r="F49" s="374"/>
      <c r="G49" s="277">
        <v>2.5000000000000001E-3</v>
      </c>
      <c r="H49" s="277"/>
      <c r="I49" s="277">
        <v>3.46E-3</v>
      </c>
      <c r="J49" s="354">
        <f t="shared" si="19"/>
        <v>9.5999999999999992E-4</v>
      </c>
      <c r="K49" s="374"/>
      <c r="L49" s="374"/>
      <c r="M49" s="374"/>
      <c r="O49" s="426"/>
      <c r="P49" s="426"/>
    </row>
    <row r="50" spans="1:16" ht="14" x14ac:dyDescent="0.3">
      <c r="A50" s="151">
        <f>IF(C50&lt;&gt;"",COUNTA($C$12:C50),"")</f>
        <v>36</v>
      </c>
      <c r="B50" s="151"/>
      <c r="C50" s="293" t="str">
        <f>'Bill_Bos T2 p1'!C50</f>
        <v>Pension Adjustment Factor</v>
      </c>
      <c r="D50" s="293"/>
      <c r="E50" s="483"/>
      <c r="F50" s="374"/>
      <c r="G50" s="277">
        <v>-5.0000000000000002E-5</v>
      </c>
      <c r="H50" s="277"/>
      <c r="I50" s="277">
        <v>4.6999999999999999E-4</v>
      </c>
      <c r="J50" s="354">
        <f t="shared" si="19"/>
        <v>5.1999999999999995E-4</v>
      </c>
      <c r="K50" s="374"/>
      <c r="L50" s="374"/>
      <c r="M50" s="374"/>
      <c r="O50" s="426"/>
      <c r="P50" s="426"/>
    </row>
    <row r="51" spans="1:16" ht="14" x14ac:dyDescent="0.3">
      <c r="A51" s="151">
        <f>IF(C51&lt;&gt;"",COUNTA($C$12:C51),"")</f>
        <v>37</v>
      </c>
      <c r="B51" s="151"/>
      <c r="C51" s="293" t="str">
        <f>'Bill_Bos T2 p1'!C51</f>
        <v>Net Metering Recovery Surcharge</v>
      </c>
      <c r="D51" s="293"/>
      <c r="E51" s="483"/>
      <c r="F51" s="374"/>
      <c r="G51" s="277">
        <v>4.9300000000000004E-3</v>
      </c>
      <c r="H51" s="277"/>
      <c r="I51" s="277">
        <v>4.5100000000000001E-3</v>
      </c>
      <c r="J51" s="354">
        <f t="shared" si="19"/>
        <v>-4.2000000000000023E-4</v>
      </c>
      <c r="K51" s="374"/>
      <c r="L51" s="374"/>
      <c r="M51" s="374"/>
      <c r="O51" s="426"/>
      <c r="P51" s="426"/>
    </row>
    <row r="52" spans="1:16" ht="14" x14ac:dyDescent="0.3">
      <c r="A52" s="151">
        <f>IF(C52&lt;&gt;"",COUNTA($C$12:C52),"")</f>
        <v>38</v>
      </c>
      <c r="B52" s="151"/>
      <c r="C52" s="293" t="str">
        <f>'Bill_Bos T2 p1'!C52</f>
        <v>Long Term Renewable Contract Adjustment</v>
      </c>
      <c r="D52" s="293"/>
      <c r="E52" s="483"/>
      <c r="F52" s="374"/>
      <c r="G52" s="277">
        <v>2.3600000000000001E-3</v>
      </c>
      <c r="H52" s="277"/>
      <c r="I52" s="277">
        <v>1.74E-3</v>
      </c>
      <c r="J52" s="354">
        <f t="shared" si="19"/>
        <v>-6.2000000000000011E-4</v>
      </c>
      <c r="K52" s="374"/>
      <c r="L52" s="374"/>
      <c r="M52" s="374"/>
      <c r="O52" s="426"/>
      <c r="P52" s="426"/>
    </row>
    <row r="53" spans="1:16" ht="14" x14ac:dyDescent="0.3">
      <c r="A53" s="151">
        <f>IF(C53&lt;&gt;"",COUNTA($C$12:C53),"")</f>
        <v>39</v>
      </c>
      <c r="B53" s="151"/>
      <c r="C53" s="293" t="str">
        <f>'Bill_Bos T2 p1'!C53</f>
        <v>AG Consulting Expense</v>
      </c>
      <c r="D53" s="293"/>
      <c r="E53" s="483"/>
      <c r="F53" s="374"/>
      <c r="G53" s="277">
        <v>3.0000000000000001E-5</v>
      </c>
      <c r="H53" s="277"/>
      <c r="I53" s="277">
        <v>1.0000000000000001E-5</v>
      </c>
      <c r="J53" s="354">
        <f t="shared" si="19"/>
        <v>-1.9999999999999998E-5</v>
      </c>
      <c r="K53" s="374"/>
      <c r="L53" s="374"/>
      <c r="M53" s="374"/>
      <c r="O53" s="426"/>
      <c r="P53" s="426"/>
    </row>
    <row r="54" spans="1:16" ht="14" x14ac:dyDescent="0.3">
      <c r="A54" s="151">
        <f>IF(C54&lt;&gt;"",COUNTA($C$12:C54),"")</f>
        <v>40</v>
      </c>
      <c r="B54" s="151"/>
      <c r="C54" s="293" t="str">
        <f>'Bill_Bos T2 p1'!C54</f>
        <v>Storm Cost Recovery Adjustment Factor</v>
      </c>
      <c r="D54" s="293"/>
      <c r="E54" s="483"/>
      <c r="F54" s="374"/>
      <c r="G54" s="277">
        <v>1.5399999999999999E-3</v>
      </c>
      <c r="H54" s="277"/>
      <c r="I54" s="277">
        <v>2.6199999999999999E-3</v>
      </c>
      <c r="J54" s="354">
        <f t="shared" si="19"/>
        <v>1.08E-3</v>
      </c>
      <c r="K54" s="374"/>
      <c r="L54" s="374"/>
      <c r="M54" s="374"/>
      <c r="O54" s="426"/>
      <c r="P54" s="426"/>
    </row>
    <row r="55" spans="1:16" ht="14" x14ac:dyDescent="0.3">
      <c r="A55" s="151">
        <f>IF(C55&lt;&gt;"",COUNTA($C$12:C55),"")</f>
        <v>41</v>
      </c>
      <c r="B55" s="151"/>
      <c r="C55" s="293" t="str">
        <f>'Bill_Bos T2 p1'!C55</f>
        <v>Storm Reserve Adjustment</v>
      </c>
      <c r="D55" s="293"/>
      <c r="E55" s="483"/>
      <c r="F55" s="374"/>
      <c r="G55" s="277">
        <v>0</v>
      </c>
      <c r="H55" s="277"/>
      <c r="I55" s="277">
        <v>0</v>
      </c>
      <c r="J55" s="354">
        <f t="shared" si="19"/>
        <v>0</v>
      </c>
      <c r="K55" s="374"/>
      <c r="L55" s="374"/>
      <c r="M55" s="374"/>
      <c r="O55" s="426"/>
      <c r="P55" s="426"/>
    </row>
    <row r="56" spans="1:16" ht="14" x14ac:dyDescent="0.3">
      <c r="A56" s="151">
        <f>IF(C56&lt;&gt;"",COUNTA($C$12:C56),"")</f>
        <v>42</v>
      </c>
      <c r="B56" s="151"/>
      <c r="C56" s="293" t="str">
        <f>'Bill_Bos T2 p1'!C56</f>
        <v>Basic Service Cost True Up Factor</v>
      </c>
      <c r="D56" s="293"/>
      <c r="E56" s="483"/>
      <c r="F56" s="374"/>
      <c r="G56" s="277">
        <v>1.34E-3</v>
      </c>
      <c r="H56" s="277"/>
      <c r="I56" s="277">
        <v>-1.7000000000000001E-4</v>
      </c>
      <c r="J56" s="354">
        <f t="shared" si="19"/>
        <v>-1.5100000000000001E-3</v>
      </c>
      <c r="K56" s="374"/>
      <c r="L56" s="374"/>
      <c r="M56" s="374"/>
      <c r="O56" s="426"/>
      <c r="P56" s="426"/>
    </row>
    <row r="57" spans="1:16" ht="14" x14ac:dyDescent="0.3">
      <c r="A57" s="151">
        <f>IF(C57&lt;&gt;"",COUNTA($C$12:C57),"")</f>
        <v>43</v>
      </c>
      <c r="B57" s="151"/>
      <c r="C57" s="293" t="str">
        <f>'Bill_Bos T2 p1'!C57</f>
        <v>Solar Program Cost Adjustment Factor</v>
      </c>
      <c r="D57" s="293"/>
      <c r="E57" s="483"/>
      <c r="F57" s="374"/>
      <c r="G57" s="277">
        <v>0</v>
      </c>
      <c r="H57" s="277"/>
      <c r="I57" s="277">
        <v>3.0000000000000001E-5</v>
      </c>
      <c r="J57" s="354">
        <f t="shared" si="19"/>
        <v>3.0000000000000001E-5</v>
      </c>
      <c r="K57" s="374"/>
      <c r="L57" s="374"/>
      <c r="M57" s="374"/>
      <c r="O57" s="426"/>
      <c r="P57" s="426"/>
    </row>
    <row r="58" spans="1:16" ht="14" x14ac:dyDescent="0.3">
      <c r="A58" s="151">
        <f>IF(C58&lt;&gt;"",COUNTA($C$12:C58),"")</f>
        <v>44</v>
      </c>
      <c r="B58" s="151"/>
      <c r="C58" s="293" t="str">
        <f>'Bill_Bos T2 p1'!C58</f>
        <v>Solar Expansion Cost Recovery Factor</v>
      </c>
      <c r="D58" s="293"/>
      <c r="E58" s="483"/>
      <c r="F58" s="374"/>
      <c r="G58" s="277">
        <v>0</v>
      </c>
      <c r="H58" s="277"/>
      <c r="I58" s="277">
        <v>5.4000000000000001E-4</v>
      </c>
      <c r="J58" s="354">
        <f t="shared" si="19"/>
        <v>5.4000000000000001E-4</v>
      </c>
      <c r="K58" s="374"/>
      <c r="L58" s="374"/>
      <c r="M58" s="374"/>
      <c r="O58" s="426"/>
      <c r="P58" s="426"/>
    </row>
    <row r="59" spans="1:16" ht="14" x14ac:dyDescent="0.3">
      <c r="A59" s="151">
        <f>IF(C59&lt;&gt;"",COUNTA($C$12:C59),"")</f>
        <v>45</v>
      </c>
      <c r="B59" s="151"/>
      <c r="C59" s="293" t="str">
        <f>'Bill_Bos T2 p1'!C59</f>
        <v>Vegetation Management</v>
      </c>
      <c r="D59" s="293"/>
      <c r="E59" s="483"/>
      <c r="F59" s="374"/>
      <c r="G59" s="277">
        <v>0</v>
      </c>
      <c r="H59" s="277"/>
      <c r="I59" s="277">
        <v>8.3000000000000001E-4</v>
      </c>
      <c r="J59" s="354">
        <f t="shared" si="19"/>
        <v>8.3000000000000001E-4</v>
      </c>
      <c r="K59" s="374"/>
      <c r="L59" s="374"/>
      <c r="M59" s="374"/>
      <c r="O59" s="426"/>
      <c r="P59" s="426"/>
    </row>
    <row r="60" spans="1:16" ht="14" x14ac:dyDescent="0.3">
      <c r="A60" s="151">
        <f>IF(C60&lt;&gt;"",COUNTA($C$12:C60),"")</f>
        <v>46</v>
      </c>
      <c r="B60" s="151"/>
      <c r="C60" s="293" t="str">
        <f>'Bill_Bos T2 p1'!C60</f>
        <v>Solar Massachusetts Renewable Target</v>
      </c>
      <c r="D60" s="339"/>
      <c r="E60" s="339"/>
      <c r="F60" s="277"/>
      <c r="G60" s="277">
        <v>0</v>
      </c>
      <c r="H60" s="277"/>
      <c r="I60" s="277">
        <v>6.3000000000000003E-4</v>
      </c>
      <c r="J60" s="354">
        <f t="shared" si="19"/>
        <v>6.3000000000000003E-4</v>
      </c>
      <c r="K60" s="339"/>
      <c r="L60" s="339"/>
      <c r="O60" s="426"/>
      <c r="P60" s="426"/>
    </row>
    <row r="61" spans="1:16" ht="14" x14ac:dyDescent="0.3">
      <c r="A61" s="151">
        <f>IF(C61&lt;&gt;"",COUNTA($C$12:C61),"")</f>
        <v>47</v>
      </c>
      <c r="B61" s="151"/>
      <c r="C61" s="293" t="str">
        <f>'Bill_Bos T2 p1'!C61</f>
        <v>Tax Act Credit Factor</v>
      </c>
      <c r="D61" s="339"/>
      <c r="E61" s="339"/>
      <c r="F61" s="277"/>
      <c r="G61" s="277">
        <v>0</v>
      </c>
      <c r="H61" s="277"/>
      <c r="I61" s="277">
        <v>-9.5E-4</v>
      </c>
      <c r="J61" s="354">
        <f t="shared" si="19"/>
        <v>-9.5E-4</v>
      </c>
      <c r="K61" s="339"/>
      <c r="L61" s="339"/>
      <c r="O61" s="426"/>
      <c r="P61" s="426"/>
    </row>
    <row r="62" spans="1:16" ht="14" x14ac:dyDescent="0.3">
      <c r="A62" s="151">
        <f>IF(C62&lt;&gt;"",COUNTA($C$12:C62),"")</f>
        <v>48</v>
      </c>
      <c r="B62" s="151"/>
      <c r="C62" s="293" t="str">
        <f>'Bill_Bos T2 p1'!C62</f>
        <v>Transition</v>
      </c>
      <c r="D62" s="293"/>
      <c r="E62" s="483"/>
      <c r="F62" s="374"/>
      <c r="G62" s="308">
        <v>-6.0999999999999997E-4</v>
      </c>
      <c r="H62" s="277"/>
      <c r="I62" s="277">
        <v>-5.1999999999999995E-4</v>
      </c>
      <c r="J62" s="354">
        <f t="shared" si="19"/>
        <v>9.0000000000000019E-5</v>
      </c>
      <c r="K62" s="374"/>
      <c r="L62" s="374"/>
      <c r="M62" s="374"/>
      <c r="O62" s="426"/>
      <c r="P62" s="426"/>
    </row>
    <row r="63" spans="1:16" ht="14" x14ac:dyDescent="0.3">
      <c r="A63" s="151">
        <f>IF(C63&lt;&gt;"",COUNTA($C$12:C63),"")</f>
        <v>49</v>
      </c>
      <c r="B63" s="151"/>
      <c r="C63" s="293" t="str">
        <f>'Bill_Bos T2 p1'!C63</f>
        <v>Energy Efficiency Reconciliation Factor</v>
      </c>
      <c r="D63" s="293"/>
      <c r="E63" s="483"/>
      <c r="F63" s="374"/>
      <c r="G63" s="308">
        <v>8.4600000000000005E-3</v>
      </c>
      <c r="H63" s="400"/>
      <c r="I63" s="308">
        <v>8.4600000000000005E-3</v>
      </c>
      <c r="J63" s="354">
        <f t="shared" si="19"/>
        <v>0</v>
      </c>
      <c r="K63" s="374"/>
      <c r="L63" s="374"/>
      <c r="M63" s="374"/>
      <c r="O63" s="426"/>
      <c r="P63" s="426"/>
    </row>
    <row r="64" spans="1:16" ht="14" x14ac:dyDescent="0.3">
      <c r="A64" s="151">
        <f>IF(C64&lt;&gt;"",COUNTA($C$12:C64),"")</f>
        <v>50</v>
      </c>
      <c r="B64" s="151"/>
      <c r="C64" s="293" t="str">
        <f>'Bill_Bos T2 p1'!C64</f>
        <v>System Benefits Charge</v>
      </c>
      <c r="D64" s="293"/>
      <c r="E64" s="483"/>
      <c r="F64" s="374"/>
      <c r="G64" s="308">
        <v>2.5000000000000001E-3</v>
      </c>
      <c r="H64" s="400"/>
      <c r="I64" s="308">
        <f>+G64</f>
        <v>2.5000000000000001E-3</v>
      </c>
      <c r="J64" s="354">
        <f t="shared" si="19"/>
        <v>0</v>
      </c>
      <c r="K64" s="374"/>
      <c r="L64" s="374"/>
      <c r="M64" s="374"/>
      <c r="O64" s="426"/>
      <c r="P64" s="426"/>
    </row>
    <row r="65" spans="1:16" ht="14" x14ac:dyDescent="0.3">
      <c r="A65" s="151">
        <f>IF(C65&lt;&gt;"",COUNTA($C$12:C65),"")</f>
        <v>51</v>
      </c>
      <c r="B65" s="151"/>
      <c r="C65" s="293" t="str">
        <f>'Bill_Bos T2 p1'!C65</f>
        <v>Renewable Energy Charge</v>
      </c>
      <c r="D65" s="293"/>
      <c r="E65" s="483"/>
      <c r="F65" s="374"/>
      <c r="G65" s="308">
        <v>5.0000000000000001E-4</v>
      </c>
      <c r="H65" s="400"/>
      <c r="I65" s="308">
        <f>+G65</f>
        <v>5.0000000000000001E-4</v>
      </c>
      <c r="J65" s="354">
        <f t="shared" si="19"/>
        <v>0</v>
      </c>
      <c r="K65" s="374"/>
      <c r="L65" s="374"/>
      <c r="M65" s="374"/>
      <c r="O65" s="426"/>
      <c r="P65" s="426"/>
    </row>
    <row r="66" spans="1:16" ht="14" x14ac:dyDescent="0.3">
      <c r="A66" s="151">
        <f>IF(C66&lt;&gt;"",COUNTA($C$12:C66),"")</f>
        <v>52</v>
      </c>
      <c r="B66" s="151"/>
      <c r="C66" s="293" t="str">
        <f>'Bill_Bos T2 p1'!C66</f>
        <v>Basic Service Charge</v>
      </c>
      <c r="D66" s="293"/>
      <c r="E66" s="483"/>
      <c r="F66" s="374"/>
      <c r="G66" s="308">
        <v>0.1326</v>
      </c>
      <c r="H66" s="400"/>
      <c r="I66" s="308">
        <v>0.17265000000000003</v>
      </c>
      <c r="J66" s="354">
        <f t="shared" si="19"/>
        <v>4.005000000000003E-2</v>
      </c>
      <c r="K66" s="374"/>
      <c r="L66" s="374"/>
      <c r="M66" s="374"/>
      <c r="O66" s="426"/>
      <c r="P66" s="426"/>
    </row>
    <row r="67" spans="1:16" ht="14" x14ac:dyDescent="0.3">
      <c r="A67" s="151"/>
      <c r="B67" s="151"/>
      <c r="E67" s="374"/>
      <c r="F67" s="374"/>
      <c r="G67" s="374"/>
      <c r="H67" s="374"/>
      <c r="I67" s="374"/>
      <c r="J67" s="374"/>
      <c r="K67" s="374"/>
      <c r="L67" s="374"/>
      <c r="M67" s="374"/>
    </row>
    <row r="68" spans="1:16" ht="14" x14ac:dyDescent="0.3">
      <c r="A68" s="151"/>
      <c r="B68" s="151"/>
      <c r="E68" s="374"/>
      <c r="F68" s="374"/>
      <c r="G68" s="374"/>
      <c r="H68" s="374"/>
      <c r="I68" s="374"/>
      <c r="J68" s="374"/>
      <c r="K68" s="374"/>
      <c r="L68" s="374"/>
      <c r="M68" s="374"/>
    </row>
    <row r="69" spans="1:16" ht="14" x14ac:dyDescent="0.3">
      <c r="C69" s="369" t="str">
        <f>'Bill_Bos G3 p1'!C67</f>
        <v>Total Demand - Winter</v>
      </c>
      <c r="E69" s="374"/>
      <c r="F69" s="374"/>
      <c r="G69" s="374">
        <f>G44+G46</f>
        <v>20.079999999999998</v>
      </c>
      <c r="H69" s="374"/>
      <c r="I69" s="374">
        <f>I44+I46</f>
        <v>19.190000000000001</v>
      </c>
      <c r="J69" s="421">
        <f t="shared" ref="J69:J72" si="20">I69-G69</f>
        <v>-0.88999999999999702</v>
      </c>
      <c r="K69" s="374"/>
      <c r="L69" s="374"/>
      <c r="M69" s="374"/>
    </row>
    <row r="70" spans="1:16" ht="14" x14ac:dyDescent="0.3">
      <c r="C70" s="369" t="str">
        <f>'Bill_Bos G3 p1'!C68</f>
        <v>Total Demand - Summer</v>
      </c>
      <c r="E70" s="374"/>
      <c r="F70" s="374"/>
      <c r="G70" s="374">
        <f>+G45+G46</f>
        <v>28.45</v>
      </c>
      <c r="H70" s="374"/>
      <c r="I70" s="374">
        <f>+I45+I46</f>
        <v>27.84</v>
      </c>
      <c r="J70" s="421">
        <f t="shared" si="20"/>
        <v>-0.60999999999999943</v>
      </c>
      <c r="K70" s="374"/>
      <c r="L70" s="374"/>
      <c r="M70" s="374"/>
    </row>
    <row r="71" spans="1:16" ht="14" x14ac:dyDescent="0.3">
      <c r="C71" s="369" t="str">
        <f>'Bill_Bos G3 p1'!C69</f>
        <v>Total Energy</v>
      </c>
      <c r="E71" s="374"/>
      <c r="F71" s="374"/>
      <c r="G71" s="403">
        <f>SUM(G47:G62,G63:G65)</f>
        <v>2.3500000000000004E-2</v>
      </c>
      <c r="H71" s="403"/>
      <c r="I71" s="403">
        <f>SUM(I47:I62,I63:I65)</f>
        <v>2.4250000000000001E-2</v>
      </c>
      <c r="J71" s="354">
        <f t="shared" si="20"/>
        <v>7.499999999999972E-4</v>
      </c>
      <c r="K71" s="374"/>
      <c r="L71" s="374"/>
      <c r="M71" s="374"/>
    </row>
    <row r="72" spans="1:16" ht="14" x14ac:dyDescent="0.3">
      <c r="C72" s="369" t="str">
        <f>'Bill_Bos G3 p1'!C70</f>
        <v>Total Basic Service</v>
      </c>
      <c r="E72" s="374"/>
      <c r="F72" s="374"/>
      <c r="G72" s="403">
        <f>G66</f>
        <v>0.1326</v>
      </c>
      <c r="H72" s="403"/>
      <c r="I72" s="403">
        <f>I66</f>
        <v>0.17265000000000003</v>
      </c>
      <c r="J72" s="354">
        <f t="shared" si="20"/>
        <v>4.005000000000003E-2</v>
      </c>
      <c r="K72" s="374"/>
      <c r="L72" s="374"/>
      <c r="M72" s="374"/>
    </row>
    <row r="73" spans="1:16" ht="14" x14ac:dyDescent="0.3">
      <c r="E73" s="374"/>
      <c r="F73" s="374"/>
      <c r="G73" s="374"/>
      <c r="H73" s="374"/>
      <c r="I73" s="374"/>
      <c r="J73" s="374"/>
      <c r="K73" s="374"/>
      <c r="L73" s="374"/>
      <c r="M73" s="374"/>
    </row>
    <row r="74" spans="1:16" ht="14" x14ac:dyDescent="0.3">
      <c r="E74" s="374"/>
      <c r="F74" s="374"/>
      <c r="G74" s="374"/>
      <c r="H74" s="374"/>
      <c r="I74" s="374"/>
      <c r="J74" s="374"/>
      <c r="K74" s="374"/>
      <c r="L74" s="374"/>
      <c r="M74" s="374"/>
    </row>
    <row r="75" spans="1:16" ht="14" x14ac:dyDescent="0.3">
      <c r="E75" s="374"/>
      <c r="F75" s="374"/>
      <c r="G75" s="374"/>
      <c r="H75" s="374"/>
      <c r="I75" s="374"/>
      <c r="J75" s="374"/>
      <c r="K75" s="374"/>
      <c r="L75" s="374"/>
      <c r="M75" s="374"/>
    </row>
    <row r="76" spans="1:16" ht="14" x14ac:dyDescent="0.3">
      <c r="E76" s="374"/>
      <c r="F76" s="374"/>
      <c r="G76" s="374"/>
      <c r="H76" s="374"/>
      <c r="I76" s="374"/>
      <c r="J76" s="374"/>
      <c r="K76" s="374"/>
      <c r="L76" s="374"/>
      <c r="M76" s="374"/>
    </row>
    <row r="77" spans="1:16" ht="14" x14ac:dyDescent="0.3">
      <c r="E77" s="374"/>
      <c r="F77" s="374"/>
      <c r="G77" s="374"/>
      <c r="H77" s="374"/>
      <c r="I77" s="374"/>
      <c r="J77" s="374"/>
      <c r="K77" s="374"/>
      <c r="L77" s="374"/>
      <c r="M77" s="374"/>
    </row>
    <row r="78" spans="1:16" ht="14" x14ac:dyDescent="0.3">
      <c r="E78" s="374"/>
      <c r="F78" s="374"/>
      <c r="G78" s="374"/>
      <c r="H78" s="374"/>
      <c r="I78" s="374"/>
      <c r="J78" s="374"/>
      <c r="K78" s="374"/>
      <c r="L78" s="374"/>
      <c r="M78" s="374"/>
    </row>
    <row r="79" spans="1:16" ht="14" x14ac:dyDescent="0.3">
      <c r="E79" s="374"/>
      <c r="F79" s="374"/>
      <c r="G79" s="374"/>
      <c r="H79" s="374"/>
      <c r="I79" s="374"/>
      <c r="J79" s="374"/>
      <c r="K79" s="374"/>
      <c r="L79" s="374"/>
      <c r="M79" s="374"/>
    </row>
    <row r="80" spans="1:16" ht="14" x14ac:dyDescent="0.3">
      <c r="E80" s="374"/>
      <c r="F80" s="374"/>
      <c r="G80" s="374"/>
      <c r="H80" s="374"/>
      <c r="I80" s="374"/>
      <c r="J80" s="374"/>
      <c r="K80" s="374"/>
      <c r="L80" s="374"/>
      <c r="M80" s="374"/>
    </row>
  </sheetData>
  <mergeCells count="5">
    <mergeCell ref="A4:N4"/>
    <mergeCell ref="A5:N5"/>
    <mergeCell ref="A6:N6"/>
    <mergeCell ref="A8:N8"/>
    <mergeCell ref="A9:N9"/>
  </mergeCells>
  <pageMargins left="0.7" right="0.7" top="0.75" bottom="0.75" header="0.3" footer="0.3"/>
  <pageSetup scale="63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69A98-5423-493A-A135-313C9C172541}">
  <sheetPr>
    <tabColor theme="3" tint="0.59999389629810485"/>
    <pageSetUpPr fitToPage="1"/>
  </sheetPr>
  <dimension ref="A4:Z80"/>
  <sheetViews>
    <sheetView zoomScaleNormal="100" workbookViewId="0"/>
  </sheetViews>
  <sheetFormatPr defaultRowHeight="12.5" x14ac:dyDescent="0.25"/>
  <cols>
    <col min="1" max="1" width="4" customWidth="1"/>
    <col min="2" max="2" width="4.453125" bestFit="1" customWidth="1"/>
    <col min="3" max="3" width="9.453125" customWidth="1"/>
    <col min="4" max="4" width="10.7265625" customWidth="1"/>
    <col min="5" max="7" width="14.7265625" customWidth="1"/>
    <col min="8" max="8" width="1.7265625" customWidth="1"/>
    <col min="9" max="11" width="14.7265625" customWidth="1"/>
    <col min="12" max="12" width="1.7265625" customWidth="1"/>
    <col min="13" max="13" width="12.54296875" bestFit="1" customWidth="1"/>
    <col min="14" max="14" width="11.7265625" customWidth="1"/>
    <col min="15" max="15" width="10.81640625" bestFit="1" customWidth="1"/>
    <col min="16" max="16" width="13.7265625" bestFit="1" customWidth="1"/>
    <col min="17" max="17" width="13.26953125" bestFit="1" customWidth="1"/>
    <col min="18" max="19" width="13.7265625" bestFit="1" customWidth="1"/>
    <col min="20" max="20" width="8.453125" bestFit="1" customWidth="1"/>
    <col min="21" max="21" width="10.81640625" bestFit="1" customWidth="1"/>
    <col min="22" max="22" width="13" bestFit="1" customWidth="1"/>
    <col min="23" max="23" width="12.54296875" bestFit="1" customWidth="1"/>
    <col min="24" max="25" width="13.7265625" bestFit="1" customWidth="1"/>
    <col min="26" max="26" width="8.453125" bestFit="1" customWidth="1"/>
  </cols>
  <sheetData>
    <row r="4" spans="1:26" ht="14" x14ac:dyDescent="0.3">
      <c r="A4" s="762" t="str">
        <f>'Bill_Bos T2 p2'!A4:N4</f>
        <v>Eastern Massachusetts</v>
      </c>
      <c r="B4" s="762"/>
      <c r="C4" s="762"/>
      <c r="D4" s="762"/>
      <c r="E4" s="762"/>
      <c r="F4" s="762"/>
      <c r="G4" s="762"/>
      <c r="H4" s="762"/>
      <c r="I4" s="762"/>
      <c r="J4" s="762"/>
      <c r="K4" s="762"/>
      <c r="L4" s="762"/>
      <c r="M4" s="762"/>
      <c r="N4" s="762"/>
    </row>
    <row r="5" spans="1:26" ht="14" x14ac:dyDescent="0.3">
      <c r="A5" s="762" t="str">
        <f>+'Bill_Bos G1 nonDem'!A5</f>
        <v>Calculation of Monthly Typical Bill</v>
      </c>
      <c r="B5" s="762"/>
      <c r="C5" s="762"/>
      <c r="D5" s="762"/>
      <c r="E5" s="762"/>
      <c r="F5" s="762"/>
      <c r="G5" s="762"/>
      <c r="H5" s="762"/>
      <c r="I5" s="762"/>
      <c r="J5" s="762"/>
      <c r="K5" s="762"/>
      <c r="L5" s="762"/>
      <c r="M5" s="762"/>
      <c r="N5" s="762"/>
    </row>
    <row r="6" spans="1:26" ht="14" x14ac:dyDescent="0.3">
      <c r="A6" s="762" t="str">
        <f>+'Bill_Bos G1 nonDem'!A6</f>
        <v>Proposed January 1, 2019</v>
      </c>
      <c r="B6" s="762"/>
      <c r="C6" s="762"/>
      <c r="D6" s="762"/>
      <c r="E6" s="762"/>
      <c r="F6" s="762"/>
      <c r="G6" s="762"/>
      <c r="H6" s="762"/>
      <c r="I6" s="762"/>
      <c r="J6" s="762"/>
      <c r="K6" s="762"/>
      <c r="L6" s="762"/>
      <c r="M6" s="762"/>
      <c r="N6" s="762"/>
    </row>
    <row r="7" spans="1:26" ht="14" x14ac:dyDescent="0.3">
      <c r="A7" s="467"/>
      <c r="B7" s="467"/>
      <c r="C7" s="293"/>
      <c r="D7" s="293"/>
      <c r="E7" s="468"/>
      <c r="F7" s="243"/>
      <c r="G7" s="469"/>
      <c r="H7" s="293"/>
      <c r="I7" s="369"/>
      <c r="J7" s="369"/>
      <c r="K7" s="369"/>
      <c r="L7" s="369"/>
      <c r="M7" s="369"/>
      <c r="N7" s="369"/>
    </row>
    <row r="8" spans="1:26" ht="14" x14ac:dyDescent="0.3">
      <c r="A8" s="762" t="str">
        <f>+'Bill_Bos G1 nonDem'!A8</f>
        <v>Greater Boston Service Area</v>
      </c>
      <c r="B8" s="762"/>
      <c r="C8" s="762"/>
      <c r="D8" s="762"/>
      <c r="E8" s="762"/>
      <c r="F8" s="762"/>
      <c r="G8" s="762"/>
      <c r="H8" s="762"/>
      <c r="I8" s="762"/>
      <c r="J8" s="762"/>
      <c r="K8" s="762"/>
      <c r="L8" s="762"/>
      <c r="M8" s="762"/>
      <c r="N8" s="762"/>
    </row>
    <row r="9" spans="1:26" ht="14" x14ac:dyDescent="0.3">
      <c r="A9" s="762" t="str">
        <f>+'Bill_Bos T2 p1'!A9:N9</f>
        <v>Rate T-2 Time-of-Use - NEMA</v>
      </c>
      <c r="B9" s="762"/>
      <c r="C9" s="762"/>
      <c r="D9" s="762"/>
      <c r="E9" s="762"/>
      <c r="F9" s="762"/>
      <c r="G9" s="762"/>
      <c r="H9" s="762"/>
      <c r="I9" s="762"/>
      <c r="J9" s="762"/>
      <c r="K9" s="762"/>
      <c r="L9" s="762"/>
      <c r="M9" s="762"/>
      <c r="N9" s="762"/>
    </row>
    <row r="10" spans="1:26" ht="14" x14ac:dyDescent="0.3">
      <c r="A10" s="366"/>
      <c r="B10" s="366"/>
      <c r="D10" s="293"/>
      <c r="E10" s="293"/>
      <c r="F10" s="293"/>
      <c r="G10" s="367"/>
      <c r="H10" s="293"/>
    </row>
    <row r="11" spans="1:26" ht="14" x14ac:dyDescent="0.3">
      <c r="A11" s="366"/>
      <c r="B11" s="366"/>
      <c r="C11" s="293"/>
      <c r="D11" s="293"/>
      <c r="E11" s="293"/>
      <c r="F11" s="293"/>
      <c r="G11" s="368"/>
      <c r="H11" s="293"/>
    </row>
    <row r="12" spans="1:26" ht="14" x14ac:dyDescent="0.3">
      <c r="A12" s="151">
        <f>IF(C12&lt;&gt;"",COUNTA($C12:C$12),"")</f>
        <v>1</v>
      </c>
      <c r="B12" s="151"/>
      <c r="C12" s="405" t="s">
        <v>583</v>
      </c>
      <c r="D12" s="293"/>
      <c r="E12" s="293"/>
      <c r="F12" s="293"/>
      <c r="G12" s="368"/>
      <c r="H12" s="293"/>
    </row>
    <row r="13" spans="1:26" ht="14" x14ac:dyDescent="0.3">
      <c r="A13" s="151">
        <f>IF(C13&lt;&gt;"",COUNTA($C$12:C13),"")</f>
        <v>2</v>
      </c>
      <c r="B13" s="151"/>
      <c r="C13" s="406" t="str">
        <f>+'Bill_Bos G1 nonDem'!C12</f>
        <v>Monthly</v>
      </c>
      <c r="D13" s="366" t="str">
        <f>+C13</f>
        <v>Monthly</v>
      </c>
      <c r="E13" s="407" t="str">
        <f>+'Bill_Bos G1 nonDem'!D12</f>
        <v>Current Monthly Bill (Winter)</v>
      </c>
      <c r="F13" s="440"/>
      <c r="G13" s="407"/>
      <c r="H13" s="293"/>
      <c r="I13" s="407" t="str">
        <f>+'Bill_Bos G1 nonDem'!H12</f>
        <v>Proposed Monthly Bill (Winter)</v>
      </c>
      <c r="J13" s="440"/>
      <c r="K13" s="407"/>
      <c r="M13" s="407" t="s">
        <v>550</v>
      </c>
      <c r="N13" s="440"/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</row>
    <row r="14" spans="1:26" ht="14" x14ac:dyDescent="0.3">
      <c r="A14" s="151">
        <f>IF(C14&lt;&gt;"",COUNTA($C$12:C14),"")</f>
        <v>3</v>
      </c>
      <c r="B14" s="151"/>
      <c r="C14" s="408" t="s">
        <v>534</v>
      </c>
      <c r="D14" s="370" t="s">
        <v>551</v>
      </c>
      <c r="E14" s="370" t="s">
        <v>552</v>
      </c>
      <c r="F14" s="370" t="s">
        <v>553</v>
      </c>
      <c r="G14" s="370" t="s">
        <v>47</v>
      </c>
      <c r="H14" s="293"/>
      <c r="I14" s="370" t="s">
        <v>552</v>
      </c>
      <c r="J14" s="370" t="s">
        <v>553</v>
      </c>
      <c r="K14" s="370" t="s">
        <v>47</v>
      </c>
      <c r="M14" s="370" t="s">
        <v>65</v>
      </c>
      <c r="N14" s="370" t="s">
        <v>325</v>
      </c>
      <c r="O14" s="369"/>
      <c r="P14" s="369"/>
      <c r="Q14" s="369"/>
      <c r="R14" s="369"/>
      <c r="S14" s="369"/>
      <c r="T14" s="369"/>
      <c r="U14" s="369"/>
      <c r="V14" s="369"/>
      <c r="W14" s="369"/>
      <c r="X14" s="369"/>
      <c r="Y14" s="369"/>
      <c r="Z14" s="369"/>
    </row>
    <row r="15" spans="1:26" ht="14" x14ac:dyDescent="0.3">
      <c r="A15" s="151">
        <f>IF(C15&lt;&gt;"",COUNTA($C$12:C15),"")</f>
        <v>4</v>
      </c>
      <c r="B15" s="151"/>
      <c r="C15" s="409">
        <f>+'Bill_Bos T2 p1'!C15</f>
        <v>50</v>
      </c>
      <c r="D15" s="409">
        <f>+C15*550</f>
        <v>27500</v>
      </c>
      <c r="E15" s="372">
        <f t="shared" ref="E15:E23" si="0">ROUND($C15*SUM($G$44,$G$46)+SUM($G$47:$G$62,$G$63:$G$65)*$D15,2)+ROUND(IF($C15&gt;1000,$G$43,IF($C15&gt;300,$G$42,IF($C15&gt;150,$G$41,$G$40))),2)</f>
        <v>1677.25</v>
      </c>
      <c r="F15" s="372">
        <f t="shared" ref="F15:F23" si="1">ROUND(G$66*D15,2)</f>
        <v>3646.5</v>
      </c>
      <c r="G15" s="372">
        <f t="shared" ref="G15:G23" si="2">SUM(E15:F15)</f>
        <v>5323.75</v>
      </c>
      <c r="H15" s="373"/>
      <c r="I15" s="372">
        <f t="shared" ref="I15:I23" si="3">ROUND($C15*SUM($I$44,$I$46)+SUM($I$47:$I$62,$I$63:$I$65)*$D15,2)+ROUND(IF($C15&gt;1000,$I$43,IF($C15&gt;300,$I$42,IF($C15&gt;150,$I$41,$I$40))),2)</f>
        <v>1653.38</v>
      </c>
      <c r="J15" s="372">
        <f t="shared" ref="J15:J23" si="4">ROUND(I$66*D15,2)</f>
        <v>4747.88</v>
      </c>
      <c r="K15" s="372">
        <f t="shared" ref="K15:K23" si="5">SUM(I15:J15)</f>
        <v>6401.26</v>
      </c>
      <c r="L15" s="374"/>
      <c r="M15" s="375">
        <f t="shared" ref="M15:M23" si="6">+K15-G15</f>
        <v>1077.5100000000002</v>
      </c>
      <c r="N15" s="376">
        <f t="shared" ref="N15:N23" si="7">+M15/G15</f>
        <v>0.20239680676215077</v>
      </c>
      <c r="O15" s="377"/>
      <c r="P15" s="322"/>
      <c r="Q15" s="322"/>
      <c r="R15" s="322"/>
      <c r="S15" s="377"/>
      <c r="T15" s="378"/>
      <c r="U15" s="377"/>
      <c r="V15" s="325"/>
      <c r="W15" s="322"/>
      <c r="X15" s="322"/>
      <c r="Y15" s="377"/>
      <c r="Z15" s="374"/>
    </row>
    <row r="16" spans="1:26" ht="14" x14ac:dyDescent="0.3">
      <c r="A16" s="151">
        <f>IF(C16&lt;&gt;"",COUNTA($C$12:C16),"")</f>
        <v>5</v>
      </c>
      <c r="B16" s="151"/>
      <c r="C16" s="409">
        <f>+'Bill_Bos T2 p1'!C16</f>
        <v>100</v>
      </c>
      <c r="D16" s="409">
        <f t="shared" ref="D16:D23" si="8">+C16*550</f>
        <v>55000</v>
      </c>
      <c r="E16" s="372">
        <f t="shared" si="0"/>
        <v>3327.5</v>
      </c>
      <c r="F16" s="372">
        <f t="shared" si="1"/>
        <v>7293</v>
      </c>
      <c r="G16" s="372">
        <f t="shared" si="2"/>
        <v>10620.5</v>
      </c>
      <c r="H16" s="373"/>
      <c r="I16" s="372">
        <f t="shared" si="3"/>
        <v>3279.75</v>
      </c>
      <c r="J16" s="372">
        <f t="shared" si="4"/>
        <v>9495.75</v>
      </c>
      <c r="K16" s="372">
        <f t="shared" si="5"/>
        <v>12775.5</v>
      </c>
      <c r="L16" s="374"/>
      <c r="M16" s="375">
        <f t="shared" si="6"/>
        <v>2155</v>
      </c>
      <c r="N16" s="376">
        <f t="shared" si="7"/>
        <v>0.20290946753919306</v>
      </c>
      <c r="O16" s="377"/>
      <c r="P16" s="322"/>
      <c r="Q16" s="322"/>
      <c r="R16" s="322"/>
      <c r="S16" s="377"/>
      <c r="T16" s="378"/>
      <c r="U16" s="377"/>
      <c r="V16" s="325"/>
      <c r="W16" s="322"/>
      <c r="X16" s="322"/>
      <c r="Y16" s="377"/>
      <c r="Z16" s="374"/>
    </row>
    <row r="17" spans="1:26" ht="14" x14ac:dyDescent="0.3">
      <c r="A17" s="151">
        <f>IF(C17&lt;&gt;"",COUNTA($C$12:C17),"")</f>
        <v>6</v>
      </c>
      <c r="B17" s="151"/>
      <c r="C17" s="409">
        <f>+'Bill_Bos T2 p1'!C17</f>
        <v>150</v>
      </c>
      <c r="D17" s="409">
        <f t="shared" si="8"/>
        <v>82500</v>
      </c>
      <c r="E17" s="372">
        <f t="shared" si="0"/>
        <v>4977.75</v>
      </c>
      <c r="F17" s="372">
        <f t="shared" si="1"/>
        <v>10939.5</v>
      </c>
      <c r="G17" s="372">
        <f t="shared" si="2"/>
        <v>15917.25</v>
      </c>
      <c r="H17" s="373"/>
      <c r="I17" s="372">
        <f t="shared" si="3"/>
        <v>4906.13</v>
      </c>
      <c r="J17" s="372">
        <f t="shared" si="4"/>
        <v>14243.63</v>
      </c>
      <c r="K17" s="372">
        <f t="shared" si="5"/>
        <v>19149.759999999998</v>
      </c>
      <c r="L17" s="374"/>
      <c r="M17" s="375">
        <f t="shared" si="6"/>
        <v>3232.5099999999984</v>
      </c>
      <c r="N17" s="376">
        <f t="shared" si="7"/>
        <v>0.2030821907050526</v>
      </c>
      <c r="O17" s="377"/>
      <c r="P17" s="322"/>
      <c r="Q17" s="322"/>
      <c r="R17" s="322"/>
      <c r="S17" s="377"/>
      <c r="T17" s="378"/>
      <c r="U17" s="377"/>
      <c r="V17" s="325"/>
      <c r="W17" s="322"/>
      <c r="X17" s="322"/>
      <c r="Y17" s="377"/>
      <c r="Z17" s="374"/>
    </row>
    <row r="18" spans="1:26" ht="14" x14ac:dyDescent="0.3">
      <c r="A18" s="151">
        <f>IF(C18&lt;&gt;"",COUNTA($C$12:C18),"")</f>
        <v>7</v>
      </c>
      <c r="B18" s="151"/>
      <c r="C18" s="409">
        <f>+'Bill_Bos T2 p1'!C18</f>
        <v>200</v>
      </c>
      <c r="D18" s="409">
        <f t="shared" si="8"/>
        <v>110000</v>
      </c>
      <c r="E18" s="372">
        <f t="shared" si="0"/>
        <v>6711</v>
      </c>
      <c r="F18" s="372">
        <f t="shared" si="1"/>
        <v>14586</v>
      </c>
      <c r="G18" s="372">
        <f t="shared" si="2"/>
        <v>21297</v>
      </c>
      <c r="H18" s="373"/>
      <c r="I18" s="372">
        <f t="shared" si="3"/>
        <v>6615.5</v>
      </c>
      <c r="J18" s="372">
        <f t="shared" si="4"/>
        <v>18991.5</v>
      </c>
      <c r="K18" s="372">
        <f t="shared" si="5"/>
        <v>25607</v>
      </c>
      <c r="L18" s="374"/>
      <c r="M18" s="375">
        <f t="shared" si="6"/>
        <v>4310</v>
      </c>
      <c r="N18" s="376">
        <f t="shared" si="7"/>
        <v>0.20237592149128986</v>
      </c>
      <c r="O18" s="377"/>
      <c r="P18" s="322"/>
      <c r="Q18" s="322"/>
      <c r="R18" s="322"/>
      <c r="S18" s="377"/>
      <c r="T18" s="378"/>
      <c r="U18" s="377"/>
      <c r="V18" s="325"/>
      <c r="W18" s="322"/>
      <c r="X18" s="322"/>
      <c r="Y18" s="377"/>
      <c r="Z18" s="374"/>
    </row>
    <row r="19" spans="1:26" ht="14" x14ac:dyDescent="0.3">
      <c r="A19" s="151">
        <f>IF(C19&lt;&gt;"",COUNTA($C$12:C19),"")</f>
        <v>8</v>
      </c>
      <c r="B19" s="151"/>
      <c r="C19" s="409">
        <f>+'Bill_Bos T2 p1'!C19</f>
        <v>250</v>
      </c>
      <c r="D19" s="409">
        <f t="shared" si="8"/>
        <v>137500</v>
      </c>
      <c r="E19" s="372">
        <f t="shared" si="0"/>
        <v>8361.25</v>
      </c>
      <c r="F19" s="372">
        <f t="shared" si="1"/>
        <v>18232.5</v>
      </c>
      <c r="G19" s="372">
        <f t="shared" si="2"/>
        <v>26593.75</v>
      </c>
      <c r="H19" s="373"/>
      <c r="I19" s="372">
        <f t="shared" si="3"/>
        <v>8241.880000000001</v>
      </c>
      <c r="J19" s="372">
        <f t="shared" si="4"/>
        <v>23739.38</v>
      </c>
      <c r="K19" s="372">
        <f t="shared" si="5"/>
        <v>31981.260000000002</v>
      </c>
      <c r="L19" s="374"/>
      <c r="M19" s="375">
        <f t="shared" si="6"/>
        <v>5387.510000000002</v>
      </c>
      <c r="N19" s="376">
        <f t="shared" si="7"/>
        <v>0.2025855699177439</v>
      </c>
      <c r="O19" s="377"/>
      <c r="P19" s="322"/>
      <c r="Q19" s="322"/>
      <c r="R19" s="322"/>
      <c r="S19" s="377"/>
      <c r="T19" s="378"/>
      <c r="U19" s="377"/>
      <c r="V19" s="325"/>
      <c r="W19" s="322"/>
      <c r="X19" s="322"/>
      <c r="Y19" s="377"/>
      <c r="Z19" s="374"/>
    </row>
    <row r="20" spans="1:26" ht="14" x14ac:dyDescent="0.3">
      <c r="A20" s="151">
        <f>IF(C20&lt;&gt;"",COUNTA($C$12:C20),"")</f>
        <v>9</v>
      </c>
      <c r="B20" s="151"/>
      <c r="C20" s="409">
        <f>+'Bill_Bos T2 p1'!C20</f>
        <v>300</v>
      </c>
      <c r="D20" s="409">
        <f t="shared" si="8"/>
        <v>165000</v>
      </c>
      <c r="E20" s="372">
        <f t="shared" si="0"/>
        <v>10011.5</v>
      </c>
      <c r="F20" s="372">
        <f t="shared" si="1"/>
        <v>21879</v>
      </c>
      <c r="G20" s="372">
        <f t="shared" si="2"/>
        <v>31890.5</v>
      </c>
      <c r="H20" s="373"/>
      <c r="I20" s="372">
        <f t="shared" si="3"/>
        <v>9868.25</v>
      </c>
      <c r="J20" s="372">
        <f t="shared" si="4"/>
        <v>28487.25</v>
      </c>
      <c r="K20" s="372">
        <f t="shared" si="5"/>
        <v>38355.5</v>
      </c>
      <c r="L20" s="374"/>
      <c r="M20" s="375">
        <f t="shared" si="6"/>
        <v>6465</v>
      </c>
      <c r="N20" s="376">
        <f t="shared" si="7"/>
        <v>0.20272494943635253</v>
      </c>
      <c r="O20" s="377"/>
      <c r="P20" s="322"/>
      <c r="Q20" s="322"/>
      <c r="R20" s="322"/>
      <c r="S20" s="377"/>
      <c r="T20" s="378"/>
      <c r="U20" s="377"/>
      <c r="V20" s="325"/>
      <c r="W20" s="322"/>
      <c r="X20" s="322"/>
      <c r="Y20" s="377"/>
      <c r="Z20" s="374"/>
    </row>
    <row r="21" spans="1:26" ht="14" x14ac:dyDescent="0.3">
      <c r="A21" s="151">
        <f>IF(C21&lt;&gt;"",COUNTA($C$12:C21),"")</f>
        <v>10</v>
      </c>
      <c r="B21" s="151"/>
      <c r="C21" s="409">
        <f>+'Bill_Bos T2 p1'!C21</f>
        <v>500</v>
      </c>
      <c r="D21" s="409">
        <f t="shared" si="8"/>
        <v>275000</v>
      </c>
      <c r="E21" s="372">
        <f t="shared" si="0"/>
        <v>16662.5</v>
      </c>
      <c r="F21" s="372">
        <f t="shared" si="1"/>
        <v>36465</v>
      </c>
      <c r="G21" s="372">
        <f t="shared" si="2"/>
        <v>53127.5</v>
      </c>
      <c r="H21" s="373"/>
      <c r="I21" s="372">
        <f t="shared" si="3"/>
        <v>16423.75</v>
      </c>
      <c r="J21" s="372">
        <f t="shared" si="4"/>
        <v>47478.75</v>
      </c>
      <c r="K21" s="372">
        <f t="shared" si="5"/>
        <v>63902.5</v>
      </c>
      <c r="L21" s="374"/>
      <c r="M21" s="375">
        <f t="shared" si="6"/>
        <v>10775</v>
      </c>
      <c r="N21" s="376">
        <f t="shared" si="7"/>
        <v>0.20281398522422475</v>
      </c>
      <c r="O21" s="377"/>
      <c r="P21" s="322"/>
      <c r="Q21" s="322"/>
      <c r="R21" s="322"/>
      <c r="S21" s="377"/>
      <c r="T21" s="378"/>
      <c r="U21" s="377"/>
      <c r="V21" s="325"/>
      <c r="W21" s="322"/>
      <c r="X21" s="322"/>
      <c r="Y21" s="377"/>
      <c r="Z21" s="374"/>
    </row>
    <row r="22" spans="1:26" ht="14" x14ac:dyDescent="0.3">
      <c r="A22" s="151">
        <f>IF(C22&lt;&gt;"",COUNTA($C$12:C22),"")</f>
        <v>11</v>
      </c>
      <c r="B22" s="151"/>
      <c r="C22" s="409">
        <f>+'Bill_Bos T2 p1'!C22</f>
        <v>1000</v>
      </c>
      <c r="D22" s="409">
        <f t="shared" si="8"/>
        <v>550000</v>
      </c>
      <c r="E22" s="372">
        <f t="shared" si="0"/>
        <v>33165</v>
      </c>
      <c r="F22" s="372">
        <f t="shared" si="1"/>
        <v>72930</v>
      </c>
      <c r="G22" s="372">
        <f t="shared" si="2"/>
        <v>106095</v>
      </c>
      <c r="H22" s="373"/>
      <c r="I22" s="372">
        <f t="shared" si="3"/>
        <v>32687.5</v>
      </c>
      <c r="J22" s="372">
        <f t="shared" si="4"/>
        <v>94957.5</v>
      </c>
      <c r="K22" s="372">
        <f t="shared" si="5"/>
        <v>127645</v>
      </c>
      <c r="L22" s="374"/>
      <c r="M22" s="375">
        <f t="shared" si="6"/>
        <v>21550</v>
      </c>
      <c r="N22" s="376">
        <f t="shared" si="7"/>
        <v>0.20311984542155614</v>
      </c>
      <c r="O22" s="377"/>
      <c r="P22" s="322"/>
      <c r="Q22" s="322"/>
      <c r="R22" s="322"/>
      <c r="S22" s="377"/>
      <c r="T22" s="378"/>
      <c r="U22" s="377"/>
      <c r="V22" s="325"/>
      <c r="W22" s="322"/>
      <c r="X22" s="322"/>
      <c r="Y22" s="377"/>
      <c r="Z22" s="374"/>
    </row>
    <row r="23" spans="1:26" ht="14" x14ac:dyDescent="0.3">
      <c r="A23" s="151">
        <f>IF(C23&lt;&gt;"",COUNTA($C$12:C23),"")</f>
        <v>12</v>
      </c>
      <c r="B23" s="151" t="s">
        <v>554</v>
      </c>
      <c r="C23" s="409">
        <v>299</v>
      </c>
      <c r="D23" s="409">
        <f t="shared" si="8"/>
        <v>164450</v>
      </c>
      <c r="E23" s="372">
        <f t="shared" si="0"/>
        <v>9978.5</v>
      </c>
      <c r="F23" s="372">
        <f t="shared" si="1"/>
        <v>21806.07</v>
      </c>
      <c r="G23" s="372">
        <f t="shared" si="2"/>
        <v>31784.57</v>
      </c>
      <c r="H23" s="373"/>
      <c r="I23" s="372">
        <f t="shared" si="3"/>
        <v>9835.7199999999993</v>
      </c>
      <c r="J23" s="372">
        <f t="shared" si="4"/>
        <v>28392.29</v>
      </c>
      <c r="K23" s="372">
        <f t="shared" si="5"/>
        <v>38228.01</v>
      </c>
      <c r="L23" s="374"/>
      <c r="M23" s="375">
        <f t="shared" si="6"/>
        <v>6443.4400000000023</v>
      </c>
      <c r="N23" s="376">
        <f t="shared" si="7"/>
        <v>0.20272226429364948</v>
      </c>
      <c r="O23" s="377"/>
      <c r="P23" s="322"/>
      <c r="Q23" s="322"/>
      <c r="R23" s="322"/>
      <c r="S23" s="377"/>
      <c r="T23" s="378"/>
      <c r="U23" s="377"/>
      <c r="V23" s="325"/>
      <c r="W23" s="322"/>
      <c r="X23" s="322"/>
      <c r="Y23" s="377"/>
      <c r="Z23" s="374"/>
    </row>
    <row r="24" spans="1:26" ht="14" x14ac:dyDescent="0.3">
      <c r="A24" s="151" t="str">
        <f>IF(C24&lt;&gt;"",COUNTA($C$12:C24),"")</f>
        <v/>
      </c>
      <c r="B24" s="151"/>
      <c r="C24" s="293"/>
      <c r="D24" s="409"/>
      <c r="E24" s="372"/>
      <c r="F24" s="372"/>
      <c r="G24" s="372"/>
      <c r="H24" s="373"/>
      <c r="I24" s="372"/>
      <c r="J24" s="374"/>
      <c r="K24" s="374"/>
      <c r="L24" s="374"/>
      <c r="M24" s="374"/>
      <c r="O24" s="369"/>
      <c r="P24" s="369"/>
      <c r="Q24" s="369"/>
      <c r="R24" s="369"/>
      <c r="S24" s="369"/>
      <c r="T24" s="369"/>
      <c r="U24" s="369"/>
      <c r="V24" s="369"/>
      <c r="W24" s="369"/>
      <c r="X24" s="369"/>
      <c r="Y24" s="369"/>
      <c r="Z24" s="369"/>
    </row>
    <row r="25" spans="1:26" ht="14" x14ac:dyDescent="0.3">
      <c r="A25" s="151">
        <f>IF(C25&lt;&gt;"",COUNTA($C$12:C25),"")</f>
        <v>13</v>
      </c>
      <c r="B25" s="151"/>
      <c r="C25" s="366" t="str">
        <f>+C13</f>
        <v>Monthly</v>
      </c>
      <c r="D25" s="366" t="str">
        <f>+D13</f>
        <v>Monthly</v>
      </c>
      <c r="E25" s="485" t="str">
        <f>+'Bill_Bos G1 nonDem'!D26</f>
        <v>Current Monthly Bill (Summer)</v>
      </c>
      <c r="F25" s="486"/>
      <c r="G25" s="485"/>
      <c r="H25" s="448"/>
      <c r="I25" s="485" t="str">
        <f>+'Bill_Bos G1 nonDem'!H26</f>
        <v>Proposed Monthly Bill (Summer)</v>
      </c>
      <c r="J25" s="486"/>
      <c r="K25" s="486"/>
      <c r="L25" s="374"/>
      <c r="M25" s="485" t="s">
        <v>550</v>
      </c>
      <c r="N25" s="440"/>
      <c r="O25" s="369"/>
      <c r="P25" s="369"/>
      <c r="Q25" s="369"/>
      <c r="R25" s="369"/>
      <c r="S25" s="369"/>
      <c r="T25" s="369"/>
      <c r="U25" s="369"/>
      <c r="V25" s="369"/>
      <c r="W25" s="369"/>
      <c r="X25" s="369"/>
      <c r="Y25" s="369"/>
      <c r="Z25" s="369"/>
    </row>
    <row r="26" spans="1:26" ht="14" x14ac:dyDescent="0.3">
      <c r="A26" s="151">
        <f>IF(C26&lt;&gt;"",COUNTA($C$12:C26),"")</f>
        <v>14</v>
      </c>
      <c r="B26" s="151"/>
      <c r="C26" s="370" t="s">
        <v>534</v>
      </c>
      <c r="D26" s="370" t="s">
        <v>551</v>
      </c>
      <c r="E26" s="442" t="s">
        <v>552</v>
      </c>
      <c r="F26" s="442" t="s">
        <v>553</v>
      </c>
      <c r="G26" s="442" t="s">
        <v>47</v>
      </c>
      <c r="H26" s="448"/>
      <c r="I26" s="442" t="s">
        <v>552</v>
      </c>
      <c r="J26" s="442" t="s">
        <v>553</v>
      </c>
      <c r="K26" s="442" t="s">
        <v>47</v>
      </c>
      <c r="L26" s="374"/>
      <c r="M26" s="442" t="s">
        <v>65</v>
      </c>
      <c r="N26" s="370" t="s">
        <v>325</v>
      </c>
      <c r="O26" s="378"/>
      <c r="P26" s="369"/>
      <c r="Q26" s="369"/>
      <c r="R26" s="369"/>
      <c r="S26" s="369"/>
      <c r="T26" s="369"/>
      <c r="U26" s="369"/>
      <c r="V26" s="369"/>
      <c r="W26" s="369"/>
      <c r="X26" s="369"/>
      <c r="Y26" s="369"/>
      <c r="Z26" s="369"/>
    </row>
    <row r="27" spans="1:26" ht="14" x14ac:dyDescent="0.3">
      <c r="A27" s="151">
        <f>IF(C27&lt;&gt;"",COUNTA($C$12:C27),"")</f>
        <v>15</v>
      </c>
      <c r="B27" s="151"/>
      <c r="C27" s="409">
        <f>+'Bill_Bos T2 p1'!C27</f>
        <v>50</v>
      </c>
      <c r="D27" s="409">
        <f>+C27*550</f>
        <v>27500</v>
      </c>
      <c r="E27" s="372">
        <f t="shared" ref="E27:E35" si="9">ROUND($C27*SUM($G$45,$G$46)+SUM($G$47:$G$62,$G$63:$G$65)*$D27,2)+ROUND(IF($C27&gt;1000,$G$43,IF($C27&gt;300,$G$42,IF($C27&gt;150,$G$41,$G$40))),2)</f>
        <v>2095.75</v>
      </c>
      <c r="F27" s="372">
        <f t="shared" ref="F27:F35" si="10">ROUND($G$66*D27,2)</f>
        <v>3646.5</v>
      </c>
      <c r="G27" s="372">
        <f t="shared" ref="G27:G35" si="11">SUM(E27:F27)</f>
        <v>5742.25</v>
      </c>
      <c r="H27" s="373"/>
      <c r="I27" s="372">
        <f t="shared" ref="I27:I35" si="12">ROUND($C27*SUM($I$45,$I$46)+SUM($I$47:$I$62,$I$63:$I$65)*$D27,2)+ROUND(IF($C27&gt;1000,$I$43,IF($C27&gt;300,$I$42,IF($C27&gt;150,$I$41,$I$40))),2)</f>
        <v>2085.88</v>
      </c>
      <c r="J27" s="372">
        <f t="shared" ref="J27:J35" si="13">ROUND(I$66*D27,2)</f>
        <v>4747.88</v>
      </c>
      <c r="K27" s="372">
        <f t="shared" ref="K27:K35" si="14">SUM(I27:J27)</f>
        <v>6833.76</v>
      </c>
      <c r="L27" s="374"/>
      <c r="M27" s="375">
        <f t="shared" ref="M27:M35" si="15">+K27-G27</f>
        <v>1091.5100000000002</v>
      </c>
      <c r="N27" s="376">
        <f t="shared" ref="N27:N35" si="16">+M27/G27</f>
        <v>0.19008402629631246</v>
      </c>
      <c r="O27" s="377"/>
      <c r="P27" s="322"/>
      <c r="Q27" s="322"/>
      <c r="R27" s="322"/>
      <c r="S27" s="377"/>
      <c r="T27" s="378"/>
      <c r="U27" s="377"/>
      <c r="V27" s="325"/>
      <c r="W27" s="322"/>
      <c r="X27" s="322"/>
      <c r="Y27" s="377"/>
      <c r="Z27" s="374"/>
    </row>
    <row r="28" spans="1:26" ht="14" x14ac:dyDescent="0.3">
      <c r="A28" s="151">
        <f>IF(C28&lt;&gt;"",COUNTA($C$12:C28),"")</f>
        <v>16</v>
      </c>
      <c r="B28" s="151"/>
      <c r="C28" s="409">
        <f>+'Bill_Bos T2 p1'!C28</f>
        <v>100</v>
      </c>
      <c r="D28" s="409">
        <f t="shared" ref="D28:D35" si="17">+C28*550</f>
        <v>55000</v>
      </c>
      <c r="E28" s="372">
        <f t="shared" si="9"/>
        <v>4164.5</v>
      </c>
      <c r="F28" s="372">
        <f t="shared" si="10"/>
        <v>7293</v>
      </c>
      <c r="G28" s="372">
        <f t="shared" si="11"/>
        <v>11457.5</v>
      </c>
      <c r="H28" s="373"/>
      <c r="I28" s="372">
        <f t="shared" si="12"/>
        <v>4144.75</v>
      </c>
      <c r="J28" s="372">
        <f t="shared" si="13"/>
        <v>9495.75</v>
      </c>
      <c r="K28" s="372">
        <f t="shared" si="14"/>
        <v>13640.5</v>
      </c>
      <c r="L28" s="374"/>
      <c r="M28" s="375">
        <f t="shared" si="15"/>
        <v>2183</v>
      </c>
      <c r="N28" s="376">
        <f t="shared" si="16"/>
        <v>0.19053022037966397</v>
      </c>
      <c r="O28" s="377"/>
      <c r="P28" s="322"/>
      <c r="Q28" s="322"/>
      <c r="R28" s="322"/>
      <c r="S28" s="377"/>
      <c r="T28" s="378"/>
      <c r="U28" s="377"/>
      <c r="V28" s="325"/>
      <c r="W28" s="322"/>
      <c r="X28" s="322"/>
      <c r="Y28" s="377"/>
      <c r="Z28" s="374"/>
    </row>
    <row r="29" spans="1:26" ht="14" x14ac:dyDescent="0.3">
      <c r="A29" s="151">
        <f>IF(C29&lt;&gt;"",COUNTA($C$12:C29),"")</f>
        <v>17</v>
      </c>
      <c r="B29" s="151"/>
      <c r="C29" s="409">
        <f>+'Bill_Bos T2 p1'!C29</f>
        <v>150</v>
      </c>
      <c r="D29" s="409">
        <f t="shared" si="17"/>
        <v>82500</v>
      </c>
      <c r="E29" s="372">
        <f t="shared" si="9"/>
        <v>6233.25</v>
      </c>
      <c r="F29" s="372">
        <f t="shared" si="10"/>
        <v>10939.5</v>
      </c>
      <c r="G29" s="372">
        <f t="shared" si="11"/>
        <v>17172.75</v>
      </c>
      <c r="H29" s="373"/>
      <c r="I29" s="372">
        <f t="shared" si="12"/>
        <v>6203.63</v>
      </c>
      <c r="J29" s="372">
        <f t="shared" si="13"/>
        <v>14243.63</v>
      </c>
      <c r="K29" s="372">
        <f t="shared" si="14"/>
        <v>20447.259999999998</v>
      </c>
      <c r="L29" s="374"/>
      <c r="M29" s="375">
        <f t="shared" si="15"/>
        <v>3274.5099999999984</v>
      </c>
      <c r="N29" s="376">
        <f t="shared" si="16"/>
        <v>0.19068058406487012</v>
      </c>
      <c r="O29" s="377"/>
      <c r="P29" s="322"/>
      <c r="Q29" s="322"/>
      <c r="R29" s="322"/>
      <c r="S29" s="377"/>
      <c r="T29" s="378"/>
      <c r="U29" s="377"/>
      <c r="V29" s="325"/>
      <c r="W29" s="322"/>
      <c r="X29" s="322"/>
      <c r="Y29" s="377"/>
      <c r="Z29" s="374"/>
    </row>
    <row r="30" spans="1:26" ht="14" x14ac:dyDescent="0.3">
      <c r="A30" s="151">
        <f>IF(C30&lt;&gt;"",COUNTA($C$12:C30),"")</f>
        <v>18</v>
      </c>
      <c r="B30" s="151"/>
      <c r="C30" s="409">
        <f>+'Bill_Bos T2 p1'!C30</f>
        <v>200</v>
      </c>
      <c r="D30" s="409">
        <f t="shared" si="17"/>
        <v>110000</v>
      </c>
      <c r="E30" s="372">
        <f t="shared" si="9"/>
        <v>8385</v>
      </c>
      <c r="F30" s="372">
        <f t="shared" si="10"/>
        <v>14586</v>
      </c>
      <c r="G30" s="372">
        <f t="shared" si="11"/>
        <v>22971</v>
      </c>
      <c r="H30" s="373"/>
      <c r="I30" s="372">
        <f t="shared" si="12"/>
        <v>8345.5</v>
      </c>
      <c r="J30" s="372">
        <f t="shared" si="13"/>
        <v>18991.5</v>
      </c>
      <c r="K30" s="372">
        <f t="shared" si="14"/>
        <v>27337</v>
      </c>
      <c r="L30" s="374"/>
      <c r="M30" s="375">
        <f t="shared" si="15"/>
        <v>4366</v>
      </c>
      <c r="N30" s="376">
        <f t="shared" si="16"/>
        <v>0.19006573505724608</v>
      </c>
      <c r="O30" s="377"/>
      <c r="P30" s="322"/>
      <c r="Q30" s="322"/>
      <c r="R30" s="322"/>
      <c r="S30" s="377"/>
      <c r="T30" s="378"/>
      <c r="U30" s="377"/>
      <c r="V30" s="325"/>
      <c r="W30" s="322"/>
      <c r="X30" s="322"/>
      <c r="Y30" s="377"/>
      <c r="Z30" s="374"/>
    </row>
    <row r="31" spans="1:26" ht="14" x14ac:dyDescent="0.3">
      <c r="A31" s="151">
        <f>IF(C31&lt;&gt;"",COUNTA($C$12:C31),"")</f>
        <v>19</v>
      </c>
      <c r="B31" s="151"/>
      <c r="C31" s="409">
        <f>+'Bill_Bos T2 p1'!C31</f>
        <v>250</v>
      </c>
      <c r="D31" s="409">
        <f t="shared" si="17"/>
        <v>137500</v>
      </c>
      <c r="E31" s="372">
        <f t="shared" si="9"/>
        <v>10453.75</v>
      </c>
      <c r="F31" s="372">
        <f t="shared" si="10"/>
        <v>18232.5</v>
      </c>
      <c r="G31" s="372">
        <f t="shared" si="11"/>
        <v>28686.25</v>
      </c>
      <c r="H31" s="373"/>
      <c r="I31" s="372">
        <f t="shared" si="12"/>
        <v>10404.379999999999</v>
      </c>
      <c r="J31" s="372">
        <f t="shared" si="13"/>
        <v>23739.38</v>
      </c>
      <c r="K31" s="372">
        <f t="shared" si="14"/>
        <v>34143.760000000002</v>
      </c>
      <c r="L31" s="374"/>
      <c r="M31" s="375">
        <f t="shared" si="15"/>
        <v>5457.510000000002</v>
      </c>
      <c r="N31" s="376">
        <f t="shared" si="16"/>
        <v>0.19024828968582516</v>
      </c>
      <c r="O31" s="377"/>
      <c r="P31" s="322"/>
      <c r="Q31" s="322"/>
      <c r="R31" s="322"/>
      <c r="S31" s="377"/>
      <c r="T31" s="378"/>
      <c r="U31" s="377"/>
      <c r="V31" s="325"/>
      <c r="W31" s="322"/>
      <c r="X31" s="322"/>
      <c r="Y31" s="377"/>
      <c r="Z31" s="374"/>
    </row>
    <row r="32" spans="1:26" ht="14" x14ac:dyDescent="0.3">
      <c r="A32" s="151">
        <f>IF(C32&lt;&gt;"",COUNTA($C$12:C32),"")</f>
        <v>20</v>
      </c>
      <c r="B32" s="151"/>
      <c r="C32" s="409">
        <f>+'Bill_Bos T2 p1'!C32</f>
        <v>300</v>
      </c>
      <c r="D32" s="409">
        <f t="shared" si="17"/>
        <v>165000</v>
      </c>
      <c r="E32" s="372">
        <f t="shared" si="9"/>
        <v>12522.5</v>
      </c>
      <c r="F32" s="372">
        <f t="shared" si="10"/>
        <v>21879</v>
      </c>
      <c r="G32" s="372">
        <f t="shared" si="11"/>
        <v>34401.5</v>
      </c>
      <c r="H32" s="373"/>
      <c r="I32" s="372">
        <f t="shared" si="12"/>
        <v>12463.25</v>
      </c>
      <c r="J32" s="372">
        <f t="shared" si="13"/>
        <v>28487.25</v>
      </c>
      <c r="K32" s="372">
        <f t="shared" si="14"/>
        <v>40950.5</v>
      </c>
      <c r="L32" s="374"/>
      <c r="M32" s="375">
        <f t="shared" si="15"/>
        <v>6549</v>
      </c>
      <c r="N32" s="376">
        <f t="shared" si="16"/>
        <v>0.19036960597648359</v>
      </c>
      <c r="O32" s="377"/>
      <c r="P32" s="322"/>
      <c r="Q32" s="322"/>
      <c r="R32" s="322"/>
      <c r="S32" s="377"/>
      <c r="T32" s="378"/>
      <c r="U32" s="377"/>
      <c r="V32" s="325"/>
      <c r="W32" s="322"/>
      <c r="X32" s="322"/>
      <c r="Y32" s="377"/>
      <c r="Z32" s="374"/>
    </row>
    <row r="33" spans="1:26" ht="14" x14ac:dyDescent="0.3">
      <c r="A33" s="151">
        <f>IF(C33&lt;&gt;"",COUNTA($C$12:C33),"")</f>
        <v>21</v>
      </c>
      <c r="B33" s="151"/>
      <c r="C33" s="409">
        <f>+'Bill_Bos T2 p1'!C33</f>
        <v>500</v>
      </c>
      <c r="D33" s="409">
        <f t="shared" si="17"/>
        <v>275000</v>
      </c>
      <c r="E33" s="372">
        <f t="shared" si="9"/>
        <v>20847.5</v>
      </c>
      <c r="F33" s="372">
        <f t="shared" si="10"/>
        <v>36465</v>
      </c>
      <c r="G33" s="372">
        <f t="shared" si="11"/>
        <v>57312.5</v>
      </c>
      <c r="H33" s="373"/>
      <c r="I33" s="372">
        <f t="shared" si="12"/>
        <v>20748.75</v>
      </c>
      <c r="J33" s="372">
        <f t="shared" si="13"/>
        <v>47478.75</v>
      </c>
      <c r="K33" s="372">
        <f t="shared" si="14"/>
        <v>68227.5</v>
      </c>
      <c r="L33" s="374"/>
      <c r="M33" s="375">
        <f t="shared" si="15"/>
        <v>10915</v>
      </c>
      <c r="N33" s="376">
        <f t="shared" si="16"/>
        <v>0.19044711014176663</v>
      </c>
      <c r="O33" s="377"/>
      <c r="P33" s="322"/>
      <c r="Q33" s="322"/>
      <c r="R33" s="322"/>
      <c r="S33" s="377"/>
      <c r="T33" s="378"/>
      <c r="U33" s="377"/>
      <c r="V33" s="325"/>
      <c r="W33" s="322"/>
      <c r="X33" s="322"/>
      <c r="Y33" s="377"/>
      <c r="Z33" s="374"/>
    </row>
    <row r="34" spans="1:26" ht="14" x14ac:dyDescent="0.3">
      <c r="A34" s="151">
        <f>IF(C34&lt;&gt;"",COUNTA($C$12:C34),"")</f>
        <v>22</v>
      </c>
      <c r="B34" s="151"/>
      <c r="C34" s="409">
        <f>+'Bill_Bos T2 p1'!C34</f>
        <v>1000</v>
      </c>
      <c r="D34" s="409">
        <f t="shared" si="17"/>
        <v>550000</v>
      </c>
      <c r="E34" s="372">
        <f t="shared" si="9"/>
        <v>41535</v>
      </c>
      <c r="F34" s="372">
        <f t="shared" si="10"/>
        <v>72930</v>
      </c>
      <c r="G34" s="372">
        <f t="shared" si="11"/>
        <v>114465</v>
      </c>
      <c r="H34" s="373"/>
      <c r="I34" s="372">
        <f t="shared" si="12"/>
        <v>41337.5</v>
      </c>
      <c r="J34" s="372">
        <f t="shared" si="13"/>
        <v>94957.5</v>
      </c>
      <c r="K34" s="372">
        <f t="shared" si="14"/>
        <v>136295</v>
      </c>
      <c r="L34" s="374"/>
      <c r="M34" s="375">
        <f t="shared" si="15"/>
        <v>21830</v>
      </c>
      <c r="N34" s="376">
        <f t="shared" si="16"/>
        <v>0.19071331848163195</v>
      </c>
      <c r="O34" s="377"/>
      <c r="P34" s="322"/>
      <c r="Q34" s="322"/>
      <c r="R34" s="322"/>
      <c r="S34" s="377"/>
      <c r="T34" s="378"/>
      <c r="U34" s="377"/>
      <c r="V34" s="325"/>
      <c r="W34" s="322"/>
      <c r="X34" s="322"/>
      <c r="Y34" s="377"/>
      <c r="Z34" s="374"/>
    </row>
    <row r="35" spans="1:26" ht="14" x14ac:dyDescent="0.3">
      <c r="A35" s="151">
        <f>IF(C35&lt;&gt;"",COUNTA($C$12:C35),"")</f>
        <v>23</v>
      </c>
      <c r="B35" s="151" t="s">
        <v>554</v>
      </c>
      <c r="C35" s="409">
        <v>352</v>
      </c>
      <c r="D35" s="409">
        <f t="shared" si="17"/>
        <v>193600</v>
      </c>
      <c r="E35" s="372">
        <f t="shared" si="9"/>
        <v>14724</v>
      </c>
      <c r="F35" s="372">
        <f t="shared" si="10"/>
        <v>25671.360000000001</v>
      </c>
      <c r="G35" s="372">
        <f t="shared" si="11"/>
        <v>40395.360000000001</v>
      </c>
      <c r="H35" s="373"/>
      <c r="I35" s="372">
        <f t="shared" si="12"/>
        <v>14654.48</v>
      </c>
      <c r="J35" s="372">
        <f t="shared" si="13"/>
        <v>33425.040000000001</v>
      </c>
      <c r="K35" s="372">
        <f t="shared" si="14"/>
        <v>48079.520000000004</v>
      </c>
      <c r="L35" s="374"/>
      <c r="M35" s="375">
        <f t="shared" si="15"/>
        <v>7684.1600000000035</v>
      </c>
      <c r="N35" s="376">
        <f t="shared" si="16"/>
        <v>0.19022382768714038</v>
      </c>
      <c r="O35" s="377"/>
      <c r="P35" s="322"/>
      <c r="Q35" s="322"/>
      <c r="R35" s="322"/>
      <c r="S35" s="377"/>
      <c r="T35" s="378"/>
      <c r="U35" s="377"/>
      <c r="V35" s="325"/>
      <c r="W35" s="322"/>
      <c r="X35" s="322"/>
      <c r="Y35" s="377"/>
      <c r="Z35" s="374"/>
    </row>
    <row r="36" spans="1:26" ht="14" x14ac:dyDescent="0.3">
      <c r="A36" s="151" t="str">
        <f>IF(C36&lt;&gt;"",COUNTA($C$12:C36),"")</f>
        <v/>
      </c>
      <c r="B36" s="151"/>
      <c r="C36" s="293"/>
      <c r="D36" s="449"/>
      <c r="E36" s="372"/>
      <c r="F36" s="372"/>
      <c r="G36" s="372"/>
      <c r="H36" s="373"/>
      <c r="I36" s="374"/>
      <c r="J36" s="374"/>
      <c r="K36" s="374"/>
      <c r="L36" s="374"/>
      <c r="M36" s="374"/>
    </row>
    <row r="37" spans="1:26" ht="14" x14ac:dyDescent="0.3">
      <c r="A37" s="151" t="str">
        <f>IF(C37&lt;&gt;"",COUNTA($C$12:C37),"")</f>
        <v/>
      </c>
      <c r="B37" s="151"/>
      <c r="C37" s="293"/>
      <c r="D37" s="293"/>
      <c r="E37" s="448"/>
      <c r="F37" s="448"/>
      <c r="G37" s="372"/>
      <c r="H37" s="373"/>
      <c r="I37" s="374"/>
      <c r="J37" s="374"/>
      <c r="K37" s="374"/>
      <c r="L37" s="374"/>
      <c r="M37" s="374"/>
    </row>
    <row r="38" spans="1:26" ht="14" x14ac:dyDescent="0.3">
      <c r="A38" s="151">
        <f>IF(C38&lt;&gt;"",COUNTA($C$12:C38),"")</f>
        <v>24</v>
      </c>
      <c r="B38" s="151"/>
      <c r="C38" s="293" t="s">
        <v>46</v>
      </c>
      <c r="D38" s="293"/>
      <c r="E38" s="448"/>
      <c r="F38" s="374"/>
      <c r="G38" s="480" t="str">
        <f>'Bill_Bos T2 p1'!G38</f>
        <v>Current</v>
      </c>
      <c r="H38" s="374"/>
      <c r="I38" s="480" t="str">
        <f>'Bill_Bos T2 p1'!I38</f>
        <v>Proposed</v>
      </c>
      <c r="J38" s="481"/>
      <c r="K38" s="374"/>
      <c r="L38" s="374"/>
      <c r="M38" s="374"/>
    </row>
    <row r="39" spans="1:26" ht="17" x14ac:dyDescent="0.6">
      <c r="A39" s="151">
        <f>IF(C39&lt;&gt;"",COUNTA($C$12:C39),"")</f>
        <v>25</v>
      </c>
      <c r="B39" s="151"/>
      <c r="C39" s="232" t="s">
        <v>46</v>
      </c>
      <c r="D39" s="232"/>
      <c r="E39" s="448"/>
      <c r="F39" s="374"/>
      <c r="G39" s="482" t="str">
        <f>'Bill_Bos T2 p1'!G39</f>
        <v>Rates</v>
      </c>
      <c r="H39" s="374"/>
      <c r="I39" s="482" t="str">
        <f>'Bill_Bos T2 p1'!I39</f>
        <v>Rates</v>
      </c>
      <c r="J39" s="482" t="str">
        <f>'Bill_Bos T2 p1'!J39</f>
        <v>Change</v>
      </c>
      <c r="K39" s="374"/>
      <c r="L39" s="374"/>
      <c r="M39" s="374"/>
    </row>
    <row r="40" spans="1:26" ht="14" x14ac:dyDescent="0.3">
      <c r="A40" s="151">
        <f>IF(C40&lt;&gt;"",COUNTA($C$12:C40),"")</f>
        <v>26</v>
      </c>
      <c r="B40" s="151"/>
      <c r="C40" s="293" t="s">
        <v>411</v>
      </c>
      <c r="D40" s="293"/>
      <c r="E40" s="483"/>
      <c r="F40" s="374"/>
      <c r="G40" s="454">
        <v>27</v>
      </c>
      <c r="H40" s="455" t="s">
        <v>46</v>
      </c>
      <c r="I40" s="454">
        <f>+G40</f>
        <v>27</v>
      </c>
      <c r="J40" s="421">
        <f>I40-G40</f>
        <v>0</v>
      </c>
      <c r="K40" s="374"/>
      <c r="L40" s="374"/>
      <c r="M40" s="374"/>
    </row>
    <row r="41" spans="1:26" ht="14" x14ac:dyDescent="0.3">
      <c r="A41" s="151">
        <f>IF(C41&lt;&gt;"",COUNTA($C$12:C41),"")</f>
        <v>27</v>
      </c>
      <c r="B41" s="151"/>
      <c r="C41" s="293" t="s">
        <v>413</v>
      </c>
      <c r="D41" s="293"/>
      <c r="E41" s="483"/>
      <c r="F41" s="374"/>
      <c r="G41" s="454">
        <v>110</v>
      </c>
      <c r="H41" s="455"/>
      <c r="I41" s="454">
        <f t="shared" ref="I41:I43" si="18">+G41</f>
        <v>110</v>
      </c>
      <c r="J41" s="421">
        <f t="shared" ref="J41:J66" si="19">I41-G41</f>
        <v>0</v>
      </c>
      <c r="K41" s="374"/>
      <c r="L41" s="374"/>
      <c r="M41" s="374"/>
    </row>
    <row r="42" spans="1:26" ht="14" x14ac:dyDescent="0.3">
      <c r="A42" s="151">
        <f>IF(C42&lt;&gt;"",COUNTA($C$12:C42),"")</f>
        <v>28</v>
      </c>
      <c r="B42" s="151"/>
      <c r="C42" s="293" t="s">
        <v>415</v>
      </c>
      <c r="D42" s="293"/>
      <c r="E42" s="483"/>
      <c r="F42" s="374"/>
      <c r="G42" s="454">
        <v>160</v>
      </c>
      <c r="H42" s="455"/>
      <c r="I42" s="454">
        <f t="shared" si="18"/>
        <v>160</v>
      </c>
      <c r="J42" s="421">
        <f t="shared" si="19"/>
        <v>0</v>
      </c>
      <c r="K42" s="374"/>
      <c r="L42" s="374"/>
      <c r="M42" s="374"/>
    </row>
    <row r="43" spans="1:26" ht="14" x14ac:dyDescent="0.3">
      <c r="A43" s="151">
        <f>IF(C43&lt;&gt;"",COUNTA($C$12:C43),"")</f>
        <v>29</v>
      </c>
      <c r="B43" s="151"/>
      <c r="C43" s="293" t="s">
        <v>417</v>
      </c>
      <c r="D43" s="293"/>
      <c r="E43" s="483"/>
      <c r="F43" s="374"/>
      <c r="G43" s="454">
        <v>360</v>
      </c>
      <c r="H43" s="455"/>
      <c r="I43" s="454">
        <f t="shared" si="18"/>
        <v>360</v>
      </c>
      <c r="J43" s="421">
        <f t="shared" si="19"/>
        <v>0</v>
      </c>
      <c r="K43" s="374"/>
      <c r="L43" s="374"/>
      <c r="M43" s="374"/>
    </row>
    <row r="44" spans="1:26" ht="14" x14ac:dyDescent="0.3">
      <c r="A44" s="151">
        <f>IF(C44&lt;&gt;"",COUNTA($C$12:C44),"")</f>
        <v>30</v>
      </c>
      <c r="B44" s="151"/>
      <c r="C44" s="293" t="s">
        <v>404</v>
      </c>
      <c r="D44" s="293"/>
      <c r="E44" s="483"/>
      <c r="F44" s="374"/>
      <c r="G44" s="454">
        <v>11.08</v>
      </c>
      <c r="H44" s="455"/>
      <c r="I44" s="454">
        <v>11.46</v>
      </c>
      <c r="J44" s="421">
        <f t="shared" si="19"/>
        <v>0.38000000000000078</v>
      </c>
      <c r="K44" s="374"/>
      <c r="L44" s="374"/>
      <c r="M44" s="374"/>
    </row>
    <row r="45" spans="1:26" ht="14" x14ac:dyDescent="0.3">
      <c r="A45" s="151">
        <f>IF(C45&lt;&gt;"",COUNTA($C$12:C45),"")</f>
        <v>31</v>
      </c>
      <c r="B45" s="151"/>
      <c r="C45" s="293" t="s">
        <v>406</v>
      </c>
      <c r="D45" s="293"/>
      <c r="E45" s="483"/>
      <c r="F45" s="374"/>
      <c r="G45" s="454">
        <v>19.45</v>
      </c>
      <c r="H45" s="455"/>
      <c r="I45" s="454">
        <v>20.11</v>
      </c>
      <c r="J45" s="421">
        <f t="shared" si="19"/>
        <v>0.66000000000000014</v>
      </c>
      <c r="K45" s="374"/>
      <c r="L45" s="374"/>
      <c r="M45" s="374"/>
    </row>
    <row r="46" spans="1:26" ht="14" x14ac:dyDescent="0.3">
      <c r="A46" s="151">
        <f>IF(C46&lt;&gt;"",COUNTA($C$12:C46),"")</f>
        <v>32</v>
      </c>
      <c r="B46" s="151"/>
      <c r="C46" s="293" t="str">
        <f>'Bill_Bos T2 p1'!C46</f>
        <v>Transmission Demand</v>
      </c>
      <c r="D46" s="293"/>
      <c r="E46" s="483"/>
      <c r="F46" s="374"/>
      <c r="G46" s="454">
        <v>9</v>
      </c>
      <c r="H46" s="448"/>
      <c r="I46" s="454">
        <v>7.73</v>
      </c>
      <c r="J46" s="421">
        <f>I46-G46</f>
        <v>-1.2699999999999996</v>
      </c>
      <c r="K46" s="374"/>
      <c r="L46" s="374"/>
      <c r="M46" s="374"/>
    </row>
    <row r="47" spans="1:26" ht="14" x14ac:dyDescent="0.3">
      <c r="A47" s="151">
        <f>IF(C47&lt;&gt;"",COUNTA($C$12:C47),"")</f>
        <v>33</v>
      </c>
      <c r="B47" s="151"/>
      <c r="C47" s="293" t="s">
        <v>298</v>
      </c>
      <c r="D47" s="293"/>
      <c r="E47" s="483"/>
      <c r="F47" s="374"/>
      <c r="G47" s="308">
        <v>0</v>
      </c>
      <c r="H47" s="484"/>
      <c r="I47" s="308">
        <v>0</v>
      </c>
      <c r="J47" s="354">
        <f t="shared" si="19"/>
        <v>0</v>
      </c>
      <c r="K47" s="374"/>
      <c r="L47" s="374"/>
      <c r="M47" s="374"/>
    </row>
    <row r="48" spans="1:26" ht="14" x14ac:dyDescent="0.3">
      <c r="A48" s="151">
        <f>IF(C48&lt;&gt;"",COUNTA($C$12:C48),"")</f>
        <v>34</v>
      </c>
      <c r="B48" s="151"/>
      <c r="C48" s="293" t="str">
        <f>'Bill_Bos T2 p1'!C48</f>
        <v>Revenue Decoupling</v>
      </c>
      <c r="D48" s="293"/>
      <c r="E48" s="483"/>
      <c r="F48" s="374"/>
      <c r="G48" s="308">
        <v>0</v>
      </c>
      <c r="H48" s="277"/>
      <c r="I48" s="277">
        <v>-4.0999999999999999E-4</v>
      </c>
      <c r="J48" s="354">
        <f t="shared" si="19"/>
        <v>-4.0999999999999999E-4</v>
      </c>
      <c r="K48" s="374"/>
      <c r="L48" s="374"/>
      <c r="M48" s="374"/>
    </row>
    <row r="49" spans="1:13" ht="14" x14ac:dyDescent="0.3">
      <c r="A49" s="151">
        <f>IF(C49&lt;&gt;"",COUNTA($C$12:C49),"")</f>
        <v>35</v>
      </c>
      <c r="B49" s="151"/>
      <c r="C49" s="293" t="str">
        <f>'Bill_Bos T2 p1'!C49</f>
        <v>Residential Assistance Adjustment Factor</v>
      </c>
      <c r="D49" s="293"/>
      <c r="E49" s="483"/>
      <c r="F49" s="374"/>
      <c r="G49" s="277">
        <v>2.5000000000000001E-3</v>
      </c>
      <c r="H49" s="277"/>
      <c r="I49" s="277">
        <v>3.46E-3</v>
      </c>
      <c r="J49" s="354">
        <f t="shared" si="19"/>
        <v>9.5999999999999992E-4</v>
      </c>
      <c r="K49" s="374"/>
      <c r="L49" s="374"/>
      <c r="M49" s="374"/>
    </row>
    <row r="50" spans="1:13" ht="14" x14ac:dyDescent="0.3">
      <c r="A50" s="151">
        <f>IF(C50&lt;&gt;"",COUNTA($C$12:C50),"")</f>
        <v>36</v>
      </c>
      <c r="B50" s="151"/>
      <c r="C50" s="293" t="str">
        <f>'Bill_Bos T2 p1'!C50</f>
        <v>Pension Adjustment Factor</v>
      </c>
      <c r="D50" s="293"/>
      <c r="E50" s="483"/>
      <c r="F50" s="374"/>
      <c r="G50" s="277">
        <v>-5.0000000000000002E-5</v>
      </c>
      <c r="H50" s="277"/>
      <c r="I50" s="277">
        <v>4.6999999999999999E-4</v>
      </c>
      <c r="J50" s="354">
        <f t="shared" si="19"/>
        <v>5.1999999999999995E-4</v>
      </c>
      <c r="K50" s="374"/>
      <c r="L50" s="374"/>
      <c r="M50" s="374"/>
    </row>
    <row r="51" spans="1:13" ht="14" x14ac:dyDescent="0.3">
      <c r="A51" s="151">
        <f>IF(C51&lt;&gt;"",COUNTA($C$12:C51),"")</f>
        <v>37</v>
      </c>
      <c r="B51" s="151"/>
      <c r="C51" s="293" t="str">
        <f>'Bill_Bos T2 p1'!C51</f>
        <v>Net Metering Recovery Surcharge</v>
      </c>
      <c r="D51" s="293"/>
      <c r="E51" s="483"/>
      <c r="F51" s="374"/>
      <c r="G51" s="277">
        <v>4.9300000000000004E-3</v>
      </c>
      <c r="H51" s="277"/>
      <c r="I51" s="277">
        <v>4.5100000000000001E-3</v>
      </c>
      <c r="J51" s="354">
        <f t="shared" si="19"/>
        <v>-4.2000000000000023E-4</v>
      </c>
      <c r="K51" s="374"/>
      <c r="L51" s="374"/>
      <c r="M51" s="374"/>
    </row>
    <row r="52" spans="1:13" ht="14" x14ac:dyDescent="0.3">
      <c r="A52" s="151">
        <f>IF(C52&lt;&gt;"",COUNTA($C$12:C52),"")</f>
        <v>38</v>
      </c>
      <c r="B52" s="151"/>
      <c r="C52" s="293" t="str">
        <f>'Bill_Bos T2 p1'!C52</f>
        <v>Long Term Renewable Contract Adjustment</v>
      </c>
      <c r="D52" s="293"/>
      <c r="E52" s="483"/>
      <c r="F52" s="374"/>
      <c r="G52" s="277">
        <v>2.3600000000000001E-3</v>
      </c>
      <c r="H52" s="277"/>
      <c r="I52" s="277">
        <v>1.74E-3</v>
      </c>
      <c r="J52" s="354">
        <f t="shared" si="19"/>
        <v>-6.2000000000000011E-4</v>
      </c>
      <c r="K52" s="374"/>
      <c r="L52" s="374"/>
      <c r="M52" s="374"/>
    </row>
    <row r="53" spans="1:13" ht="14" x14ac:dyDescent="0.3">
      <c r="A53" s="151">
        <f>IF(C53&lt;&gt;"",COUNTA($C$12:C53),"")</f>
        <v>39</v>
      </c>
      <c r="B53" s="151"/>
      <c r="C53" s="293" t="str">
        <f>'Bill_Bos T2 p1'!C53</f>
        <v>AG Consulting Expense</v>
      </c>
      <c r="D53" s="293"/>
      <c r="E53" s="483"/>
      <c r="F53" s="374"/>
      <c r="G53" s="277">
        <v>3.0000000000000001E-5</v>
      </c>
      <c r="H53" s="277"/>
      <c r="I53" s="277">
        <v>1.0000000000000001E-5</v>
      </c>
      <c r="J53" s="354">
        <f t="shared" si="19"/>
        <v>-1.9999999999999998E-5</v>
      </c>
      <c r="K53" s="374"/>
      <c r="L53" s="374"/>
      <c r="M53" s="374"/>
    </row>
    <row r="54" spans="1:13" ht="14" x14ac:dyDescent="0.3">
      <c r="A54" s="151">
        <f>IF(C54&lt;&gt;"",COUNTA($C$12:C54),"")</f>
        <v>40</v>
      </c>
      <c r="B54" s="151"/>
      <c r="C54" s="293" t="str">
        <f>'Bill_Bos T2 p1'!C54</f>
        <v>Storm Cost Recovery Adjustment Factor</v>
      </c>
      <c r="D54" s="293"/>
      <c r="E54" s="483"/>
      <c r="F54" s="374"/>
      <c r="G54" s="277">
        <v>1.5399999999999999E-3</v>
      </c>
      <c r="H54" s="277"/>
      <c r="I54" s="277">
        <v>2.6199999999999999E-3</v>
      </c>
      <c r="J54" s="354">
        <f t="shared" si="19"/>
        <v>1.08E-3</v>
      </c>
      <c r="K54" s="374"/>
      <c r="L54" s="374"/>
      <c r="M54" s="374"/>
    </row>
    <row r="55" spans="1:13" ht="14" x14ac:dyDescent="0.3">
      <c r="A55" s="151">
        <f>IF(C55&lt;&gt;"",COUNTA($C$12:C55),"")</f>
        <v>41</v>
      </c>
      <c r="B55" s="151"/>
      <c r="C55" s="293" t="str">
        <f>'Bill_Bos T2 p1'!C55</f>
        <v>Storm Reserve Adjustment</v>
      </c>
      <c r="D55" s="293"/>
      <c r="E55" s="483"/>
      <c r="F55" s="374"/>
      <c r="G55" s="277">
        <v>0</v>
      </c>
      <c r="H55" s="277"/>
      <c r="I55" s="277">
        <v>0</v>
      </c>
      <c r="J55" s="354">
        <f t="shared" si="19"/>
        <v>0</v>
      </c>
      <c r="K55" s="374"/>
      <c r="L55" s="374"/>
      <c r="M55" s="374"/>
    </row>
    <row r="56" spans="1:13" ht="14" x14ac:dyDescent="0.3">
      <c r="A56" s="151">
        <f>IF(C56&lt;&gt;"",COUNTA($C$12:C56),"")</f>
        <v>42</v>
      </c>
      <c r="B56" s="151"/>
      <c r="C56" s="293" t="str">
        <f>'Bill_Bos T2 p1'!C56</f>
        <v>Basic Service Cost True Up Factor</v>
      </c>
      <c r="D56" s="293"/>
      <c r="E56" s="483"/>
      <c r="F56" s="374"/>
      <c r="G56" s="277">
        <v>1.34E-3</v>
      </c>
      <c r="H56" s="277"/>
      <c r="I56" s="277">
        <v>-1.7000000000000001E-4</v>
      </c>
      <c r="J56" s="354">
        <f t="shared" si="19"/>
        <v>-1.5100000000000001E-3</v>
      </c>
      <c r="K56" s="374"/>
      <c r="L56" s="374"/>
      <c r="M56" s="374"/>
    </row>
    <row r="57" spans="1:13" ht="14" x14ac:dyDescent="0.3">
      <c r="A57" s="151">
        <f>IF(C57&lt;&gt;"",COUNTA($C$12:C57),"")</f>
        <v>43</v>
      </c>
      <c r="B57" s="151"/>
      <c r="C57" s="293" t="str">
        <f>'Bill_Bos T2 p1'!C57</f>
        <v>Solar Program Cost Adjustment Factor</v>
      </c>
      <c r="D57" s="293"/>
      <c r="E57" s="483"/>
      <c r="F57" s="374"/>
      <c r="G57" s="277">
        <v>0</v>
      </c>
      <c r="H57" s="277"/>
      <c r="I57" s="277">
        <v>3.0000000000000001E-5</v>
      </c>
      <c r="J57" s="354">
        <f t="shared" si="19"/>
        <v>3.0000000000000001E-5</v>
      </c>
      <c r="K57" s="374"/>
      <c r="L57" s="374"/>
      <c r="M57" s="374"/>
    </row>
    <row r="58" spans="1:13" ht="14" x14ac:dyDescent="0.3">
      <c r="A58" s="151">
        <f>IF(C58&lt;&gt;"",COUNTA($C$12:C58),"")</f>
        <v>44</v>
      </c>
      <c r="B58" s="151"/>
      <c r="C58" s="293" t="str">
        <f>'Bill_Bos T2 p1'!C58</f>
        <v>Solar Expansion Cost Recovery Factor</v>
      </c>
      <c r="D58" s="293"/>
      <c r="E58" s="483"/>
      <c r="F58" s="374"/>
      <c r="G58" s="277">
        <v>0</v>
      </c>
      <c r="H58" s="277"/>
      <c r="I58" s="277">
        <v>5.4000000000000001E-4</v>
      </c>
      <c r="J58" s="354">
        <f t="shared" si="19"/>
        <v>5.4000000000000001E-4</v>
      </c>
      <c r="K58" s="374"/>
      <c r="L58" s="374"/>
      <c r="M58" s="374"/>
    </row>
    <row r="59" spans="1:13" ht="14" x14ac:dyDescent="0.3">
      <c r="A59" s="151">
        <f>IF(C59&lt;&gt;"",COUNTA($C$12:C59),"")</f>
        <v>45</v>
      </c>
      <c r="B59" s="151"/>
      <c r="C59" s="293" t="str">
        <f>'Bill_Bos T2 p1'!C59</f>
        <v>Vegetation Management</v>
      </c>
      <c r="D59" s="293"/>
      <c r="E59" s="483"/>
      <c r="F59" s="374"/>
      <c r="G59" s="277">
        <v>0</v>
      </c>
      <c r="H59" s="277"/>
      <c r="I59" s="277">
        <v>8.3000000000000001E-4</v>
      </c>
      <c r="J59" s="354">
        <f t="shared" si="19"/>
        <v>8.3000000000000001E-4</v>
      </c>
      <c r="K59" s="374"/>
      <c r="L59" s="374"/>
      <c r="M59" s="374"/>
    </row>
    <row r="60" spans="1:13" ht="14" x14ac:dyDescent="0.3">
      <c r="A60" s="151">
        <f>IF(C60&lt;&gt;"",COUNTA($C$12:C60),"")</f>
        <v>46</v>
      </c>
      <c r="B60" s="151"/>
      <c r="C60" s="293" t="str">
        <f>'Bill_Bos T2 p1'!C60</f>
        <v>Solar Massachusetts Renewable Target</v>
      </c>
      <c r="D60" s="339"/>
      <c r="E60" s="339"/>
      <c r="F60" s="277"/>
      <c r="G60" s="277">
        <v>0</v>
      </c>
      <c r="H60" s="277"/>
      <c r="I60" s="277">
        <v>6.3000000000000003E-4</v>
      </c>
      <c r="J60" s="354">
        <f t="shared" si="19"/>
        <v>6.3000000000000003E-4</v>
      </c>
      <c r="K60" s="339"/>
      <c r="L60" s="339"/>
    </row>
    <row r="61" spans="1:13" ht="14" x14ac:dyDescent="0.3">
      <c r="A61" s="151">
        <f>IF(C61&lt;&gt;"",COUNTA($C$12:C61),"")</f>
        <v>47</v>
      </c>
      <c r="B61" s="151"/>
      <c r="C61" s="293" t="str">
        <f>'Bill_Bos T2 p1'!C61</f>
        <v>Tax Act Credit Factor</v>
      </c>
      <c r="D61" s="339"/>
      <c r="E61" s="339"/>
      <c r="F61" s="277"/>
      <c r="G61" s="277">
        <v>0</v>
      </c>
      <c r="H61" s="277"/>
      <c r="I61" s="277">
        <v>-9.5E-4</v>
      </c>
      <c r="J61" s="354">
        <f t="shared" si="19"/>
        <v>-9.5E-4</v>
      </c>
      <c r="K61" s="339"/>
      <c r="L61" s="339"/>
    </row>
    <row r="62" spans="1:13" ht="14" x14ac:dyDescent="0.3">
      <c r="A62" s="151">
        <f>IF(C62&lt;&gt;"",COUNTA($C$12:C62),"")</f>
        <v>48</v>
      </c>
      <c r="B62" s="151"/>
      <c r="C62" s="293" t="str">
        <f>'Bill_Bos T2 p1'!C62</f>
        <v>Transition</v>
      </c>
      <c r="D62" s="293"/>
      <c r="E62" s="483"/>
      <c r="F62" s="374"/>
      <c r="G62" s="308">
        <v>-6.0999999999999997E-4</v>
      </c>
      <c r="H62" s="277"/>
      <c r="I62" s="277">
        <v>-5.1999999999999995E-4</v>
      </c>
      <c r="J62" s="354">
        <f t="shared" si="19"/>
        <v>9.0000000000000019E-5</v>
      </c>
      <c r="K62" s="374"/>
      <c r="L62" s="374"/>
      <c r="M62" s="374"/>
    </row>
    <row r="63" spans="1:13" ht="14" x14ac:dyDescent="0.3">
      <c r="A63" s="151">
        <f>IF(C63&lt;&gt;"",COUNTA($C$12:C63),"")</f>
        <v>49</v>
      </c>
      <c r="B63" s="151"/>
      <c r="C63" s="293" t="str">
        <f>'Bill_Bos T2 p1'!C63</f>
        <v>Energy Efficiency Reconciliation Factor</v>
      </c>
      <c r="D63" s="293"/>
      <c r="E63" s="483"/>
      <c r="F63" s="374"/>
      <c r="G63" s="308">
        <v>8.4600000000000005E-3</v>
      </c>
      <c r="H63" s="400"/>
      <c r="I63" s="308">
        <v>8.4600000000000005E-3</v>
      </c>
      <c r="J63" s="354">
        <f t="shared" si="19"/>
        <v>0</v>
      </c>
      <c r="K63" s="374"/>
      <c r="L63" s="374"/>
      <c r="M63" s="374"/>
    </row>
    <row r="64" spans="1:13" ht="14" x14ac:dyDescent="0.3">
      <c r="A64" s="151">
        <f>IF(C64&lt;&gt;"",COUNTA($C$12:C64),"")</f>
        <v>50</v>
      </c>
      <c r="B64" s="151"/>
      <c r="C64" s="293" t="str">
        <f>'Bill_Bos T2 p1'!C64</f>
        <v>System Benefits Charge</v>
      </c>
      <c r="D64" s="293"/>
      <c r="E64" s="483"/>
      <c r="F64" s="374"/>
      <c r="G64" s="308">
        <v>2.5000000000000001E-3</v>
      </c>
      <c r="H64" s="400"/>
      <c r="I64" s="308">
        <f>+G64</f>
        <v>2.5000000000000001E-3</v>
      </c>
      <c r="J64" s="354">
        <f t="shared" si="19"/>
        <v>0</v>
      </c>
      <c r="K64" s="374"/>
      <c r="L64" s="374"/>
      <c r="M64" s="374"/>
    </row>
    <row r="65" spans="1:13" ht="14" x14ac:dyDescent="0.3">
      <c r="A65" s="151">
        <f>IF(C65&lt;&gt;"",COUNTA($C$12:C65),"")</f>
        <v>51</v>
      </c>
      <c r="B65" s="151"/>
      <c r="C65" s="293" t="str">
        <f>'Bill_Bos T2 p1'!C65</f>
        <v>Renewable Energy Charge</v>
      </c>
      <c r="D65" s="293"/>
      <c r="E65" s="483"/>
      <c r="F65" s="374"/>
      <c r="G65" s="308">
        <v>5.0000000000000001E-4</v>
      </c>
      <c r="H65" s="400"/>
      <c r="I65" s="308">
        <f>+G65</f>
        <v>5.0000000000000001E-4</v>
      </c>
      <c r="J65" s="354">
        <f t="shared" si="19"/>
        <v>0</v>
      </c>
      <c r="K65" s="374"/>
      <c r="L65" s="374"/>
      <c r="M65" s="374"/>
    </row>
    <row r="66" spans="1:13" ht="14" x14ac:dyDescent="0.3">
      <c r="A66" s="151">
        <f>IF(C66&lt;&gt;"",COUNTA($C$12:C66),"")</f>
        <v>52</v>
      </c>
      <c r="B66" s="151"/>
      <c r="C66" s="293" t="str">
        <f>'Bill_Bos T2 p1'!C66</f>
        <v>Basic Service Charge</v>
      </c>
      <c r="D66" s="293"/>
      <c r="E66" s="483"/>
      <c r="F66" s="374"/>
      <c r="G66" s="308">
        <v>0.1326</v>
      </c>
      <c r="H66" s="400"/>
      <c r="I66" s="308">
        <v>0.17265000000000003</v>
      </c>
      <c r="J66" s="354">
        <f t="shared" si="19"/>
        <v>4.005000000000003E-2</v>
      </c>
      <c r="K66" s="374"/>
      <c r="L66" s="374"/>
      <c r="M66" s="374"/>
    </row>
    <row r="67" spans="1:13" ht="14" x14ac:dyDescent="0.3">
      <c r="A67" s="151"/>
      <c r="B67" s="151"/>
      <c r="E67" s="374"/>
      <c r="F67" s="374"/>
      <c r="G67" s="374"/>
      <c r="H67" s="374"/>
      <c r="I67" s="374"/>
      <c r="J67" s="374"/>
      <c r="K67" s="374"/>
      <c r="L67" s="374"/>
      <c r="M67" s="374"/>
    </row>
    <row r="68" spans="1:13" ht="14" x14ac:dyDescent="0.3">
      <c r="A68" s="151"/>
      <c r="B68" s="151"/>
      <c r="E68" s="374"/>
      <c r="F68" s="374"/>
      <c r="G68" s="374"/>
      <c r="H68" s="374"/>
      <c r="I68" s="374"/>
      <c r="J68" s="374"/>
      <c r="K68" s="374"/>
      <c r="L68" s="374"/>
      <c r="M68" s="374"/>
    </row>
    <row r="69" spans="1:13" ht="14" x14ac:dyDescent="0.3">
      <c r="C69" s="369" t="str">
        <f>'Bill_Bos G3 p1'!C67</f>
        <v>Total Demand - Winter</v>
      </c>
      <c r="E69" s="374"/>
      <c r="F69" s="374"/>
      <c r="G69" s="374">
        <f>G44+G46</f>
        <v>20.079999999999998</v>
      </c>
      <c r="H69" s="374"/>
      <c r="I69" s="374">
        <f>I44+I46</f>
        <v>19.190000000000001</v>
      </c>
      <c r="J69" s="421">
        <f t="shared" ref="J69:J72" si="20">I69-G69</f>
        <v>-0.88999999999999702</v>
      </c>
      <c r="K69" s="374"/>
      <c r="L69" s="374"/>
      <c r="M69" s="374"/>
    </row>
    <row r="70" spans="1:13" ht="14" x14ac:dyDescent="0.3">
      <c r="C70" s="369" t="str">
        <f>'Bill_Bos G3 p1'!C68</f>
        <v>Total Demand - Summer</v>
      </c>
      <c r="E70" s="374"/>
      <c r="F70" s="374"/>
      <c r="G70" s="374">
        <f>+G45+G46</f>
        <v>28.45</v>
      </c>
      <c r="H70" s="374"/>
      <c r="I70" s="374">
        <f>+I45+I46</f>
        <v>27.84</v>
      </c>
      <c r="J70" s="421">
        <f t="shared" si="20"/>
        <v>-0.60999999999999943</v>
      </c>
      <c r="K70" s="374"/>
      <c r="L70" s="374"/>
      <c r="M70" s="374"/>
    </row>
    <row r="71" spans="1:13" ht="14" x14ac:dyDescent="0.3">
      <c r="C71" s="369" t="str">
        <f>'Bill_Bos G3 p1'!C69</f>
        <v>Total Energy</v>
      </c>
      <c r="E71" s="374"/>
      <c r="F71" s="374"/>
      <c r="G71" s="403">
        <f>SUM(G47:G62,G63:G65)</f>
        <v>2.3500000000000004E-2</v>
      </c>
      <c r="H71" s="403"/>
      <c r="I71" s="403">
        <f>SUM(I47:I62,I63:I65)</f>
        <v>2.4250000000000001E-2</v>
      </c>
      <c r="J71" s="354">
        <f t="shared" si="20"/>
        <v>7.499999999999972E-4</v>
      </c>
      <c r="K71" s="374"/>
      <c r="L71" s="374"/>
      <c r="M71" s="374"/>
    </row>
    <row r="72" spans="1:13" ht="14" x14ac:dyDescent="0.3">
      <c r="C72" s="369" t="str">
        <f>'Bill_Bos G3 p1'!C70</f>
        <v>Total Basic Service</v>
      </c>
      <c r="E72" s="374"/>
      <c r="F72" s="374"/>
      <c r="G72" s="403">
        <f>G66</f>
        <v>0.1326</v>
      </c>
      <c r="H72" s="403"/>
      <c r="I72" s="403">
        <f>I66</f>
        <v>0.17265000000000003</v>
      </c>
      <c r="J72" s="354">
        <f t="shared" si="20"/>
        <v>4.005000000000003E-2</v>
      </c>
      <c r="K72" s="374"/>
      <c r="L72" s="374"/>
      <c r="M72" s="374"/>
    </row>
    <row r="73" spans="1:13" ht="14" x14ac:dyDescent="0.3">
      <c r="E73" s="374"/>
      <c r="F73" s="374"/>
      <c r="G73" s="374"/>
      <c r="H73" s="374"/>
      <c r="I73" s="374"/>
      <c r="J73" s="374"/>
      <c r="K73" s="374"/>
      <c r="L73" s="374"/>
      <c r="M73" s="374"/>
    </row>
    <row r="74" spans="1:13" ht="14" x14ac:dyDescent="0.3">
      <c r="E74" s="374"/>
      <c r="F74" s="374"/>
      <c r="G74" s="374"/>
      <c r="H74" s="374"/>
      <c r="I74" s="374"/>
      <c r="J74" s="374"/>
      <c r="K74" s="374"/>
      <c r="L74" s="374"/>
      <c r="M74" s="374"/>
    </row>
    <row r="75" spans="1:13" ht="14" x14ac:dyDescent="0.3">
      <c r="E75" s="374"/>
      <c r="F75" s="374"/>
      <c r="G75" s="374"/>
      <c r="H75" s="374"/>
      <c r="I75" s="374"/>
      <c r="J75" s="374"/>
      <c r="K75" s="374"/>
      <c r="L75" s="374"/>
      <c r="M75" s="374"/>
    </row>
    <row r="76" spans="1:13" ht="14" x14ac:dyDescent="0.3">
      <c r="E76" s="374"/>
      <c r="F76" s="374"/>
      <c r="G76" s="374"/>
      <c r="H76" s="374"/>
      <c r="I76" s="374"/>
      <c r="J76" s="374"/>
      <c r="K76" s="374"/>
      <c r="L76" s="374"/>
      <c r="M76" s="374"/>
    </row>
    <row r="77" spans="1:13" ht="14" x14ac:dyDescent="0.3">
      <c r="E77" s="374"/>
      <c r="F77" s="374"/>
      <c r="G77" s="374"/>
      <c r="H77" s="374"/>
      <c r="I77" s="374"/>
      <c r="J77" s="374"/>
      <c r="K77" s="374"/>
      <c r="L77" s="374"/>
      <c r="M77" s="374"/>
    </row>
    <row r="78" spans="1:13" ht="14" x14ac:dyDescent="0.3">
      <c r="E78" s="374"/>
      <c r="F78" s="374"/>
      <c r="G78" s="374"/>
      <c r="H78" s="374"/>
      <c r="I78" s="374"/>
      <c r="J78" s="374"/>
      <c r="K78" s="374"/>
      <c r="L78" s="374"/>
      <c r="M78" s="374"/>
    </row>
    <row r="79" spans="1:13" ht="14" x14ac:dyDescent="0.3">
      <c r="E79" s="374"/>
      <c r="F79" s="374"/>
      <c r="G79" s="374"/>
      <c r="H79" s="374"/>
      <c r="I79" s="374"/>
      <c r="J79" s="374"/>
      <c r="K79" s="374"/>
      <c r="L79" s="374"/>
      <c r="M79" s="374"/>
    </row>
    <row r="80" spans="1:13" ht="14" x14ac:dyDescent="0.3">
      <c r="E80" s="374"/>
      <c r="F80" s="374"/>
      <c r="G80" s="374"/>
      <c r="H80" s="374"/>
      <c r="I80" s="374"/>
      <c r="J80" s="374"/>
      <c r="K80" s="374"/>
      <c r="L80" s="374"/>
      <c r="M80" s="374"/>
    </row>
  </sheetData>
  <mergeCells count="5">
    <mergeCell ref="A4:N4"/>
    <mergeCell ref="A5:N5"/>
    <mergeCell ref="A6:N6"/>
    <mergeCell ref="A8:N8"/>
    <mergeCell ref="A9:N9"/>
  </mergeCells>
  <pageMargins left="0.7" right="0.7" top="0.75" bottom="0.75" header="0.3" footer="0.3"/>
  <pageSetup scale="63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11963-B04E-4E2D-AA7C-38CAB268D8A6}">
  <sheetPr>
    <tabColor theme="3" tint="0.59999389629810485"/>
    <pageSetUpPr fitToPage="1"/>
  </sheetPr>
  <dimension ref="A4:Z80"/>
  <sheetViews>
    <sheetView zoomScaleNormal="100" workbookViewId="0"/>
  </sheetViews>
  <sheetFormatPr defaultRowHeight="12.5" x14ac:dyDescent="0.25"/>
  <cols>
    <col min="1" max="1" width="4" customWidth="1"/>
    <col min="2" max="2" width="4.453125" bestFit="1" customWidth="1"/>
    <col min="3" max="3" width="9.453125" customWidth="1"/>
    <col min="4" max="4" width="10.7265625" customWidth="1"/>
    <col min="5" max="7" width="14.7265625" customWidth="1"/>
    <col min="8" max="8" width="1.7265625" customWidth="1"/>
    <col min="9" max="11" width="14.7265625" customWidth="1"/>
    <col min="12" max="12" width="1.7265625" customWidth="1"/>
    <col min="13" max="13" width="12.54296875" bestFit="1" customWidth="1"/>
    <col min="14" max="14" width="11.7265625" customWidth="1"/>
    <col min="15" max="15" width="10.81640625" bestFit="1" customWidth="1"/>
    <col min="16" max="16" width="13.7265625" bestFit="1" customWidth="1"/>
    <col min="17" max="17" width="12.54296875" bestFit="1" customWidth="1"/>
    <col min="18" max="18" width="13.7265625" bestFit="1" customWidth="1"/>
    <col min="19" max="19" width="13" bestFit="1" customWidth="1"/>
    <col min="20" max="20" width="8.453125" bestFit="1" customWidth="1"/>
    <col min="21" max="21" width="10.81640625" bestFit="1" customWidth="1"/>
    <col min="22" max="22" width="13" bestFit="1" customWidth="1"/>
    <col min="23" max="23" width="12.54296875" bestFit="1" customWidth="1"/>
    <col min="24" max="24" width="13.7265625" bestFit="1" customWidth="1"/>
    <col min="25" max="25" width="13" bestFit="1" customWidth="1"/>
    <col min="26" max="26" width="8.453125" bestFit="1" customWidth="1"/>
  </cols>
  <sheetData>
    <row r="4" spans="1:26" ht="14" x14ac:dyDescent="0.3">
      <c r="A4" s="762" t="str">
        <f>'Bill_Bos T2 p3'!A4:N4</f>
        <v>Eastern Massachusetts</v>
      </c>
      <c r="B4" s="762"/>
      <c r="C4" s="762"/>
      <c r="D4" s="762"/>
      <c r="E4" s="762"/>
      <c r="F4" s="762"/>
      <c r="G4" s="762"/>
      <c r="H4" s="762"/>
      <c r="I4" s="762"/>
      <c r="J4" s="762"/>
      <c r="K4" s="762"/>
      <c r="L4" s="762"/>
      <c r="M4" s="762"/>
      <c r="N4" s="762"/>
    </row>
    <row r="5" spans="1:26" ht="14" x14ac:dyDescent="0.3">
      <c r="A5" s="762" t="str">
        <f>+'Bill_Bos G1 nonDem'!A5</f>
        <v>Calculation of Monthly Typical Bill</v>
      </c>
      <c r="B5" s="762"/>
      <c r="C5" s="762"/>
      <c r="D5" s="762"/>
      <c r="E5" s="762"/>
      <c r="F5" s="762"/>
      <c r="G5" s="762"/>
      <c r="H5" s="762"/>
      <c r="I5" s="762"/>
      <c r="J5" s="762"/>
      <c r="K5" s="762"/>
      <c r="L5" s="762"/>
      <c r="M5" s="762"/>
      <c r="N5" s="762"/>
    </row>
    <row r="6" spans="1:26" ht="14" x14ac:dyDescent="0.3">
      <c r="A6" s="762" t="str">
        <f>+'Bill_Bos G1 nonDem'!A6</f>
        <v>Proposed January 1, 2019</v>
      </c>
      <c r="B6" s="762"/>
      <c r="C6" s="762"/>
      <c r="D6" s="762"/>
      <c r="E6" s="762"/>
      <c r="F6" s="762"/>
      <c r="G6" s="762"/>
      <c r="H6" s="762"/>
      <c r="I6" s="762"/>
      <c r="J6" s="762"/>
      <c r="K6" s="762"/>
      <c r="L6" s="762"/>
      <c r="M6" s="762"/>
      <c r="N6" s="762"/>
    </row>
    <row r="7" spans="1:26" ht="14" x14ac:dyDescent="0.3">
      <c r="A7" s="467"/>
      <c r="B7" s="467"/>
      <c r="C7" s="293"/>
      <c r="D7" s="293"/>
      <c r="E7" s="468"/>
      <c r="F7" s="243"/>
      <c r="G7" s="469"/>
      <c r="H7" s="293"/>
      <c r="I7" s="369"/>
      <c r="J7" s="369"/>
      <c r="K7" s="369"/>
      <c r="L7" s="369"/>
      <c r="M7" s="369"/>
      <c r="N7" s="369"/>
    </row>
    <row r="8" spans="1:26" ht="14" x14ac:dyDescent="0.3">
      <c r="A8" s="762" t="str">
        <f>+'Bill_Bos G1 nonDem'!A8</f>
        <v>Greater Boston Service Area</v>
      </c>
      <c r="B8" s="762"/>
      <c r="C8" s="762"/>
      <c r="D8" s="762"/>
      <c r="E8" s="762"/>
      <c r="F8" s="762"/>
      <c r="G8" s="762"/>
      <c r="H8" s="762"/>
      <c r="I8" s="762"/>
      <c r="J8" s="762"/>
      <c r="K8" s="762"/>
      <c r="L8" s="762"/>
      <c r="M8" s="762"/>
      <c r="N8" s="762"/>
    </row>
    <row r="9" spans="1:26" ht="14" x14ac:dyDescent="0.3">
      <c r="A9" s="762" t="s">
        <v>590</v>
      </c>
      <c r="B9" s="762"/>
      <c r="C9" s="762"/>
      <c r="D9" s="762"/>
      <c r="E9" s="762"/>
      <c r="F9" s="762"/>
      <c r="G9" s="762"/>
      <c r="H9" s="762"/>
      <c r="I9" s="762"/>
      <c r="J9" s="762"/>
      <c r="K9" s="762"/>
      <c r="L9" s="762"/>
      <c r="M9" s="762"/>
      <c r="N9" s="762"/>
    </row>
    <row r="10" spans="1:26" ht="14" x14ac:dyDescent="0.3">
      <c r="A10" s="366"/>
      <c r="B10" s="366"/>
      <c r="D10" s="293"/>
      <c r="E10" s="293"/>
      <c r="F10" s="293"/>
      <c r="G10" s="367"/>
      <c r="H10" s="293"/>
    </row>
    <row r="11" spans="1:26" ht="14" x14ac:dyDescent="0.3">
      <c r="A11" s="366"/>
      <c r="B11" s="366"/>
      <c r="C11" s="293"/>
      <c r="D11" s="293"/>
      <c r="E11" s="293"/>
      <c r="F11" s="293"/>
      <c r="G11" s="368"/>
      <c r="H11" s="293"/>
    </row>
    <row r="12" spans="1:26" ht="14" x14ac:dyDescent="0.3">
      <c r="A12" s="151">
        <f>IF(C12&lt;&gt;"",COUNTA($C12:C$12),"")</f>
        <v>1</v>
      </c>
      <c r="B12" s="151"/>
      <c r="C12" s="405" t="s">
        <v>580</v>
      </c>
      <c r="D12" s="293"/>
      <c r="E12" s="293"/>
      <c r="F12" s="293"/>
      <c r="G12" s="368"/>
      <c r="H12" s="293"/>
    </row>
    <row r="13" spans="1:26" ht="14" x14ac:dyDescent="0.3">
      <c r="A13" s="151">
        <f>IF(C13&lt;&gt;"",COUNTA($C$12:C13),"")</f>
        <v>2</v>
      </c>
      <c r="B13" s="151"/>
      <c r="C13" s="406" t="str">
        <f>+'Bill_Bos G1 nonDem'!C12</f>
        <v>Monthly</v>
      </c>
      <c r="D13" s="366" t="str">
        <f>+C13</f>
        <v>Monthly</v>
      </c>
      <c r="E13" s="407" t="str">
        <f>+'Bill_Bos G1 nonDem'!D12</f>
        <v>Current Monthly Bill (Winter)</v>
      </c>
      <c r="F13" s="440"/>
      <c r="G13" s="407"/>
      <c r="H13" s="293"/>
      <c r="I13" s="407" t="str">
        <f>+'Bill_Bos G1 nonDem'!H12</f>
        <v>Proposed Monthly Bill (Winter)</v>
      </c>
      <c r="J13" s="440"/>
      <c r="K13" s="407"/>
      <c r="M13" s="407" t="s">
        <v>550</v>
      </c>
      <c r="N13" s="440"/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</row>
    <row r="14" spans="1:26" ht="14" x14ac:dyDescent="0.3">
      <c r="A14" s="151">
        <f>IF(C14&lt;&gt;"",COUNTA($C$12:C14),"")</f>
        <v>3</v>
      </c>
      <c r="B14" s="151"/>
      <c r="C14" s="408" t="s">
        <v>534</v>
      </c>
      <c r="D14" s="370" t="s">
        <v>551</v>
      </c>
      <c r="E14" s="370" t="s">
        <v>552</v>
      </c>
      <c r="F14" s="370" t="s">
        <v>553</v>
      </c>
      <c r="G14" s="370" t="s">
        <v>47</v>
      </c>
      <c r="H14" s="293"/>
      <c r="I14" s="370" t="s">
        <v>552</v>
      </c>
      <c r="J14" s="370" t="s">
        <v>553</v>
      </c>
      <c r="K14" s="370" t="s">
        <v>47</v>
      </c>
      <c r="M14" s="370" t="s">
        <v>65</v>
      </c>
      <c r="N14" s="370" t="s">
        <v>325</v>
      </c>
      <c r="O14" s="369"/>
      <c r="P14" s="369"/>
      <c r="Q14" s="369"/>
      <c r="R14" s="369"/>
      <c r="S14" s="369"/>
      <c r="T14" s="369"/>
      <c r="U14" s="369"/>
      <c r="V14" s="369"/>
      <c r="W14" s="369"/>
      <c r="X14" s="369"/>
      <c r="Y14" s="369"/>
      <c r="Z14" s="369"/>
    </row>
    <row r="15" spans="1:26" ht="14" x14ac:dyDescent="0.3">
      <c r="A15" s="151">
        <f>IF(C15&lt;&gt;"",COUNTA($C$12:C15),"")</f>
        <v>4</v>
      </c>
      <c r="B15" s="151"/>
      <c r="C15" s="409">
        <f>+'Bill_Bos T2 p1'!C15</f>
        <v>50</v>
      </c>
      <c r="D15" s="409">
        <f>+C15*350</f>
        <v>17500</v>
      </c>
      <c r="E15" s="372">
        <f t="shared" ref="E15:E23" si="0">ROUND($C15*SUM($G$44,$G$46)+SUM($G$47:$G$62,$G$63:$G$65)*$D15,2)+ROUND(IF($C15&gt;1000,$G$43,IF($C15&gt;300,$G$42,IF($C15&gt;150,$G$41,$G$40))),2)</f>
        <v>1442.25</v>
      </c>
      <c r="F15" s="372">
        <f t="shared" ref="F15:F23" si="1">ROUND(G$66*D15,2)</f>
        <v>2146.5500000000002</v>
      </c>
      <c r="G15" s="372">
        <f t="shared" ref="G15:G23" si="2">SUM(E15:F15)</f>
        <v>3588.8</v>
      </c>
      <c r="H15" s="373"/>
      <c r="I15" s="372">
        <f t="shared" ref="I15:I23" si="3">ROUND($C15*SUM($I$44,$I$46)+SUM($I$47:$I$62,$I$63:$I$65)*$D15,2)+ROUND(IF($C15&gt;1000,$I$43,IF($C15&gt;300,$I$42,IF($C15&gt;150,$I$41,$I$40))),2)</f>
        <v>1410.88</v>
      </c>
      <c r="J15" s="372">
        <f t="shared" ref="J15:J23" si="4">ROUND(I$66*D15,2)</f>
        <v>2825.9</v>
      </c>
      <c r="K15" s="372">
        <f t="shared" ref="K15:K23" si="5">SUM(I15:J15)</f>
        <v>4236.7800000000007</v>
      </c>
      <c r="L15" s="374"/>
      <c r="M15" s="375">
        <f t="shared" ref="M15:M23" si="6">+K15-G15</f>
        <v>647.98000000000047</v>
      </c>
      <c r="N15" s="376">
        <f t="shared" ref="N15:N23" si="7">+M15/G15</f>
        <v>0.1805561747659386</v>
      </c>
      <c r="O15" s="377"/>
      <c r="P15" s="322"/>
      <c r="Q15" s="322"/>
      <c r="R15" s="322"/>
      <c r="S15" s="377"/>
      <c r="T15" s="378"/>
      <c r="U15" s="377"/>
      <c r="V15" s="325"/>
      <c r="W15" s="322"/>
      <c r="X15" s="322"/>
      <c r="Y15" s="377"/>
      <c r="Z15" s="374"/>
    </row>
    <row r="16" spans="1:26" ht="14" x14ac:dyDescent="0.3">
      <c r="A16" s="151">
        <f>IF(C16&lt;&gt;"",COUNTA($C$12:C16),"")</f>
        <v>5</v>
      </c>
      <c r="B16" s="151"/>
      <c r="C16" s="409">
        <f>+'Bill_Bos T2 p1'!C16</f>
        <v>100</v>
      </c>
      <c r="D16" s="409">
        <f t="shared" ref="D16:D23" si="8">+C16*350</f>
        <v>35000</v>
      </c>
      <c r="E16" s="372">
        <f t="shared" si="0"/>
        <v>2857.5</v>
      </c>
      <c r="F16" s="372">
        <f t="shared" si="1"/>
        <v>4293.1000000000004</v>
      </c>
      <c r="G16" s="372">
        <f t="shared" si="2"/>
        <v>7150.6</v>
      </c>
      <c r="H16" s="373"/>
      <c r="I16" s="372">
        <f t="shared" si="3"/>
        <v>2794.75</v>
      </c>
      <c r="J16" s="372">
        <f t="shared" si="4"/>
        <v>5651.8</v>
      </c>
      <c r="K16" s="372">
        <f t="shared" si="5"/>
        <v>8446.5499999999993</v>
      </c>
      <c r="L16" s="374"/>
      <c r="M16" s="375">
        <f t="shared" si="6"/>
        <v>1295.9499999999989</v>
      </c>
      <c r="N16" s="376">
        <f t="shared" si="7"/>
        <v>0.1812365395910831</v>
      </c>
      <c r="O16" s="377"/>
      <c r="P16" s="322"/>
      <c r="Q16" s="322"/>
      <c r="R16" s="322"/>
      <c r="S16" s="377"/>
      <c r="T16" s="378"/>
      <c r="U16" s="377"/>
      <c r="V16" s="325"/>
      <c r="W16" s="322"/>
      <c r="X16" s="322"/>
      <c r="Y16" s="377"/>
      <c r="Z16" s="374"/>
    </row>
    <row r="17" spans="1:26" ht="14" x14ac:dyDescent="0.3">
      <c r="A17" s="151">
        <f>IF(C17&lt;&gt;"",COUNTA($C$12:C17),"")</f>
        <v>6</v>
      </c>
      <c r="B17" s="151"/>
      <c r="C17" s="409">
        <f>+'Bill_Bos T2 p1'!C17</f>
        <v>150</v>
      </c>
      <c r="D17" s="409">
        <f t="shared" si="8"/>
        <v>52500</v>
      </c>
      <c r="E17" s="372">
        <f t="shared" si="0"/>
        <v>4272.75</v>
      </c>
      <c r="F17" s="372">
        <f t="shared" si="1"/>
        <v>6439.65</v>
      </c>
      <c r="G17" s="372">
        <f t="shared" si="2"/>
        <v>10712.4</v>
      </c>
      <c r="H17" s="373"/>
      <c r="I17" s="372">
        <f t="shared" si="3"/>
        <v>4178.63</v>
      </c>
      <c r="J17" s="372">
        <f t="shared" si="4"/>
        <v>8477.7000000000007</v>
      </c>
      <c r="K17" s="372">
        <f t="shared" si="5"/>
        <v>12656.330000000002</v>
      </c>
      <c r="L17" s="374"/>
      <c r="M17" s="375">
        <f t="shared" si="6"/>
        <v>1943.9300000000021</v>
      </c>
      <c r="N17" s="376">
        <f t="shared" si="7"/>
        <v>0.18146540457787258</v>
      </c>
      <c r="O17" s="377"/>
      <c r="P17" s="322"/>
      <c r="Q17" s="322"/>
      <c r="R17" s="322"/>
      <c r="S17" s="377"/>
      <c r="T17" s="378"/>
      <c r="U17" s="377"/>
      <c r="V17" s="325"/>
      <c r="W17" s="322"/>
      <c r="X17" s="322"/>
      <c r="Y17" s="377"/>
      <c r="Z17" s="374"/>
    </row>
    <row r="18" spans="1:26" ht="14" x14ac:dyDescent="0.3">
      <c r="A18" s="151">
        <f>IF(C18&lt;&gt;"",COUNTA($C$12:C18),"")</f>
        <v>7</v>
      </c>
      <c r="B18" s="151"/>
      <c r="C18" s="409">
        <f>+'Bill_Bos T2 p1'!C18</f>
        <v>200</v>
      </c>
      <c r="D18" s="409">
        <f t="shared" si="8"/>
        <v>70000</v>
      </c>
      <c r="E18" s="372">
        <f t="shared" si="0"/>
        <v>5771</v>
      </c>
      <c r="F18" s="372">
        <f t="shared" si="1"/>
        <v>8586.2000000000007</v>
      </c>
      <c r="G18" s="372">
        <f t="shared" si="2"/>
        <v>14357.2</v>
      </c>
      <c r="H18" s="373"/>
      <c r="I18" s="372">
        <f t="shared" si="3"/>
        <v>5645.5</v>
      </c>
      <c r="J18" s="372">
        <f t="shared" si="4"/>
        <v>11303.6</v>
      </c>
      <c r="K18" s="372">
        <f t="shared" si="5"/>
        <v>16949.099999999999</v>
      </c>
      <c r="L18" s="374"/>
      <c r="M18" s="375">
        <f t="shared" si="6"/>
        <v>2591.8999999999978</v>
      </c>
      <c r="N18" s="376">
        <f t="shared" si="7"/>
        <v>0.18052962973281683</v>
      </c>
      <c r="O18" s="377"/>
      <c r="P18" s="322"/>
      <c r="Q18" s="322"/>
      <c r="R18" s="322"/>
      <c r="S18" s="377"/>
      <c r="T18" s="378"/>
      <c r="U18" s="377"/>
      <c r="V18" s="325"/>
      <c r="W18" s="322"/>
      <c r="X18" s="322"/>
      <c r="Y18" s="377"/>
      <c r="Z18" s="374"/>
    </row>
    <row r="19" spans="1:26" ht="14" x14ac:dyDescent="0.3">
      <c r="A19" s="151">
        <f>IF(C19&lt;&gt;"",COUNTA($C$12:C19),"")</f>
        <v>8</v>
      </c>
      <c r="B19" s="151"/>
      <c r="C19" s="409">
        <f>+'Bill_Bos T2 p1'!C19</f>
        <v>250</v>
      </c>
      <c r="D19" s="409">
        <f t="shared" si="8"/>
        <v>87500</v>
      </c>
      <c r="E19" s="372">
        <f t="shared" si="0"/>
        <v>7186.25</v>
      </c>
      <c r="F19" s="372">
        <f t="shared" si="1"/>
        <v>10732.75</v>
      </c>
      <c r="G19" s="372">
        <f t="shared" si="2"/>
        <v>17919</v>
      </c>
      <c r="H19" s="373"/>
      <c r="I19" s="372">
        <f t="shared" si="3"/>
        <v>7029.38</v>
      </c>
      <c r="J19" s="372">
        <f t="shared" si="4"/>
        <v>14129.5</v>
      </c>
      <c r="K19" s="372">
        <f t="shared" si="5"/>
        <v>21158.880000000001</v>
      </c>
      <c r="L19" s="374"/>
      <c r="M19" s="375">
        <f t="shared" si="6"/>
        <v>3239.880000000001</v>
      </c>
      <c r="N19" s="376">
        <f t="shared" si="7"/>
        <v>0.18080696467436805</v>
      </c>
      <c r="O19" s="377"/>
      <c r="P19" s="322"/>
      <c r="Q19" s="322"/>
      <c r="R19" s="322"/>
      <c r="S19" s="377"/>
      <c r="T19" s="378"/>
      <c r="U19" s="377"/>
      <c r="V19" s="325"/>
      <c r="W19" s="322"/>
      <c r="X19" s="322"/>
      <c r="Y19" s="377"/>
      <c r="Z19" s="374"/>
    </row>
    <row r="20" spans="1:26" ht="14" x14ac:dyDescent="0.3">
      <c r="A20" s="151">
        <f>IF(C20&lt;&gt;"",COUNTA($C$12:C20),"")</f>
        <v>9</v>
      </c>
      <c r="B20" s="151"/>
      <c r="C20" s="409">
        <f>+'Bill_Bos T2 p1'!C20</f>
        <v>300</v>
      </c>
      <c r="D20" s="409">
        <f t="shared" si="8"/>
        <v>105000</v>
      </c>
      <c r="E20" s="372">
        <f t="shared" si="0"/>
        <v>8601.5</v>
      </c>
      <c r="F20" s="372">
        <f t="shared" si="1"/>
        <v>12879.3</v>
      </c>
      <c r="G20" s="372">
        <f t="shared" si="2"/>
        <v>21480.799999999999</v>
      </c>
      <c r="H20" s="373"/>
      <c r="I20" s="372">
        <f t="shared" si="3"/>
        <v>8413.25</v>
      </c>
      <c r="J20" s="372">
        <f t="shared" si="4"/>
        <v>16955.400000000001</v>
      </c>
      <c r="K20" s="372">
        <f t="shared" si="5"/>
        <v>25368.65</v>
      </c>
      <c r="L20" s="374"/>
      <c r="M20" s="375">
        <f t="shared" si="6"/>
        <v>3887.8500000000022</v>
      </c>
      <c r="N20" s="376">
        <f t="shared" si="7"/>
        <v>0.18099186250046564</v>
      </c>
      <c r="O20" s="377"/>
      <c r="P20" s="322"/>
      <c r="Q20" s="322"/>
      <c r="R20" s="322"/>
      <c r="S20" s="377"/>
      <c r="T20" s="378"/>
      <c r="U20" s="377"/>
      <c r="V20" s="325"/>
      <c r="W20" s="322"/>
      <c r="X20" s="322"/>
      <c r="Y20" s="377"/>
      <c r="Z20" s="374"/>
    </row>
    <row r="21" spans="1:26" ht="14" x14ac:dyDescent="0.3">
      <c r="A21" s="151">
        <f>IF(C21&lt;&gt;"",COUNTA($C$12:C21),"")</f>
        <v>10</v>
      </c>
      <c r="B21" s="151"/>
      <c r="C21" s="409">
        <f>+'Bill_Bos T2 p1'!C21</f>
        <v>500</v>
      </c>
      <c r="D21" s="409">
        <f t="shared" si="8"/>
        <v>175000</v>
      </c>
      <c r="E21" s="372">
        <f t="shared" si="0"/>
        <v>14312.5</v>
      </c>
      <c r="F21" s="372">
        <f t="shared" si="1"/>
        <v>21465.5</v>
      </c>
      <c r="G21" s="372">
        <f t="shared" si="2"/>
        <v>35778</v>
      </c>
      <c r="H21" s="373"/>
      <c r="I21" s="372">
        <f t="shared" si="3"/>
        <v>13998.75</v>
      </c>
      <c r="J21" s="372">
        <f t="shared" si="4"/>
        <v>28259</v>
      </c>
      <c r="K21" s="372">
        <f t="shared" si="5"/>
        <v>42257.75</v>
      </c>
      <c r="L21" s="374"/>
      <c r="M21" s="375">
        <f t="shared" si="6"/>
        <v>6479.75</v>
      </c>
      <c r="N21" s="376">
        <f t="shared" si="7"/>
        <v>0.18110989993850971</v>
      </c>
      <c r="O21" s="377"/>
      <c r="P21" s="322"/>
      <c r="Q21" s="322"/>
      <c r="R21" s="322"/>
      <c r="S21" s="377"/>
      <c r="T21" s="378"/>
      <c r="U21" s="377"/>
      <c r="V21" s="325"/>
      <c r="W21" s="322"/>
      <c r="X21" s="322"/>
      <c r="Y21" s="377"/>
      <c r="Z21" s="374"/>
    </row>
    <row r="22" spans="1:26" ht="14" x14ac:dyDescent="0.3">
      <c r="A22" s="151">
        <f>IF(C22&lt;&gt;"",COUNTA($C$12:C22),"")</f>
        <v>11</v>
      </c>
      <c r="B22" s="151"/>
      <c r="C22" s="409">
        <f>+'Bill_Bos T2 p1'!C22</f>
        <v>1000</v>
      </c>
      <c r="D22" s="409">
        <f t="shared" si="8"/>
        <v>350000</v>
      </c>
      <c r="E22" s="372">
        <f t="shared" si="0"/>
        <v>28465</v>
      </c>
      <c r="F22" s="372">
        <f t="shared" si="1"/>
        <v>42931</v>
      </c>
      <c r="G22" s="372">
        <f t="shared" si="2"/>
        <v>71396</v>
      </c>
      <c r="H22" s="373"/>
      <c r="I22" s="372">
        <f t="shared" si="3"/>
        <v>27837.5</v>
      </c>
      <c r="J22" s="372">
        <f t="shared" si="4"/>
        <v>56518</v>
      </c>
      <c r="K22" s="372">
        <f t="shared" si="5"/>
        <v>84355.5</v>
      </c>
      <c r="L22" s="374"/>
      <c r="M22" s="375">
        <f t="shared" si="6"/>
        <v>12959.5</v>
      </c>
      <c r="N22" s="376">
        <f t="shared" si="7"/>
        <v>0.1815157711916634</v>
      </c>
      <c r="O22" s="377"/>
      <c r="P22" s="322"/>
      <c r="Q22" s="322"/>
      <c r="R22" s="322"/>
      <c r="S22" s="377"/>
      <c r="T22" s="378"/>
      <c r="U22" s="377"/>
      <c r="V22" s="325"/>
      <c r="W22" s="322"/>
      <c r="X22" s="322"/>
      <c r="Y22" s="377"/>
      <c r="Z22" s="374"/>
    </row>
    <row r="23" spans="1:26" ht="14" x14ac:dyDescent="0.3">
      <c r="A23" s="151">
        <f>IF(C23&lt;&gt;"",COUNTA($C$12:C23),"")</f>
        <v>12</v>
      </c>
      <c r="B23" s="151" t="s">
        <v>554</v>
      </c>
      <c r="C23" s="409">
        <v>201</v>
      </c>
      <c r="D23" s="409">
        <f t="shared" si="8"/>
        <v>70350</v>
      </c>
      <c r="E23" s="372">
        <f t="shared" si="0"/>
        <v>5799.31</v>
      </c>
      <c r="F23" s="372">
        <f t="shared" si="1"/>
        <v>8629.1299999999992</v>
      </c>
      <c r="G23" s="372">
        <f t="shared" si="2"/>
        <v>14428.439999999999</v>
      </c>
      <c r="H23" s="373"/>
      <c r="I23" s="372">
        <f t="shared" si="3"/>
        <v>5673.18</v>
      </c>
      <c r="J23" s="372">
        <f t="shared" si="4"/>
        <v>11360.12</v>
      </c>
      <c r="K23" s="372">
        <f t="shared" si="5"/>
        <v>17033.300000000003</v>
      </c>
      <c r="L23" s="374"/>
      <c r="M23" s="375">
        <f t="shared" si="6"/>
        <v>2604.8600000000042</v>
      </c>
      <c r="N23" s="376">
        <f t="shared" si="7"/>
        <v>0.18053649597600327</v>
      </c>
      <c r="O23" s="377"/>
      <c r="P23" s="322"/>
      <c r="Q23" s="322"/>
      <c r="R23" s="322"/>
      <c r="S23" s="377"/>
      <c r="T23" s="378"/>
      <c r="U23" s="377"/>
      <c r="V23" s="325"/>
      <c r="W23" s="322"/>
      <c r="X23" s="322"/>
      <c r="Y23" s="377"/>
      <c r="Z23" s="374"/>
    </row>
    <row r="24" spans="1:26" ht="14" x14ac:dyDescent="0.3">
      <c r="A24" s="151" t="str">
        <f>IF(C24&lt;&gt;"",COUNTA($C$12:C24),"")</f>
        <v/>
      </c>
      <c r="B24" s="151"/>
      <c r="C24" s="293"/>
      <c r="D24" s="409"/>
      <c r="E24" s="372"/>
      <c r="F24" s="372"/>
      <c r="G24" s="372"/>
      <c r="H24" s="373"/>
      <c r="I24" s="372"/>
      <c r="J24" s="374"/>
      <c r="K24" s="374"/>
      <c r="L24" s="374"/>
      <c r="M24" s="374"/>
      <c r="O24" s="369"/>
      <c r="P24" s="369"/>
      <c r="Q24" s="369"/>
      <c r="R24" s="369"/>
      <c r="S24" s="369"/>
      <c r="T24" s="369"/>
      <c r="U24" s="369"/>
      <c r="V24" s="369"/>
      <c r="W24" s="369"/>
      <c r="X24" s="369"/>
      <c r="Y24" s="369"/>
      <c r="Z24" s="369"/>
    </row>
    <row r="25" spans="1:26" ht="14" x14ac:dyDescent="0.3">
      <c r="A25" s="151">
        <f>IF(C25&lt;&gt;"",COUNTA($C$12:C25),"")</f>
        <v>13</v>
      </c>
      <c r="B25" s="151"/>
      <c r="C25" s="366" t="str">
        <f>+C13</f>
        <v>Monthly</v>
      </c>
      <c r="D25" s="366" t="str">
        <f>+D13</f>
        <v>Monthly</v>
      </c>
      <c r="E25" s="485" t="str">
        <f>+'Bill_Bos G1 nonDem'!D26</f>
        <v>Current Monthly Bill (Summer)</v>
      </c>
      <c r="F25" s="486"/>
      <c r="G25" s="485"/>
      <c r="H25" s="448"/>
      <c r="I25" s="485" t="str">
        <f>+'Bill_Bos G1 nonDem'!H26</f>
        <v>Proposed Monthly Bill (Summer)</v>
      </c>
      <c r="J25" s="486"/>
      <c r="K25" s="486"/>
      <c r="L25" s="374"/>
      <c r="M25" s="485" t="s">
        <v>550</v>
      </c>
      <c r="N25" s="440"/>
      <c r="O25" s="369"/>
      <c r="P25" s="369"/>
      <c r="Q25" s="369"/>
      <c r="R25" s="369"/>
      <c r="S25" s="369"/>
      <c r="T25" s="369"/>
      <c r="U25" s="369"/>
      <c r="V25" s="369"/>
      <c r="W25" s="369"/>
      <c r="X25" s="369"/>
      <c r="Y25" s="369"/>
      <c r="Z25" s="369"/>
    </row>
    <row r="26" spans="1:26" ht="14" x14ac:dyDescent="0.3">
      <c r="A26" s="151">
        <f>IF(C26&lt;&gt;"",COUNTA($C$12:C26),"")</f>
        <v>14</v>
      </c>
      <c r="B26" s="151"/>
      <c r="C26" s="370" t="s">
        <v>534</v>
      </c>
      <c r="D26" s="370" t="s">
        <v>551</v>
      </c>
      <c r="E26" s="442" t="s">
        <v>552</v>
      </c>
      <c r="F26" s="442" t="s">
        <v>553</v>
      </c>
      <c r="G26" s="442" t="s">
        <v>47</v>
      </c>
      <c r="H26" s="448"/>
      <c r="I26" s="442" t="s">
        <v>552</v>
      </c>
      <c r="J26" s="442" t="s">
        <v>553</v>
      </c>
      <c r="K26" s="442" t="s">
        <v>47</v>
      </c>
      <c r="L26" s="374"/>
      <c r="M26" s="442" t="s">
        <v>65</v>
      </c>
      <c r="N26" s="370" t="s">
        <v>325</v>
      </c>
      <c r="O26" s="378"/>
      <c r="P26" s="369"/>
      <c r="Q26" s="369"/>
      <c r="R26" s="369"/>
      <c r="S26" s="369"/>
      <c r="T26" s="369"/>
      <c r="U26" s="369"/>
      <c r="V26" s="369"/>
      <c r="W26" s="369"/>
      <c r="X26" s="369"/>
      <c r="Y26" s="369"/>
      <c r="Z26" s="369"/>
    </row>
    <row r="27" spans="1:26" ht="14" x14ac:dyDescent="0.3">
      <c r="A27" s="151">
        <f>IF(C27&lt;&gt;"",COUNTA($C$12:C27),"")</f>
        <v>15</v>
      </c>
      <c r="B27" s="151"/>
      <c r="C27" s="409">
        <f>+'Bill_Bos T2 p1'!C27</f>
        <v>50</v>
      </c>
      <c r="D27" s="409">
        <f>+C27*350</f>
        <v>17500</v>
      </c>
      <c r="E27" s="372">
        <f t="shared" ref="E27:E35" si="9">ROUND($C27*SUM($G$45,$G$46)+SUM($G$47:$G$62,$G$63:$G$65)*$D27,2)+ROUND(IF($C27&gt;1000,$G$43,IF($C27&gt;300,$G$42,IF($C27&gt;150,$G$41,$G$40))),2)</f>
        <v>1860.75</v>
      </c>
      <c r="F27" s="372">
        <f t="shared" ref="F27:F35" si="10">ROUND($G$66*D27,2)</f>
        <v>2146.5500000000002</v>
      </c>
      <c r="G27" s="372">
        <f t="shared" ref="G27:G35" si="11">SUM(E27:F27)</f>
        <v>4007.3</v>
      </c>
      <c r="H27" s="373"/>
      <c r="I27" s="372">
        <f t="shared" ref="I27:I35" si="12">ROUND($C27*SUM($I$45,$I$46)+SUM($I$47:$I$62,$I$63:$I$65)*$D27,2)+ROUND(IF($C27&gt;1000,$I$43,IF($C27&gt;300,$I$42,IF($C27&gt;150,$I$41,$I$40))),2)</f>
        <v>1843.38</v>
      </c>
      <c r="J27" s="372">
        <f t="shared" ref="J27:J35" si="13">ROUND(I$66*D27,2)</f>
        <v>2825.9</v>
      </c>
      <c r="K27" s="372">
        <f t="shared" ref="K27:K35" si="14">SUM(I27:J27)</f>
        <v>4669.2800000000007</v>
      </c>
      <c r="L27" s="374"/>
      <c r="M27" s="375">
        <f t="shared" ref="M27:M35" si="15">+K27-G27</f>
        <v>661.98000000000047</v>
      </c>
      <c r="N27" s="376">
        <f t="shared" ref="N27:N35" si="16">+M27/G27</f>
        <v>0.16519352182267374</v>
      </c>
      <c r="O27" s="377"/>
      <c r="P27" s="322"/>
      <c r="Q27" s="322"/>
      <c r="R27" s="322"/>
      <c r="S27" s="377"/>
      <c r="T27" s="378"/>
      <c r="U27" s="377"/>
      <c r="V27" s="325"/>
      <c r="W27" s="322"/>
      <c r="X27" s="322"/>
      <c r="Y27" s="377"/>
      <c r="Z27" s="374"/>
    </row>
    <row r="28" spans="1:26" ht="14" x14ac:dyDescent="0.3">
      <c r="A28" s="151">
        <f>IF(C28&lt;&gt;"",COUNTA($C$12:C28),"")</f>
        <v>16</v>
      </c>
      <c r="B28" s="151"/>
      <c r="C28" s="409">
        <f>+'Bill_Bos T2 p1'!C28</f>
        <v>100</v>
      </c>
      <c r="D28" s="409">
        <f t="shared" ref="D28:D35" si="17">+C28*350</f>
        <v>35000</v>
      </c>
      <c r="E28" s="372">
        <f t="shared" si="9"/>
        <v>3694.5</v>
      </c>
      <c r="F28" s="372">
        <f t="shared" si="10"/>
        <v>4293.1000000000004</v>
      </c>
      <c r="G28" s="372">
        <f t="shared" si="11"/>
        <v>7987.6</v>
      </c>
      <c r="H28" s="373"/>
      <c r="I28" s="372">
        <f t="shared" si="12"/>
        <v>3659.75</v>
      </c>
      <c r="J28" s="372">
        <f t="shared" si="13"/>
        <v>5651.8</v>
      </c>
      <c r="K28" s="372">
        <f t="shared" si="14"/>
        <v>9311.5499999999993</v>
      </c>
      <c r="L28" s="374"/>
      <c r="M28" s="375">
        <f t="shared" si="15"/>
        <v>1323.9499999999989</v>
      </c>
      <c r="N28" s="376">
        <f t="shared" si="16"/>
        <v>0.16575066352846898</v>
      </c>
      <c r="O28" s="377"/>
      <c r="P28" s="322"/>
      <c r="Q28" s="322"/>
      <c r="R28" s="322"/>
      <c r="S28" s="377"/>
      <c r="T28" s="378"/>
      <c r="U28" s="377"/>
      <c r="V28" s="325"/>
      <c r="W28" s="322"/>
      <c r="X28" s="322"/>
      <c r="Y28" s="377"/>
      <c r="Z28" s="374"/>
    </row>
    <row r="29" spans="1:26" ht="14" x14ac:dyDescent="0.3">
      <c r="A29" s="151">
        <f>IF(C29&lt;&gt;"",COUNTA($C$12:C29),"")</f>
        <v>17</v>
      </c>
      <c r="B29" s="151"/>
      <c r="C29" s="409">
        <f>+'Bill_Bos T2 p1'!C29</f>
        <v>150</v>
      </c>
      <c r="D29" s="409">
        <f t="shared" si="17"/>
        <v>52500</v>
      </c>
      <c r="E29" s="372">
        <f t="shared" si="9"/>
        <v>5528.25</v>
      </c>
      <c r="F29" s="372">
        <f t="shared" si="10"/>
        <v>6439.65</v>
      </c>
      <c r="G29" s="372">
        <f t="shared" si="11"/>
        <v>11967.9</v>
      </c>
      <c r="H29" s="373"/>
      <c r="I29" s="372">
        <f t="shared" si="12"/>
        <v>5476.13</v>
      </c>
      <c r="J29" s="372">
        <f t="shared" si="13"/>
        <v>8477.7000000000007</v>
      </c>
      <c r="K29" s="372">
        <f t="shared" si="14"/>
        <v>13953.830000000002</v>
      </c>
      <c r="L29" s="374"/>
      <c r="M29" s="375">
        <f t="shared" si="15"/>
        <v>1985.9300000000021</v>
      </c>
      <c r="N29" s="376">
        <f t="shared" si="16"/>
        <v>0.16593805095296604</v>
      </c>
      <c r="O29" s="377"/>
      <c r="P29" s="322"/>
      <c r="Q29" s="322"/>
      <c r="R29" s="322"/>
      <c r="S29" s="377"/>
      <c r="T29" s="378"/>
      <c r="U29" s="377"/>
      <c r="V29" s="325"/>
      <c r="W29" s="322"/>
      <c r="X29" s="322"/>
      <c r="Y29" s="377"/>
      <c r="Z29" s="374"/>
    </row>
    <row r="30" spans="1:26" ht="14" x14ac:dyDescent="0.3">
      <c r="A30" s="151">
        <f>IF(C30&lt;&gt;"",COUNTA($C$12:C30),"")</f>
        <v>18</v>
      </c>
      <c r="B30" s="151"/>
      <c r="C30" s="409">
        <f>+'Bill_Bos T2 p1'!C30</f>
        <v>200</v>
      </c>
      <c r="D30" s="409">
        <f t="shared" si="17"/>
        <v>70000</v>
      </c>
      <c r="E30" s="372">
        <f t="shared" si="9"/>
        <v>7445</v>
      </c>
      <c r="F30" s="372">
        <f t="shared" si="10"/>
        <v>8586.2000000000007</v>
      </c>
      <c r="G30" s="372">
        <f t="shared" si="11"/>
        <v>16031.2</v>
      </c>
      <c r="H30" s="373"/>
      <c r="I30" s="372">
        <f t="shared" si="12"/>
        <v>7375.5</v>
      </c>
      <c r="J30" s="372">
        <f t="shared" si="13"/>
        <v>11303.6</v>
      </c>
      <c r="K30" s="372">
        <f t="shared" si="14"/>
        <v>18679.099999999999</v>
      </c>
      <c r="L30" s="374"/>
      <c r="M30" s="375">
        <f t="shared" si="15"/>
        <v>2647.8999999999978</v>
      </c>
      <c r="N30" s="376">
        <f t="shared" si="16"/>
        <v>0.16517166525275698</v>
      </c>
      <c r="O30" s="377"/>
      <c r="P30" s="322"/>
      <c r="Q30" s="322"/>
      <c r="R30" s="322"/>
      <c r="S30" s="377"/>
      <c r="T30" s="378"/>
      <c r="U30" s="377"/>
      <c r="V30" s="325"/>
      <c r="W30" s="322"/>
      <c r="X30" s="322"/>
      <c r="Y30" s="377"/>
      <c r="Z30" s="374"/>
    </row>
    <row r="31" spans="1:26" ht="14" x14ac:dyDescent="0.3">
      <c r="A31" s="151">
        <f>IF(C31&lt;&gt;"",COUNTA($C$12:C31),"")</f>
        <v>19</v>
      </c>
      <c r="B31" s="151"/>
      <c r="C31" s="409">
        <f>+'Bill_Bos T2 p1'!C31</f>
        <v>250</v>
      </c>
      <c r="D31" s="409">
        <f t="shared" si="17"/>
        <v>87500</v>
      </c>
      <c r="E31" s="372">
        <f t="shared" si="9"/>
        <v>9278.75</v>
      </c>
      <c r="F31" s="372">
        <f t="shared" si="10"/>
        <v>10732.75</v>
      </c>
      <c r="G31" s="372">
        <f t="shared" si="11"/>
        <v>20011.5</v>
      </c>
      <c r="H31" s="373"/>
      <c r="I31" s="372">
        <f t="shared" si="12"/>
        <v>9191.8799999999992</v>
      </c>
      <c r="J31" s="372">
        <f t="shared" si="13"/>
        <v>14129.5</v>
      </c>
      <c r="K31" s="372">
        <f t="shared" si="14"/>
        <v>23321.379999999997</v>
      </c>
      <c r="L31" s="374"/>
      <c r="M31" s="375">
        <f t="shared" si="15"/>
        <v>3309.8799999999974</v>
      </c>
      <c r="N31" s="376">
        <f t="shared" si="16"/>
        <v>0.16539889563500973</v>
      </c>
      <c r="O31" s="377"/>
      <c r="P31" s="322"/>
      <c r="Q31" s="322"/>
      <c r="R31" s="322"/>
      <c r="S31" s="377"/>
      <c r="T31" s="378"/>
      <c r="U31" s="377"/>
      <c r="V31" s="325"/>
      <c r="W31" s="322"/>
      <c r="X31" s="322"/>
      <c r="Y31" s="377"/>
      <c r="Z31" s="374"/>
    </row>
    <row r="32" spans="1:26" ht="14" x14ac:dyDescent="0.3">
      <c r="A32" s="151">
        <f>IF(C32&lt;&gt;"",COUNTA($C$12:C32),"")</f>
        <v>20</v>
      </c>
      <c r="B32" s="151"/>
      <c r="C32" s="409">
        <f>+'Bill_Bos T2 p1'!C32</f>
        <v>300</v>
      </c>
      <c r="D32" s="409">
        <f t="shared" si="17"/>
        <v>105000</v>
      </c>
      <c r="E32" s="372">
        <f t="shared" si="9"/>
        <v>11112.5</v>
      </c>
      <c r="F32" s="372">
        <f t="shared" si="10"/>
        <v>12879.3</v>
      </c>
      <c r="G32" s="372">
        <f t="shared" si="11"/>
        <v>23991.8</v>
      </c>
      <c r="H32" s="373"/>
      <c r="I32" s="372">
        <f t="shared" si="12"/>
        <v>11008.25</v>
      </c>
      <c r="J32" s="372">
        <f t="shared" si="13"/>
        <v>16955.400000000001</v>
      </c>
      <c r="K32" s="372">
        <f t="shared" si="14"/>
        <v>27963.65</v>
      </c>
      <c r="L32" s="374"/>
      <c r="M32" s="375">
        <f t="shared" si="15"/>
        <v>3971.8500000000022</v>
      </c>
      <c r="N32" s="376">
        <f t="shared" si="16"/>
        <v>0.1655503130236165</v>
      </c>
      <c r="O32" s="377"/>
      <c r="P32" s="322"/>
      <c r="Q32" s="322"/>
      <c r="R32" s="322"/>
      <c r="S32" s="377"/>
      <c r="T32" s="378"/>
      <c r="U32" s="377"/>
      <c r="V32" s="325"/>
      <c r="W32" s="322"/>
      <c r="X32" s="322"/>
      <c r="Y32" s="377"/>
      <c r="Z32" s="374"/>
    </row>
    <row r="33" spans="1:26" ht="14" x14ac:dyDescent="0.3">
      <c r="A33" s="151">
        <f>IF(C33&lt;&gt;"",COUNTA($C$12:C33),"")</f>
        <v>21</v>
      </c>
      <c r="B33" s="151"/>
      <c r="C33" s="409">
        <f>+'Bill_Bos T2 p1'!C33</f>
        <v>500</v>
      </c>
      <c r="D33" s="409">
        <f t="shared" si="17"/>
        <v>175000</v>
      </c>
      <c r="E33" s="372">
        <f t="shared" si="9"/>
        <v>18497.5</v>
      </c>
      <c r="F33" s="372">
        <f t="shared" si="10"/>
        <v>21465.5</v>
      </c>
      <c r="G33" s="372">
        <f t="shared" si="11"/>
        <v>39963</v>
      </c>
      <c r="H33" s="373"/>
      <c r="I33" s="372">
        <f t="shared" si="12"/>
        <v>18323.75</v>
      </c>
      <c r="J33" s="372">
        <f t="shared" si="13"/>
        <v>28259</v>
      </c>
      <c r="K33" s="372">
        <f t="shared" si="14"/>
        <v>46582.75</v>
      </c>
      <c r="L33" s="374"/>
      <c r="M33" s="375">
        <f t="shared" si="15"/>
        <v>6619.75</v>
      </c>
      <c r="N33" s="376">
        <f t="shared" si="16"/>
        <v>0.16564697345044166</v>
      </c>
      <c r="O33" s="377"/>
      <c r="P33" s="322"/>
      <c r="Q33" s="322"/>
      <c r="R33" s="322"/>
      <c r="S33" s="377"/>
      <c r="T33" s="378"/>
      <c r="U33" s="377"/>
      <c r="V33" s="325"/>
      <c r="W33" s="322"/>
      <c r="X33" s="322"/>
      <c r="Y33" s="377"/>
      <c r="Z33" s="374"/>
    </row>
    <row r="34" spans="1:26" ht="14" x14ac:dyDescent="0.3">
      <c r="A34" s="151">
        <f>IF(C34&lt;&gt;"",COUNTA($C$12:C34),"")</f>
        <v>22</v>
      </c>
      <c r="B34" s="151"/>
      <c r="C34" s="409">
        <f>+'Bill_Bos T2 p1'!C34</f>
        <v>1000</v>
      </c>
      <c r="D34" s="409">
        <f t="shared" si="17"/>
        <v>350000</v>
      </c>
      <c r="E34" s="372">
        <f t="shared" si="9"/>
        <v>36835</v>
      </c>
      <c r="F34" s="372">
        <f t="shared" si="10"/>
        <v>42931</v>
      </c>
      <c r="G34" s="372">
        <f t="shared" si="11"/>
        <v>79766</v>
      </c>
      <c r="H34" s="373"/>
      <c r="I34" s="372">
        <f t="shared" si="12"/>
        <v>36487.5</v>
      </c>
      <c r="J34" s="372">
        <f t="shared" si="13"/>
        <v>56518</v>
      </c>
      <c r="K34" s="372">
        <f t="shared" si="14"/>
        <v>93005.5</v>
      </c>
      <c r="L34" s="374"/>
      <c r="M34" s="375">
        <f t="shared" si="15"/>
        <v>13239.5</v>
      </c>
      <c r="N34" s="376">
        <f t="shared" si="16"/>
        <v>0.16597923927487901</v>
      </c>
      <c r="O34" s="377"/>
      <c r="P34" s="322"/>
      <c r="Q34" s="322"/>
      <c r="R34" s="322"/>
      <c r="S34" s="377"/>
      <c r="T34" s="378"/>
      <c r="U34" s="377"/>
      <c r="V34" s="325"/>
      <c r="W34" s="322"/>
      <c r="X34" s="322"/>
      <c r="Y34" s="377"/>
      <c r="Z34" s="374"/>
    </row>
    <row r="35" spans="1:26" ht="14" x14ac:dyDescent="0.3">
      <c r="A35" s="151">
        <f>IF(C35&lt;&gt;"",COUNTA($C$12:C35),"")</f>
        <v>23</v>
      </c>
      <c r="B35" s="151" t="s">
        <v>554</v>
      </c>
      <c r="C35" s="409">
        <v>246</v>
      </c>
      <c r="D35" s="409">
        <f t="shared" si="17"/>
        <v>86100</v>
      </c>
      <c r="E35" s="372">
        <f t="shared" si="9"/>
        <v>9132.0499999999993</v>
      </c>
      <c r="F35" s="372">
        <f t="shared" si="10"/>
        <v>10561.03</v>
      </c>
      <c r="G35" s="372">
        <f t="shared" si="11"/>
        <v>19693.080000000002</v>
      </c>
      <c r="H35" s="373"/>
      <c r="I35" s="372">
        <f t="shared" si="12"/>
        <v>9046.57</v>
      </c>
      <c r="J35" s="372">
        <f t="shared" si="13"/>
        <v>13903.43</v>
      </c>
      <c r="K35" s="372">
        <f t="shared" si="14"/>
        <v>22950</v>
      </c>
      <c r="L35" s="374"/>
      <c r="M35" s="375">
        <f t="shared" si="15"/>
        <v>3256.9199999999983</v>
      </c>
      <c r="N35" s="376">
        <f t="shared" si="16"/>
        <v>0.16538398259693243</v>
      </c>
      <c r="O35" s="377"/>
      <c r="P35" s="322"/>
      <c r="Q35" s="322"/>
      <c r="R35" s="322"/>
      <c r="S35" s="377"/>
      <c r="T35" s="378"/>
      <c r="U35" s="377"/>
      <c r="V35" s="325"/>
      <c r="W35" s="322"/>
      <c r="X35" s="322"/>
      <c r="Y35" s="377"/>
      <c r="Z35" s="374"/>
    </row>
    <row r="36" spans="1:26" ht="14" x14ac:dyDescent="0.3">
      <c r="A36" s="151" t="str">
        <f>IF(C36&lt;&gt;"",COUNTA($C$12:C36),"")</f>
        <v/>
      </c>
      <c r="B36" s="151"/>
      <c r="D36" s="449"/>
      <c r="E36" s="372"/>
      <c r="F36" s="372"/>
      <c r="G36" s="372"/>
      <c r="H36" s="373"/>
      <c r="I36" s="374"/>
      <c r="J36" s="374"/>
      <c r="K36" s="374"/>
      <c r="L36" s="374"/>
      <c r="M36" s="374"/>
    </row>
    <row r="37" spans="1:26" ht="14" x14ac:dyDescent="0.3">
      <c r="A37" s="151" t="str">
        <f>IF(C37&lt;&gt;"",COUNTA($C$12:C37),"")</f>
        <v/>
      </c>
      <c r="B37" s="151"/>
      <c r="C37" s="293"/>
      <c r="D37" s="293"/>
      <c r="E37" s="448"/>
      <c r="F37" s="448"/>
      <c r="G37" s="372"/>
      <c r="H37" s="373"/>
      <c r="I37" s="374"/>
      <c r="J37" s="374"/>
      <c r="K37" s="374"/>
      <c r="L37" s="374"/>
      <c r="M37" s="374"/>
    </row>
    <row r="38" spans="1:26" ht="14" x14ac:dyDescent="0.3">
      <c r="A38" s="151">
        <f>IF(C38&lt;&gt;"",COUNTA($C$12:C38),"")</f>
        <v>24</v>
      </c>
      <c r="B38" s="151"/>
      <c r="C38" s="293" t="s">
        <v>46</v>
      </c>
      <c r="D38" s="293"/>
      <c r="E38" s="448"/>
      <c r="F38" s="374"/>
      <c r="G38" s="480" t="str">
        <f>'Bill_Bos T2 p1'!G38</f>
        <v>Current</v>
      </c>
      <c r="H38" s="374"/>
      <c r="I38" s="480" t="str">
        <f>'Bill_Bos T2 p1'!I38</f>
        <v>Proposed</v>
      </c>
      <c r="J38" s="481"/>
      <c r="K38" s="374"/>
      <c r="L38" s="374"/>
      <c r="M38" s="374"/>
    </row>
    <row r="39" spans="1:26" ht="17" x14ac:dyDescent="0.6">
      <c r="A39" s="151">
        <f>IF(C39&lt;&gt;"",COUNTA($C$12:C39),"")</f>
        <v>25</v>
      </c>
      <c r="B39" s="151"/>
      <c r="C39" s="274" t="s">
        <v>46</v>
      </c>
      <c r="D39" s="274"/>
      <c r="E39" s="448"/>
      <c r="F39" s="374"/>
      <c r="G39" s="482" t="str">
        <f>'Bill_Bos T2 p1'!G39</f>
        <v>Rates</v>
      </c>
      <c r="H39" s="374"/>
      <c r="I39" s="482" t="str">
        <f>'Bill_Bos T2 p1'!I39</f>
        <v>Rates</v>
      </c>
      <c r="J39" s="482" t="str">
        <f>'Bill_Bos T2 p1'!J39</f>
        <v>Change</v>
      </c>
      <c r="K39" s="374"/>
      <c r="L39" s="374"/>
      <c r="M39" s="374"/>
    </row>
    <row r="40" spans="1:26" ht="14" x14ac:dyDescent="0.3">
      <c r="A40" s="151">
        <f>IF(C40&lt;&gt;"",COUNTA($C$12:C40),"")</f>
        <v>26</v>
      </c>
      <c r="B40" s="151"/>
      <c r="C40" s="293" t="s">
        <v>411</v>
      </c>
      <c r="D40" s="293"/>
      <c r="E40" s="483"/>
      <c r="F40" s="374"/>
      <c r="G40" s="454">
        <v>27</v>
      </c>
      <c r="H40" s="455" t="s">
        <v>46</v>
      </c>
      <c r="I40" s="454">
        <f>+G40</f>
        <v>27</v>
      </c>
      <c r="J40" s="421">
        <f>I40-G40</f>
        <v>0</v>
      </c>
      <c r="K40" s="374"/>
      <c r="L40" s="374"/>
      <c r="M40" s="374"/>
      <c r="O40" s="233"/>
      <c r="P40" s="422"/>
      <c r="Q40" s="422"/>
    </row>
    <row r="41" spans="1:26" ht="14" x14ac:dyDescent="0.3">
      <c r="A41" s="151">
        <f>IF(C41&lt;&gt;"",COUNTA($C$12:C41),"")</f>
        <v>27</v>
      </c>
      <c r="B41" s="151"/>
      <c r="C41" s="293" t="s">
        <v>413</v>
      </c>
      <c r="D41" s="293"/>
      <c r="E41" s="483"/>
      <c r="F41" s="374"/>
      <c r="G41" s="454">
        <v>110</v>
      </c>
      <c r="H41" s="455"/>
      <c r="I41" s="454">
        <f t="shared" ref="I41:I43" si="18">+G41</f>
        <v>110</v>
      </c>
      <c r="J41" s="421">
        <f t="shared" ref="J41:J66" si="19">I41-G41</f>
        <v>0</v>
      </c>
      <c r="K41" s="374"/>
      <c r="L41" s="374"/>
      <c r="M41" s="374"/>
      <c r="O41" s="233"/>
      <c r="P41" s="422"/>
      <c r="Q41" s="422"/>
    </row>
    <row r="42" spans="1:26" ht="14" x14ac:dyDescent="0.3">
      <c r="A42" s="151">
        <f>IF(C42&lt;&gt;"",COUNTA($C$12:C42),"")</f>
        <v>28</v>
      </c>
      <c r="B42" s="151"/>
      <c r="C42" s="293" t="s">
        <v>415</v>
      </c>
      <c r="D42" s="293"/>
      <c r="E42" s="483"/>
      <c r="F42" s="374"/>
      <c r="G42" s="454">
        <v>160</v>
      </c>
      <c r="H42" s="455"/>
      <c r="I42" s="454">
        <f t="shared" si="18"/>
        <v>160</v>
      </c>
      <c r="J42" s="421">
        <f t="shared" si="19"/>
        <v>0</v>
      </c>
      <c r="K42" s="374"/>
      <c r="L42" s="374"/>
      <c r="M42" s="374"/>
      <c r="O42" s="233"/>
      <c r="P42" s="422"/>
      <c r="Q42" s="422"/>
    </row>
    <row r="43" spans="1:26" ht="14" x14ac:dyDescent="0.3">
      <c r="A43" s="151">
        <f>IF(C43&lt;&gt;"",COUNTA($C$12:C43),"")</f>
        <v>29</v>
      </c>
      <c r="B43" s="151"/>
      <c r="C43" s="293" t="s">
        <v>417</v>
      </c>
      <c r="D43" s="293"/>
      <c r="E43" s="483"/>
      <c r="F43" s="374"/>
      <c r="G43" s="454">
        <v>360</v>
      </c>
      <c r="H43" s="455"/>
      <c r="I43" s="454">
        <f t="shared" si="18"/>
        <v>360</v>
      </c>
      <c r="J43" s="421">
        <f t="shared" si="19"/>
        <v>0</v>
      </c>
      <c r="K43" s="374"/>
      <c r="L43" s="374"/>
      <c r="M43" s="374"/>
      <c r="O43" s="233"/>
      <c r="P43" s="422"/>
      <c r="Q43" s="422"/>
    </row>
    <row r="44" spans="1:26" ht="14" x14ac:dyDescent="0.3">
      <c r="A44" s="151">
        <f>IF(C44&lt;&gt;"",COUNTA($C$12:C44),"")</f>
        <v>30</v>
      </c>
      <c r="B44" s="151"/>
      <c r="C44" s="293" t="s">
        <v>404</v>
      </c>
      <c r="D44" s="293"/>
      <c r="E44" s="483"/>
      <c r="F44" s="374"/>
      <c r="G44" s="454">
        <v>11.08</v>
      </c>
      <c r="H44" s="455"/>
      <c r="I44" s="454">
        <v>11.46</v>
      </c>
      <c r="J44" s="421">
        <f t="shared" si="19"/>
        <v>0.38000000000000078</v>
      </c>
      <c r="K44" s="374"/>
      <c r="L44" s="374"/>
      <c r="M44" s="374"/>
      <c r="O44" s="233"/>
      <c r="P44" s="422"/>
      <c r="Q44" s="422"/>
    </row>
    <row r="45" spans="1:26" ht="14" x14ac:dyDescent="0.3">
      <c r="A45" s="151">
        <f>IF(C45&lt;&gt;"",COUNTA($C$12:C45),"")</f>
        <v>31</v>
      </c>
      <c r="B45" s="151"/>
      <c r="C45" s="293" t="s">
        <v>406</v>
      </c>
      <c r="D45" s="293"/>
      <c r="E45" s="483"/>
      <c r="F45" s="374"/>
      <c r="G45" s="454">
        <v>19.45</v>
      </c>
      <c r="H45" s="455"/>
      <c r="I45" s="454">
        <v>20.11</v>
      </c>
      <c r="J45" s="421">
        <f t="shared" si="19"/>
        <v>0.66000000000000014</v>
      </c>
      <c r="K45" s="374"/>
      <c r="L45" s="374"/>
      <c r="M45" s="374"/>
      <c r="O45" s="233"/>
      <c r="P45" s="422"/>
      <c r="Q45" s="422"/>
    </row>
    <row r="46" spans="1:26" ht="14" x14ac:dyDescent="0.3">
      <c r="A46" s="151">
        <f>IF(C46&lt;&gt;"",COUNTA($C$12:C46),"")</f>
        <v>32</v>
      </c>
      <c r="B46" s="151"/>
      <c r="C46" s="293" t="str">
        <f>'Bill_Bos T2 p1'!C46</f>
        <v>Transmission Demand</v>
      </c>
      <c r="D46" s="293"/>
      <c r="E46" s="483"/>
      <c r="F46" s="374"/>
      <c r="G46" s="454">
        <v>9</v>
      </c>
      <c r="H46" s="448"/>
      <c r="I46" s="454">
        <v>7.73</v>
      </c>
      <c r="J46" s="421">
        <f>I46-G46</f>
        <v>-1.2699999999999996</v>
      </c>
      <c r="K46" s="374"/>
      <c r="L46" s="374"/>
      <c r="M46" s="374"/>
      <c r="O46" s="233"/>
      <c r="P46" s="426"/>
      <c r="Q46" s="426"/>
    </row>
    <row r="47" spans="1:26" ht="14" x14ac:dyDescent="0.3">
      <c r="A47" s="151">
        <f>IF(C47&lt;&gt;"",COUNTA($C$12:C47),"")</f>
        <v>33</v>
      </c>
      <c r="B47" s="151"/>
      <c r="C47" s="293" t="s">
        <v>298</v>
      </c>
      <c r="D47" s="293"/>
      <c r="E47" s="483"/>
      <c r="F47" s="374"/>
      <c r="G47" s="308">
        <v>0</v>
      </c>
      <c r="H47" s="484"/>
      <c r="I47" s="308">
        <v>0</v>
      </c>
      <c r="J47" s="354">
        <f t="shared" si="19"/>
        <v>0</v>
      </c>
      <c r="K47" s="374"/>
      <c r="L47" s="374"/>
      <c r="M47" s="374"/>
      <c r="O47" s="233"/>
      <c r="P47" s="424"/>
      <c r="Q47" s="424"/>
    </row>
    <row r="48" spans="1:26" ht="14" x14ac:dyDescent="0.3">
      <c r="A48" s="151">
        <f>IF(C48&lt;&gt;"",COUNTA($C$12:C48),"")</f>
        <v>34</v>
      </c>
      <c r="B48" s="151"/>
      <c r="C48" s="293" t="str">
        <f>'Bill_Bos T2 p1'!C48</f>
        <v>Revenue Decoupling</v>
      </c>
      <c r="D48" s="293"/>
      <c r="E48" s="483"/>
      <c r="F48" s="374"/>
      <c r="G48" s="308">
        <v>0</v>
      </c>
      <c r="H48" s="277"/>
      <c r="I48" s="277">
        <v>-4.0999999999999999E-4</v>
      </c>
      <c r="J48" s="354">
        <f t="shared" si="19"/>
        <v>-4.0999999999999999E-4</v>
      </c>
      <c r="K48" s="374"/>
      <c r="L48" s="374"/>
      <c r="M48" s="374"/>
      <c r="O48" s="233"/>
      <c r="P48" s="422"/>
      <c r="Q48" s="423"/>
    </row>
    <row r="49" spans="1:17" ht="14" x14ac:dyDescent="0.3">
      <c r="A49" s="151">
        <f>IF(C49&lt;&gt;"",COUNTA($C$12:C49),"")</f>
        <v>35</v>
      </c>
      <c r="B49" s="151"/>
      <c r="C49" s="293" t="str">
        <f>'Bill_Bos T2 p1'!C49</f>
        <v>Residential Assistance Adjustment Factor</v>
      </c>
      <c r="D49" s="293"/>
      <c r="E49" s="483"/>
      <c r="F49" s="374"/>
      <c r="G49" s="277">
        <v>2.5000000000000001E-3</v>
      </c>
      <c r="H49" s="277"/>
      <c r="I49" s="277">
        <v>3.46E-3</v>
      </c>
      <c r="J49" s="354">
        <f t="shared" si="19"/>
        <v>9.5999999999999992E-4</v>
      </c>
      <c r="K49" s="374"/>
      <c r="L49" s="374"/>
      <c r="M49" s="374"/>
      <c r="O49" s="233"/>
      <c r="P49" s="422"/>
      <c r="Q49" s="423"/>
    </row>
    <row r="50" spans="1:17" ht="14" x14ac:dyDescent="0.3">
      <c r="A50" s="151">
        <f>IF(C50&lt;&gt;"",COUNTA($C$12:C50),"")</f>
        <v>36</v>
      </c>
      <c r="B50" s="151"/>
      <c r="C50" s="293" t="str">
        <f>'Bill_Bos T2 p1'!C50</f>
        <v>Pension Adjustment Factor</v>
      </c>
      <c r="D50" s="293"/>
      <c r="E50" s="483"/>
      <c r="F50" s="374"/>
      <c r="G50" s="277">
        <v>-5.0000000000000002E-5</v>
      </c>
      <c r="H50" s="277"/>
      <c r="I50" s="277">
        <v>4.6999999999999999E-4</v>
      </c>
      <c r="J50" s="354">
        <f t="shared" si="19"/>
        <v>5.1999999999999995E-4</v>
      </c>
      <c r="K50" s="374"/>
      <c r="L50" s="374"/>
      <c r="M50" s="374"/>
      <c r="O50" s="233"/>
      <c r="P50" s="426"/>
      <c r="Q50" s="426"/>
    </row>
    <row r="51" spans="1:17" ht="14" x14ac:dyDescent="0.3">
      <c r="A51" s="151">
        <f>IF(C51&lt;&gt;"",COUNTA($C$12:C51),"")</f>
        <v>37</v>
      </c>
      <c r="B51" s="151"/>
      <c r="C51" s="293" t="str">
        <f>'Bill_Bos T2 p1'!C51</f>
        <v>Net Metering Recovery Surcharge</v>
      </c>
      <c r="D51" s="293"/>
      <c r="E51" s="483"/>
      <c r="F51" s="374"/>
      <c r="G51" s="277">
        <v>4.9300000000000004E-3</v>
      </c>
      <c r="H51" s="277"/>
      <c r="I51" s="277">
        <v>4.5100000000000001E-3</v>
      </c>
      <c r="J51" s="354">
        <f t="shared" si="19"/>
        <v>-4.2000000000000023E-4</v>
      </c>
      <c r="K51" s="374"/>
      <c r="L51" s="374"/>
      <c r="M51" s="374"/>
      <c r="O51" s="233"/>
      <c r="P51" s="426"/>
      <c r="Q51" s="426"/>
    </row>
    <row r="52" spans="1:17" ht="14" x14ac:dyDescent="0.3">
      <c r="A52" s="151">
        <f>IF(C52&lt;&gt;"",COUNTA($C$12:C52),"")</f>
        <v>38</v>
      </c>
      <c r="B52" s="151"/>
      <c r="C52" s="293" t="str">
        <f>'Bill_Bos T2 p1'!C52</f>
        <v>Long Term Renewable Contract Adjustment</v>
      </c>
      <c r="D52" s="293"/>
      <c r="E52" s="483"/>
      <c r="F52" s="374"/>
      <c r="G52" s="277">
        <v>2.3600000000000001E-3</v>
      </c>
      <c r="H52" s="277"/>
      <c r="I52" s="277">
        <v>1.74E-3</v>
      </c>
      <c r="J52" s="354">
        <f t="shared" si="19"/>
        <v>-6.2000000000000011E-4</v>
      </c>
      <c r="K52" s="374"/>
      <c r="L52" s="374"/>
      <c r="M52" s="374"/>
      <c r="O52" s="233"/>
      <c r="P52" s="426"/>
      <c r="Q52" s="426"/>
    </row>
    <row r="53" spans="1:17" ht="14" x14ac:dyDescent="0.3">
      <c r="A53" s="151">
        <f>IF(C53&lt;&gt;"",COUNTA($C$12:C53),"")</f>
        <v>39</v>
      </c>
      <c r="B53" s="151"/>
      <c r="C53" s="293" t="str">
        <f>'Bill_Bos T2 p1'!C53</f>
        <v>AG Consulting Expense</v>
      </c>
      <c r="D53" s="293"/>
      <c r="E53" s="483"/>
      <c r="F53" s="374"/>
      <c r="G53" s="277">
        <v>3.0000000000000001E-5</v>
      </c>
      <c r="H53" s="277"/>
      <c r="I53" s="277">
        <v>1.0000000000000001E-5</v>
      </c>
      <c r="J53" s="354">
        <f t="shared" si="19"/>
        <v>-1.9999999999999998E-5</v>
      </c>
      <c r="K53" s="374"/>
      <c r="L53" s="374"/>
      <c r="M53" s="374"/>
      <c r="O53" s="233"/>
      <c r="P53" s="426"/>
      <c r="Q53" s="426"/>
    </row>
    <row r="54" spans="1:17" ht="14" x14ac:dyDescent="0.3">
      <c r="A54" s="151">
        <f>IF(C54&lt;&gt;"",COUNTA($C$12:C54),"")</f>
        <v>40</v>
      </c>
      <c r="B54" s="151"/>
      <c r="C54" s="293" t="str">
        <f>'Bill_Bos T2 p1'!C54</f>
        <v>Storm Cost Recovery Adjustment Factor</v>
      </c>
      <c r="D54" s="293"/>
      <c r="E54" s="483"/>
      <c r="F54" s="374"/>
      <c r="G54" s="277">
        <v>1.5399999999999999E-3</v>
      </c>
      <c r="H54" s="277"/>
      <c r="I54" s="277">
        <v>2.6199999999999999E-3</v>
      </c>
      <c r="J54" s="354">
        <f t="shared" si="19"/>
        <v>1.08E-3</v>
      </c>
      <c r="K54" s="374"/>
      <c r="L54" s="374"/>
      <c r="M54" s="374"/>
      <c r="O54" s="233"/>
      <c r="P54" s="426"/>
      <c r="Q54" s="426"/>
    </row>
    <row r="55" spans="1:17" ht="14" x14ac:dyDescent="0.3">
      <c r="A55" s="151">
        <f>IF(C55&lt;&gt;"",COUNTA($C$12:C55),"")</f>
        <v>41</v>
      </c>
      <c r="B55" s="151"/>
      <c r="C55" s="293" t="str">
        <f>'Bill_Bos T2 p1'!C55</f>
        <v>Storm Reserve Adjustment</v>
      </c>
      <c r="D55" s="293"/>
      <c r="E55" s="483"/>
      <c r="F55" s="374"/>
      <c r="G55" s="277">
        <v>0</v>
      </c>
      <c r="H55" s="277"/>
      <c r="I55" s="277">
        <v>0</v>
      </c>
      <c r="J55" s="354">
        <f t="shared" si="19"/>
        <v>0</v>
      </c>
      <c r="K55" s="374"/>
      <c r="L55" s="374"/>
      <c r="M55" s="374"/>
      <c r="O55" s="233"/>
      <c r="P55" s="426"/>
      <c r="Q55" s="426"/>
    </row>
    <row r="56" spans="1:17" ht="14" x14ac:dyDescent="0.3">
      <c r="A56" s="151">
        <f>IF(C56&lt;&gt;"",COUNTA($C$12:C56),"")</f>
        <v>42</v>
      </c>
      <c r="B56" s="151"/>
      <c r="C56" s="293" t="str">
        <f>'Bill_Bos T2 p1'!C56</f>
        <v>Basic Service Cost True Up Factor</v>
      </c>
      <c r="D56" s="293"/>
      <c r="E56" s="483"/>
      <c r="F56" s="374"/>
      <c r="G56" s="277">
        <v>1.34E-3</v>
      </c>
      <c r="H56" s="277"/>
      <c r="I56" s="277">
        <v>-1.7000000000000001E-4</v>
      </c>
      <c r="J56" s="354">
        <f t="shared" si="19"/>
        <v>-1.5100000000000001E-3</v>
      </c>
      <c r="K56" s="374"/>
      <c r="L56" s="374"/>
      <c r="M56" s="374"/>
      <c r="O56" s="233"/>
      <c r="P56" s="426"/>
      <c r="Q56" s="426"/>
    </row>
    <row r="57" spans="1:17" ht="14" x14ac:dyDescent="0.3">
      <c r="A57" s="151">
        <f>IF(C57&lt;&gt;"",COUNTA($C$12:C57),"")</f>
        <v>43</v>
      </c>
      <c r="B57" s="151"/>
      <c r="C57" s="293" t="str">
        <f>'Bill_Bos T2 p1'!C57</f>
        <v>Solar Program Cost Adjustment Factor</v>
      </c>
      <c r="D57" s="293"/>
      <c r="E57" s="483"/>
      <c r="F57" s="374"/>
      <c r="G57" s="277">
        <v>0</v>
      </c>
      <c r="H57" s="277"/>
      <c r="I57" s="277">
        <v>3.0000000000000001E-5</v>
      </c>
      <c r="J57" s="354">
        <f t="shared" si="19"/>
        <v>3.0000000000000001E-5</v>
      </c>
      <c r="K57" s="374"/>
      <c r="L57" s="374"/>
      <c r="M57" s="374"/>
      <c r="O57" s="233"/>
      <c r="P57" s="426"/>
      <c r="Q57" s="426"/>
    </row>
    <row r="58" spans="1:17" ht="14" x14ac:dyDescent="0.3">
      <c r="A58" s="151">
        <f>IF(C58&lt;&gt;"",COUNTA($C$12:C58),"")</f>
        <v>44</v>
      </c>
      <c r="B58" s="151"/>
      <c r="C58" s="293" t="str">
        <f>'Bill_Bos T2 p1'!C58</f>
        <v>Solar Expansion Cost Recovery Factor</v>
      </c>
      <c r="D58" s="293"/>
      <c r="E58" s="483"/>
      <c r="F58" s="374"/>
      <c r="G58" s="277">
        <v>0</v>
      </c>
      <c r="H58" s="277"/>
      <c r="I58" s="277">
        <v>5.4000000000000001E-4</v>
      </c>
      <c r="J58" s="354">
        <f t="shared" si="19"/>
        <v>5.4000000000000001E-4</v>
      </c>
      <c r="K58" s="374"/>
      <c r="L58" s="374"/>
      <c r="M58" s="374"/>
      <c r="O58" s="233"/>
      <c r="P58" s="426"/>
      <c r="Q58" s="426"/>
    </row>
    <row r="59" spans="1:17" ht="14" x14ac:dyDescent="0.3">
      <c r="A59" s="151">
        <f>IF(C59&lt;&gt;"",COUNTA($C$12:C59),"")</f>
        <v>45</v>
      </c>
      <c r="B59" s="151"/>
      <c r="C59" s="293" t="str">
        <f>'Bill_Bos T2 p1'!C59</f>
        <v>Vegetation Management</v>
      </c>
      <c r="D59" s="293"/>
      <c r="E59" s="483"/>
      <c r="F59" s="374"/>
      <c r="G59" s="277">
        <v>0</v>
      </c>
      <c r="H59" s="277"/>
      <c r="I59" s="277">
        <v>8.3000000000000001E-4</v>
      </c>
      <c r="J59" s="354">
        <f t="shared" si="19"/>
        <v>8.3000000000000001E-4</v>
      </c>
      <c r="K59" s="374"/>
      <c r="L59" s="374"/>
      <c r="M59" s="374"/>
      <c r="O59" s="233"/>
      <c r="P59" s="426"/>
      <c r="Q59" s="426"/>
    </row>
    <row r="60" spans="1:17" ht="14" x14ac:dyDescent="0.3">
      <c r="A60" s="151">
        <f>IF(C60&lt;&gt;"",COUNTA($C$12:C60),"")</f>
        <v>46</v>
      </c>
      <c r="B60" s="151"/>
      <c r="C60" s="293" t="str">
        <f>'Bill_Bos T2 p1'!C60</f>
        <v>Solar Massachusetts Renewable Target</v>
      </c>
      <c r="D60" s="339"/>
      <c r="E60" s="339"/>
      <c r="F60" s="277"/>
      <c r="G60" s="277">
        <v>0</v>
      </c>
      <c r="H60" s="277"/>
      <c r="I60" s="277">
        <v>6.3000000000000003E-4</v>
      </c>
      <c r="J60" s="354">
        <f t="shared" si="19"/>
        <v>6.3000000000000003E-4</v>
      </c>
      <c r="K60" s="339"/>
      <c r="L60" s="339"/>
      <c r="O60" s="233"/>
      <c r="P60" s="426"/>
      <c r="Q60" s="426"/>
    </row>
    <row r="61" spans="1:17" ht="14" x14ac:dyDescent="0.3">
      <c r="A61" s="151">
        <f>IF(C61&lt;&gt;"",COUNTA($C$12:C61),"")</f>
        <v>47</v>
      </c>
      <c r="B61" s="151"/>
      <c r="C61" s="293" t="str">
        <f>'Bill_Bos T2 p1'!C61</f>
        <v>Tax Act Credit Factor</v>
      </c>
      <c r="D61" s="339"/>
      <c r="E61" s="339"/>
      <c r="F61" s="277"/>
      <c r="G61" s="277">
        <v>0</v>
      </c>
      <c r="H61" s="277"/>
      <c r="I61" s="277">
        <v>-9.5E-4</v>
      </c>
      <c r="J61" s="354">
        <f t="shared" si="19"/>
        <v>-9.5E-4</v>
      </c>
      <c r="K61" s="339"/>
      <c r="L61" s="339"/>
      <c r="O61" s="233"/>
      <c r="P61" s="426"/>
      <c r="Q61" s="426"/>
    </row>
    <row r="62" spans="1:17" ht="14" x14ac:dyDescent="0.3">
      <c r="A62" s="151">
        <f>IF(C62&lt;&gt;"",COUNTA($C$12:C62),"")</f>
        <v>48</v>
      </c>
      <c r="B62" s="151"/>
      <c r="C62" s="293" t="str">
        <f>'Bill_Bos T2 p1'!C62</f>
        <v>Transition</v>
      </c>
      <c r="D62" s="293"/>
      <c r="E62" s="483"/>
      <c r="F62" s="374"/>
      <c r="G62" s="308">
        <v>-6.0999999999999997E-4</v>
      </c>
      <c r="H62" s="277"/>
      <c r="I62" s="277">
        <v>-5.1999999999999995E-4</v>
      </c>
      <c r="J62" s="354">
        <f t="shared" si="19"/>
        <v>9.0000000000000019E-5</v>
      </c>
      <c r="K62" s="374"/>
      <c r="L62" s="374"/>
      <c r="M62" s="374"/>
      <c r="O62" s="233"/>
      <c r="P62" s="426"/>
      <c r="Q62" s="426"/>
    </row>
    <row r="63" spans="1:17" ht="14" x14ac:dyDescent="0.3">
      <c r="A63" s="151">
        <f>IF(C63&lt;&gt;"",COUNTA($C$12:C63),"")</f>
        <v>49</v>
      </c>
      <c r="B63" s="151"/>
      <c r="C63" s="293" t="str">
        <f>'Bill_Bos T2 p1'!C63</f>
        <v>Energy Efficiency Reconciliation Factor</v>
      </c>
      <c r="D63" s="293"/>
      <c r="E63" s="483"/>
      <c r="F63" s="374"/>
      <c r="G63" s="308">
        <v>8.4600000000000005E-3</v>
      </c>
      <c r="H63" s="400"/>
      <c r="I63" s="308">
        <v>8.4600000000000005E-3</v>
      </c>
      <c r="J63" s="354">
        <f t="shared" si="19"/>
        <v>0</v>
      </c>
      <c r="K63" s="374"/>
      <c r="L63" s="374"/>
      <c r="M63" s="374"/>
      <c r="O63" s="233"/>
      <c r="P63" s="423"/>
      <c r="Q63" s="423"/>
    </row>
    <row r="64" spans="1:17" ht="14" x14ac:dyDescent="0.3">
      <c r="A64" s="151">
        <f>IF(C64&lt;&gt;"",COUNTA($C$12:C64),"")</f>
        <v>50</v>
      </c>
      <c r="B64" s="151"/>
      <c r="C64" s="293" t="str">
        <f>'Bill_Bos T2 p1'!C64</f>
        <v>System Benefits Charge</v>
      </c>
      <c r="D64" s="293"/>
      <c r="E64" s="483"/>
      <c r="F64" s="374"/>
      <c r="G64" s="308">
        <v>2.5000000000000001E-3</v>
      </c>
      <c r="H64" s="400"/>
      <c r="I64" s="308">
        <f>+G64</f>
        <v>2.5000000000000001E-3</v>
      </c>
      <c r="J64" s="354">
        <f t="shared" si="19"/>
        <v>0</v>
      </c>
      <c r="K64" s="374"/>
      <c r="L64" s="374"/>
      <c r="M64" s="374"/>
      <c r="O64" s="233"/>
      <c r="P64" s="426"/>
      <c r="Q64" s="426"/>
    </row>
    <row r="65" spans="1:17" ht="14" x14ac:dyDescent="0.3">
      <c r="A65" s="151">
        <f>IF(C65&lt;&gt;"",COUNTA($C$12:C65),"")</f>
        <v>51</v>
      </c>
      <c r="B65" s="151"/>
      <c r="C65" s="293" t="str">
        <f>'Bill_Bos T2 p1'!C65</f>
        <v>Renewable Energy Charge</v>
      </c>
      <c r="D65" s="293"/>
      <c r="E65" s="483"/>
      <c r="F65" s="374"/>
      <c r="G65" s="308">
        <v>5.0000000000000001E-4</v>
      </c>
      <c r="H65" s="400"/>
      <c r="I65" s="308">
        <f>+G65</f>
        <v>5.0000000000000001E-4</v>
      </c>
      <c r="J65" s="354">
        <f t="shared" si="19"/>
        <v>0</v>
      </c>
      <c r="K65" s="374"/>
      <c r="L65" s="374"/>
      <c r="M65" s="374"/>
      <c r="O65" s="233"/>
      <c r="P65" s="426"/>
      <c r="Q65" s="426"/>
    </row>
    <row r="66" spans="1:17" ht="14" x14ac:dyDescent="0.3">
      <c r="A66" s="151">
        <f>IF(C66&lt;&gt;"",COUNTA($C$12:C66),"")</f>
        <v>52</v>
      </c>
      <c r="B66" s="151"/>
      <c r="C66" s="293" t="str">
        <f>'Bill_Bos T2 p1'!C66</f>
        <v>Basic Service Charge</v>
      </c>
      <c r="D66" s="293"/>
      <c r="E66" s="483"/>
      <c r="F66" s="374"/>
      <c r="G66" s="308">
        <v>0.12265999999999999</v>
      </c>
      <c r="H66" s="400"/>
      <c r="I66" s="308">
        <v>0.16148000000000001</v>
      </c>
      <c r="J66" s="354">
        <f t="shared" si="19"/>
        <v>3.8820000000000021E-2</v>
      </c>
      <c r="K66" s="374"/>
      <c r="L66" s="374"/>
      <c r="M66" s="374"/>
      <c r="O66" s="233"/>
      <c r="P66" s="426"/>
      <c r="Q66" s="426"/>
    </row>
    <row r="67" spans="1:17" ht="14" x14ac:dyDescent="0.3">
      <c r="A67" s="151"/>
      <c r="B67" s="151"/>
      <c r="E67" s="374"/>
      <c r="F67" s="374"/>
      <c r="G67" s="374"/>
      <c r="H67" s="374"/>
      <c r="I67" s="374"/>
      <c r="J67" s="374"/>
      <c r="K67" s="374"/>
      <c r="L67" s="374"/>
      <c r="M67" s="374"/>
      <c r="O67" s="233"/>
      <c r="P67" s="426"/>
      <c r="Q67" s="426"/>
    </row>
    <row r="68" spans="1:17" ht="14" x14ac:dyDescent="0.3">
      <c r="A68" s="151"/>
      <c r="B68" s="151"/>
      <c r="E68" s="374"/>
      <c r="F68" s="374"/>
      <c r="G68" s="374"/>
      <c r="H68" s="374"/>
      <c r="I68" s="374"/>
      <c r="J68" s="374"/>
      <c r="K68" s="374"/>
      <c r="L68" s="374"/>
      <c r="M68" s="374"/>
      <c r="O68" s="233"/>
      <c r="P68" s="426"/>
      <c r="Q68" s="426"/>
    </row>
    <row r="69" spans="1:17" ht="14" x14ac:dyDescent="0.3">
      <c r="C69" s="369" t="str">
        <f>'Bill_Bos G3 p1'!C67</f>
        <v>Total Demand - Winter</v>
      </c>
      <c r="E69" s="374"/>
      <c r="F69" s="374"/>
      <c r="G69" s="374">
        <f>G44+G46</f>
        <v>20.079999999999998</v>
      </c>
      <c r="H69" s="374"/>
      <c r="I69" s="374">
        <f>I44+I46</f>
        <v>19.190000000000001</v>
      </c>
      <c r="J69" s="421">
        <f t="shared" ref="J69:J72" si="20">I69-G69</f>
        <v>-0.88999999999999702</v>
      </c>
      <c r="K69" s="374"/>
      <c r="L69" s="374"/>
      <c r="M69" s="374"/>
    </row>
    <row r="70" spans="1:17" ht="14" x14ac:dyDescent="0.3">
      <c r="C70" s="369" t="str">
        <f>'Bill_Bos G3 p1'!C68</f>
        <v>Total Demand - Summer</v>
      </c>
      <c r="E70" s="374"/>
      <c r="F70" s="374"/>
      <c r="G70" s="374">
        <f>+G45+G46</f>
        <v>28.45</v>
      </c>
      <c r="H70" s="374"/>
      <c r="I70" s="374">
        <f>+I45+I46</f>
        <v>27.84</v>
      </c>
      <c r="J70" s="421">
        <f t="shared" si="20"/>
        <v>-0.60999999999999943</v>
      </c>
      <c r="K70" s="374"/>
      <c r="L70" s="374"/>
      <c r="M70" s="374"/>
    </row>
    <row r="71" spans="1:17" ht="14" x14ac:dyDescent="0.3">
      <c r="C71" s="369" t="str">
        <f>'Bill_Bos G3 p1'!C69</f>
        <v>Total Energy</v>
      </c>
      <c r="E71" s="374"/>
      <c r="F71" s="374"/>
      <c r="G71" s="403">
        <f>SUM(G47:G62,G63:G65)</f>
        <v>2.3500000000000004E-2</v>
      </c>
      <c r="H71" s="403"/>
      <c r="I71" s="403">
        <f>SUM(I47:I62,I63:I65)</f>
        <v>2.4250000000000001E-2</v>
      </c>
      <c r="J71" s="354">
        <f t="shared" si="20"/>
        <v>7.499999999999972E-4</v>
      </c>
      <c r="K71" s="374"/>
      <c r="L71" s="374"/>
      <c r="M71" s="374"/>
    </row>
    <row r="72" spans="1:17" ht="14" x14ac:dyDescent="0.3">
      <c r="C72" s="369" t="str">
        <f>'Bill_Bos G3 p1'!C70</f>
        <v>Total Basic Service</v>
      </c>
      <c r="E72" s="374"/>
      <c r="F72" s="374"/>
      <c r="G72" s="403">
        <f>G66</f>
        <v>0.12265999999999999</v>
      </c>
      <c r="H72" s="403"/>
      <c r="I72" s="403">
        <f>I66</f>
        <v>0.16148000000000001</v>
      </c>
      <c r="J72" s="354">
        <f t="shared" si="20"/>
        <v>3.8820000000000021E-2</v>
      </c>
      <c r="K72" s="374"/>
      <c r="L72" s="374"/>
      <c r="M72" s="374"/>
    </row>
    <row r="73" spans="1:17" ht="14" x14ac:dyDescent="0.3">
      <c r="E73" s="374"/>
      <c r="F73" s="374"/>
      <c r="G73" s="374"/>
      <c r="H73" s="374"/>
      <c r="I73" s="374"/>
      <c r="J73" s="374"/>
      <c r="K73" s="374"/>
      <c r="L73" s="374"/>
      <c r="M73" s="374"/>
    </row>
    <row r="74" spans="1:17" ht="14" x14ac:dyDescent="0.3">
      <c r="E74" s="374"/>
      <c r="F74" s="374"/>
      <c r="G74" s="374"/>
      <c r="H74" s="374"/>
      <c r="I74" s="374"/>
      <c r="J74" s="374"/>
      <c r="K74" s="374"/>
      <c r="L74" s="374"/>
      <c r="M74" s="374"/>
    </row>
    <row r="75" spans="1:17" ht="14" x14ac:dyDescent="0.3">
      <c r="E75" s="374"/>
      <c r="F75" s="374"/>
      <c r="G75" s="374"/>
      <c r="H75" s="374"/>
      <c r="I75" s="374"/>
      <c r="J75" s="374"/>
      <c r="K75" s="374"/>
      <c r="L75" s="374"/>
      <c r="M75" s="374"/>
    </row>
    <row r="76" spans="1:17" ht="14" x14ac:dyDescent="0.3">
      <c r="E76" s="374"/>
      <c r="F76" s="374"/>
      <c r="G76" s="374"/>
      <c r="H76" s="374"/>
      <c r="I76" s="374"/>
      <c r="J76" s="374"/>
      <c r="K76" s="374"/>
      <c r="L76" s="374"/>
      <c r="M76" s="374"/>
    </row>
    <row r="77" spans="1:17" ht="14" x14ac:dyDescent="0.3">
      <c r="E77" s="374"/>
      <c r="F77" s="374"/>
      <c r="G77" s="374"/>
      <c r="H77" s="374"/>
      <c r="I77" s="374"/>
      <c r="J77" s="374"/>
      <c r="K77" s="374"/>
      <c r="L77" s="374"/>
      <c r="M77" s="374"/>
    </row>
    <row r="78" spans="1:17" ht="14" x14ac:dyDescent="0.3">
      <c r="E78" s="374"/>
      <c r="F78" s="374"/>
      <c r="G78" s="374"/>
      <c r="H78" s="374"/>
      <c r="I78" s="374"/>
      <c r="J78" s="374"/>
      <c r="K78" s="374"/>
      <c r="L78" s="374"/>
      <c r="M78" s="374"/>
    </row>
    <row r="79" spans="1:17" ht="14" x14ac:dyDescent="0.3">
      <c r="E79" s="374"/>
      <c r="F79" s="374"/>
      <c r="G79" s="374"/>
      <c r="H79" s="374"/>
      <c r="I79" s="374"/>
      <c r="J79" s="374"/>
      <c r="K79" s="374"/>
      <c r="L79" s="374"/>
      <c r="M79" s="374"/>
    </row>
    <row r="80" spans="1:17" ht="14" x14ac:dyDescent="0.3">
      <c r="E80" s="374"/>
      <c r="F80" s="374"/>
      <c r="G80" s="374"/>
      <c r="H80" s="374"/>
      <c r="I80" s="374"/>
      <c r="J80" s="374"/>
      <c r="K80" s="374"/>
      <c r="L80" s="374"/>
      <c r="M80" s="374"/>
    </row>
  </sheetData>
  <mergeCells count="5">
    <mergeCell ref="A4:N4"/>
    <mergeCell ref="A5:N5"/>
    <mergeCell ref="A6:N6"/>
    <mergeCell ref="A8:N8"/>
    <mergeCell ref="A9:N9"/>
  </mergeCells>
  <pageMargins left="0.7" right="0.7" top="0.75" bottom="0.75" header="0.3" footer="0.3"/>
  <pageSetup scale="63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25C4B-1282-4305-A4E4-C6C33310ED44}">
  <sheetPr>
    <tabColor theme="3" tint="0.59999389629810485"/>
    <pageSetUpPr fitToPage="1"/>
  </sheetPr>
  <dimension ref="A4:Z80"/>
  <sheetViews>
    <sheetView zoomScaleNormal="100" workbookViewId="0"/>
  </sheetViews>
  <sheetFormatPr defaultRowHeight="12.5" x14ac:dyDescent="0.25"/>
  <cols>
    <col min="1" max="1" width="4" customWidth="1"/>
    <col min="2" max="2" width="4.453125" bestFit="1" customWidth="1"/>
    <col min="3" max="3" width="9.453125" customWidth="1"/>
    <col min="4" max="4" width="10.7265625" customWidth="1"/>
    <col min="5" max="7" width="14.7265625" customWidth="1"/>
    <col min="8" max="8" width="1.7265625" customWidth="1"/>
    <col min="9" max="11" width="14.7265625" customWidth="1"/>
    <col min="12" max="12" width="1.7265625" customWidth="1"/>
    <col min="13" max="13" width="12.54296875" bestFit="1" customWidth="1"/>
    <col min="14" max="14" width="11.7265625" customWidth="1"/>
    <col min="15" max="15" width="10.81640625" bestFit="1" customWidth="1"/>
    <col min="16" max="16" width="13.7265625" bestFit="1" customWidth="1"/>
    <col min="17" max="17" width="13.26953125" bestFit="1" customWidth="1"/>
    <col min="18" max="18" width="13.7265625" bestFit="1" customWidth="1"/>
    <col min="19" max="19" width="13" bestFit="1" customWidth="1"/>
    <col min="20" max="20" width="8.453125" bestFit="1" customWidth="1"/>
    <col min="21" max="21" width="10.81640625" bestFit="1" customWidth="1"/>
    <col min="22" max="22" width="13" bestFit="1" customWidth="1"/>
    <col min="23" max="23" width="12.54296875" bestFit="1" customWidth="1"/>
    <col min="24" max="24" width="13.7265625" bestFit="1" customWidth="1"/>
    <col min="25" max="25" width="13" bestFit="1" customWidth="1"/>
    <col min="26" max="26" width="8.453125" bestFit="1" customWidth="1"/>
  </cols>
  <sheetData>
    <row r="4" spans="1:26" ht="14" x14ac:dyDescent="0.3">
      <c r="A4" s="762" t="str">
        <f>'Bill_Bos T2 p4'!A4:N4</f>
        <v>Eastern Massachusetts</v>
      </c>
      <c r="B4" s="762"/>
      <c r="C4" s="762"/>
      <c r="D4" s="762"/>
      <c r="E4" s="762"/>
      <c r="F4" s="762"/>
      <c r="G4" s="762"/>
      <c r="H4" s="762"/>
      <c r="I4" s="762"/>
      <c r="J4" s="762"/>
      <c r="K4" s="762"/>
      <c r="L4" s="762"/>
      <c r="M4" s="762"/>
      <c r="N4" s="762"/>
    </row>
    <row r="5" spans="1:26" ht="14" x14ac:dyDescent="0.3">
      <c r="A5" s="762" t="str">
        <f>+'Bill_Bos G1 nonDem'!A5</f>
        <v>Calculation of Monthly Typical Bill</v>
      </c>
      <c r="B5" s="762"/>
      <c r="C5" s="762"/>
      <c r="D5" s="762"/>
      <c r="E5" s="762"/>
      <c r="F5" s="762"/>
      <c r="G5" s="762"/>
      <c r="H5" s="762"/>
      <c r="I5" s="762"/>
      <c r="J5" s="762"/>
      <c r="K5" s="762"/>
      <c r="L5" s="762"/>
      <c r="M5" s="762"/>
      <c r="N5" s="762"/>
    </row>
    <row r="6" spans="1:26" ht="14" x14ac:dyDescent="0.3">
      <c r="A6" s="762" t="str">
        <f>+'Bill_Bos G1 nonDem'!A6</f>
        <v>Proposed January 1, 2019</v>
      </c>
      <c r="B6" s="762"/>
      <c r="C6" s="762"/>
      <c r="D6" s="762"/>
      <c r="E6" s="762"/>
      <c r="F6" s="762"/>
      <c r="G6" s="762"/>
      <c r="H6" s="762"/>
      <c r="I6" s="762"/>
      <c r="J6" s="762"/>
      <c r="K6" s="762"/>
      <c r="L6" s="762"/>
      <c r="M6" s="762"/>
      <c r="N6" s="762"/>
    </row>
    <row r="7" spans="1:26" ht="14" x14ac:dyDescent="0.3">
      <c r="A7" s="467"/>
      <c r="B7" s="467"/>
      <c r="C7" s="293"/>
      <c r="D7" s="293"/>
      <c r="E7" s="468"/>
      <c r="F7" s="243"/>
      <c r="G7" s="469"/>
      <c r="H7" s="293"/>
      <c r="I7" s="369"/>
      <c r="J7" s="369"/>
      <c r="K7" s="369"/>
      <c r="L7" s="369"/>
      <c r="M7" s="369"/>
      <c r="N7" s="369"/>
    </row>
    <row r="8" spans="1:26" ht="14" x14ac:dyDescent="0.3">
      <c r="A8" s="762" t="str">
        <f>+'Bill_Bos G1 nonDem'!A8</f>
        <v>Greater Boston Service Area</v>
      </c>
      <c r="B8" s="762"/>
      <c r="C8" s="762"/>
      <c r="D8" s="762"/>
      <c r="E8" s="762"/>
      <c r="F8" s="762"/>
      <c r="G8" s="762"/>
      <c r="H8" s="762"/>
      <c r="I8" s="762"/>
      <c r="J8" s="762"/>
      <c r="K8" s="762"/>
      <c r="L8" s="762"/>
      <c r="M8" s="762"/>
      <c r="N8" s="762"/>
    </row>
    <row r="9" spans="1:26" ht="14" x14ac:dyDescent="0.3">
      <c r="A9" s="762" t="str">
        <f>+'Bill_Bos T2 p4'!A9:N9</f>
        <v>Rate T-2 Time-of-Use - SEMA</v>
      </c>
      <c r="B9" s="762"/>
      <c r="C9" s="762"/>
      <c r="D9" s="762"/>
      <c r="E9" s="762"/>
      <c r="F9" s="762"/>
      <c r="G9" s="762"/>
      <c r="H9" s="762"/>
      <c r="I9" s="762"/>
      <c r="J9" s="762"/>
      <c r="K9" s="762"/>
      <c r="L9" s="762"/>
      <c r="M9" s="762"/>
      <c r="N9" s="762"/>
    </row>
    <row r="10" spans="1:26" ht="14" x14ac:dyDescent="0.3">
      <c r="A10" s="366"/>
      <c r="B10" s="366"/>
      <c r="D10" s="293"/>
      <c r="E10" s="293"/>
      <c r="F10" s="293"/>
      <c r="G10" s="367"/>
      <c r="H10" s="293"/>
    </row>
    <row r="11" spans="1:26" ht="14" x14ac:dyDescent="0.3">
      <c r="A11" s="366"/>
      <c r="B11" s="366"/>
      <c r="C11" s="293"/>
      <c r="D11" s="293"/>
      <c r="E11" s="293"/>
      <c r="F11" s="293"/>
      <c r="G11" s="368"/>
      <c r="H11" s="293"/>
    </row>
    <row r="12" spans="1:26" ht="14" x14ac:dyDescent="0.3">
      <c r="A12" s="151">
        <f>IF(C12&lt;&gt;"",COUNTA($C12:C$12),"")</f>
        <v>1</v>
      </c>
      <c r="B12" s="151"/>
      <c r="C12" s="405" t="s">
        <v>578</v>
      </c>
      <c r="D12" s="293"/>
      <c r="E12" s="293"/>
      <c r="F12" s="293"/>
      <c r="G12" s="368"/>
      <c r="H12" s="293"/>
    </row>
    <row r="13" spans="1:26" ht="14" x14ac:dyDescent="0.3">
      <c r="A13" s="151">
        <f>IF(C13&lt;&gt;"",COUNTA($C$12:C13),"")</f>
        <v>2</v>
      </c>
      <c r="B13" s="151"/>
      <c r="C13" s="406" t="str">
        <f>+'Bill_Bos G1 nonDem'!C12</f>
        <v>Monthly</v>
      </c>
      <c r="D13" s="366" t="str">
        <f>+C13</f>
        <v>Monthly</v>
      </c>
      <c r="E13" s="407" t="str">
        <f>+'Bill_Bos G1 nonDem'!D12</f>
        <v>Current Monthly Bill (Winter)</v>
      </c>
      <c r="F13" s="440"/>
      <c r="G13" s="407"/>
      <c r="H13" s="293"/>
      <c r="I13" s="407" t="str">
        <f>+'Bill_Bos G1 nonDem'!H12</f>
        <v>Proposed Monthly Bill (Winter)</v>
      </c>
      <c r="J13" s="440"/>
      <c r="K13" s="407"/>
      <c r="M13" s="407" t="s">
        <v>550</v>
      </c>
      <c r="N13" s="440"/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</row>
    <row r="14" spans="1:26" ht="14" x14ac:dyDescent="0.3">
      <c r="A14" s="151">
        <f>IF(C14&lt;&gt;"",COUNTA($C$12:C14),"")</f>
        <v>3</v>
      </c>
      <c r="B14" s="151"/>
      <c r="C14" s="408" t="s">
        <v>534</v>
      </c>
      <c r="D14" s="370" t="s">
        <v>551</v>
      </c>
      <c r="E14" s="370" t="s">
        <v>552</v>
      </c>
      <c r="F14" s="370" t="s">
        <v>553</v>
      </c>
      <c r="G14" s="370" t="s">
        <v>47</v>
      </c>
      <c r="H14" s="293"/>
      <c r="I14" s="370" t="s">
        <v>552</v>
      </c>
      <c r="J14" s="370" t="s">
        <v>553</v>
      </c>
      <c r="K14" s="370" t="s">
        <v>47</v>
      </c>
      <c r="M14" s="370" t="s">
        <v>65</v>
      </c>
      <c r="N14" s="370" t="s">
        <v>325</v>
      </c>
      <c r="O14" s="369"/>
      <c r="P14" s="369"/>
      <c r="Q14" s="369"/>
      <c r="R14" s="369"/>
      <c r="S14" s="369"/>
      <c r="T14" s="369"/>
      <c r="U14" s="369"/>
      <c r="V14" s="369"/>
      <c r="W14" s="369"/>
      <c r="X14" s="369"/>
      <c r="Y14" s="369"/>
      <c r="Z14" s="369"/>
    </row>
    <row r="15" spans="1:26" ht="14" x14ac:dyDescent="0.3">
      <c r="A15" s="151">
        <f>IF(C15&lt;&gt;"",COUNTA($C$12:C15),"")</f>
        <v>4</v>
      </c>
      <c r="B15" s="151"/>
      <c r="C15" s="409">
        <f>+'Bill_Bos T2 p1'!C15</f>
        <v>50</v>
      </c>
      <c r="D15" s="409">
        <f>+C15*450</f>
        <v>22500</v>
      </c>
      <c r="E15" s="372">
        <f t="shared" ref="E15:E23" si="0">ROUND($C15*SUM($G$44,$G$46)+SUM($G$47:$G$62,$G$63:$G$65)*$D15,2)+ROUND(IF($C15&gt;1000,$G$43,IF($C15&gt;300,$G$42,IF($C15&gt;150,$G$41,$G$40))),2)</f>
        <v>1559.75</v>
      </c>
      <c r="F15" s="372">
        <f t="shared" ref="F15:F23" si="1">ROUND(G$66*D15,2)</f>
        <v>2759.85</v>
      </c>
      <c r="G15" s="372">
        <f t="shared" ref="G15:G23" si="2">SUM(E15:F15)</f>
        <v>4319.6000000000004</v>
      </c>
      <c r="H15" s="373"/>
      <c r="I15" s="372">
        <f t="shared" ref="I15:I23" si="3">ROUND($C15*SUM($I$44,$I$46)+SUM($I$47:$I$62,$I$63:$I$65)*$D15,2)+ROUND(IF($C15&gt;1000,$I$43,IF($C15&gt;300,$I$42,IF($C15&gt;150,$I$41,$I$40))),2)</f>
        <v>1532.13</v>
      </c>
      <c r="J15" s="372">
        <f t="shared" ref="J15:J23" si="4">ROUND(I$66*D15,2)</f>
        <v>3633.3</v>
      </c>
      <c r="K15" s="372">
        <f t="shared" ref="K15:K23" si="5">SUM(I15:J15)</f>
        <v>5165.43</v>
      </c>
      <c r="L15" s="374"/>
      <c r="M15" s="375">
        <f t="shared" ref="M15:M23" si="6">+K15-G15</f>
        <v>845.82999999999993</v>
      </c>
      <c r="N15" s="376">
        <f t="shared" ref="N15:N23" si="7">+M15/G15</f>
        <v>0.19581211223261411</v>
      </c>
      <c r="O15" s="377"/>
      <c r="P15" s="322"/>
      <c r="Q15" s="322"/>
      <c r="R15" s="322"/>
      <c r="S15" s="377"/>
      <c r="T15" s="378"/>
      <c r="U15" s="377"/>
      <c r="V15" s="325"/>
      <c r="W15" s="322"/>
      <c r="X15" s="322"/>
      <c r="Y15" s="377"/>
      <c r="Z15" s="374"/>
    </row>
    <row r="16" spans="1:26" ht="14" x14ac:dyDescent="0.3">
      <c r="A16" s="151">
        <f>IF(C16&lt;&gt;"",COUNTA($C$12:C16),"")</f>
        <v>5</v>
      </c>
      <c r="B16" s="151"/>
      <c r="C16" s="409">
        <f>+'Bill_Bos T2 p1'!C16</f>
        <v>100</v>
      </c>
      <c r="D16" s="409">
        <f t="shared" ref="D16:D23" si="8">+C16*450</f>
        <v>45000</v>
      </c>
      <c r="E16" s="372">
        <f t="shared" si="0"/>
        <v>3092.5</v>
      </c>
      <c r="F16" s="372">
        <f t="shared" si="1"/>
        <v>5519.7</v>
      </c>
      <c r="G16" s="372">
        <f t="shared" si="2"/>
        <v>8612.2000000000007</v>
      </c>
      <c r="H16" s="373"/>
      <c r="I16" s="372">
        <f t="shared" si="3"/>
        <v>3037.25</v>
      </c>
      <c r="J16" s="372">
        <f t="shared" si="4"/>
        <v>7266.6</v>
      </c>
      <c r="K16" s="372">
        <f t="shared" si="5"/>
        <v>10303.85</v>
      </c>
      <c r="L16" s="374"/>
      <c r="M16" s="375">
        <f t="shared" si="6"/>
        <v>1691.6499999999996</v>
      </c>
      <c r="N16" s="376">
        <f t="shared" si="7"/>
        <v>0.19642483918162601</v>
      </c>
      <c r="O16" s="377"/>
      <c r="P16" s="322"/>
      <c r="Q16" s="322"/>
      <c r="R16" s="322"/>
      <c r="S16" s="377"/>
      <c r="T16" s="378"/>
      <c r="U16" s="377"/>
      <c r="V16" s="325"/>
      <c r="W16" s="322"/>
      <c r="X16" s="322"/>
      <c r="Y16" s="377"/>
      <c r="Z16" s="374"/>
    </row>
    <row r="17" spans="1:26" ht="14" x14ac:dyDescent="0.3">
      <c r="A17" s="151">
        <f>IF(C17&lt;&gt;"",COUNTA($C$12:C17),"")</f>
        <v>6</v>
      </c>
      <c r="B17" s="151"/>
      <c r="C17" s="409">
        <f>+'Bill_Bos T2 p1'!C17</f>
        <v>150</v>
      </c>
      <c r="D17" s="409">
        <f t="shared" si="8"/>
        <v>67500</v>
      </c>
      <c r="E17" s="372">
        <f t="shared" si="0"/>
        <v>4625.25</v>
      </c>
      <c r="F17" s="372">
        <f t="shared" si="1"/>
        <v>8279.5499999999993</v>
      </c>
      <c r="G17" s="372">
        <f t="shared" si="2"/>
        <v>12904.8</v>
      </c>
      <c r="H17" s="373"/>
      <c r="I17" s="372">
        <f t="shared" si="3"/>
        <v>4542.38</v>
      </c>
      <c r="J17" s="372">
        <f t="shared" si="4"/>
        <v>10899.9</v>
      </c>
      <c r="K17" s="372">
        <f t="shared" si="5"/>
        <v>15442.279999999999</v>
      </c>
      <c r="L17" s="374"/>
      <c r="M17" s="375">
        <f t="shared" si="6"/>
        <v>2537.4799999999996</v>
      </c>
      <c r="N17" s="376">
        <f t="shared" si="7"/>
        <v>0.19663071105325147</v>
      </c>
      <c r="O17" s="377"/>
      <c r="P17" s="322"/>
      <c r="Q17" s="322"/>
      <c r="R17" s="322"/>
      <c r="S17" s="377"/>
      <c r="T17" s="378"/>
      <c r="U17" s="377"/>
      <c r="V17" s="325"/>
      <c r="W17" s="322"/>
      <c r="X17" s="322"/>
      <c r="Y17" s="377"/>
      <c r="Z17" s="374"/>
    </row>
    <row r="18" spans="1:26" ht="14" x14ac:dyDescent="0.3">
      <c r="A18" s="151">
        <f>IF(C18&lt;&gt;"",COUNTA($C$12:C18),"")</f>
        <v>7</v>
      </c>
      <c r="B18" s="151"/>
      <c r="C18" s="409">
        <f>+'Bill_Bos T2 p1'!C18</f>
        <v>200</v>
      </c>
      <c r="D18" s="409">
        <f t="shared" si="8"/>
        <v>90000</v>
      </c>
      <c r="E18" s="372">
        <f t="shared" si="0"/>
        <v>6241</v>
      </c>
      <c r="F18" s="372">
        <f t="shared" si="1"/>
        <v>11039.4</v>
      </c>
      <c r="G18" s="372">
        <f t="shared" si="2"/>
        <v>17280.400000000001</v>
      </c>
      <c r="H18" s="373"/>
      <c r="I18" s="372">
        <f t="shared" si="3"/>
        <v>6130.5</v>
      </c>
      <c r="J18" s="372">
        <f t="shared" si="4"/>
        <v>14533.2</v>
      </c>
      <c r="K18" s="372">
        <f t="shared" si="5"/>
        <v>20663.7</v>
      </c>
      <c r="L18" s="374"/>
      <c r="M18" s="375">
        <f t="shared" si="6"/>
        <v>3383.2999999999993</v>
      </c>
      <c r="N18" s="376">
        <f t="shared" si="7"/>
        <v>0.19578829193768657</v>
      </c>
      <c r="O18" s="377"/>
      <c r="P18" s="322"/>
      <c r="Q18" s="322"/>
      <c r="R18" s="322"/>
      <c r="S18" s="377"/>
      <c r="T18" s="378"/>
      <c r="U18" s="377"/>
      <c r="V18" s="325"/>
      <c r="W18" s="322"/>
      <c r="X18" s="322"/>
      <c r="Y18" s="377"/>
      <c r="Z18" s="374"/>
    </row>
    <row r="19" spans="1:26" ht="14" x14ac:dyDescent="0.3">
      <c r="A19" s="151">
        <f>IF(C19&lt;&gt;"",COUNTA($C$12:C19),"")</f>
        <v>8</v>
      </c>
      <c r="B19" s="151"/>
      <c r="C19" s="409">
        <f>+'Bill_Bos T2 p1'!C19</f>
        <v>250</v>
      </c>
      <c r="D19" s="409">
        <f t="shared" si="8"/>
        <v>112500</v>
      </c>
      <c r="E19" s="372">
        <f t="shared" si="0"/>
        <v>7773.75</v>
      </c>
      <c r="F19" s="372">
        <f t="shared" si="1"/>
        <v>13799.25</v>
      </c>
      <c r="G19" s="372">
        <f t="shared" si="2"/>
        <v>21573</v>
      </c>
      <c r="H19" s="373"/>
      <c r="I19" s="372">
        <f t="shared" si="3"/>
        <v>7635.63</v>
      </c>
      <c r="J19" s="372">
        <f t="shared" si="4"/>
        <v>18166.5</v>
      </c>
      <c r="K19" s="372">
        <f t="shared" si="5"/>
        <v>25802.13</v>
      </c>
      <c r="L19" s="374"/>
      <c r="M19" s="375">
        <f t="shared" si="6"/>
        <v>4229.130000000001</v>
      </c>
      <c r="N19" s="376">
        <f t="shared" si="7"/>
        <v>0.19603810318453627</v>
      </c>
      <c r="O19" s="377"/>
      <c r="P19" s="322"/>
      <c r="Q19" s="322"/>
      <c r="R19" s="322"/>
      <c r="S19" s="377"/>
      <c r="T19" s="378"/>
      <c r="U19" s="377"/>
      <c r="V19" s="325"/>
      <c r="W19" s="322"/>
      <c r="X19" s="322"/>
      <c r="Y19" s="377"/>
      <c r="Z19" s="374"/>
    </row>
    <row r="20" spans="1:26" ht="14" x14ac:dyDescent="0.3">
      <c r="A20" s="151">
        <f>IF(C20&lt;&gt;"",COUNTA($C$12:C20),"")</f>
        <v>9</v>
      </c>
      <c r="B20" s="151"/>
      <c r="C20" s="409">
        <f>+'Bill_Bos T2 p1'!C20</f>
        <v>300</v>
      </c>
      <c r="D20" s="409">
        <f t="shared" si="8"/>
        <v>135000</v>
      </c>
      <c r="E20" s="372">
        <f t="shared" si="0"/>
        <v>9306.5</v>
      </c>
      <c r="F20" s="372">
        <f t="shared" si="1"/>
        <v>16559.099999999999</v>
      </c>
      <c r="G20" s="372">
        <f t="shared" si="2"/>
        <v>25865.599999999999</v>
      </c>
      <c r="H20" s="373"/>
      <c r="I20" s="372">
        <f t="shared" si="3"/>
        <v>9140.75</v>
      </c>
      <c r="J20" s="372">
        <f t="shared" si="4"/>
        <v>21799.8</v>
      </c>
      <c r="K20" s="372">
        <f t="shared" si="5"/>
        <v>30940.55</v>
      </c>
      <c r="L20" s="374"/>
      <c r="M20" s="375">
        <f t="shared" si="6"/>
        <v>5074.9500000000007</v>
      </c>
      <c r="N20" s="376">
        <f t="shared" si="7"/>
        <v>0.19620461153037241</v>
      </c>
      <c r="O20" s="377"/>
      <c r="P20" s="322"/>
      <c r="Q20" s="322"/>
      <c r="R20" s="322"/>
      <c r="S20" s="377"/>
      <c r="T20" s="378"/>
      <c r="U20" s="377"/>
      <c r="V20" s="325"/>
      <c r="W20" s="322"/>
      <c r="X20" s="322"/>
      <c r="Y20" s="377"/>
      <c r="Z20" s="374"/>
    </row>
    <row r="21" spans="1:26" ht="14" x14ac:dyDescent="0.3">
      <c r="A21" s="151">
        <f>IF(C21&lt;&gt;"",COUNTA($C$12:C21),"")</f>
        <v>10</v>
      </c>
      <c r="B21" s="151"/>
      <c r="C21" s="409">
        <f>+'Bill_Bos T2 p1'!C21</f>
        <v>500</v>
      </c>
      <c r="D21" s="409">
        <f t="shared" si="8"/>
        <v>225000</v>
      </c>
      <c r="E21" s="372">
        <f t="shared" si="0"/>
        <v>15487.5</v>
      </c>
      <c r="F21" s="372">
        <f t="shared" si="1"/>
        <v>27598.5</v>
      </c>
      <c r="G21" s="372">
        <f t="shared" si="2"/>
        <v>43086</v>
      </c>
      <c r="H21" s="373"/>
      <c r="I21" s="372">
        <f t="shared" si="3"/>
        <v>15211.25</v>
      </c>
      <c r="J21" s="372">
        <f t="shared" si="4"/>
        <v>36333</v>
      </c>
      <c r="K21" s="372">
        <f t="shared" si="5"/>
        <v>51544.25</v>
      </c>
      <c r="L21" s="374"/>
      <c r="M21" s="375">
        <f t="shared" si="6"/>
        <v>8458.25</v>
      </c>
      <c r="N21" s="376">
        <f t="shared" si="7"/>
        <v>0.19631086663881539</v>
      </c>
      <c r="O21" s="377"/>
      <c r="P21" s="322"/>
      <c r="Q21" s="322"/>
      <c r="R21" s="322"/>
      <c r="S21" s="377"/>
      <c r="T21" s="378"/>
      <c r="U21" s="377"/>
      <c r="V21" s="325"/>
      <c r="W21" s="322"/>
      <c r="X21" s="322"/>
      <c r="Y21" s="377"/>
      <c r="Z21" s="374"/>
    </row>
    <row r="22" spans="1:26" ht="14" x14ac:dyDescent="0.3">
      <c r="A22" s="151">
        <f>IF(C22&lt;&gt;"",COUNTA($C$12:C22),"")</f>
        <v>11</v>
      </c>
      <c r="B22" s="151"/>
      <c r="C22" s="409">
        <f>+'Bill_Bos T2 p1'!C22</f>
        <v>1000</v>
      </c>
      <c r="D22" s="409">
        <f t="shared" si="8"/>
        <v>450000</v>
      </c>
      <c r="E22" s="372">
        <f t="shared" si="0"/>
        <v>30815</v>
      </c>
      <c r="F22" s="372">
        <f t="shared" si="1"/>
        <v>55197</v>
      </c>
      <c r="G22" s="372">
        <f t="shared" si="2"/>
        <v>86012</v>
      </c>
      <c r="H22" s="373"/>
      <c r="I22" s="372">
        <f t="shared" si="3"/>
        <v>30262.5</v>
      </c>
      <c r="J22" s="372">
        <f t="shared" si="4"/>
        <v>72666</v>
      </c>
      <c r="K22" s="372">
        <f t="shared" si="5"/>
        <v>102928.5</v>
      </c>
      <c r="L22" s="374"/>
      <c r="M22" s="375">
        <f t="shared" si="6"/>
        <v>16916.5</v>
      </c>
      <c r="N22" s="376">
        <f t="shared" si="7"/>
        <v>0.19667604520299492</v>
      </c>
      <c r="O22" s="377"/>
      <c r="P22" s="322"/>
      <c r="Q22" s="322"/>
      <c r="R22" s="322"/>
      <c r="S22" s="377"/>
      <c r="T22" s="378"/>
      <c r="U22" s="377"/>
      <c r="V22" s="325"/>
      <c r="W22" s="322"/>
      <c r="X22" s="322"/>
      <c r="Y22" s="377"/>
      <c r="Z22" s="374"/>
    </row>
    <row r="23" spans="1:26" ht="14" x14ac:dyDescent="0.3">
      <c r="A23" s="151">
        <f>IF(C23&lt;&gt;"",COUNTA($C$12:C23),"")</f>
        <v>12</v>
      </c>
      <c r="B23" s="151" t="s">
        <v>554</v>
      </c>
      <c r="C23" s="409">
        <v>281</v>
      </c>
      <c r="D23" s="409">
        <f t="shared" si="8"/>
        <v>126450</v>
      </c>
      <c r="E23" s="372">
        <f t="shared" si="0"/>
        <v>8724.06</v>
      </c>
      <c r="F23" s="372">
        <f t="shared" si="1"/>
        <v>15510.36</v>
      </c>
      <c r="G23" s="372">
        <f t="shared" si="2"/>
        <v>24234.42</v>
      </c>
      <c r="H23" s="373"/>
      <c r="I23" s="372">
        <f t="shared" si="3"/>
        <v>8568.7999999999993</v>
      </c>
      <c r="J23" s="372">
        <f t="shared" si="4"/>
        <v>20419.150000000001</v>
      </c>
      <c r="K23" s="372">
        <f t="shared" si="5"/>
        <v>28987.95</v>
      </c>
      <c r="L23" s="374"/>
      <c r="M23" s="375">
        <f t="shared" si="6"/>
        <v>4753.5300000000025</v>
      </c>
      <c r="N23" s="376">
        <f t="shared" si="7"/>
        <v>0.19614787562483454</v>
      </c>
      <c r="O23" s="377"/>
      <c r="P23" s="322"/>
      <c r="Q23" s="322"/>
      <c r="R23" s="322"/>
      <c r="S23" s="377"/>
      <c r="T23" s="378"/>
      <c r="U23" s="377"/>
      <c r="V23" s="325"/>
      <c r="W23" s="322"/>
      <c r="X23" s="322"/>
      <c r="Y23" s="377"/>
      <c r="Z23" s="374"/>
    </row>
    <row r="24" spans="1:26" ht="14" x14ac:dyDescent="0.3">
      <c r="A24" s="151" t="str">
        <f>IF(C24&lt;&gt;"",COUNTA($C$12:C24),"")</f>
        <v/>
      </c>
      <c r="B24" s="151"/>
      <c r="C24" s="293"/>
      <c r="D24" s="409"/>
      <c r="E24" s="372"/>
      <c r="F24" s="372"/>
      <c r="G24" s="372"/>
      <c r="H24" s="373"/>
      <c r="I24" s="372"/>
      <c r="J24" s="374"/>
      <c r="K24" s="374"/>
      <c r="L24" s="374"/>
      <c r="M24" s="374"/>
      <c r="O24" s="369"/>
      <c r="P24" s="369"/>
      <c r="Q24" s="369"/>
      <c r="R24" s="369"/>
      <c r="S24" s="369"/>
      <c r="T24" s="369"/>
      <c r="U24" s="369"/>
      <c r="V24" s="369"/>
      <c r="W24" s="369"/>
      <c r="X24" s="369"/>
      <c r="Y24" s="369"/>
      <c r="Z24" s="369"/>
    </row>
    <row r="25" spans="1:26" ht="14" x14ac:dyDescent="0.3">
      <c r="A25" s="151">
        <f>IF(C25&lt;&gt;"",COUNTA($C$12:C25),"")</f>
        <v>13</v>
      </c>
      <c r="B25" s="151"/>
      <c r="C25" s="366" t="str">
        <f>+C13</f>
        <v>Monthly</v>
      </c>
      <c r="D25" s="366" t="str">
        <f>+D13</f>
        <v>Monthly</v>
      </c>
      <c r="E25" s="485" t="str">
        <f>+'Bill_Bos G1 nonDem'!D26</f>
        <v>Current Monthly Bill (Summer)</v>
      </c>
      <c r="F25" s="486"/>
      <c r="G25" s="485"/>
      <c r="H25" s="448"/>
      <c r="I25" s="485" t="str">
        <f>+'Bill_Bos G1 nonDem'!H26</f>
        <v>Proposed Monthly Bill (Summer)</v>
      </c>
      <c r="J25" s="486"/>
      <c r="K25" s="486"/>
      <c r="L25" s="374"/>
      <c r="M25" s="485" t="s">
        <v>550</v>
      </c>
      <c r="N25" s="440"/>
      <c r="O25" s="369"/>
      <c r="P25" s="369"/>
      <c r="Q25" s="369"/>
      <c r="R25" s="369"/>
      <c r="S25" s="369"/>
      <c r="T25" s="369"/>
      <c r="U25" s="369"/>
      <c r="V25" s="369"/>
      <c r="W25" s="369"/>
      <c r="X25" s="369"/>
      <c r="Y25" s="369"/>
      <c r="Z25" s="369"/>
    </row>
    <row r="26" spans="1:26" ht="14" x14ac:dyDescent="0.3">
      <c r="A26" s="151">
        <f>IF(C26&lt;&gt;"",COUNTA($C$12:C26),"")</f>
        <v>14</v>
      </c>
      <c r="B26" s="151"/>
      <c r="C26" s="370" t="s">
        <v>534</v>
      </c>
      <c r="D26" s="370" t="s">
        <v>551</v>
      </c>
      <c r="E26" s="442" t="s">
        <v>552</v>
      </c>
      <c r="F26" s="442" t="s">
        <v>553</v>
      </c>
      <c r="G26" s="442" t="s">
        <v>47</v>
      </c>
      <c r="H26" s="448"/>
      <c r="I26" s="442" t="s">
        <v>552</v>
      </c>
      <c r="J26" s="442" t="s">
        <v>553</v>
      </c>
      <c r="K26" s="442" t="s">
        <v>47</v>
      </c>
      <c r="L26" s="374"/>
      <c r="M26" s="442" t="s">
        <v>65</v>
      </c>
      <c r="N26" s="370" t="s">
        <v>325</v>
      </c>
      <c r="O26" s="378"/>
      <c r="P26" s="369"/>
      <c r="Q26" s="369"/>
      <c r="R26" s="369"/>
      <c r="S26" s="369"/>
      <c r="T26" s="369"/>
      <c r="U26" s="369"/>
      <c r="V26" s="369"/>
      <c r="W26" s="369"/>
      <c r="X26" s="369"/>
      <c r="Y26" s="369"/>
      <c r="Z26" s="369"/>
    </row>
    <row r="27" spans="1:26" ht="14" x14ac:dyDescent="0.3">
      <c r="A27" s="151">
        <f>IF(C27&lt;&gt;"",COUNTA($C$12:C27),"")</f>
        <v>15</v>
      </c>
      <c r="B27" s="151"/>
      <c r="C27" s="409">
        <f>+'Bill_Bos T2 p1'!C27</f>
        <v>50</v>
      </c>
      <c r="D27" s="409">
        <f>+C27*450</f>
        <v>22500</v>
      </c>
      <c r="E27" s="372">
        <f t="shared" ref="E27:E35" si="9">ROUND($C27*SUM($G$45,$G$46)+SUM($G$47:$G$62,$G$63:$G$65)*$D27,2)+ROUND(IF($C27&gt;1000,$G$43,IF($C27&gt;300,$G$42,IF($C27&gt;150,$G$41,$G$40))),2)</f>
        <v>1978.25</v>
      </c>
      <c r="F27" s="372">
        <f t="shared" ref="F27:F35" si="10">ROUND($G$66*D27,2)</f>
        <v>2759.85</v>
      </c>
      <c r="G27" s="372">
        <f t="shared" ref="G27:G35" si="11">SUM(E27:F27)</f>
        <v>4738.1000000000004</v>
      </c>
      <c r="H27" s="373"/>
      <c r="I27" s="372">
        <f t="shared" ref="I27:I35" si="12">ROUND($C27*SUM($I$45,$I$46)+SUM($I$47:$I$62,$I$63:$I$65)*$D27,2)+ROUND(IF($C27&gt;1000,$I$43,IF($C27&gt;300,$I$42,IF($C27&gt;150,$I$41,$I$40))),2)</f>
        <v>1964.63</v>
      </c>
      <c r="J27" s="372">
        <f t="shared" ref="J27:J35" si="13">ROUND(I$66*D27,2)</f>
        <v>3633.3</v>
      </c>
      <c r="K27" s="372">
        <f t="shared" ref="K27:K35" si="14">SUM(I27:J27)</f>
        <v>5597.93</v>
      </c>
      <c r="L27" s="374"/>
      <c r="M27" s="375">
        <f t="shared" ref="M27:M35" si="15">+K27-G27</f>
        <v>859.82999999999993</v>
      </c>
      <c r="N27" s="376">
        <f t="shared" ref="N27:N35" si="16">+M27/G27</f>
        <v>0.18147147590806439</v>
      </c>
      <c r="O27" s="377"/>
      <c r="P27" s="322"/>
      <c r="Q27" s="322"/>
      <c r="R27" s="322"/>
      <c r="S27" s="377"/>
      <c r="T27" s="378"/>
      <c r="U27" s="377"/>
      <c r="V27" s="325"/>
      <c r="W27" s="322"/>
      <c r="X27" s="322"/>
      <c r="Y27" s="377"/>
      <c r="Z27" s="374"/>
    </row>
    <row r="28" spans="1:26" ht="14" x14ac:dyDescent="0.3">
      <c r="A28" s="151">
        <f>IF(C28&lt;&gt;"",COUNTA($C$12:C28),"")</f>
        <v>16</v>
      </c>
      <c r="B28" s="151"/>
      <c r="C28" s="409">
        <f>+'Bill_Bos T2 p1'!C28</f>
        <v>100</v>
      </c>
      <c r="D28" s="409">
        <f t="shared" ref="D28:D35" si="17">+C28*450</f>
        <v>45000</v>
      </c>
      <c r="E28" s="372">
        <f t="shared" si="9"/>
        <v>3929.5</v>
      </c>
      <c r="F28" s="372">
        <f t="shared" si="10"/>
        <v>5519.7</v>
      </c>
      <c r="G28" s="372">
        <f t="shared" si="11"/>
        <v>9449.2000000000007</v>
      </c>
      <c r="H28" s="373"/>
      <c r="I28" s="372">
        <f t="shared" si="12"/>
        <v>3902.25</v>
      </c>
      <c r="J28" s="372">
        <f t="shared" si="13"/>
        <v>7266.6</v>
      </c>
      <c r="K28" s="372">
        <f t="shared" si="14"/>
        <v>11168.85</v>
      </c>
      <c r="L28" s="374"/>
      <c r="M28" s="375">
        <f t="shared" si="15"/>
        <v>1719.6499999999996</v>
      </c>
      <c r="N28" s="376">
        <f t="shared" si="16"/>
        <v>0.18198895144562496</v>
      </c>
      <c r="O28" s="377"/>
      <c r="P28" s="322"/>
      <c r="Q28" s="322"/>
      <c r="R28" s="322"/>
      <c r="S28" s="377"/>
      <c r="T28" s="378"/>
      <c r="U28" s="377"/>
      <c r="V28" s="325"/>
      <c r="W28" s="322"/>
      <c r="X28" s="322"/>
      <c r="Y28" s="377"/>
      <c r="Z28" s="374"/>
    </row>
    <row r="29" spans="1:26" ht="14" x14ac:dyDescent="0.3">
      <c r="A29" s="151">
        <f>IF(C29&lt;&gt;"",COUNTA($C$12:C29),"")</f>
        <v>17</v>
      </c>
      <c r="B29" s="151"/>
      <c r="C29" s="409">
        <f>+'Bill_Bos T2 p1'!C29</f>
        <v>150</v>
      </c>
      <c r="D29" s="409">
        <f t="shared" si="17"/>
        <v>67500</v>
      </c>
      <c r="E29" s="372">
        <f t="shared" si="9"/>
        <v>5880.75</v>
      </c>
      <c r="F29" s="372">
        <f t="shared" si="10"/>
        <v>8279.5499999999993</v>
      </c>
      <c r="G29" s="372">
        <f t="shared" si="11"/>
        <v>14160.3</v>
      </c>
      <c r="H29" s="373"/>
      <c r="I29" s="372">
        <f t="shared" si="12"/>
        <v>5839.88</v>
      </c>
      <c r="J29" s="372">
        <f t="shared" si="13"/>
        <v>10899.9</v>
      </c>
      <c r="K29" s="372">
        <f t="shared" si="14"/>
        <v>16739.78</v>
      </c>
      <c r="L29" s="374"/>
      <c r="M29" s="375">
        <f t="shared" si="15"/>
        <v>2579.4799999999996</v>
      </c>
      <c r="N29" s="376">
        <f t="shared" si="16"/>
        <v>0.18216280728515635</v>
      </c>
      <c r="O29" s="377"/>
      <c r="P29" s="322"/>
      <c r="Q29" s="322"/>
      <c r="R29" s="322"/>
      <c r="S29" s="377"/>
      <c r="T29" s="378"/>
      <c r="U29" s="377"/>
      <c r="V29" s="325"/>
      <c r="W29" s="322"/>
      <c r="X29" s="322"/>
      <c r="Y29" s="377"/>
      <c r="Z29" s="374"/>
    </row>
    <row r="30" spans="1:26" ht="14" x14ac:dyDescent="0.3">
      <c r="A30" s="151">
        <f>IF(C30&lt;&gt;"",COUNTA($C$12:C30),"")</f>
        <v>18</v>
      </c>
      <c r="B30" s="151"/>
      <c r="C30" s="409">
        <f>+'Bill_Bos T2 p1'!C30</f>
        <v>200</v>
      </c>
      <c r="D30" s="409">
        <f t="shared" si="17"/>
        <v>90000</v>
      </c>
      <c r="E30" s="372">
        <f t="shared" si="9"/>
        <v>7915</v>
      </c>
      <c r="F30" s="372">
        <f t="shared" si="10"/>
        <v>11039.4</v>
      </c>
      <c r="G30" s="372">
        <f t="shared" si="11"/>
        <v>18954.400000000001</v>
      </c>
      <c r="H30" s="373"/>
      <c r="I30" s="372">
        <f t="shared" si="12"/>
        <v>7860.5</v>
      </c>
      <c r="J30" s="372">
        <f t="shared" si="13"/>
        <v>14533.2</v>
      </c>
      <c r="K30" s="372">
        <f t="shared" si="14"/>
        <v>22393.7</v>
      </c>
      <c r="L30" s="374"/>
      <c r="M30" s="375">
        <f t="shared" si="15"/>
        <v>3439.2999999999993</v>
      </c>
      <c r="N30" s="376">
        <f t="shared" si="16"/>
        <v>0.18145127252775076</v>
      </c>
      <c r="O30" s="377"/>
      <c r="P30" s="322"/>
      <c r="Q30" s="322"/>
      <c r="R30" s="322"/>
      <c r="S30" s="377"/>
      <c r="T30" s="378"/>
      <c r="U30" s="377"/>
      <c r="V30" s="325"/>
      <c r="W30" s="322"/>
      <c r="X30" s="322"/>
      <c r="Y30" s="377"/>
      <c r="Z30" s="374"/>
    </row>
    <row r="31" spans="1:26" ht="14" x14ac:dyDescent="0.3">
      <c r="A31" s="151">
        <f>IF(C31&lt;&gt;"",COUNTA($C$12:C31),"")</f>
        <v>19</v>
      </c>
      <c r="B31" s="151"/>
      <c r="C31" s="409">
        <f>+'Bill_Bos T2 p1'!C31</f>
        <v>250</v>
      </c>
      <c r="D31" s="409">
        <f t="shared" si="17"/>
        <v>112500</v>
      </c>
      <c r="E31" s="372">
        <f t="shared" si="9"/>
        <v>9866.25</v>
      </c>
      <c r="F31" s="372">
        <f t="shared" si="10"/>
        <v>13799.25</v>
      </c>
      <c r="G31" s="372">
        <f t="shared" si="11"/>
        <v>23665.5</v>
      </c>
      <c r="H31" s="373"/>
      <c r="I31" s="372">
        <f t="shared" si="12"/>
        <v>9798.1299999999992</v>
      </c>
      <c r="J31" s="372">
        <f t="shared" si="13"/>
        <v>18166.5</v>
      </c>
      <c r="K31" s="372">
        <f t="shared" si="14"/>
        <v>27964.629999999997</v>
      </c>
      <c r="L31" s="374"/>
      <c r="M31" s="375">
        <f t="shared" si="15"/>
        <v>4299.1299999999974</v>
      </c>
      <c r="N31" s="376">
        <f t="shared" si="16"/>
        <v>0.18166233546724123</v>
      </c>
      <c r="O31" s="377"/>
      <c r="P31" s="322"/>
      <c r="Q31" s="322"/>
      <c r="R31" s="322"/>
      <c r="S31" s="377"/>
      <c r="T31" s="378"/>
      <c r="U31" s="377"/>
      <c r="V31" s="325"/>
      <c r="W31" s="322"/>
      <c r="X31" s="322"/>
      <c r="Y31" s="377"/>
      <c r="Z31" s="374"/>
    </row>
    <row r="32" spans="1:26" ht="14" x14ac:dyDescent="0.3">
      <c r="A32" s="151">
        <f>IF(C32&lt;&gt;"",COUNTA($C$12:C32),"")</f>
        <v>20</v>
      </c>
      <c r="B32" s="151"/>
      <c r="C32" s="409">
        <f>+'Bill_Bos T2 p1'!C32</f>
        <v>300</v>
      </c>
      <c r="D32" s="409">
        <f t="shared" si="17"/>
        <v>135000</v>
      </c>
      <c r="E32" s="372">
        <f t="shared" si="9"/>
        <v>11817.5</v>
      </c>
      <c r="F32" s="372">
        <f t="shared" si="10"/>
        <v>16559.099999999999</v>
      </c>
      <c r="G32" s="372">
        <f t="shared" si="11"/>
        <v>28376.6</v>
      </c>
      <c r="H32" s="373"/>
      <c r="I32" s="372">
        <f t="shared" si="12"/>
        <v>11735.75</v>
      </c>
      <c r="J32" s="372">
        <f t="shared" si="13"/>
        <v>21799.8</v>
      </c>
      <c r="K32" s="372">
        <f t="shared" si="14"/>
        <v>33535.550000000003</v>
      </c>
      <c r="L32" s="374"/>
      <c r="M32" s="375">
        <f t="shared" si="15"/>
        <v>5158.9500000000044</v>
      </c>
      <c r="N32" s="376">
        <f t="shared" si="16"/>
        <v>0.18180296441434154</v>
      </c>
      <c r="O32" s="377"/>
      <c r="P32" s="322"/>
      <c r="Q32" s="322"/>
      <c r="R32" s="322"/>
      <c r="S32" s="377"/>
      <c r="T32" s="378"/>
      <c r="U32" s="377"/>
      <c r="V32" s="325"/>
      <c r="W32" s="322"/>
      <c r="X32" s="322"/>
      <c r="Y32" s="377"/>
      <c r="Z32" s="374"/>
    </row>
    <row r="33" spans="1:26" ht="14" x14ac:dyDescent="0.3">
      <c r="A33" s="151">
        <f>IF(C33&lt;&gt;"",COUNTA($C$12:C33),"")</f>
        <v>21</v>
      </c>
      <c r="B33" s="151"/>
      <c r="C33" s="409">
        <f>+'Bill_Bos T2 p1'!C33</f>
        <v>500</v>
      </c>
      <c r="D33" s="409">
        <f t="shared" si="17"/>
        <v>225000</v>
      </c>
      <c r="E33" s="372">
        <f t="shared" si="9"/>
        <v>19672.5</v>
      </c>
      <c r="F33" s="372">
        <f t="shared" si="10"/>
        <v>27598.5</v>
      </c>
      <c r="G33" s="372">
        <f t="shared" si="11"/>
        <v>47271</v>
      </c>
      <c r="H33" s="373"/>
      <c r="I33" s="372">
        <f t="shared" si="12"/>
        <v>19536.25</v>
      </c>
      <c r="J33" s="372">
        <f t="shared" si="13"/>
        <v>36333</v>
      </c>
      <c r="K33" s="372">
        <f t="shared" si="14"/>
        <v>55869.25</v>
      </c>
      <c r="L33" s="374"/>
      <c r="M33" s="375">
        <f t="shared" si="15"/>
        <v>8598.25</v>
      </c>
      <c r="N33" s="376">
        <f t="shared" si="16"/>
        <v>0.18189270377186859</v>
      </c>
      <c r="O33" s="377"/>
      <c r="P33" s="322"/>
      <c r="Q33" s="322"/>
      <c r="R33" s="322"/>
      <c r="S33" s="377"/>
      <c r="T33" s="378"/>
      <c r="U33" s="377"/>
      <c r="V33" s="325"/>
      <c r="W33" s="322"/>
      <c r="X33" s="322"/>
      <c r="Y33" s="377"/>
      <c r="Z33" s="374"/>
    </row>
    <row r="34" spans="1:26" ht="14" x14ac:dyDescent="0.3">
      <c r="A34" s="151">
        <f>IF(C34&lt;&gt;"",COUNTA($C$12:C34),"")</f>
        <v>22</v>
      </c>
      <c r="B34" s="151"/>
      <c r="C34" s="409">
        <f>+'Bill_Bos T2 p1'!C34</f>
        <v>1000</v>
      </c>
      <c r="D34" s="409">
        <f t="shared" si="17"/>
        <v>450000</v>
      </c>
      <c r="E34" s="372">
        <f t="shared" si="9"/>
        <v>39185</v>
      </c>
      <c r="F34" s="372">
        <f t="shared" si="10"/>
        <v>55197</v>
      </c>
      <c r="G34" s="372">
        <f t="shared" si="11"/>
        <v>94382</v>
      </c>
      <c r="H34" s="373"/>
      <c r="I34" s="372">
        <f t="shared" si="12"/>
        <v>38912.5</v>
      </c>
      <c r="J34" s="372">
        <f t="shared" si="13"/>
        <v>72666</v>
      </c>
      <c r="K34" s="372">
        <f t="shared" si="14"/>
        <v>111578.5</v>
      </c>
      <c r="L34" s="374"/>
      <c r="M34" s="375">
        <f t="shared" si="15"/>
        <v>17196.5</v>
      </c>
      <c r="N34" s="376">
        <f t="shared" si="16"/>
        <v>0.18220105528596556</v>
      </c>
      <c r="O34" s="377"/>
      <c r="P34" s="322"/>
      <c r="Q34" s="322"/>
      <c r="R34" s="322"/>
      <c r="S34" s="377"/>
      <c r="T34" s="378"/>
      <c r="U34" s="377"/>
      <c r="V34" s="325"/>
      <c r="W34" s="322"/>
      <c r="X34" s="322"/>
      <c r="Y34" s="377"/>
      <c r="Z34" s="374"/>
    </row>
    <row r="35" spans="1:26" ht="14" x14ac:dyDescent="0.3">
      <c r="A35" s="151">
        <f>IF(C35&lt;&gt;"",COUNTA($C$12:C35),"")</f>
        <v>23</v>
      </c>
      <c r="B35" s="151" t="s">
        <v>554</v>
      </c>
      <c r="C35" s="409">
        <v>319</v>
      </c>
      <c r="D35" s="409">
        <f t="shared" si="17"/>
        <v>143550</v>
      </c>
      <c r="E35" s="372">
        <f t="shared" si="9"/>
        <v>12608.98</v>
      </c>
      <c r="F35" s="372">
        <f t="shared" si="10"/>
        <v>17607.84</v>
      </c>
      <c r="G35" s="372">
        <f t="shared" si="11"/>
        <v>30216.82</v>
      </c>
      <c r="H35" s="373"/>
      <c r="I35" s="372">
        <f t="shared" si="12"/>
        <v>12522.05</v>
      </c>
      <c r="J35" s="372">
        <f t="shared" si="13"/>
        <v>23180.45</v>
      </c>
      <c r="K35" s="372">
        <f t="shared" si="14"/>
        <v>35702.5</v>
      </c>
      <c r="L35" s="374"/>
      <c r="M35" s="375">
        <f t="shared" si="15"/>
        <v>5485.68</v>
      </c>
      <c r="N35" s="376">
        <f t="shared" si="16"/>
        <v>0.18154392156421492</v>
      </c>
      <c r="O35" s="377"/>
      <c r="P35" s="322"/>
      <c r="Q35" s="322"/>
      <c r="R35" s="322"/>
      <c r="S35" s="377"/>
      <c r="T35" s="378"/>
      <c r="U35" s="377"/>
      <c r="V35" s="325"/>
      <c r="W35" s="322"/>
      <c r="X35" s="322"/>
      <c r="Y35" s="377"/>
      <c r="Z35" s="374"/>
    </row>
    <row r="36" spans="1:26" ht="14" x14ac:dyDescent="0.3">
      <c r="A36" s="151" t="str">
        <f>IF(C36&lt;&gt;"",COUNTA($C$12:C36),"")</f>
        <v/>
      </c>
      <c r="B36" s="151"/>
      <c r="C36" s="293"/>
      <c r="D36" s="449"/>
      <c r="E36" s="372"/>
      <c r="F36" s="372"/>
      <c r="G36" s="372"/>
      <c r="H36" s="373"/>
      <c r="I36" s="374"/>
      <c r="J36" s="374"/>
      <c r="K36" s="374"/>
      <c r="L36" s="374"/>
      <c r="M36" s="374"/>
    </row>
    <row r="37" spans="1:26" ht="14" x14ac:dyDescent="0.3">
      <c r="A37" s="151" t="str">
        <f>IF(C37&lt;&gt;"",COUNTA($C$12:C37),"")</f>
        <v/>
      </c>
      <c r="B37" s="151"/>
      <c r="C37" s="293"/>
      <c r="D37" s="293"/>
      <c r="E37" s="448"/>
      <c r="F37" s="448"/>
      <c r="G37" s="372"/>
      <c r="H37" s="373"/>
      <c r="I37" s="374"/>
      <c r="J37" s="374"/>
      <c r="K37" s="374"/>
      <c r="L37" s="374"/>
      <c r="M37" s="374"/>
    </row>
    <row r="38" spans="1:26" ht="14" x14ac:dyDescent="0.3">
      <c r="A38" s="151">
        <f>IF(C38&lt;&gt;"",COUNTA($C$12:C38),"")</f>
        <v>24</v>
      </c>
      <c r="B38" s="151"/>
      <c r="C38" s="293" t="s">
        <v>46</v>
      </c>
      <c r="D38" s="293"/>
      <c r="E38" s="448"/>
      <c r="F38" s="374"/>
      <c r="G38" s="480" t="str">
        <f>'Bill_Bos T2 p1'!G38</f>
        <v>Current</v>
      </c>
      <c r="H38" s="374"/>
      <c r="I38" s="480" t="str">
        <f>'Bill_Bos T2 p1'!I38</f>
        <v>Proposed</v>
      </c>
      <c r="J38" s="481"/>
      <c r="K38" s="374"/>
      <c r="L38" s="374"/>
      <c r="M38" s="374"/>
    </row>
    <row r="39" spans="1:26" ht="17" x14ac:dyDescent="0.6">
      <c r="A39" s="151">
        <f>IF(C39&lt;&gt;"",COUNTA($C$12:C39),"")</f>
        <v>25</v>
      </c>
      <c r="B39" s="151"/>
      <c r="C39" s="274" t="s">
        <v>46</v>
      </c>
      <c r="D39" s="274"/>
      <c r="E39" s="448"/>
      <c r="F39" s="374"/>
      <c r="G39" s="482" t="str">
        <f>'Bill_Bos T2 p1'!G39</f>
        <v>Rates</v>
      </c>
      <c r="H39" s="374"/>
      <c r="I39" s="482" t="str">
        <f>'Bill_Bos T2 p1'!I39</f>
        <v>Rates</v>
      </c>
      <c r="J39" s="482" t="str">
        <f>'Bill_Bos T2 p1'!J39</f>
        <v>Change</v>
      </c>
      <c r="K39" s="374"/>
      <c r="L39" s="374"/>
      <c r="M39" s="374"/>
    </row>
    <row r="40" spans="1:26" ht="14" x14ac:dyDescent="0.3">
      <c r="A40" s="151">
        <f>IF(C40&lt;&gt;"",COUNTA($C$12:C40),"")</f>
        <v>26</v>
      </c>
      <c r="B40" s="151"/>
      <c r="C40" s="293" t="s">
        <v>411</v>
      </c>
      <c r="D40" s="293"/>
      <c r="E40" s="483"/>
      <c r="F40" s="374"/>
      <c r="G40" s="454">
        <v>27</v>
      </c>
      <c r="H40" s="455" t="s">
        <v>46</v>
      </c>
      <c r="I40" s="454">
        <f>+G40</f>
        <v>27</v>
      </c>
      <c r="J40" s="421">
        <f>I40-G40</f>
        <v>0</v>
      </c>
      <c r="K40" s="374"/>
      <c r="L40" s="374"/>
      <c r="M40" s="374"/>
      <c r="P40" s="232"/>
      <c r="Q40" s="233"/>
      <c r="R40" s="422"/>
      <c r="S40" s="422"/>
    </row>
    <row r="41" spans="1:26" ht="14" x14ac:dyDescent="0.3">
      <c r="A41" s="151">
        <f>IF(C41&lt;&gt;"",COUNTA($C$12:C41),"")</f>
        <v>27</v>
      </c>
      <c r="B41" s="151"/>
      <c r="C41" s="293" t="s">
        <v>413</v>
      </c>
      <c r="D41" s="293"/>
      <c r="E41" s="483"/>
      <c r="F41" s="374"/>
      <c r="G41" s="454">
        <v>110</v>
      </c>
      <c r="H41" s="455"/>
      <c r="I41" s="454">
        <f t="shared" ref="I41:I43" si="18">+G41</f>
        <v>110</v>
      </c>
      <c r="J41" s="421">
        <f t="shared" ref="J41:J66" si="19">I41-G41</f>
        <v>0</v>
      </c>
      <c r="K41" s="374"/>
      <c r="L41" s="374"/>
      <c r="M41" s="374"/>
      <c r="P41" s="232"/>
      <c r="Q41" s="233"/>
      <c r="R41" s="422"/>
      <c r="S41" s="422"/>
    </row>
    <row r="42" spans="1:26" ht="14" x14ac:dyDescent="0.3">
      <c r="A42" s="151">
        <f>IF(C42&lt;&gt;"",COUNTA($C$12:C42),"")</f>
        <v>28</v>
      </c>
      <c r="B42" s="151"/>
      <c r="C42" s="293" t="s">
        <v>415</v>
      </c>
      <c r="D42" s="293"/>
      <c r="E42" s="483"/>
      <c r="F42" s="374"/>
      <c r="G42" s="454">
        <v>160</v>
      </c>
      <c r="H42" s="455"/>
      <c r="I42" s="454">
        <f t="shared" si="18"/>
        <v>160</v>
      </c>
      <c r="J42" s="421">
        <f t="shared" si="19"/>
        <v>0</v>
      </c>
      <c r="K42" s="374"/>
      <c r="L42" s="374"/>
      <c r="M42" s="374"/>
      <c r="P42" s="232"/>
      <c r="Q42" s="233"/>
      <c r="R42" s="422"/>
      <c r="S42" s="422"/>
    </row>
    <row r="43" spans="1:26" ht="14" x14ac:dyDescent="0.3">
      <c r="A43" s="151">
        <f>IF(C43&lt;&gt;"",COUNTA($C$12:C43),"")</f>
        <v>29</v>
      </c>
      <c r="B43" s="151"/>
      <c r="C43" s="293" t="s">
        <v>417</v>
      </c>
      <c r="D43" s="293"/>
      <c r="E43" s="483"/>
      <c r="F43" s="374"/>
      <c r="G43" s="454">
        <v>360</v>
      </c>
      <c r="H43" s="455"/>
      <c r="I43" s="454">
        <f t="shared" si="18"/>
        <v>360</v>
      </c>
      <c r="J43" s="421">
        <f t="shared" si="19"/>
        <v>0</v>
      </c>
      <c r="K43" s="374"/>
      <c r="L43" s="374"/>
      <c r="M43" s="374"/>
      <c r="P43" s="232"/>
      <c r="Q43" s="233"/>
      <c r="R43" s="422"/>
      <c r="S43" s="422"/>
    </row>
    <row r="44" spans="1:26" ht="14" x14ac:dyDescent="0.3">
      <c r="A44" s="151">
        <f>IF(C44&lt;&gt;"",COUNTA($C$12:C44),"")</f>
        <v>30</v>
      </c>
      <c r="B44" s="151"/>
      <c r="C44" s="293" t="s">
        <v>404</v>
      </c>
      <c r="D44" s="293"/>
      <c r="E44" s="483"/>
      <c r="F44" s="374"/>
      <c r="G44" s="454">
        <v>11.08</v>
      </c>
      <c r="H44" s="455"/>
      <c r="I44" s="454">
        <v>11.46</v>
      </c>
      <c r="J44" s="421">
        <f t="shared" si="19"/>
        <v>0.38000000000000078</v>
      </c>
      <c r="K44" s="374"/>
      <c r="L44" s="374"/>
      <c r="M44" s="374"/>
      <c r="P44" s="232"/>
      <c r="Q44" s="233"/>
      <c r="R44" s="422"/>
      <c r="S44" s="422"/>
    </row>
    <row r="45" spans="1:26" ht="14" x14ac:dyDescent="0.3">
      <c r="A45" s="151">
        <f>IF(C45&lt;&gt;"",COUNTA($C$12:C45),"")</f>
        <v>31</v>
      </c>
      <c r="B45" s="151"/>
      <c r="C45" s="293" t="s">
        <v>406</v>
      </c>
      <c r="D45" s="293"/>
      <c r="E45" s="483"/>
      <c r="F45" s="374"/>
      <c r="G45" s="454">
        <v>19.45</v>
      </c>
      <c r="H45" s="455"/>
      <c r="I45" s="454">
        <v>20.11</v>
      </c>
      <c r="J45" s="421">
        <f t="shared" si="19"/>
        <v>0.66000000000000014</v>
      </c>
      <c r="K45" s="374"/>
      <c r="L45" s="374"/>
      <c r="M45" s="374"/>
      <c r="P45" s="232"/>
      <c r="Q45" s="233"/>
      <c r="R45" s="422"/>
      <c r="S45" s="422"/>
    </row>
    <row r="46" spans="1:26" ht="14" x14ac:dyDescent="0.3">
      <c r="A46" s="151">
        <f>IF(C46&lt;&gt;"",COUNTA($C$12:C46),"")</f>
        <v>32</v>
      </c>
      <c r="B46" s="151"/>
      <c r="C46" s="293" t="str">
        <f>'Bill_Bos T2 p1'!C46</f>
        <v>Transmission Demand</v>
      </c>
      <c r="D46" s="293"/>
      <c r="E46" s="483"/>
      <c r="F46" s="374"/>
      <c r="G46" s="454">
        <v>9</v>
      </c>
      <c r="H46" s="448"/>
      <c r="I46" s="454">
        <v>7.73</v>
      </c>
      <c r="J46" s="421">
        <f>I46-G46</f>
        <v>-1.2699999999999996</v>
      </c>
      <c r="K46" s="374"/>
      <c r="L46" s="374"/>
      <c r="M46" s="374"/>
      <c r="P46" s="232"/>
      <c r="Q46" s="233"/>
      <c r="R46" s="426"/>
      <c r="S46" s="426"/>
    </row>
    <row r="47" spans="1:26" ht="14" x14ac:dyDescent="0.3">
      <c r="A47" s="151">
        <f>IF(C47&lt;&gt;"",COUNTA($C$12:C47),"")</f>
        <v>33</v>
      </c>
      <c r="B47" s="151"/>
      <c r="C47" s="293" t="s">
        <v>298</v>
      </c>
      <c r="D47" s="293"/>
      <c r="E47" s="483"/>
      <c r="F47" s="374"/>
      <c r="G47" s="308">
        <v>0</v>
      </c>
      <c r="H47" s="484"/>
      <c r="I47" s="308">
        <v>0</v>
      </c>
      <c r="J47" s="354">
        <f t="shared" si="19"/>
        <v>0</v>
      </c>
      <c r="K47" s="374"/>
      <c r="L47" s="374"/>
      <c r="M47" s="374"/>
      <c r="P47" s="232"/>
      <c r="Q47" s="233"/>
      <c r="R47" s="424"/>
      <c r="S47" s="424"/>
    </row>
    <row r="48" spans="1:26" ht="14" x14ac:dyDescent="0.3">
      <c r="A48" s="151">
        <f>IF(C48&lt;&gt;"",COUNTA($C$12:C48),"")</f>
        <v>34</v>
      </c>
      <c r="B48" s="151"/>
      <c r="C48" s="293" t="str">
        <f>'Bill_Bos T2 p1'!C48</f>
        <v>Revenue Decoupling</v>
      </c>
      <c r="D48" s="293"/>
      <c r="E48" s="483"/>
      <c r="F48" s="374"/>
      <c r="G48" s="308">
        <v>0</v>
      </c>
      <c r="H48" s="277"/>
      <c r="I48" s="277">
        <v>-4.0999999999999999E-4</v>
      </c>
      <c r="J48" s="354">
        <f t="shared" si="19"/>
        <v>-4.0999999999999999E-4</v>
      </c>
      <c r="K48" s="374"/>
      <c r="L48" s="374"/>
      <c r="M48" s="374"/>
      <c r="P48" s="232"/>
      <c r="Q48" s="233"/>
      <c r="R48" s="422"/>
      <c r="S48" s="423"/>
    </row>
    <row r="49" spans="1:19" ht="14" x14ac:dyDescent="0.3">
      <c r="A49" s="151">
        <f>IF(C49&lt;&gt;"",COUNTA($C$12:C49),"")</f>
        <v>35</v>
      </c>
      <c r="B49" s="151"/>
      <c r="C49" s="293" t="str">
        <f>'Bill_Bos T2 p1'!C49</f>
        <v>Residential Assistance Adjustment Factor</v>
      </c>
      <c r="D49" s="293"/>
      <c r="E49" s="483"/>
      <c r="F49" s="374"/>
      <c r="G49" s="277">
        <v>2.5000000000000001E-3</v>
      </c>
      <c r="H49" s="277"/>
      <c r="I49" s="277">
        <v>3.46E-3</v>
      </c>
      <c r="J49" s="354">
        <f t="shared" si="19"/>
        <v>9.5999999999999992E-4</v>
      </c>
      <c r="K49" s="374"/>
      <c r="L49" s="374"/>
      <c r="M49" s="374"/>
      <c r="P49" s="232"/>
      <c r="Q49" s="233"/>
      <c r="R49" s="422"/>
      <c r="S49" s="423"/>
    </row>
    <row r="50" spans="1:19" ht="14" x14ac:dyDescent="0.3">
      <c r="A50" s="151">
        <f>IF(C50&lt;&gt;"",COUNTA($C$12:C50),"")</f>
        <v>36</v>
      </c>
      <c r="B50" s="151"/>
      <c r="C50" s="293" t="str">
        <f>'Bill_Bos T2 p1'!C50</f>
        <v>Pension Adjustment Factor</v>
      </c>
      <c r="D50" s="293"/>
      <c r="E50" s="483"/>
      <c r="F50" s="374"/>
      <c r="G50" s="277">
        <v>-5.0000000000000002E-5</v>
      </c>
      <c r="H50" s="277"/>
      <c r="I50" s="277">
        <v>4.6999999999999999E-4</v>
      </c>
      <c r="J50" s="354">
        <f t="shared" si="19"/>
        <v>5.1999999999999995E-4</v>
      </c>
      <c r="K50" s="374"/>
      <c r="L50" s="374"/>
      <c r="M50" s="374"/>
      <c r="P50" s="232"/>
      <c r="Q50" s="233"/>
      <c r="R50" s="426"/>
      <c r="S50" s="426"/>
    </row>
    <row r="51" spans="1:19" ht="14" x14ac:dyDescent="0.3">
      <c r="A51" s="151">
        <f>IF(C51&lt;&gt;"",COUNTA($C$12:C51),"")</f>
        <v>37</v>
      </c>
      <c r="B51" s="151"/>
      <c r="C51" s="293" t="str">
        <f>'Bill_Bos T2 p1'!C51</f>
        <v>Net Metering Recovery Surcharge</v>
      </c>
      <c r="D51" s="293"/>
      <c r="E51" s="483"/>
      <c r="F51" s="374"/>
      <c r="G51" s="277">
        <v>4.9300000000000004E-3</v>
      </c>
      <c r="H51" s="277"/>
      <c r="I51" s="277">
        <v>4.5100000000000001E-3</v>
      </c>
      <c r="J51" s="354">
        <f t="shared" si="19"/>
        <v>-4.2000000000000023E-4</v>
      </c>
      <c r="K51" s="374"/>
      <c r="L51" s="374"/>
      <c r="M51" s="374"/>
      <c r="P51" s="232"/>
      <c r="Q51" s="233"/>
      <c r="R51" s="426"/>
      <c r="S51" s="426"/>
    </row>
    <row r="52" spans="1:19" ht="14" x14ac:dyDescent="0.3">
      <c r="A52" s="151">
        <f>IF(C52&lt;&gt;"",COUNTA($C$12:C52),"")</f>
        <v>38</v>
      </c>
      <c r="B52" s="151"/>
      <c r="C52" s="293" t="str">
        <f>'Bill_Bos T2 p1'!C52</f>
        <v>Long Term Renewable Contract Adjustment</v>
      </c>
      <c r="D52" s="293"/>
      <c r="E52" s="483"/>
      <c r="F52" s="374"/>
      <c r="G52" s="277">
        <v>2.3600000000000001E-3</v>
      </c>
      <c r="H52" s="277"/>
      <c r="I52" s="277">
        <v>1.74E-3</v>
      </c>
      <c r="J52" s="354">
        <f t="shared" si="19"/>
        <v>-6.2000000000000011E-4</v>
      </c>
      <c r="K52" s="374"/>
      <c r="L52" s="374"/>
      <c r="M52" s="374"/>
      <c r="P52" s="232"/>
      <c r="Q52" s="233"/>
      <c r="R52" s="426"/>
      <c r="S52" s="426"/>
    </row>
    <row r="53" spans="1:19" ht="14" x14ac:dyDescent="0.3">
      <c r="A53" s="151">
        <f>IF(C53&lt;&gt;"",COUNTA($C$12:C53),"")</f>
        <v>39</v>
      </c>
      <c r="B53" s="151"/>
      <c r="C53" s="293" t="str">
        <f>'Bill_Bos T2 p1'!C53</f>
        <v>AG Consulting Expense</v>
      </c>
      <c r="D53" s="293"/>
      <c r="E53" s="483"/>
      <c r="F53" s="374"/>
      <c r="G53" s="277">
        <v>3.0000000000000001E-5</v>
      </c>
      <c r="H53" s="277"/>
      <c r="I53" s="277">
        <v>1.0000000000000001E-5</v>
      </c>
      <c r="J53" s="354">
        <f t="shared" si="19"/>
        <v>-1.9999999999999998E-5</v>
      </c>
      <c r="K53" s="374"/>
      <c r="L53" s="374"/>
      <c r="M53" s="374"/>
      <c r="P53" s="232"/>
      <c r="Q53" s="233"/>
      <c r="R53" s="426"/>
      <c r="S53" s="426"/>
    </row>
    <row r="54" spans="1:19" ht="14" x14ac:dyDescent="0.3">
      <c r="A54" s="151">
        <f>IF(C54&lt;&gt;"",COUNTA($C$12:C54),"")</f>
        <v>40</v>
      </c>
      <c r="B54" s="151"/>
      <c r="C54" s="293" t="str">
        <f>'Bill_Bos T2 p1'!C54</f>
        <v>Storm Cost Recovery Adjustment Factor</v>
      </c>
      <c r="D54" s="293"/>
      <c r="E54" s="483"/>
      <c r="F54" s="374"/>
      <c r="G54" s="277">
        <v>1.5399999999999999E-3</v>
      </c>
      <c r="H54" s="277"/>
      <c r="I54" s="277">
        <v>2.6199999999999999E-3</v>
      </c>
      <c r="J54" s="354">
        <f t="shared" si="19"/>
        <v>1.08E-3</v>
      </c>
      <c r="K54" s="374"/>
      <c r="L54" s="374"/>
      <c r="M54" s="374"/>
      <c r="P54" s="232"/>
      <c r="Q54" s="233"/>
      <c r="R54" s="426"/>
      <c r="S54" s="426"/>
    </row>
    <row r="55" spans="1:19" ht="14" x14ac:dyDescent="0.3">
      <c r="A55" s="151">
        <f>IF(C55&lt;&gt;"",COUNTA($C$12:C55),"")</f>
        <v>41</v>
      </c>
      <c r="B55" s="151"/>
      <c r="C55" s="293" t="str">
        <f>'Bill_Bos T2 p1'!C55</f>
        <v>Storm Reserve Adjustment</v>
      </c>
      <c r="D55" s="293"/>
      <c r="E55" s="483"/>
      <c r="F55" s="374"/>
      <c r="G55" s="277">
        <v>0</v>
      </c>
      <c r="H55" s="277"/>
      <c r="I55" s="277">
        <v>0</v>
      </c>
      <c r="J55" s="354">
        <f t="shared" si="19"/>
        <v>0</v>
      </c>
      <c r="K55" s="374"/>
      <c r="L55" s="374"/>
      <c r="M55" s="374"/>
      <c r="P55" s="232"/>
      <c r="Q55" s="233"/>
      <c r="R55" s="426"/>
      <c r="S55" s="426"/>
    </row>
    <row r="56" spans="1:19" ht="14" x14ac:dyDescent="0.3">
      <c r="A56" s="151">
        <f>IF(C56&lt;&gt;"",COUNTA($C$12:C56),"")</f>
        <v>42</v>
      </c>
      <c r="B56" s="151"/>
      <c r="C56" s="293" t="str">
        <f>'Bill_Bos T2 p1'!C56</f>
        <v>Basic Service Cost True Up Factor</v>
      </c>
      <c r="D56" s="293"/>
      <c r="E56" s="483"/>
      <c r="F56" s="374"/>
      <c r="G56" s="277">
        <v>1.34E-3</v>
      </c>
      <c r="H56" s="277"/>
      <c r="I56" s="277">
        <v>-1.7000000000000001E-4</v>
      </c>
      <c r="J56" s="354">
        <f t="shared" si="19"/>
        <v>-1.5100000000000001E-3</v>
      </c>
      <c r="K56" s="374"/>
      <c r="L56" s="374"/>
      <c r="M56" s="374"/>
      <c r="P56" s="232"/>
      <c r="Q56" s="233"/>
      <c r="R56" s="426"/>
      <c r="S56" s="426"/>
    </row>
    <row r="57" spans="1:19" ht="14" x14ac:dyDescent="0.3">
      <c r="A57" s="151">
        <f>IF(C57&lt;&gt;"",COUNTA($C$12:C57),"")</f>
        <v>43</v>
      </c>
      <c r="B57" s="151"/>
      <c r="C57" s="293" t="str">
        <f>'Bill_Bos T2 p1'!C57</f>
        <v>Solar Program Cost Adjustment Factor</v>
      </c>
      <c r="D57" s="293"/>
      <c r="E57" s="483"/>
      <c r="F57" s="374"/>
      <c r="G57" s="277">
        <v>0</v>
      </c>
      <c r="H57" s="277"/>
      <c r="I57" s="277">
        <v>3.0000000000000001E-5</v>
      </c>
      <c r="J57" s="354">
        <f t="shared" si="19"/>
        <v>3.0000000000000001E-5</v>
      </c>
      <c r="K57" s="374"/>
      <c r="L57" s="374"/>
      <c r="M57" s="374"/>
      <c r="P57" s="232"/>
      <c r="Q57" s="233"/>
      <c r="R57" s="426"/>
      <c r="S57" s="426"/>
    </row>
    <row r="58" spans="1:19" ht="14" x14ac:dyDescent="0.3">
      <c r="A58" s="151">
        <f>IF(C58&lt;&gt;"",COUNTA($C$12:C58),"")</f>
        <v>44</v>
      </c>
      <c r="B58" s="151"/>
      <c r="C58" s="293" t="str">
        <f>'Bill_Bos T2 p1'!C58</f>
        <v>Solar Expansion Cost Recovery Factor</v>
      </c>
      <c r="D58" s="293"/>
      <c r="E58" s="483"/>
      <c r="F58" s="374"/>
      <c r="G58" s="277">
        <v>0</v>
      </c>
      <c r="H58" s="277"/>
      <c r="I58" s="277">
        <v>5.4000000000000001E-4</v>
      </c>
      <c r="J58" s="354">
        <f t="shared" si="19"/>
        <v>5.4000000000000001E-4</v>
      </c>
      <c r="K58" s="374"/>
      <c r="L58" s="374"/>
      <c r="M58" s="374"/>
      <c r="P58" s="232"/>
      <c r="Q58" s="233"/>
      <c r="R58" s="426"/>
      <c r="S58" s="426"/>
    </row>
    <row r="59" spans="1:19" ht="14" x14ac:dyDescent="0.3">
      <c r="A59" s="151">
        <f>IF(C59&lt;&gt;"",COUNTA($C$12:C59),"")</f>
        <v>45</v>
      </c>
      <c r="B59" s="151"/>
      <c r="C59" s="293" t="str">
        <f>'Bill_Bos T2 p1'!C59</f>
        <v>Vegetation Management</v>
      </c>
      <c r="D59" s="293"/>
      <c r="E59" s="483"/>
      <c r="F59" s="374"/>
      <c r="G59" s="277">
        <v>0</v>
      </c>
      <c r="H59" s="277"/>
      <c r="I59" s="277">
        <v>8.3000000000000001E-4</v>
      </c>
      <c r="J59" s="354">
        <f t="shared" si="19"/>
        <v>8.3000000000000001E-4</v>
      </c>
      <c r="K59" s="374"/>
      <c r="L59" s="374"/>
      <c r="M59" s="374"/>
      <c r="P59" s="232"/>
      <c r="Q59" s="233"/>
      <c r="R59" s="426"/>
      <c r="S59" s="426"/>
    </row>
    <row r="60" spans="1:19" ht="14" x14ac:dyDescent="0.3">
      <c r="A60" s="151">
        <f>IF(C60&lt;&gt;"",COUNTA($C$12:C60),"")</f>
        <v>46</v>
      </c>
      <c r="B60" s="151"/>
      <c r="C60" s="293" t="str">
        <f>'Bill_Bos T2 p1'!C60</f>
        <v>Solar Massachusetts Renewable Target</v>
      </c>
      <c r="D60" s="339"/>
      <c r="E60" s="339"/>
      <c r="F60" s="277"/>
      <c r="G60" s="277">
        <v>0</v>
      </c>
      <c r="H60" s="277"/>
      <c r="I60" s="277">
        <v>6.3000000000000003E-4</v>
      </c>
      <c r="J60" s="354">
        <f t="shared" si="19"/>
        <v>6.3000000000000003E-4</v>
      </c>
      <c r="K60" s="339"/>
      <c r="L60" s="339"/>
      <c r="P60" s="232"/>
      <c r="Q60" s="233"/>
      <c r="R60" s="426"/>
      <c r="S60" s="426"/>
    </row>
    <row r="61" spans="1:19" ht="14" x14ac:dyDescent="0.3">
      <c r="A61" s="151">
        <f>IF(C61&lt;&gt;"",COUNTA($C$12:C61),"")</f>
        <v>47</v>
      </c>
      <c r="B61" s="151"/>
      <c r="C61" s="293" t="str">
        <f>'Bill_Bos T2 p1'!C61</f>
        <v>Tax Act Credit Factor</v>
      </c>
      <c r="D61" s="339"/>
      <c r="E61" s="339"/>
      <c r="F61" s="277"/>
      <c r="G61" s="277">
        <v>0</v>
      </c>
      <c r="H61" s="277"/>
      <c r="I61" s="277">
        <v>-9.5E-4</v>
      </c>
      <c r="J61" s="354">
        <f t="shared" si="19"/>
        <v>-9.5E-4</v>
      </c>
      <c r="K61" s="339"/>
      <c r="L61" s="339"/>
      <c r="P61" s="232"/>
      <c r="Q61" s="233"/>
      <c r="R61" s="426"/>
      <c r="S61" s="426"/>
    </row>
    <row r="62" spans="1:19" ht="14" x14ac:dyDescent="0.3">
      <c r="A62" s="151">
        <f>IF(C62&lt;&gt;"",COUNTA($C$12:C62),"")</f>
        <v>48</v>
      </c>
      <c r="B62" s="151"/>
      <c r="C62" s="293" t="str">
        <f>'Bill_Bos T2 p1'!C62</f>
        <v>Transition</v>
      </c>
      <c r="D62" s="293"/>
      <c r="E62" s="483"/>
      <c r="F62" s="374"/>
      <c r="G62" s="308">
        <v>-6.0999999999999997E-4</v>
      </c>
      <c r="H62" s="277"/>
      <c r="I62" s="277">
        <v>-5.1999999999999995E-4</v>
      </c>
      <c r="J62" s="354">
        <f t="shared" si="19"/>
        <v>9.0000000000000019E-5</v>
      </c>
      <c r="K62" s="374"/>
      <c r="L62" s="374"/>
      <c r="M62" s="374"/>
      <c r="P62" s="232"/>
      <c r="Q62" s="233"/>
      <c r="R62" s="426"/>
      <c r="S62" s="426"/>
    </row>
    <row r="63" spans="1:19" ht="14" x14ac:dyDescent="0.3">
      <c r="A63" s="151">
        <f>IF(C63&lt;&gt;"",COUNTA($C$12:C63),"")</f>
        <v>49</v>
      </c>
      <c r="B63" s="151"/>
      <c r="C63" s="293" t="str">
        <f>'Bill_Bos T2 p1'!C63</f>
        <v>Energy Efficiency Reconciliation Factor</v>
      </c>
      <c r="D63" s="293"/>
      <c r="E63" s="483"/>
      <c r="F63" s="374"/>
      <c r="G63" s="308">
        <v>8.4600000000000005E-3</v>
      </c>
      <c r="H63" s="400"/>
      <c r="I63" s="308">
        <v>8.4600000000000005E-3</v>
      </c>
      <c r="J63" s="354">
        <f t="shared" si="19"/>
        <v>0</v>
      </c>
      <c r="K63" s="374"/>
      <c r="L63" s="374"/>
      <c r="M63" s="374"/>
      <c r="P63" s="232"/>
      <c r="Q63" s="233"/>
      <c r="R63" s="423"/>
      <c r="S63" s="423"/>
    </row>
    <row r="64" spans="1:19" ht="14" x14ac:dyDescent="0.3">
      <c r="A64" s="151">
        <f>IF(C64&lt;&gt;"",COUNTA($C$12:C64),"")</f>
        <v>50</v>
      </c>
      <c r="B64" s="151"/>
      <c r="C64" s="293" t="str">
        <f>'Bill_Bos T2 p1'!C64</f>
        <v>System Benefits Charge</v>
      </c>
      <c r="D64" s="293"/>
      <c r="E64" s="483"/>
      <c r="F64" s="374"/>
      <c r="G64" s="308">
        <v>2.5000000000000001E-3</v>
      </c>
      <c r="H64" s="400"/>
      <c r="I64" s="308">
        <f>+G64</f>
        <v>2.5000000000000001E-3</v>
      </c>
      <c r="J64" s="354">
        <f t="shared" si="19"/>
        <v>0</v>
      </c>
      <c r="K64" s="374"/>
      <c r="L64" s="374"/>
      <c r="M64" s="374"/>
      <c r="P64" s="232"/>
      <c r="Q64" s="233"/>
      <c r="R64" s="426"/>
      <c r="S64" s="426"/>
    </row>
    <row r="65" spans="1:19" ht="14" x14ac:dyDescent="0.3">
      <c r="A65" s="151">
        <f>IF(C65&lt;&gt;"",COUNTA($C$12:C65),"")</f>
        <v>51</v>
      </c>
      <c r="B65" s="151"/>
      <c r="C65" s="293" t="str">
        <f>'Bill_Bos T2 p1'!C65</f>
        <v>Renewable Energy Charge</v>
      </c>
      <c r="D65" s="293"/>
      <c r="E65" s="483"/>
      <c r="F65" s="374"/>
      <c r="G65" s="308">
        <v>5.0000000000000001E-4</v>
      </c>
      <c r="H65" s="400"/>
      <c r="I65" s="308">
        <f>+G65</f>
        <v>5.0000000000000001E-4</v>
      </c>
      <c r="J65" s="354">
        <f t="shared" si="19"/>
        <v>0</v>
      </c>
      <c r="K65" s="374"/>
      <c r="L65" s="374"/>
      <c r="M65" s="374"/>
      <c r="P65" s="232"/>
      <c r="Q65" s="233"/>
      <c r="R65" s="426"/>
      <c r="S65" s="426"/>
    </row>
    <row r="66" spans="1:19" ht="14" x14ac:dyDescent="0.3">
      <c r="A66" s="151">
        <f>IF(C66&lt;&gt;"",COUNTA($C$12:C66),"")</f>
        <v>52</v>
      </c>
      <c r="B66" s="151"/>
      <c r="C66" s="293" t="str">
        <f>'Bill_Bos T2 p1'!C66</f>
        <v>Basic Service Charge</v>
      </c>
      <c r="D66" s="293"/>
      <c r="E66" s="483"/>
      <c r="F66" s="374"/>
      <c r="G66" s="308">
        <v>0.12265999999999999</v>
      </c>
      <c r="H66" s="400"/>
      <c r="I66" s="308">
        <v>0.16148000000000001</v>
      </c>
      <c r="J66" s="354">
        <f t="shared" si="19"/>
        <v>3.8820000000000021E-2</v>
      </c>
      <c r="K66" s="374"/>
      <c r="L66" s="374"/>
      <c r="M66" s="374"/>
      <c r="P66" s="232"/>
      <c r="Q66" s="233"/>
      <c r="R66" s="426"/>
      <c r="S66" s="426"/>
    </row>
    <row r="67" spans="1:19" ht="14" x14ac:dyDescent="0.3">
      <c r="A67" s="151"/>
      <c r="B67" s="151"/>
      <c r="E67" s="374"/>
      <c r="F67" s="374"/>
      <c r="G67" s="374"/>
      <c r="H67" s="374"/>
      <c r="I67" s="374"/>
      <c r="J67" s="374"/>
      <c r="K67" s="374"/>
      <c r="L67" s="374"/>
      <c r="M67" s="374"/>
      <c r="P67" s="232"/>
      <c r="Q67" s="233"/>
      <c r="R67" s="426"/>
      <c r="S67" s="426"/>
    </row>
    <row r="68" spans="1:19" ht="14" x14ac:dyDescent="0.3">
      <c r="A68" s="151"/>
      <c r="B68" s="151"/>
      <c r="E68" s="374"/>
      <c r="F68" s="374"/>
      <c r="G68" s="374"/>
      <c r="H68" s="374"/>
      <c r="I68" s="374"/>
      <c r="J68" s="374"/>
      <c r="K68" s="374"/>
      <c r="L68" s="374"/>
      <c r="M68" s="374"/>
      <c r="P68" s="232"/>
      <c r="Q68" s="233"/>
      <c r="R68" s="426"/>
      <c r="S68" s="426"/>
    </row>
    <row r="69" spans="1:19" ht="14" x14ac:dyDescent="0.3">
      <c r="C69" s="369" t="str">
        <f>'Bill_Bos G3 p1'!C67</f>
        <v>Total Demand - Winter</v>
      </c>
      <c r="E69" s="374"/>
      <c r="F69" s="374"/>
      <c r="G69" s="374">
        <f>G44+G46</f>
        <v>20.079999999999998</v>
      </c>
      <c r="H69" s="374"/>
      <c r="I69" s="374">
        <f>I44+I46</f>
        <v>19.190000000000001</v>
      </c>
      <c r="J69" s="421">
        <f t="shared" ref="J69:J72" si="20">I69-G69</f>
        <v>-0.88999999999999702</v>
      </c>
      <c r="K69" s="374"/>
      <c r="L69" s="374"/>
      <c r="M69" s="374"/>
    </row>
    <row r="70" spans="1:19" ht="14" x14ac:dyDescent="0.3">
      <c r="C70" s="369" t="str">
        <f>'Bill_Bos G3 p1'!C68</f>
        <v>Total Demand - Summer</v>
      </c>
      <c r="E70" s="374"/>
      <c r="F70" s="374"/>
      <c r="G70" s="374">
        <f>+G45+G46</f>
        <v>28.45</v>
      </c>
      <c r="H70" s="374"/>
      <c r="I70" s="374">
        <f>+I45+I46</f>
        <v>27.84</v>
      </c>
      <c r="J70" s="421">
        <f t="shared" si="20"/>
        <v>-0.60999999999999943</v>
      </c>
      <c r="K70" s="374"/>
      <c r="L70" s="374"/>
      <c r="M70" s="374"/>
    </row>
    <row r="71" spans="1:19" ht="14" x14ac:dyDescent="0.3">
      <c r="C71" s="369" t="str">
        <f>'Bill_Bos G3 p1'!C69</f>
        <v>Total Energy</v>
      </c>
      <c r="E71" s="374"/>
      <c r="F71" s="374"/>
      <c r="G71" s="403">
        <f>SUM(G47:G62,G63:G65)</f>
        <v>2.3500000000000004E-2</v>
      </c>
      <c r="H71" s="403"/>
      <c r="I71" s="403">
        <f>SUM(I47:I62,I63:I65)</f>
        <v>2.4250000000000001E-2</v>
      </c>
      <c r="J71" s="354">
        <f t="shared" si="20"/>
        <v>7.499999999999972E-4</v>
      </c>
      <c r="K71" s="374"/>
      <c r="L71" s="374"/>
      <c r="M71" s="374"/>
    </row>
    <row r="72" spans="1:19" ht="14" x14ac:dyDescent="0.3">
      <c r="C72" s="369" t="str">
        <f>'Bill_Bos G3 p1'!C70</f>
        <v>Total Basic Service</v>
      </c>
      <c r="E72" s="374"/>
      <c r="F72" s="374"/>
      <c r="G72" s="403">
        <f>G66</f>
        <v>0.12265999999999999</v>
      </c>
      <c r="H72" s="403"/>
      <c r="I72" s="403">
        <f>I66</f>
        <v>0.16148000000000001</v>
      </c>
      <c r="J72" s="354">
        <f t="shared" si="20"/>
        <v>3.8820000000000021E-2</v>
      </c>
      <c r="K72" s="374"/>
      <c r="L72" s="374"/>
      <c r="M72" s="374"/>
    </row>
    <row r="73" spans="1:19" ht="14" x14ac:dyDescent="0.3">
      <c r="E73" s="374"/>
      <c r="F73" s="374"/>
      <c r="G73" s="374"/>
      <c r="H73" s="374"/>
      <c r="I73" s="374"/>
      <c r="J73" s="374"/>
      <c r="K73" s="374"/>
      <c r="L73" s="374"/>
      <c r="M73" s="374"/>
    </row>
    <row r="74" spans="1:19" ht="14" x14ac:dyDescent="0.3">
      <c r="E74" s="374"/>
      <c r="F74" s="374"/>
      <c r="G74" s="374"/>
      <c r="H74" s="374"/>
      <c r="I74" s="374"/>
      <c r="J74" s="374"/>
      <c r="K74" s="374"/>
      <c r="L74" s="374"/>
      <c r="M74" s="374"/>
    </row>
    <row r="75" spans="1:19" ht="14" x14ac:dyDescent="0.3">
      <c r="E75" s="374"/>
      <c r="F75" s="374"/>
      <c r="G75" s="374"/>
      <c r="H75" s="374"/>
      <c r="I75" s="374"/>
      <c r="J75" s="374"/>
      <c r="K75" s="374"/>
      <c r="L75" s="374"/>
      <c r="M75" s="374"/>
    </row>
    <row r="76" spans="1:19" ht="14" x14ac:dyDescent="0.3">
      <c r="E76" s="374"/>
      <c r="F76" s="374"/>
      <c r="G76" s="374"/>
      <c r="H76" s="374"/>
      <c r="I76" s="374"/>
      <c r="J76" s="374"/>
      <c r="K76" s="374"/>
      <c r="L76" s="374"/>
      <c r="M76" s="374"/>
    </row>
    <row r="77" spans="1:19" ht="14" x14ac:dyDescent="0.3">
      <c r="E77" s="374"/>
      <c r="F77" s="374"/>
      <c r="G77" s="374"/>
      <c r="H77" s="374"/>
      <c r="I77" s="374"/>
      <c r="J77" s="374"/>
      <c r="K77" s="374"/>
      <c r="L77" s="374"/>
      <c r="M77" s="374"/>
    </row>
    <row r="78" spans="1:19" ht="14" x14ac:dyDescent="0.3">
      <c r="E78" s="374"/>
      <c r="F78" s="374"/>
      <c r="G78" s="374"/>
      <c r="H78" s="374"/>
      <c r="I78" s="374"/>
      <c r="J78" s="374"/>
      <c r="K78" s="374"/>
      <c r="L78" s="374"/>
      <c r="M78" s="374"/>
    </row>
    <row r="79" spans="1:19" ht="14" x14ac:dyDescent="0.3">
      <c r="E79" s="374"/>
      <c r="F79" s="374"/>
      <c r="G79" s="374"/>
      <c r="H79" s="374"/>
      <c r="I79" s="374"/>
      <c r="J79" s="374"/>
      <c r="K79" s="374"/>
      <c r="L79" s="374"/>
      <c r="M79" s="374"/>
    </row>
    <row r="80" spans="1:19" ht="14" x14ac:dyDescent="0.3">
      <c r="E80" s="374"/>
      <c r="F80" s="374"/>
      <c r="G80" s="374"/>
      <c r="H80" s="374"/>
      <c r="I80" s="374"/>
      <c r="J80" s="374"/>
      <c r="K80" s="374"/>
      <c r="L80" s="374"/>
      <c r="M80" s="374"/>
    </row>
  </sheetData>
  <mergeCells count="5">
    <mergeCell ref="A4:N4"/>
    <mergeCell ref="A5:N5"/>
    <mergeCell ref="A6:N6"/>
    <mergeCell ref="A8:N8"/>
    <mergeCell ref="A9:N9"/>
  </mergeCells>
  <pageMargins left="0.7" right="0.7" top="0.75" bottom="0.75" header="0.3" footer="0.3"/>
  <pageSetup scale="63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8FDF4-4715-44CB-AE08-D0A37BDCFE1E}">
  <sheetPr>
    <tabColor theme="3" tint="0.59999389629810485"/>
    <pageSetUpPr fitToPage="1"/>
  </sheetPr>
  <dimension ref="A4:Z80"/>
  <sheetViews>
    <sheetView zoomScaleNormal="100" workbookViewId="0"/>
  </sheetViews>
  <sheetFormatPr defaultRowHeight="12.5" x14ac:dyDescent="0.25"/>
  <cols>
    <col min="1" max="1" width="4" customWidth="1"/>
    <col min="2" max="2" width="4.453125" bestFit="1" customWidth="1"/>
    <col min="3" max="3" width="9.453125" customWidth="1"/>
    <col min="4" max="4" width="10.7265625" customWidth="1"/>
    <col min="5" max="7" width="14.7265625" customWidth="1"/>
    <col min="8" max="8" width="1.7265625" customWidth="1"/>
    <col min="9" max="11" width="14.7265625" customWidth="1"/>
    <col min="12" max="12" width="1.7265625" customWidth="1"/>
    <col min="13" max="13" width="12.54296875" bestFit="1" customWidth="1"/>
    <col min="14" max="14" width="11.7265625" customWidth="1"/>
    <col min="15" max="15" width="10.81640625" bestFit="1" customWidth="1"/>
    <col min="16" max="16" width="13.7265625" bestFit="1" customWidth="1"/>
    <col min="17" max="17" width="13.26953125" bestFit="1" customWidth="1"/>
    <col min="18" max="18" width="13.7265625" bestFit="1" customWidth="1"/>
    <col min="19" max="19" width="13" bestFit="1" customWidth="1"/>
    <col min="20" max="20" width="8.453125" bestFit="1" customWidth="1"/>
    <col min="21" max="21" width="10.81640625" bestFit="1" customWidth="1"/>
    <col min="22" max="22" width="13" bestFit="1" customWidth="1"/>
    <col min="23" max="23" width="12.54296875" bestFit="1" customWidth="1"/>
    <col min="24" max="24" width="13.7265625" bestFit="1" customWidth="1"/>
    <col min="25" max="25" width="13" bestFit="1" customWidth="1"/>
    <col min="26" max="26" width="8.453125" bestFit="1" customWidth="1"/>
  </cols>
  <sheetData>
    <row r="4" spans="1:26" ht="14" x14ac:dyDescent="0.3">
      <c r="A4" s="762" t="str">
        <f>'Bill_Bos T2 p5'!A4:N4</f>
        <v>Eastern Massachusetts</v>
      </c>
      <c r="B4" s="762"/>
      <c r="C4" s="762"/>
      <c r="D4" s="762"/>
      <c r="E4" s="762"/>
      <c r="F4" s="762"/>
      <c r="G4" s="762"/>
      <c r="H4" s="762"/>
      <c r="I4" s="762"/>
      <c r="J4" s="762"/>
      <c r="K4" s="762"/>
      <c r="L4" s="762"/>
      <c r="M4" s="762"/>
      <c r="N4" s="762"/>
    </row>
    <row r="5" spans="1:26" ht="14" x14ac:dyDescent="0.3">
      <c r="A5" s="762" t="str">
        <f>+'Bill_Bos G1 nonDem'!A5</f>
        <v>Calculation of Monthly Typical Bill</v>
      </c>
      <c r="B5" s="762"/>
      <c r="C5" s="762"/>
      <c r="D5" s="762"/>
      <c r="E5" s="762"/>
      <c r="F5" s="762"/>
      <c r="G5" s="762"/>
      <c r="H5" s="762"/>
      <c r="I5" s="762"/>
      <c r="J5" s="762"/>
      <c r="K5" s="762"/>
      <c r="L5" s="762"/>
      <c r="M5" s="762"/>
      <c r="N5" s="762"/>
    </row>
    <row r="6" spans="1:26" ht="14" x14ac:dyDescent="0.3">
      <c r="A6" s="762" t="str">
        <f>+'Bill_Bos G1 nonDem'!A6</f>
        <v>Proposed January 1, 2019</v>
      </c>
      <c r="B6" s="762"/>
      <c r="C6" s="762"/>
      <c r="D6" s="762"/>
      <c r="E6" s="762"/>
      <c r="F6" s="762"/>
      <c r="G6" s="762"/>
      <c r="H6" s="762"/>
      <c r="I6" s="762"/>
      <c r="J6" s="762"/>
      <c r="K6" s="762"/>
      <c r="L6" s="762"/>
      <c r="M6" s="762"/>
      <c r="N6" s="762"/>
    </row>
    <row r="7" spans="1:26" ht="14" x14ac:dyDescent="0.3">
      <c r="A7" s="467"/>
      <c r="B7" s="467"/>
      <c r="C7" s="293"/>
      <c r="D7" s="293"/>
      <c r="E7" s="468"/>
      <c r="F7" s="243"/>
      <c r="G7" s="469"/>
      <c r="H7" s="293"/>
      <c r="I7" s="369"/>
      <c r="J7" s="369"/>
      <c r="K7" s="369"/>
      <c r="L7" s="369"/>
      <c r="M7" s="369"/>
      <c r="N7" s="369"/>
    </row>
    <row r="8" spans="1:26" ht="14" x14ac:dyDescent="0.3">
      <c r="A8" s="762" t="str">
        <f>+'Bill_Bos G1 nonDem'!A8</f>
        <v>Greater Boston Service Area</v>
      </c>
      <c r="B8" s="762"/>
      <c r="C8" s="762"/>
      <c r="D8" s="762"/>
      <c r="E8" s="762"/>
      <c r="F8" s="762"/>
      <c r="G8" s="762"/>
      <c r="H8" s="762"/>
      <c r="I8" s="762"/>
      <c r="J8" s="762"/>
      <c r="K8" s="762"/>
      <c r="L8" s="762"/>
      <c r="M8" s="762"/>
      <c r="N8" s="762"/>
    </row>
    <row r="9" spans="1:26" ht="14" x14ac:dyDescent="0.3">
      <c r="A9" s="762" t="str">
        <f>+'Bill_Bos T2 p4'!A9:N9</f>
        <v>Rate T-2 Time-of-Use - SEMA</v>
      </c>
      <c r="B9" s="762"/>
      <c r="C9" s="762"/>
      <c r="D9" s="762"/>
      <c r="E9" s="762"/>
      <c r="F9" s="762"/>
      <c r="G9" s="762"/>
      <c r="H9" s="762"/>
      <c r="I9" s="762"/>
      <c r="J9" s="762"/>
      <c r="K9" s="762"/>
      <c r="L9" s="762"/>
      <c r="M9" s="762"/>
      <c r="N9" s="762"/>
    </row>
    <row r="10" spans="1:26" ht="14" x14ac:dyDescent="0.3">
      <c r="A10" s="366"/>
      <c r="B10" s="366"/>
      <c r="D10" s="293"/>
      <c r="E10" s="293"/>
      <c r="F10" s="293"/>
      <c r="G10" s="367"/>
      <c r="H10" s="293"/>
    </row>
    <row r="11" spans="1:26" ht="14" x14ac:dyDescent="0.3">
      <c r="A11" s="366"/>
      <c r="B11" s="366"/>
      <c r="C11" s="293"/>
      <c r="D11" s="293"/>
      <c r="E11" s="293"/>
      <c r="F11" s="293"/>
      <c r="G11" s="368"/>
      <c r="H11" s="293"/>
    </row>
    <row r="12" spans="1:26" ht="14" x14ac:dyDescent="0.3">
      <c r="A12" s="151">
        <f>IF(C12&lt;&gt;"",COUNTA($C12:C$12),"")</f>
        <v>1</v>
      </c>
      <c r="B12" s="151"/>
      <c r="C12" s="405" t="s">
        <v>583</v>
      </c>
      <c r="D12" s="293"/>
      <c r="E12" s="293"/>
      <c r="F12" s="293"/>
      <c r="G12" s="368"/>
      <c r="H12" s="293"/>
    </row>
    <row r="13" spans="1:26" ht="14" x14ac:dyDescent="0.3">
      <c r="A13" s="151">
        <f>IF(C13&lt;&gt;"",COUNTA($C$12:C13),"")</f>
        <v>2</v>
      </c>
      <c r="B13" s="151"/>
      <c r="C13" s="406" t="str">
        <f>+'Bill_Bos G1 nonDem'!C12</f>
        <v>Monthly</v>
      </c>
      <c r="D13" s="366" t="str">
        <f>+C13</f>
        <v>Monthly</v>
      </c>
      <c r="E13" s="407" t="str">
        <f>+'Bill_Bos G1 nonDem'!D12</f>
        <v>Current Monthly Bill (Winter)</v>
      </c>
      <c r="F13" s="440"/>
      <c r="G13" s="407"/>
      <c r="H13" s="293"/>
      <c r="I13" s="407" t="str">
        <f>+'Bill_Bos G1 nonDem'!H12</f>
        <v>Proposed Monthly Bill (Winter)</v>
      </c>
      <c r="J13" s="440"/>
      <c r="K13" s="407"/>
      <c r="M13" s="407" t="s">
        <v>550</v>
      </c>
      <c r="N13" s="440"/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</row>
    <row r="14" spans="1:26" ht="14" x14ac:dyDescent="0.3">
      <c r="A14" s="151">
        <f>IF(C14&lt;&gt;"",COUNTA($C$12:C14),"")</f>
        <v>3</v>
      </c>
      <c r="B14" s="151"/>
      <c r="C14" s="408" t="s">
        <v>534</v>
      </c>
      <c r="D14" s="370" t="s">
        <v>551</v>
      </c>
      <c r="E14" s="370" t="s">
        <v>552</v>
      </c>
      <c r="F14" s="370" t="s">
        <v>553</v>
      </c>
      <c r="G14" s="370" t="s">
        <v>47</v>
      </c>
      <c r="H14" s="293"/>
      <c r="I14" s="370" t="s">
        <v>552</v>
      </c>
      <c r="J14" s="370" t="s">
        <v>553</v>
      </c>
      <c r="K14" s="370" t="s">
        <v>47</v>
      </c>
      <c r="M14" s="370" t="s">
        <v>65</v>
      </c>
      <c r="N14" s="370" t="s">
        <v>325</v>
      </c>
      <c r="O14" s="369"/>
      <c r="P14" s="369"/>
      <c r="Q14" s="369"/>
      <c r="R14" s="369"/>
      <c r="S14" s="369"/>
      <c r="T14" s="369"/>
      <c r="U14" s="369"/>
      <c r="V14" s="369"/>
      <c r="W14" s="369"/>
      <c r="X14" s="369"/>
      <c r="Y14" s="369"/>
      <c r="Z14" s="369"/>
    </row>
    <row r="15" spans="1:26" ht="14" x14ac:dyDescent="0.3">
      <c r="A15" s="151">
        <f>IF(C15&lt;&gt;"",COUNTA($C$12:C15),"")</f>
        <v>4</v>
      </c>
      <c r="B15" s="151"/>
      <c r="C15" s="409">
        <f>+'Bill_Bos T2 p1'!C15</f>
        <v>50</v>
      </c>
      <c r="D15" s="409">
        <f>+C15*550</f>
        <v>27500</v>
      </c>
      <c r="E15" s="372">
        <f t="shared" ref="E15:E23" si="0">ROUND($C15*SUM($G$44,$G$46)+SUM($G$47:$G$62,$G$63:$G$65)*$D15,2)+ROUND(IF($C15&gt;1000,$G$43,IF($C15&gt;300,$G$42,IF($C15&gt;150,$G$41,$G$40))),2)</f>
        <v>1677.25</v>
      </c>
      <c r="F15" s="372">
        <f t="shared" ref="F15:F23" si="1">ROUND(G$66*D15,2)</f>
        <v>3373.15</v>
      </c>
      <c r="G15" s="372">
        <f t="shared" ref="G15:G23" si="2">SUM(E15:F15)</f>
        <v>5050.3999999999996</v>
      </c>
      <c r="H15" s="373"/>
      <c r="I15" s="372">
        <f t="shared" ref="I15:I23" si="3">ROUND($C15*SUM($I$44,$I$46)+SUM($I$47:$I$62,$I$63:$I$65)*$D15,2)+ROUND(IF($C15&gt;1000,$I$43,IF($C15&gt;300,$I$42,IF($C15&gt;150,$I$41,$I$40))),2)</f>
        <v>1653.38</v>
      </c>
      <c r="J15" s="372">
        <f t="shared" ref="J15:J23" si="4">ROUND(I$66*D15,2)</f>
        <v>4440.7</v>
      </c>
      <c r="K15" s="372">
        <f t="shared" ref="K15:K23" si="5">SUM(I15:J15)</f>
        <v>6094.08</v>
      </c>
      <c r="L15" s="374"/>
      <c r="M15" s="375">
        <f t="shared" ref="M15:M23" si="6">+K15-G15</f>
        <v>1043.6800000000003</v>
      </c>
      <c r="N15" s="376">
        <f t="shared" ref="N15:N23" si="7">+M15/G15</f>
        <v>0.2066529383811184</v>
      </c>
      <c r="O15" s="377"/>
      <c r="P15" s="322"/>
      <c r="Q15" s="322"/>
      <c r="R15" s="322"/>
      <c r="S15" s="377"/>
      <c r="T15" s="378"/>
      <c r="U15" s="377"/>
      <c r="V15" s="325"/>
      <c r="W15" s="322"/>
      <c r="X15" s="322"/>
      <c r="Y15" s="377"/>
      <c r="Z15" s="374"/>
    </row>
    <row r="16" spans="1:26" ht="14" x14ac:dyDescent="0.3">
      <c r="A16" s="151">
        <f>IF(C16&lt;&gt;"",COUNTA($C$12:C16),"")</f>
        <v>5</v>
      </c>
      <c r="B16" s="151"/>
      <c r="C16" s="409">
        <f>+'Bill_Bos T2 p1'!C16</f>
        <v>100</v>
      </c>
      <c r="D16" s="409">
        <f t="shared" ref="D16:D23" si="8">+C16*550</f>
        <v>55000</v>
      </c>
      <c r="E16" s="372">
        <f t="shared" si="0"/>
        <v>3327.5</v>
      </c>
      <c r="F16" s="372">
        <f t="shared" si="1"/>
        <v>6746.3</v>
      </c>
      <c r="G16" s="372">
        <f t="shared" si="2"/>
        <v>10073.799999999999</v>
      </c>
      <c r="H16" s="373"/>
      <c r="I16" s="372">
        <f t="shared" si="3"/>
        <v>3279.75</v>
      </c>
      <c r="J16" s="372">
        <f t="shared" si="4"/>
        <v>8881.4</v>
      </c>
      <c r="K16" s="372">
        <f t="shared" si="5"/>
        <v>12161.15</v>
      </c>
      <c r="L16" s="374"/>
      <c r="M16" s="375">
        <f t="shared" si="6"/>
        <v>2087.3500000000004</v>
      </c>
      <c r="N16" s="376">
        <f t="shared" si="7"/>
        <v>0.20720582104071955</v>
      </c>
      <c r="O16" s="377"/>
      <c r="P16" s="322"/>
      <c r="Q16" s="322"/>
      <c r="R16" s="322"/>
      <c r="S16" s="377"/>
      <c r="T16" s="378"/>
      <c r="U16" s="377"/>
      <c r="V16" s="325"/>
      <c r="W16" s="322"/>
      <c r="X16" s="322"/>
      <c r="Y16" s="377"/>
      <c r="Z16" s="374"/>
    </row>
    <row r="17" spans="1:26" ht="14" x14ac:dyDescent="0.3">
      <c r="A17" s="151">
        <f>IF(C17&lt;&gt;"",COUNTA($C$12:C17),"")</f>
        <v>6</v>
      </c>
      <c r="B17" s="151"/>
      <c r="C17" s="409">
        <f>+'Bill_Bos T2 p1'!C17</f>
        <v>150</v>
      </c>
      <c r="D17" s="409">
        <f t="shared" si="8"/>
        <v>82500</v>
      </c>
      <c r="E17" s="372">
        <f t="shared" si="0"/>
        <v>4977.75</v>
      </c>
      <c r="F17" s="372">
        <f t="shared" si="1"/>
        <v>10119.450000000001</v>
      </c>
      <c r="G17" s="372">
        <f t="shared" si="2"/>
        <v>15097.2</v>
      </c>
      <c r="H17" s="373"/>
      <c r="I17" s="372">
        <f t="shared" si="3"/>
        <v>4906.13</v>
      </c>
      <c r="J17" s="372">
        <f t="shared" si="4"/>
        <v>13322.1</v>
      </c>
      <c r="K17" s="372">
        <f t="shared" si="5"/>
        <v>18228.23</v>
      </c>
      <c r="L17" s="374"/>
      <c r="M17" s="375">
        <f t="shared" si="6"/>
        <v>3131.0299999999988</v>
      </c>
      <c r="N17" s="376">
        <f t="shared" si="7"/>
        <v>0.20739143682272201</v>
      </c>
      <c r="O17" s="377"/>
      <c r="P17" s="322"/>
      <c r="Q17" s="322"/>
      <c r="R17" s="322"/>
      <c r="S17" s="377"/>
      <c r="T17" s="378"/>
      <c r="U17" s="377"/>
      <c r="V17" s="325"/>
      <c r="W17" s="322"/>
      <c r="X17" s="322"/>
      <c r="Y17" s="377"/>
      <c r="Z17" s="374"/>
    </row>
    <row r="18" spans="1:26" ht="14" x14ac:dyDescent="0.3">
      <c r="A18" s="151">
        <f>IF(C18&lt;&gt;"",COUNTA($C$12:C18),"")</f>
        <v>7</v>
      </c>
      <c r="B18" s="151"/>
      <c r="C18" s="409">
        <f>+'Bill_Bos T2 p1'!C18</f>
        <v>200</v>
      </c>
      <c r="D18" s="409">
        <f t="shared" si="8"/>
        <v>110000</v>
      </c>
      <c r="E18" s="372">
        <f t="shared" si="0"/>
        <v>6711</v>
      </c>
      <c r="F18" s="372">
        <f t="shared" si="1"/>
        <v>13492.6</v>
      </c>
      <c r="G18" s="372">
        <f t="shared" si="2"/>
        <v>20203.599999999999</v>
      </c>
      <c r="H18" s="373"/>
      <c r="I18" s="372">
        <f t="shared" si="3"/>
        <v>6615.5</v>
      </c>
      <c r="J18" s="372">
        <f t="shared" si="4"/>
        <v>17762.8</v>
      </c>
      <c r="K18" s="372">
        <f t="shared" si="5"/>
        <v>24378.3</v>
      </c>
      <c r="L18" s="374"/>
      <c r="M18" s="375">
        <f t="shared" si="6"/>
        <v>4174.7000000000007</v>
      </c>
      <c r="N18" s="376">
        <f t="shared" si="7"/>
        <v>0.20663149141737122</v>
      </c>
      <c r="O18" s="377"/>
      <c r="P18" s="322"/>
      <c r="Q18" s="322"/>
      <c r="R18" s="322"/>
      <c r="S18" s="377"/>
      <c r="T18" s="378"/>
      <c r="U18" s="377"/>
      <c r="V18" s="325"/>
      <c r="W18" s="322"/>
      <c r="X18" s="322"/>
      <c r="Y18" s="377"/>
      <c r="Z18" s="374"/>
    </row>
    <row r="19" spans="1:26" ht="14" x14ac:dyDescent="0.3">
      <c r="A19" s="151">
        <f>IF(C19&lt;&gt;"",COUNTA($C$12:C19),"")</f>
        <v>8</v>
      </c>
      <c r="B19" s="151"/>
      <c r="C19" s="409">
        <f>+'Bill_Bos T2 p1'!C19</f>
        <v>250</v>
      </c>
      <c r="D19" s="409">
        <f t="shared" si="8"/>
        <v>137500</v>
      </c>
      <c r="E19" s="372">
        <f t="shared" si="0"/>
        <v>8361.25</v>
      </c>
      <c r="F19" s="372">
        <f t="shared" si="1"/>
        <v>16865.75</v>
      </c>
      <c r="G19" s="372">
        <f t="shared" si="2"/>
        <v>25227</v>
      </c>
      <c r="H19" s="373"/>
      <c r="I19" s="372">
        <f t="shared" si="3"/>
        <v>8241.880000000001</v>
      </c>
      <c r="J19" s="372">
        <f t="shared" si="4"/>
        <v>22203.5</v>
      </c>
      <c r="K19" s="372">
        <f t="shared" si="5"/>
        <v>30445.38</v>
      </c>
      <c r="L19" s="374"/>
      <c r="M19" s="375">
        <f t="shared" si="6"/>
        <v>5218.380000000001</v>
      </c>
      <c r="N19" s="376">
        <f t="shared" si="7"/>
        <v>0.20685693899393512</v>
      </c>
      <c r="O19" s="377"/>
      <c r="P19" s="322"/>
      <c r="Q19" s="322"/>
      <c r="R19" s="322"/>
      <c r="S19" s="377"/>
      <c r="T19" s="378"/>
      <c r="U19" s="377"/>
      <c r="V19" s="325"/>
      <c r="W19" s="322"/>
      <c r="X19" s="322"/>
      <c r="Y19" s="377"/>
      <c r="Z19" s="374"/>
    </row>
    <row r="20" spans="1:26" ht="14" x14ac:dyDescent="0.3">
      <c r="A20" s="151">
        <f>IF(C20&lt;&gt;"",COUNTA($C$12:C20),"")</f>
        <v>9</v>
      </c>
      <c r="B20" s="151"/>
      <c r="C20" s="409">
        <f>+'Bill_Bos T2 p1'!C20</f>
        <v>300</v>
      </c>
      <c r="D20" s="409">
        <f t="shared" si="8"/>
        <v>165000</v>
      </c>
      <c r="E20" s="372">
        <f t="shared" si="0"/>
        <v>10011.5</v>
      </c>
      <c r="F20" s="372">
        <f t="shared" si="1"/>
        <v>20238.900000000001</v>
      </c>
      <c r="G20" s="372">
        <f t="shared" si="2"/>
        <v>30250.400000000001</v>
      </c>
      <c r="H20" s="373"/>
      <c r="I20" s="372">
        <f t="shared" si="3"/>
        <v>9868.25</v>
      </c>
      <c r="J20" s="372">
        <f t="shared" si="4"/>
        <v>26644.2</v>
      </c>
      <c r="K20" s="372">
        <f t="shared" si="5"/>
        <v>36512.449999999997</v>
      </c>
      <c r="L20" s="374"/>
      <c r="M20" s="375">
        <f t="shared" si="6"/>
        <v>6262.0499999999956</v>
      </c>
      <c r="N20" s="376">
        <f t="shared" si="7"/>
        <v>0.20700718007034602</v>
      </c>
      <c r="O20" s="377"/>
      <c r="P20" s="322"/>
      <c r="Q20" s="322"/>
      <c r="R20" s="322"/>
      <c r="S20" s="377"/>
      <c r="T20" s="378"/>
      <c r="U20" s="377"/>
      <c r="V20" s="325"/>
      <c r="W20" s="322"/>
      <c r="X20" s="322"/>
      <c r="Y20" s="377"/>
      <c r="Z20" s="374"/>
    </row>
    <row r="21" spans="1:26" ht="14" x14ac:dyDescent="0.3">
      <c r="A21" s="151">
        <f>IF(C21&lt;&gt;"",COUNTA($C$12:C21),"")</f>
        <v>10</v>
      </c>
      <c r="B21" s="151"/>
      <c r="C21" s="409">
        <f>+'Bill_Bos T2 p1'!C21</f>
        <v>500</v>
      </c>
      <c r="D21" s="409">
        <f t="shared" si="8"/>
        <v>275000</v>
      </c>
      <c r="E21" s="372">
        <f t="shared" si="0"/>
        <v>16662.5</v>
      </c>
      <c r="F21" s="372">
        <f t="shared" si="1"/>
        <v>33731.5</v>
      </c>
      <c r="G21" s="372">
        <f t="shared" si="2"/>
        <v>50394</v>
      </c>
      <c r="H21" s="373"/>
      <c r="I21" s="372">
        <f t="shared" si="3"/>
        <v>16423.75</v>
      </c>
      <c r="J21" s="372">
        <f t="shared" si="4"/>
        <v>44407</v>
      </c>
      <c r="K21" s="372">
        <f t="shared" si="5"/>
        <v>60830.75</v>
      </c>
      <c r="L21" s="374"/>
      <c r="M21" s="375">
        <f t="shared" si="6"/>
        <v>10436.75</v>
      </c>
      <c r="N21" s="376">
        <f t="shared" si="7"/>
        <v>0.20710302813827042</v>
      </c>
      <c r="O21" s="377"/>
      <c r="P21" s="322"/>
      <c r="Q21" s="322"/>
      <c r="R21" s="322"/>
      <c r="S21" s="377"/>
      <c r="T21" s="378"/>
      <c r="U21" s="377"/>
      <c r="V21" s="325"/>
      <c r="W21" s="322"/>
      <c r="X21" s="322"/>
      <c r="Y21" s="377"/>
      <c r="Z21" s="374"/>
    </row>
    <row r="22" spans="1:26" ht="14" x14ac:dyDescent="0.3">
      <c r="A22" s="151">
        <f>IF(C22&lt;&gt;"",COUNTA($C$12:C22),"")</f>
        <v>11</v>
      </c>
      <c r="B22" s="151"/>
      <c r="C22" s="409">
        <f>+'Bill_Bos T2 p1'!C22</f>
        <v>1000</v>
      </c>
      <c r="D22" s="409">
        <f t="shared" si="8"/>
        <v>550000</v>
      </c>
      <c r="E22" s="372">
        <f t="shared" si="0"/>
        <v>33165</v>
      </c>
      <c r="F22" s="372">
        <f t="shared" si="1"/>
        <v>67463</v>
      </c>
      <c r="G22" s="372">
        <f t="shared" si="2"/>
        <v>100628</v>
      </c>
      <c r="H22" s="373"/>
      <c r="I22" s="372">
        <f t="shared" si="3"/>
        <v>32687.5</v>
      </c>
      <c r="J22" s="372">
        <f t="shared" si="4"/>
        <v>88814</v>
      </c>
      <c r="K22" s="372">
        <f t="shared" si="5"/>
        <v>121501.5</v>
      </c>
      <c r="L22" s="374"/>
      <c r="M22" s="375">
        <f t="shared" si="6"/>
        <v>20873.5</v>
      </c>
      <c r="N22" s="376">
        <f t="shared" si="7"/>
        <v>0.20743232499900624</v>
      </c>
      <c r="O22" s="377"/>
      <c r="P22" s="322"/>
      <c r="Q22" s="322"/>
      <c r="R22" s="322"/>
      <c r="S22" s="377"/>
      <c r="T22" s="378"/>
      <c r="U22" s="377"/>
      <c r="V22" s="325"/>
      <c r="W22" s="322"/>
      <c r="X22" s="322"/>
      <c r="Y22" s="377"/>
      <c r="Z22" s="374"/>
    </row>
    <row r="23" spans="1:26" ht="14" x14ac:dyDescent="0.3">
      <c r="A23" s="151">
        <f>IF(C23&lt;&gt;"",COUNTA($C$12:C23),"")</f>
        <v>12</v>
      </c>
      <c r="B23" s="151" t="s">
        <v>554</v>
      </c>
      <c r="C23" s="409">
        <v>299</v>
      </c>
      <c r="D23" s="409">
        <f t="shared" si="8"/>
        <v>164450</v>
      </c>
      <c r="E23" s="372">
        <f t="shared" si="0"/>
        <v>9978.5</v>
      </c>
      <c r="F23" s="372">
        <f t="shared" si="1"/>
        <v>20171.439999999999</v>
      </c>
      <c r="G23" s="372">
        <f t="shared" si="2"/>
        <v>30149.94</v>
      </c>
      <c r="H23" s="373"/>
      <c r="I23" s="372">
        <f t="shared" si="3"/>
        <v>9835.7199999999993</v>
      </c>
      <c r="J23" s="372">
        <f t="shared" si="4"/>
        <v>26555.39</v>
      </c>
      <c r="K23" s="372">
        <f t="shared" si="5"/>
        <v>36391.11</v>
      </c>
      <c r="L23" s="374"/>
      <c r="M23" s="375">
        <f t="shared" si="6"/>
        <v>6241.1700000000019</v>
      </c>
      <c r="N23" s="376">
        <f t="shared" si="7"/>
        <v>0.20700439204854146</v>
      </c>
      <c r="O23" s="377"/>
      <c r="P23" s="322"/>
      <c r="Q23" s="322"/>
      <c r="R23" s="322"/>
      <c r="S23" s="377"/>
      <c r="T23" s="378"/>
      <c r="U23" s="377"/>
      <c r="V23" s="325"/>
      <c r="W23" s="322"/>
      <c r="X23" s="322"/>
      <c r="Y23" s="377"/>
      <c r="Z23" s="374"/>
    </row>
    <row r="24" spans="1:26" ht="14" x14ac:dyDescent="0.3">
      <c r="A24" s="151" t="str">
        <f>IF(C24&lt;&gt;"",COUNTA($C$12:C24),"")</f>
        <v/>
      </c>
      <c r="B24" s="151"/>
      <c r="C24" s="293"/>
      <c r="D24" s="409"/>
      <c r="E24" s="372"/>
      <c r="F24" s="372"/>
      <c r="G24" s="372"/>
      <c r="H24" s="373"/>
      <c r="I24" s="372"/>
      <c r="J24" s="374"/>
      <c r="K24" s="374"/>
      <c r="L24" s="374"/>
      <c r="M24" s="374"/>
      <c r="O24" s="369"/>
      <c r="P24" s="369"/>
      <c r="Q24" s="369"/>
      <c r="R24" s="369"/>
      <c r="S24" s="369"/>
      <c r="T24" s="369"/>
      <c r="U24" s="369"/>
      <c r="V24" s="369"/>
      <c r="W24" s="369"/>
      <c r="X24" s="369"/>
      <c r="Y24" s="369"/>
      <c r="Z24" s="369"/>
    </row>
    <row r="25" spans="1:26" ht="14" x14ac:dyDescent="0.3">
      <c r="A25" s="151">
        <f>IF(C25&lt;&gt;"",COUNTA($C$12:C25),"")</f>
        <v>13</v>
      </c>
      <c r="B25" s="151"/>
      <c r="C25" s="366" t="str">
        <f>+C13</f>
        <v>Monthly</v>
      </c>
      <c r="D25" s="366" t="str">
        <f>+D13</f>
        <v>Monthly</v>
      </c>
      <c r="E25" s="485" t="str">
        <f>+'Bill_Bos G1 nonDem'!D26</f>
        <v>Current Monthly Bill (Summer)</v>
      </c>
      <c r="F25" s="486"/>
      <c r="G25" s="485"/>
      <c r="H25" s="448"/>
      <c r="I25" s="485" t="str">
        <f>+'Bill_Bos G1 nonDem'!H26</f>
        <v>Proposed Monthly Bill (Summer)</v>
      </c>
      <c r="J25" s="486"/>
      <c r="K25" s="486"/>
      <c r="L25" s="374"/>
      <c r="M25" s="485" t="s">
        <v>550</v>
      </c>
      <c r="N25" s="440"/>
      <c r="O25" s="369"/>
      <c r="P25" s="369"/>
      <c r="Q25" s="369"/>
      <c r="R25" s="369"/>
      <c r="S25" s="369"/>
      <c r="T25" s="369"/>
      <c r="U25" s="369"/>
      <c r="V25" s="369"/>
      <c r="W25" s="369"/>
      <c r="X25" s="369"/>
      <c r="Y25" s="369"/>
      <c r="Z25" s="369"/>
    </row>
    <row r="26" spans="1:26" ht="14" x14ac:dyDescent="0.3">
      <c r="A26" s="151">
        <f>IF(C26&lt;&gt;"",COUNTA($C$12:C26),"")</f>
        <v>14</v>
      </c>
      <c r="B26" s="151"/>
      <c r="C26" s="370" t="s">
        <v>534</v>
      </c>
      <c r="D26" s="370" t="s">
        <v>551</v>
      </c>
      <c r="E26" s="442" t="s">
        <v>552</v>
      </c>
      <c r="F26" s="442" t="s">
        <v>553</v>
      </c>
      <c r="G26" s="442" t="s">
        <v>47</v>
      </c>
      <c r="H26" s="448"/>
      <c r="I26" s="442" t="s">
        <v>552</v>
      </c>
      <c r="J26" s="442" t="s">
        <v>553</v>
      </c>
      <c r="K26" s="442" t="s">
        <v>47</v>
      </c>
      <c r="L26" s="374"/>
      <c r="M26" s="442" t="s">
        <v>65</v>
      </c>
      <c r="N26" s="370" t="s">
        <v>325</v>
      </c>
      <c r="O26" s="378"/>
      <c r="P26" s="369"/>
      <c r="Q26" s="369"/>
      <c r="R26" s="369"/>
      <c r="S26" s="369"/>
      <c r="T26" s="369"/>
      <c r="U26" s="369"/>
      <c r="V26" s="369"/>
      <c r="W26" s="369"/>
      <c r="X26" s="369"/>
      <c r="Y26" s="369"/>
      <c r="Z26" s="369"/>
    </row>
    <row r="27" spans="1:26" ht="14" x14ac:dyDescent="0.3">
      <c r="A27" s="151">
        <f>IF(C27&lt;&gt;"",COUNTA($C$12:C27),"")</f>
        <v>15</v>
      </c>
      <c r="B27" s="151"/>
      <c r="C27" s="409">
        <f>+'Bill_Bos T2 p1'!C27</f>
        <v>50</v>
      </c>
      <c r="D27" s="409">
        <f>+C27*550</f>
        <v>27500</v>
      </c>
      <c r="E27" s="372">
        <f t="shared" ref="E27:E35" si="9">ROUND($C27*SUM($G$45,$G$46)+SUM($G$47:$G$62,$G$63:$G$65)*$D27,2)+ROUND(IF($C27&gt;1000,$G$43,IF($C27&gt;300,$G$42,IF($C27&gt;150,$G$41,$G$40))),2)</f>
        <v>2095.75</v>
      </c>
      <c r="F27" s="372">
        <f t="shared" ref="F27:F35" si="10">ROUND($G$66*D27,2)</f>
        <v>3373.15</v>
      </c>
      <c r="G27" s="372">
        <f t="shared" ref="G27:G35" si="11">SUM(E27:F27)</f>
        <v>5468.9</v>
      </c>
      <c r="H27" s="373"/>
      <c r="I27" s="372">
        <f t="shared" ref="I27:I35" si="12">ROUND($C27*SUM($I$45,$I$46)+SUM($I$47:$I$62,$I$63:$I$65)*$D27,2)+ROUND(IF($C27&gt;1000,$I$43,IF($C27&gt;300,$I$42,IF($C27&gt;150,$I$41,$I$40))),2)</f>
        <v>2085.88</v>
      </c>
      <c r="J27" s="372">
        <f t="shared" ref="J27:J35" si="13">ROUND(I$66*D27,2)</f>
        <v>4440.7</v>
      </c>
      <c r="K27" s="372">
        <f t="shared" ref="K27:K35" si="14">SUM(I27:J27)</f>
        <v>6526.58</v>
      </c>
      <c r="L27" s="374"/>
      <c r="M27" s="375">
        <f t="shared" ref="M27:M35" si="15">+K27-G27</f>
        <v>1057.6800000000003</v>
      </c>
      <c r="N27" s="376">
        <f t="shared" ref="N27:N35" si="16">+M27/G27</f>
        <v>0.19339903819780949</v>
      </c>
      <c r="O27" s="377"/>
      <c r="P27" s="322"/>
      <c r="Q27" s="322"/>
      <c r="R27" s="322"/>
      <c r="S27" s="377"/>
      <c r="T27" s="378"/>
      <c r="U27" s="377"/>
      <c r="V27" s="325"/>
      <c r="W27" s="322"/>
      <c r="X27" s="322"/>
      <c r="Y27" s="377"/>
      <c r="Z27" s="374"/>
    </row>
    <row r="28" spans="1:26" ht="14" x14ac:dyDescent="0.3">
      <c r="A28" s="151">
        <f>IF(C28&lt;&gt;"",COUNTA($C$12:C28),"")</f>
        <v>16</v>
      </c>
      <c r="B28" s="151"/>
      <c r="C28" s="409">
        <f>+'Bill_Bos T2 p1'!C28</f>
        <v>100</v>
      </c>
      <c r="D28" s="409">
        <f t="shared" ref="D28:D35" si="17">+C28*550</f>
        <v>55000</v>
      </c>
      <c r="E28" s="372">
        <f t="shared" si="9"/>
        <v>4164.5</v>
      </c>
      <c r="F28" s="372">
        <f t="shared" si="10"/>
        <v>6746.3</v>
      </c>
      <c r="G28" s="372">
        <f t="shared" si="11"/>
        <v>10910.8</v>
      </c>
      <c r="H28" s="373"/>
      <c r="I28" s="372">
        <f t="shared" si="12"/>
        <v>4144.75</v>
      </c>
      <c r="J28" s="372">
        <f t="shared" si="13"/>
        <v>8881.4</v>
      </c>
      <c r="K28" s="372">
        <f t="shared" si="14"/>
        <v>13026.15</v>
      </c>
      <c r="L28" s="374"/>
      <c r="M28" s="375">
        <f t="shared" si="15"/>
        <v>2115.3500000000004</v>
      </c>
      <c r="N28" s="376">
        <f t="shared" si="16"/>
        <v>0.1938767093155406</v>
      </c>
      <c r="O28" s="377"/>
      <c r="P28" s="322"/>
      <c r="Q28" s="322"/>
      <c r="R28" s="322"/>
      <c r="S28" s="377"/>
      <c r="T28" s="378"/>
      <c r="U28" s="377"/>
      <c r="V28" s="325"/>
      <c r="W28" s="322"/>
      <c r="X28" s="322"/>
      <c r="Y28" s="377"/>
      <c r="Z28" s="374"/>
    </row>
    <row r="29" spans="1:26" ht="14" x14ac:dyDescent="0.3">
      <c r="A29" s="151">
        <f>IF(C29&lt;&gt;"",COUNTA($C$12:C29),"")</f>
        <v>17</v>
      </c>
      <c r="B29" s="151"/>
      <c r="C29" s="409">
        <f>+'Bill_Bos T2 p1'!C29</f>
        <v>150</v>
      </c>
      <c r="D29" s="409">
        <f t="shared" si="17"/>
        <v>82500</v>
      </c>
      <c r="E29" s="372">
        <f t="shared" si="9"/>
        <v>6233.25</v>
      </c>
      <c r="F29" s="372">
        <f t="shared" si="10"/>
        <v>10119.450000000001</v>
      </c>
      <c r="G29" s="372">
        <f t="shared" si="11"/>
        <v>16352.7</v>
      </c>
      <c r="H29" s="373"/>
      <c r="I29" s="372">
        <f t="shared" si="12"/>
        <v>6203.63</v>
      </c>
      <c r="J29" s="372">
        <f t="shared" si="13"/>
        <v>13322.1</v>
      </c>
      <c r="K29" s="372">
        <f t="shared" si="14"/>
        <v>19525.73</v>
      </c>
      <c r="L29" s="374"/>
      <c r="M29" s="375">
        <f t="shared" si="15"/>
        <v>3173.0299999999988</v>
      </c>
      <c r="N29" s="376">
        <f t="shared" si="16"/>
        <v>0.19403707033089329</v>
      </c>
      <c r="O29" s="377"/>
      <c r="P29" s="322"/>
      <c r="Q29" s="322"/>
      <c r="R29" s="322"/>
      <c r="S29" s="377"/>
      <c r="T29" s="378"/>
      <c r="U29" s="377"/>
      <c r="V29" s="325"/>
      <c r="W29" s="322"/>
      <c r="X29" s="322"/>
      <c r="Y29" s="377"/>
      <c r="Z29" s="374"/>
    </row>
    <row r="30" spans="1:26" ht="14" x14ac:dyDescent="0.3">
      <c r="A30" s="151">
        <f>IF(C30&lt;&gt;"",COUNTA($C$12:C30),"")</f>
        <v>18</v>
      </c>
      <c r="B30" s="151"/>
      <c r="C30" s="409">
        <f>+'Bill_Bos T2 p1'!C30</f>
        <v>200</v>
      </c>
      <c r="D30" s="409">
        <f t="shared" si="17"/>
        <v>110000</v>
      </c>
      <c r="E30" s="372">
        <f t="shared" si="9"/>
        <v>8385</v>
      </c>
      <c r="F30" s="372">
        <f t="shared" si="10"/>
        <v>13492.6</v>
      </c>
      <c r="G30" s="372">
        <f t="shared" si="11"/>
        <v>21877.599999999999</v>
      </c>
      <c r="H30" s="373"/>
      <c r="I30" s="372">
        <f t="shared" si="12"/>
        <v>8345.5</v>
      </c>
      <c r="J30" s="372">
        <f t="shared" si="13"/>
        <v>17762.8</v>
      </c>
      <c r="K30" s="372">
        <f t="shared" si="14"/>
        <v>26108.3</v>
      </c>
      <c r="L30" s="374"/>
      <c r="M30" s="375">
        <f t="shared" si="15"/>
        <v>4230.7000000000007</v>
      </c>
      <c r="N30" s="376">
        <f t="shared" si="16"/>
        <v>0.19338044392437931</v>
      </c>
      <c r="O30" s="377"/>
      <c r="P30" s="322"/>
      <c r="Q30" s="322"/>
      <c r="R30" s="322"/>
      <c r="S30" s="377"/>
      <c r="T30" s="378"/>
      <c r="U30" s="377"/>
      <c r="V30" s="325"/>
      <c r="W30" s="322"/>
      <c r="X30" s="322"/>
      <c r="Y30" s="377"/>
      <c r="Z30" s="374"/>
    </row>
    <row r="31" spans="1:26" ht="14" x14ac:dyDescent="0.3">
      <c r="A31" s="151">
        <f>IF(C31&lt;&gt;"",COUNTA($C$12:C31),"")</f>
        <v>19</v>
      </c>
      <c r="B31" s="151"/>
      <c r="C31" s="409">
        <f>+'Bill_Bos T2 p1'!C31</f>
        <v>250</v>
      </c>
      <c r="D31" s="409">
        <f t="shared" si="17"/>
        <v>137500</v>
      </c>
      <c r="E31" s="372">
        <f t="shared" si="9"/>
        <v>10453.75</v>
      </c>
      <c r="F31" s="372">
        <f t="shared" si="10"/>
        <v>16865.75</v>
      </c>
      <c r="G31" s="372">
        <f t="shared" si="11"/>
        <v>27319.5</v>
      </c>
      <c r="H31" s="373"/>
      <c r="I31" s="372">
        <f t="shared" si="12"/>
        <v>10404.379999999999</v>
      </c>
      <c r="J31" s="372">
        <f t="shared" si="13"/>
        <v>22203.5</v>
      </c>
      <c r="K31" s="372">
        <f t="shared" si="14"/>
        <v>32607.879999999997</v>
      </c>
      <c r="L31" s="374"/>
      <c r="M31" s="375">
        <f t="shared" si="15"/>
        <v>5288.3799999999974</v>
      </c>
      <c r="N31" s="376">
        <f t="shared" si="16"/>
        <v>0.19357528505280103</v>
      </c>
      <c r="O31" s="377"/>
      <c r="P31" s="322"/>
      <c r="Q31" s="322"/>
      <c r="R31" s="322"/>
      <c r="S31" s="377"/>
      <c r="T31" s="378"/>
      <c r="U31" s="377"/>
      <c r="V31" s="325"/>
      <c r="W31" s="322"/>
      <c r="X31" s="322"/>
      <c r="Y31" s="377"/>
      <c r="Z31" s="374"/>
    </row>
    <row r="32" spans="1:26" ht="14" x14ac:dyDescent="0.3">
      <c r="A32" s="151">
        <f>IF(C32&lt;&gt;"",COUNTA($C$12:C32),"")</f>
        <v>20</v>
      </c>
      <c r="B32" s="151"/>
      <c r="C32" s="409">
        <f>+'Bill_Bos T2 p1'!C32</f>
        <v>300</v>
      </c>
      <c r="D32" s="409">
        <f t="shared" si="17"/>
        <v>165000</v>
      </c>
      <c r="E32" s="372">
        <f t="shared" si="9"/>
        <v>12522.5</v>
      </c>
      <c r="F32" s="372">
        <f t="shared" si="10"/>
        <v>20238.900000000001</v>
      </c>
      <c r="G32" s="372">
        <f t="shared" si="11"/>
        <v>32761.4</v>
      </c>
      <c r="H32" s="373"/>
      <c r="I32" s="372">
        <f t="shared" si="12"/>
        <v>12463.25</v>
      </c>
      <c r="J32" s="372">
        <f t="shared" si="13"/>
        <v>26644.2</v>
      </c>
      <c r="K32" s="372">
        <f t="shared" si="14"/>
        <v>39107.449999999997</v>
      </c>
      <c r="L32" s="374"/>
      <c r="M32" s="375">
        <f t="shared" si="15"/>
        <v>6346.0499999999956</v>
      </c>
      <c r="N32" s="376">
        <f t="shared" si="16"/>
        <v>0.19370509196798658</v>
      </c>
      <c r="O32" s="377"/>
      <c r="P32" s="322"/>
      <c r="Q32" s="322"/>
      <c r="R32" s="322"/>
      <c r="S32" s="377"/>
      <c r="T32" s="378"/>
      <c r="U32" s="377"/>
      <c r="V32" s="325"/>
      <c r="W32" s="322"/>
      <c r="X32" s="322"/>
      <c r="Y32" s="377"/>
      <c r="Z32" s="374"/>
    </row>
    <row r="33" spans="1:26" ht="14" x14ac:dyDescent="0.3">
      <c r="A33" s="151">
        <f>IF(C33&lt;&gt;"",COUNTA($C$12:C33),"")</f>
        <v>21</v>
      </c>
      <c r="B33" s="151"/>
      <c r="C33" s="409">
        <f>+'Bill_Bos T2 p1'!C33</f>
        <v>500</v>
      </c>
      <c r="D33" s="409">
        <f t="shared" si="17"/>
        <v>275000</v>
      </c>
      <c r="E33" s="372">
        <f t="shared" si="9"/>
        <v>20847.5</v>
      </c>
      <c r="F33" s="372">
        <f t="shared" si="10"/>
        <v>33731.5</v>
      </c>
      <c r="G33" s="372">
        <f t="shared" si="11"/>
        <v>54579</v>
      </c>
      <c r="H33" s="373"/>
      <c r="I33" s="372">
        <f t="shared" si="12"/>
        <v>20748.75</v>
      </c>
      <c r="J33" s="372">
        <f t="shared" si="13"/>
        <v>44407</v>
      </c>
      <c r="K33" s="372">
        <f t="shared" si="14"/>
        <v>65155.75</v>
      </c>
      <c r="L33" s="374"/>
      <c r="M33" s="375">
        <f t="shared" si="15"/>
        <v>10576.75</v>
      </c>
      <c r="N33" s="376">
        <f t="shared" si="16"/>
        <v>0.19378790377251323</v>
      </c>
      <c r="O33" s="377"/>
      <c r="P33" s="322"/>
      <c r="Q33" s="322"/>
      <c r="R33" s="322"/>
      <c r="S33" s="377"/>
      <c r="T33" s="378"/>
      <c r="U33" s="377"/>
      <c r="V33" s="325"/>
      <c r="W33" s="322"/>
      <c r="X33" s="322"/>
      <c r="Y33" s="377"/>
      <c r="Z33" s="374"/>
    </row>
    <row r="34" spans="1:26" ht="14" x14ac:dyDescent="0.3">
      <c r="A34" s="151">
        <f>IF(C34&lt;&gt;"",COUNTA($C$12:C34),"")</f>
        <v>22</v>
      </c>
      <c r="B34" s="151"/>
      <c r="C34" s="409">
        <f>+'Bill_Bos T2 p1'!C34</f>
        <v>1000</v>
      </c>
      <c r="D34" s="409">
        <f t="shared" si="17"/>
        <v>550000</v>
      </c>
      <c r="E34" s="372">
        <f t="shared" si="9"/>
        <v>41535</v>
      </c>
      <c r="F34" s="372">
        <f t="shared" si="10"/>
        <v>67463</v>
      </c>
      <c r="G34" s="372">
        <f t="shared" si="11"/>
        <v>108998</v>
      </c>
      <c r="H34" s="373"/>
      <c r="I34" s="372">
        <f t="shared" si="12"/>
        <v>41337.5</v>
      </c>
      <c r="J34" s="372">
        <f t="shared" si="13"/>
        <v>88814</v>
      </c>
      <c r="K34" s="372">
        <f t="shared" si="14"/>
        <v>130151.5</v>
      </c>
      <c r="L34" s="374"/>
      <c r="M34" s="375">
        <f t="shared" si="15"/>
        <v>21153.5</v>
      </c>
      <c r="N34" s="376">
        <f t="shared" si="16"/>
        <v>0.19407236830033578</v>
      </c>
      <c r="O34" s="377"/>
      <c r="P34" s="322"/>
      <c r="Q34" s="322"/>
      <c r="R34" s="322"/>
      <c r="S34" s="377"/>
      <c r="T34" s="378"/>
      <c r="U34" s="377"/>
      <c r="V34" s="325"/>
      <c r="W34" s="322"/>
      <c r="X34" s="322"/>
      <c r="Y34" s="377"/>
      <c r="Z34" s="374"/>
    </row>
    <row r="35" spans="1:26" ht="14" x14ac:dyDescent="0.3">
      <c r="A35" s="151">
        <f>IF(C35&lt;&gt;"",COUNTA($C$12:C35),"")</f>
        <v>23</v>
      </c>
      <c r="B35" s="151" t="s">
        <v>554</v>
      </c>
      <c r="C35" s="409">
        <v>352</v>
      </c>
      <c r="D35" s="409">
        <f t="shared" si="17"/>
        <v>193600</v>
      </c>
      <c r="E35" s="372">
        <f t="shared" si="9"/>
        <v>14724</v>
      </c>
      <c r="F35" s="372">
        <f t="shared" si="10"/>
        <v>23746.98</v>
      </c>
      <c r="G35" s="372">
        <f t="shared" si="11"/>
        <v>38470.979999999996</v>
      </c>
      <c r="H35" s="373"/>
      <c r="I35" s="372">
        <f t="shared" si="12"/>
        <v>14654.48</v>
      </c>
      <c r="J35" s="372">
        <f t="shared" si="13"/>
        <v>31262.53</v>
      </c>
      <c r="K35" s="372">
        <f t="shared" si="14"/>
        <v>45917.009999999995</v>
      </c>
      <c r="L35" s="374"/>
      <c r="M35" s="375">
        <f t="shared" si="15"/>
        <v>7446.0299999999988</v>
      </c>
      <c r="N35" s="376">
        <f t="shared" si="16"/>
        <v>0.19354926752580776</v>
      </c>
      <c r="O35" s="377"/>
      <c r="P35" s="322"/>
      <c r="Q35" s="322"/>
      <c r="R35" s="322"/>
      <c r="S35" s="377"/>
      <c r="T35" s="378"/>
      <c r="U35" s="377"/>
      <c r="V35" s="325"/>
      <c r="W35" s="322"/>
      <c r="X35" s="322"/>
      <c r="Y35" s="377"/>
      <c r="Z35" s="374"/>
    </row>
    <row r="36" spans="1:26" ht="14" x14ac:dyDescent="0.3">
      <c r="A36" s="151" t="str">
        <f>IF(C36&lt;&gt;"",COUNTA($C$12:C36),"")</f>
        <v/>
      </c>
      <c r="B36" s="151"/>
      <c r="D36" s="449"/>
      <c r="E36" s="372"/>
      <c r="F36" s="372"/>
      <c r="G36" s="372"/>
      <c r="H36" s="373"/>
      <c r="I36" s="374"/>
      <c r="J36" s="374"/>
      <c r="K36" s="374"/>
      <c r="L36" s="374"/>
      <c r="M36" s="374"/>
    </row>
    <row r="37" spans="1:26" ht="14" x14ac:dyDescent="0.3">
      <c r="A37" s="151" t="str">
        <f>IF(C37&lt;&gt;"",COUNTA($C$12:C37),"")</f>
        <v/>
      </c>
      <c r="B37" s="151"/>
      <c r="C37" s="293"/>
      <c r="D37" s="293"/>
      <c r="E37" s="448"/>
      <c r="F37" s="448"/>
      <c r="G37" s="372"/>
      <c r="H37" s="373"/>
      <c r="I37" s="374"/>
      <c r="J37" s="374"/>
      <c r="K37" s="374"/>
      <c r="L37" s="374"/>
      <c r="M37" s="374"/>
    </row>
    <row r="38" spans="1:26" ht="14" x14ac:dyDescent="0.3">
      <c r="A38" s="151">
        <f>IF(C38&lt;&gt;"",COUNTA($C$12:C38),"")</f>
        <v>24</v>
      </c>
      <c r="B38" s="151"/>
      <c r="C38" s="293" t="s">
        <v>46</v>
      </c>
      <c r="D38" s="293"/>
      <c r="E38" s="448"/>
      <c r="F38" s="374"/>
      <c r="G38" s="480" t="str">
        <f>'Bill_Bos T2 p1'!G38</f>
        <v>Current</v>
      </c>
      <c r="H38" s="374"/>
      <c r="I38" s="480" t="str">
        <f>'Bill_Bos T2 p1'!I38</f>
        <v>Proposed</v>
      </c>
      <c r="J38" s="481"/>
      <c r="K38" s="374"/>
      <c r="L38" s="374"/>
      <c r="M38" s="374"/>
    </row>
    <row r="39" spans="1:26" ht="17" x14ac:dyDescent="0.6">
      <c r="A39" s="151">
        <f>IF(C39&lt;&gt;"",COUNTA($C$12:C39),"")</f>
        <v>25</v>
      </c>
      <c r="B39" s="151"/>
      <c r="C39" s="274" t="s">
        <v>46</v>
      </c>
      <c r="D39" s="274"/>
      <c r="E39" s="448"/>
      <c r="F39" s="374"/>
      <c r="G39" s="482" t="str">
        <f>'Bill_Bos T2 p1'!G39</f>
        <v>Rates</v>
      </c>
      <c r="H39" s="374"/>
      <c r="I39" s="482" t="str">
        <f>'Bill_Bos T2 p1'!I39</f>
        <v>Rates</v>
      </c>
      <c r="J39" s="482" t="str">
        <f>'Bill_Bos T2 p1'!J39</f>
        <v>Change</v>
      </c>
      <c r="K39" s="374"/>
      <c r="L39" s="374"/>
      <c r="M39" s="374"/>
    </row>
    <row r="40" spans="1:26" ht="14" x14ac:dyDescent="0.3">
      <c r="A40" s="151">
        <f>IF(C40&lt;&gt;"",COUNTA($C$12:C40),"")</f>
        <v>26</v>
      </c>
      <c r="B40" s="151"/>
      <c r="C40" s="293" t="s">
        <v>411</v>
      </c>
      <c r="D40" s="293"/>
      <c r="E40" s="483"/>
      <c r="F40" s="374"/>
      <c r="G40" s="454">
        <v>27</v>
      </c>
      <c r="H40" s="455" t="s">
        <v>46</v>
      </c>
      <c r="I40" s="454">
        <f>+G40</f>
        <v>27</v>
      </c>
      <c r="J40" s="421">
        <f>I40-G40</f>
        <v>0</v>
      </c>
      <c r="K40" s="374"/>
      <c r="L40" s="374"/>
      <c r="M40" s="374"/>
    </row>
    <row r="41" spans="1:26" ht="14" x14ac:dyDescent="0.3">
      <c r="A41" s="151">
        <f>IF(C41&lt;&gt;"",COUNTA($C$12:C41),"")</f>
        <v>27</v>
      </c>
      <c r="B41" s="151"/>
      <c r="C41" s="293" t="s">
        <v>413</v>
      </c>
      <c r="D41" s="293"/>
      <c r="E41" s="483"/>
      <c r="F41" s="374"/>
      <c r="G41" s="454">
        <v>110</v>
      </c>
      <c r="H41" s="455"/>
      <c r="I41" s="454">
        <f t="shared" ref="I41:I43" si="18">+G41</f>
        <v>110</v>
      </c>
      <c r="J41" s="421">
        <f t="shared" ref="J41:J66" si="19">I41-G41</f>
        <v>0</v>
      </c>
      <c r="K41" s="374"/>
      <c r="L41" s="374"/>
      <c r="M41" s="374"/>
    </row>
    <row r="42" spans="1:26" ht="14" x14ac:dyDescent="0.3">
      <c r="A42" s="151">
        <f>IF(C42&lt;&gt;"",COUNTA($C$12:C42),"")</f>
        <v>28</v>
      </c>
      <c r="B42" s="151"/>
      <c r="C42" s="293" t="s">
        <v>415</v>
      </c>
      <c r="D42" s="293"/>
      <c r="E42" s="483"/>
      <c r="F42" s="374"/>
      <c r="G42" s="454">
        <v>160</v>
      </c>
      <c r="H42" s="455"/>
      <c r="I42" s="454">
        <f t="shared" si="18"/>
        <v>160</v>
      </c>
      <c r="J42" s="421">
        <f t="shared" si="19"/>
        <v>0</v>
      </c>
      <c r="K42" s="374"/>
      <c r="L42" s="374"/>
      <c r="M42" s="374"/>
    </row>
    <row r="43" spans="1:26" ht="14" x14ac:dyDescent="0.3">
      <c r="A43" s="151">
        <f>IF(C43&lt;&gt;"",COUNTA($C$12:C43),"")</f>
        <v>29</v>
      </c>
      <c r="B43" s="151"/>
      <c r="C43" s="293" t="s">
        <v>417</v>
      </c>
      <c r="D43" s="293"/>
      <c r="E43" s="483"/>
      <c r="F43" s="374"/>
      <c r="G43" s="454">
        <v>360</v>
      </c>
      <c r="H43" s="455"/>
      <c r="I43" s="454">
        <f t="shared" si="18"/>
        <v>360</v>
      </c>
      <c r="J43" s="421">
        <f t="shared" si="19"/>
        <v>0</v>
      </c>
      <c r="K43" s="374"/>
      <c r="L43" s="374"/>
      <c r="M43" s="374"/>
    </row>
    <row r="44" spans="1:26" ht="14" x14ac:dyDescent="0.3">
      <c r="A44" s="151">
        <f>IF(C44&lt;&gt;"",COUNTA($C$12:C44),"")</f>
        <v>30</v>
      </c>
      <c r="B44" s="151"/>
      <c r="C44" s="293" t="s">
        <v>404</v>
      </c>
      <c r="D44" s="293"/>
      <c r="E44" s="483"/>
      <c r="F44" s="374"/>
      <c r="G44" s="454">
        <v>11.08</v>
      </c>
      <c r="H44" s="455"/>
      <c r="I44" s="454">
        <v>11.46</v>
      </c>
      <c r="J44" s="421">
        <f t="shared" si="19"/>
        <v>0.38000000000000078</v>
      </c>
      <c r="K44" s="374"/>
      <c r="L44" s="374"/>
      <c r="M44" s="374"/>
    </row>
    <row r="45" spans="1:26" ht="14" x14ac:dyDescent="0.3">
      <c r="A45" s="151">
        <f>IF(C45&lt;&gt;"",COUNTA($C$12:C45),"")</f>
        <v>31</v>
      </c>
      <c r="B45" s="151"/>
      <c r="C45" s="293" t="s">
        <v>406</v>
      </c>
      <c r="D45" s="293"/>
      <c r="E45" s="483"/>
      <c r="F45" s="374"/>
      <c r="G45" s="454">
        <v>19.45</v>
      </c>
      <c r="H45" s="455"/>
      <c r="I45" s="454">
        <v>20.11</v>
      </c>
      <c r="J45" s="421">
        <f t="shared" si="19"/>
        <v>0.66000000000000014</v>
      </c>
      <c r="K45" s="374"/>
      <c r="L45" s="374"/>
      <c r="M45" s="374"/>
    </row>
    <row r="46" spans="1:26" ht="14" x14ac:dyDescent="0.3">
      <c r="A46" s="151">
        <f>IF(C46&lt;&gt;"",COUNTA($C$12:C46),"")</f>
        <v>32</v>
      </c>
      <c r="B46" s="151"/>
      <c r="C46" s="293" t="str">
        <f>'Bill_Bos T2 p1'!C46</f>
        <v>Transmission Demand</v>
      </c>
      <c r="D46" s="293"/>
      <c r="E46" s="483"/>
      <c r="F46" s="374"/>
      <c r="G46" s="454">
        <v>9</v>
      </c>
      <c r="H46" s="448"/>
      <c r="I46" s="454">
        <v>7.73</v>
      </c>
      <c r="J46" s="421">
        <f>I46-G46</f>
        <v>-1.2699999999999996</v>
      </c>
      <c r="K46" s="374"/>
      <c r="L46" s="374"/>
      <c r="M46" s="374"/>
    </row>
    <row r="47" spans="1:26" ht="14" x14ac:dyDescent="0.3">
      <c r="A47" s="151">
        <f>IF(C47&lt;&gt;"",COUNTA($C$12:C47),"")</f>
        <v>33</v>
      </c>
      <c r="B47" s="151"/>
      <c r="C47" s="293" t="s">
        <v>298</v>
      </c>
      <c r="D47" s="293"/>
      <c r="E47" s="483"/>
      <c r="F47" s="374"/>
      <c r="G47" s="308">
        <v>0</v>
      </c>
      <c r="H47" s="484"/>
      <c r="I47" s="308">
        <v>0</v>
      </c>
      <c r="J47" s="354">
        <f t="shared" si="19"/>
        <v>0</v>
      </c>
      <c r="K47" s="374"/>
      <c r="L47" s="374"/>
      <c r="M47" s="374"/>
    </row>
    <row r="48" spans="1:26" ht="14" x14ac:dyDescent="0.3">
      <c r="A48" s="151">
        <f>IF(C48&lt;&gt;"",COUNTA($C$12:C48),"")</f>
        <v>34</v>
      </c>
      <c r="B48" s="151"/>
      <c r="C48" s="293" t="str">
        <f>'Bill_Bos T2 p1'!C48</f>
        <v>Revenue Decoupling</v>
      </c>
      <c r="D48" s="293"/>
      <c r="E48" s="483"/>
      <c r="F48" s="374"/>
      <c r="G48" s="308">
        <v>0</v>
      </c>
      <c r="H48" s="277"/>
      <c r="I48" s="277">
        <v>-4.0999999999999999E-4</v>
      </c>
      <c r="J48" s="354">
        <f t="shared" si="19"/>
        <v>-4.0999999999999999E-4</v>
      </c>
      <c r="K48" s="374"/>
      <c r="L48" s="374"/>
      <c r="M48" s="374"/>
    </row>
    <row r="49" spans="1:13" ht="14" x14ac:dyDescent="0.3">
      <c r="A49" s="151">
        <f>IF(C49&lt;&gt;"",COUNTA($C$12:C49),"")</f>
        <v>35</v>
      </c>
      <c r="B49" s="151"/>
      <c r="C49" s="293" t="str">
        <f>'Bill_Bos T2 p1'!C49</f>
        <v>Residential Assistance Adjustment Factor</v>
      </c>
      <c r="D49" s="293"/>
      <c r="E49" s="483"/>
      <c r="F49" s="374"/>
      <c r="G49" s="277">
        <v>2.5000000000000001E-3</v>
      </c>
      <c r="H49" s="277"/>
      <c r="I49" s="277">
        <v>3.46E-3</v>
      </c>
      <c r="J49" s="354">
        <f t="shared" si="19"/>
        <v>9.5999999999999992E-4</v>
      </c>
      <c r="K49" s="374"/>
      <c r="L49" s="374"/>
      <c r="M49" s="374"/>
    </row>
    <row r="50" spans="1:13" ht="14" x14ac:dyDescent="0.3">
      <c r="A50" s="151">
        <f>IF(C50&lt;&gt;"",COUNTA($C$12:C50),"")</f>
        <v>36</v>
      </c>
      <c r="B50" s="151"/>
      <c r="C50" s="293" t="str">
        <f>'Bill_Bos T2 p1'!C50</f>
        <v>Pension Adjustment Factor</v>
      </c>
      <c r="D50" s="293"/>
      <c r="E50" s="483"/>
      <c r="F50" s="374"/>
      <c r="G50" s="277">
        <v>-5.0000000000000002E-5</v>
      </c>
      <c r="H50" s="277"/>
      <c r="I50" s="277">
        <v>4.6999999999999999E-4</v>
      </c>
      <c r="J50" s="354">
        <f t="shared" si="19"/>
        <v>5.1999999999999995E-4</v>
      </c>
      <c r="K50" s="374"/>
      <c r="L50" s="374"/>
      <c r="M50" s="374"/>
    </row>
    <row r="51" spans="1:13" ht="14" x14ac:dyDescent="0.3">
      <c r="A51" s="151">
        <f>IF(C51&lt;&gt;"",COUNTA($C$12:C51),"")</f>
        <v>37</v>
      </c>
      <c r="B51" s="151"/>
      <c r="C51" s="293" t="str">
        <f>'Bill_Bos T2 p1'!C51</f>
        <v>Net Metering Recovery Surcharge</v>
      </c>
      <c r="D51" s="293"/>
      <c r="E51" s="483"/>
      <c r="F51" s="374"/>
      <c r="G51" s="277">
        <v>4.9300000000000004E-3</v>
      </c>
      <c r="H51" s="277"/>
      <c r="I51" s="277">
        <v>4.5100000000000001E-3</v>
      </c>
      <c r="J51" s="354">
        <f t="shared" si="19"/>
        <v>-4.2000000000000023E-4</v>
      </c>
      <c r="K51" s="374"/>
      <c r="L51" s="374"/>
      <c r="M51" s="374"/>
    </row>
    <row r="52" spans="1:13" ht="14" x14ac:dyDescent="0.3">
      <c r="A52" s="151">
        <f>IF(C52&lt;&gt;"",COUNTA($C$12:C52),"")</f>
        <v>38</v>
      </c>
      <c r="B52" s="151"/>
      <c r="C52" s="293" t="str">
        <f>'Bill_Bos T2 p1'!C52</f>
        <v>Long Term Renewable Contract Adjustment</v>
      </c>
      <c r="D52" s="293"/>
      <c r="E52" s="483"/>
      <c r="F52" s="374"/>
      <c r="G52" s="277">
        <v>2.3600000000000001E-3</v>
      </c>
      <c r="H52" s="277"/>
      <c r="I52" s="277">
        <v>1.74E-3</v>
      </c>
      <c r="J52" s="354">
        <f t="shared" si="19"/>
        <v>-6.2000000000000011E-4</v>
      </c>
      <c r="K52" s="374"/>
      <c r="L52" s="374"/>
      <c r="M52" s="374"/>
    </row>
    <row r="53" spans="1:13" ht="14" x14ac:dyDescent="0.3">
      <c r="A53" s="151">
        <f>IF(C53&lt;&gt;"",COUNTA($C$12:C53),"")</f>
        <v>39</v>
      </c>
      <c r="B53" s="151"/>
      <c r="C53" s="293" t="str">
        <f>'Bill_Bos T2 p1'!C53</f>
        <v>AG Consulting Expense</v>
      </c>
      <c r="D53" s="293"/>
      <c r="E53" s="483"/>
      <c r="F53" s="374"/>
      <c r="G53" s="277">
        <v>3.0000000000000001E-5</v>
      </c>
      <c r="H53" s="277"/>
      <c r="I53" s="277">
        <v>1.0000000000000001E-5</v>
      </c>
      <c r="J53" s="354">
        <f t="shared" si="19"/>
        <v>-1.9999999999999998E-5</v>
      </c>
      <c r="K53" s="374"/>
      <c r="L53" s="374"/>
      <c r="M53" s="374"/>
    </row>
    <row r="54" spans="1:13" ht="14" x14ac:dyDescent="0.3">
      <c r="A54" s="151">
        <f>IF(C54&lt;&gt;"",COUNTA($C$12:C54),"")</f>
        <v>40</v>
      </c>
      <c r="B54" s="151"/>
      <c r="C54" s="293" t="str">
        <f>'Bill_Bos T2 p1'!C54</f>
        <v>Storm Cost Recovery Adjustment Factor</v>
      </c>
      <c r="D54" s="293"/>
      <c r="E54" s="483"/>
      <c r="F54" s="374"/>
      <c r="G54" s="277">
        <v>1.5399999999999999E-3</v>
      </c>
      <c r="H54" s="277"/>
      <c r="I54" s="277">
        <v>2.6199999999999999E-3</v>
      </c>
      <c r="J54" s="354">
        <f t="shared" si="19"/>
        <v>1.08E-3</v>
      </c>
      <c r="K54" s="374"/>
      <c r="L54" s="374"/>
      <c r="M54" s="374"/>
    </row>
    <row r="55" spans="1:13" ht="14" x14ac:dyDescent="0.3">
      <c r="A55" s="151">
        <f>IF(C55&lt;&gt;"",COUNTA($C$12:C55),"")</f>
        <v>41</v>
      </c>
      <c r="B55" s="151"/>
      <c r="C55" s="293" t="str">
        <f>'Bill_Bos T2 p1'!C55</f>
        <v>Storm Reserve Adjustment</v>
      </c>
      <c r="D55" s="293"/>
      <c r="E55" s="483"/>
      <c r="F55" s="374"/>
      <c r="G55" s="277">
        <v>0</v>
      </c>
      <c r="H55" s="277"/>
      <c r="I55" s="277">
        <v>0</v>
      </c>
      <c r="J55" s="354">
        <f t="shared" si="19"/>
        <v>0</v>
      </c>
      <c r="K55" s="374"/>
      <c r="L55" s="374"/>
      <c r="M55" s="374"/>
    </row>
    <row r="56" spans="1:13" ht="14" x14ac:dyDescent="0.3">
      <c r="A56" s="151">
        <f>IF(C56&lt;&gt;"",COUNTA($C$12:C56),"")</f>
        <v>42</v>
      </c>
      <c r="B56" s="151"/>
      <c r="C56" s="293" t="str">
        <f>'Bill_Bos T2 p1'!C56</f>
        <v>Basic Service Cost True Up Factor</v>
      </c>
      <c r="D56" s="293"/>
      <c r="E56" s="483"/>
      <c r="F56" s="374"/>
      <c r="G56" s="277">
        <v>1.34E-3</v>
      </c>
      <c r="H56" s="277"/>
      <c r="I56" s="277">
        <v>-1.7000000000000001E-4</v>
      </c>
      <c r="J56" s="354">
        <f t="shared" si="19"/>
        <v>-1.5100000000000001E-3</v>
      </c>
      <c r="K56" s="374"/>
      <c r="L56" s="374"/>
      <c r="M56" s="374"/>
    </row>
    <row r="57" spans="1:13" ht="14" x14ac:dyDescent="0.3">
      <c r="A57" s="151">
        <f>IF(C57&lt;&gt;"",COUNTA($C$12:C57),"")</f>
        <v>43</v>
      </c>
      <c r="B57" s="151"/>
      <c r="C57" s="293" t="str">
        <f>'Bill_Bos T2 p1'!C57</f>
        <v>Solar Program Cost Adjustment Factor</v>
      </c>
      <c r="D57" s="293"/>
      <c r="E57" s="483"/>
      <c r="F57" s="374"/>
      <c r="G57" s="277">
        <v>0</v>
      </c>
      <c r="H57" s="277"/>
      <c r="I57" s="277">
        <v>3.0000000000000001E-5</v>
      </c>
      <c r="J57" s="354">
        <f t="shared" si="19"/>
        <v>3.0000000000000001E-5</v>
      </c>
      <c r="K57" s="374"/>
      <c r="L57" s="374"/>
      <c r="M57" s="374"/>
    </row>
    <row r="58" spans="1:13" ht="14" x14ac:dyDescent="0.3">
      <c r="A58" s="151">
        <f>IF(C58&lt;&gt;"",COUNTA($C$12:C58),"")</f>
        <v>44</v>
      </c>
      <c r="B58" s="151"/>
      <c r="C58" s="293" t="str">
        <f>'Bill_Bos T2 p1'!C58</f>
        <v>Solar Expansion Cost Recovery Factor</v>
      </c>
      <c r="D58" s="293"/>
      <c r="E58" s="483"/>
      <c r="F58" s="374"/>
      <c r="G58" s="277">
        <v>0</v>
      </c>
      <c r="H58" s="277"/>
      <c r="I58" s="277">
        <v>5.4000000000000001E-4</v>
      </c>
      <c r="J58" s="354">
        <f t="shared" si="19"/>
        <v>5.4000000000000001E-4</v>
      </c>
      <c r="K58" s="374"/>
      <c r="L58" s="374"/>
      <c r="M58" s="374"/>
    </row>
    <row r="59" spans="1:13" ht="14" x14ac:dyDescent="0.3">
      <c r="A59" s="151">
        <f>IF(C59&lt;&gt;"",COUNTA($C$12:C59),"")</f>
        <v>45</v>
      </c>
      <c r="B59" s="151"/>
      <c r="C59" s="293" t="str">
        <f>'Bill_Bos T2 p1'!C59</f>
        <v>Vegetation Management</v>
      </c>
      <c r="D59" s="293"/>
      <c r="E59" s="483"/>
      <c r="F59" s="374"/>
      <c r="G59" s="277">
        <v>0</v>
      </c>
      <c r="H59" s="277"/>
      <c r="I59" s="277">
        <v>8.3000000000000001E-4</v>
      </c>
      <c r="J59" s="354">
        <f t="shared" si="19"/>
        <v>8.3000000000000001E-4</v>
      </c>
      <c r="K59" s="374"/>
      <c r="L59" s="374"/>
      <c r="M59" s="374"/>
    </row>
    <row r="60" spans="1:13" ht="14" x14ac:dyDescent="0.3">
      <c r="A60" s="151">
        <f>IF(C60&lt;&gt;"",COUNTA($C$12:C60),"")</f>
        <v>46</v>
      </c>
      <c r="B60" s="151"/>
      <c r="C60" s="293" t="str">
        <f>'Bill_Bos T2 p1'!C60</f>
        <v>Solar Massachusetts Renewable Target</v>
      </c>
      <c r="D60" s="339"/>
      <c r="E60" s="339"/>
      <c r="F60" s="277"/>
      <c r="G60" s="277">
        <v>0</v>
      </c>
      <c r="H60" s="277"/>
      <c r="I60" s="277">
        <v>6.3000000000000003E-4</v>
      </c>
      <c r="J60" s="354">
        <f t="shared" si="19"/>
        <v>6.3000000000000003E-4</v>
      </c>
      <c r="K60" s="339"/>
      <c r="L60" s="339"/>
    </row>
    <row r="61" spans="1:13" ht="14" x14ac:dyDescent="0.3">
      <c r="A61" s="151">
        <f>IF(C61&lt;&gt;"",COUNTA($C$12:C61),"")</f>
        <v>47</v>
      </c>
      <c r="B61" s="151"/>
      <c r="C61" s="293" t="str">
        <f>'Bill_Bos T2 p1'!C61</f>
        <v>Tax Act Credit Factor</v>
      </c>
      <c r="D61" s="339"/>
      <c r="E61" s="339"/>
      <c r="F61" s="277"/>
      <c r="G61" s="277">
        <v>0</v>
      </c>
      <c r="H61" s="277"/>
      <c r="I61" s="277">
        <v>-9.5E-4</v>
      </c>
      <c r="J61" s="354">
        <f t="shared" si="19"/>
        <v>-9.5E-4</v>
      </c>
      <c r="K61" s="339"/>
      <c r="L61" s="339"/>
    </row>
    <row r="62" spans="1:13" ht="14" x14ac:dyDescent="0.3">
      <c r="A62" s="151">
        <f>IF(C62&lt;&gt;"",COUNTA($C$12:C62),"")</f>
        <v>48</v>
      </c>
      <c r="B62" s="151"/>
      <c r="C62" s="293" t="str">
        <f>'Bill_Bos T2 p1'!C62</f>
        <v>Transition</v>
      </c>
      <c r="D62" s="293"/>
      <c r="E62" s="483"/>
      <c r="F62" s="374"/>
      <c r="G62" s="308">
        <v>-6.0999999999999997E-4</v>
      </c>
      <c r="H62" s="277"/>
      <c r="I62" s="277">
        <v>-5.1999999999999995E-4</v>
      </c>
      <c r="J62" s="354">
        <f t="shared" si="19"/>
        <v>9.0000000000000019E-5</v>
      </c>
      <c r="K62" s="374"/>
      <c r="L62" s="374"/>
      <c r="M62" s="374"/>
    </row>
    <row r="63" spans="1:13" ht="14" x14ac:dyDescent="0.3">
      <c r="A63" s="151">
        <f>IF(C63&lt;&gt;"",COUNTA($C$12:C63),"")</f>
        <v>49</v>
      </c>
      <c r="B63" s="151"/>
      <c r="C63" s="293" t="str">
        <f>'Bill_Bos T2 p1'!C63</f>
        <v>Energy Efficiency Reconciliation Factor</v>
      </c>
      <c r="D63" s="293"/>
      <c r="E63" s="483"/>
      <c r="F63" s="374"/>
      <c r="G63" s="308">
        <v>8.4600000000000005E-3</v>
      </c>
      <c r="H63" s="400"/>
      <c r="I63" s="308">
        <v>8.4600000000000005E-3</v>
      </c>
      <c r="J63" s="354">
        <f t="shared" si="19"/>
        <v>0</v>
      </c>
      <c r="K63" s="374"/>
      <c r="L63" s="374"/>
      <c r="M63" s="374"/>
    </row>
    <row r="64" spans="1:13" ht="14" x14ac:dyDescent="0.3">
      <c r="A64" s="151">
        <f>IF(C64&lt;&gt;"",COUNTA($C$12:C64),"")</f>
        <v>50</v>
      </c>
      <c r="B64" s="151"/>
      <c r="C64" s="293" t="str">
        <f>'Bill_Bos T2 p1'!C64</f>
        <v>System Benefits Charge</v>
      </c>
      <c r="D64" s="293"/>
      <c r="E64" s="483"/>
      <c r="F64" s="374"/>
      <c r="G64" s="308">
        <v>2.5000000000000001E-3</v>
      </c>
      <c r="H64" s="400"/>
      <c r="I64" s="308">
        <f>+G64</f>
        <v>2.5000000000000001E-3</v>
      </c>
      <c r="J64" s="354">
        <f t="shared" si="19"/>
        <v>0</v>
      </c>
      <c r="K64" s="374"/>
      <c r="L64" s="374"/>
      <c r="M64" s="374"/>
    </row>
    <row r="65" spans="1:13" ht="14" x14ac:dyDescent="0.3">
      <c r="A65" s="151">
        <f>IF(C65&lt;&gt;"",COUNTA($C$12:C65),"")</f>
        <v>51</v>
      </c>
      <c r="B65" s="151"/>
      <c r="C65" s="293" t="str">
        <f>'Bill_Bos T2 p1'!C65</f>
        <v>Renewable Energy Charge</v>
      </c>
      <c r="D65" s="293"/>
      <c r="E65" s="483"/>
      <c r="F65" s="374"/>
      <c r="G65" s="308">
        <v>5.0000000000000001E-4</v>
      </c>
      <c r="H65" s="400"/>
      <c r="I65" s="308">
        <f>+G65</f>
        <v>5.0000000000000001E-4</v>
      </c>
      <c r="J65" s="354">
        <f t="shared" si="19"/>
        <v>0</v>
      </c>
      <c r="K65" s="374"/>
      <c r="L65" s="374"/>
      <c r="M65" s="374"/>
    </row>
    <row r="66" spans="1:13" ht="14" x14ac:dyDescent="0.3">
      <c r="A66" s="151">
        <f>IF(C66&lt;&gt;"",COUNTA($C$12:C66),"")</f>
        <v>52</v>
      </c>
      <c r="B66" s="151"/>
      <c r="C66" s="293" t="str">
        <f>'Bill_Bos T2 p1'!C66</f>
        <v>Basic Service Charge</v>
      </c>
      <c r="D66" s="293"/>
      <c r="E66" s="483"/>
      <c r="F66" s="374"/>
      <c r="G66" s="308">
        <v>0.12265999999999999</v>
      </c>
      <c r="H66" s="400"/>
      <c r="I66" s="308">
        <v>0.16148000000000001</v>
      </c>
      <c r="J66" s="354">
        <f t="shared" si="19"/>
        <v>3.8820000000000021E-2</v>
      </c>
      <c r="K66" s="374"/>
      <c r="L66" s="374"/>
      <c r="M66" s="374"/>
    </row>
    <row r="67" spans="1:13" ht="14" x14ac:dyDescent="0.3">
      <c r="A67" s="151"/>
      <c r="B67" s="151"/>
      <c r="E67" s="374"/>
      <c r="F67" s="374"/>
      <c r="G67" s="374"/>
      <c r="H67" s="374"/>
      <c r="I67" s="374"/>
      <c r="J67" s="374"/>
      <c r="K67" s="374"/>
      <c r="L67" s="374"/>
      <c r="M67" s="374"/>
    </row>
    <row r="68" spans="1:13" ht="14" x14ac:dyDescent="0.3">
      <c r="A68" s="151"/>
      <c r="B68" s="151"/>
      <c r="E68" s="374"/>
      <c r="F68" s="374"/>
      <c r="G68" s="374"/>
      <c r="H68" s="374"/>
      <c r="I68" s="374"/>
      <c r="J68" s="374"/>
      <c r="K68" s="374"/>
      <c r="L68" s="374"/>
      <c r="M68" s="374"/>
    </row>
    <row r="69" spans="1:13" ht="14" x14ac:dyDescent="0.3">
      <c r="C69" s="369" t="str">
        <f>'Bill_Bos G3 p1'!C67</f>
        <v>Total Demand - Winter</v>
      </c>
      <c r="E69" s="374"/>
      <c r="F69" s="374"/>
      <c r="G69" s="374">
        <f>G44+G46</f>
        <v>20.079999999999998</v>
      </c>
      <c r="H69" s="374"/>
      <c r="I69" s="374">
        <f>I44+I46</f>
        <v>19.190000000000001</v>
      </c>
      <c r="J69" s="421">
        <f t="shared" ref="J69:J72" si="20">I69-G69</f>
        <v>-0.88999999999999702</v>
      </c>
      <c r="K69" s="374"/>
      <c r="L69" s="374"/>
      <c r="M69" s="374"/>
    </row>
    <row r="70" spans="1:13" ht="14" x14ac:dyDescent="0.3">
      <c r="C70" s="369" t="str">
        <f>'Bill_Bos G3 p1'!C68</f>
        <v>Total Demand - Summer</v>
      </c>
      <c r="E70" s="374"/>
      <c r="F70" s="374"/>
      <c r="G70" s="374">
        <f>+G45+G46</f>
        <v>28.45</v>
      </c>
      <c r="H70" s="374"/>
      <c r="I70" s="374">
        <f>+I45+I46</f>
        <v>27.84</v>
      </c>
      <c r="J70" s="421">
        <f t="shared" si="20"/>
        <v>-0.60999999999999943</v>
      </c>
      <c r="K70" s="374"/>
      <c r="L70" s="374"/>
      <c r="M70" s="374"/>
    </row>
    <row r="71" spans="1:13" ht="14" x14ac:dyDescent="0.3">
      <c r="C71" s="369" t="str">
        <f>'Bill_Bos G3 p1'!C69</f>
        <v>Total Energy</v>
      </c>
      <c r="E71" s="374"/>
      <c r="F71" s="374"/>
      <c r="G71" s="403">
        <f>SUM(G47:G62,G63:G65)</f>
        <v>2.3500000000000004E-2</v>
      </c>
      <c r="H71" s="403"/>
      <c r="I71" s="403">
        <f>SUM(I47:I62,I63:I65)</f>
        <v>2.4250000000000001E-2</v>
      </c>
      <c r="J71" s="354">
        <f t="shared" si="20"/>
        <v>7.499999999999972E-4</v>
      </c>
      <c r="K71" s="374"/>
      <c r="L71" s="374"/>
      <c r="M71" s="374"/>
    </row>
    <row r="72" spans="1:13" ht="14" x14ac:dyDescent="0.3">
      <c r="C72" s="369" t="str">
        <f>'Bill_Bos G3 p1'!C70</f>
        <v>Total Basic Service</v>
      </c>
      <c r="E72" s="374"/>
      <c r="F72" s="374"/>
      <c r="G72" s="403">
        <f>G66</f>
        <v>0.12265999999999999</v>
      </c>
      <c r="H72" s="403"/>
      <c r="I72" s="403">
        <f>I66</f>
        <v>0.16148000000000001</v>
      </c>
      <c r="J72" s="354">
        <f t="shared" si="20"/>
        <v>3.8820000000000021E-2</v>
      </c>
      <c r="K72" s="374"/>
      <c r="L72" s="374"/>
      <c r="M72" s="374"/>
    </row>
    <row r="73" spans="1:13" ht="14" x14ac:dyDescent="0.3">
      <c r="E73" s="374"/>
      <c r="F73" s="374"/>
      <c r="G73" s="374"/>
      <c r="H73" s="374"/>
      <c r="I73" s="374"/>
      <c r="J73" s="374"/>
      <c r="K73" s="374"/>
      <c r="L73" s="374"/>
      <c r="M73" s="374"/>
    </row>
    <row r="74" spans="1:13" ht="14" x14ac:dyDescent="0.3">
      <c r="E74" s="374"/>
      <c r="F74" s="374"/>
      <c r="G74" s="374"/>
      <c r="H74" s="374"/>
      <c r="I74" s="374"/>
      <c r="J74" s="374"/>
      <c r="K74" s="374"/>
      <c r="L74" s="374"/>
      <c r="M74" s="374"/>
    </row>
    <row r="75" spans="1:13" ht="14" x14ac:dyDescent="0.3">
      <c r="E75" s="374"/>
      <c r="F75" s="374"/>
      <c r="G75" s="374"/>
      <c r="H75" s="374"/>
      <c r="I75" s="374"/>
      <c r="J75" s="374"/>
      <c r="K75" s="374"/>
      <c r="L75" s="374"/>
      <c r="M75" s="374"/>
    </row>
    <row r="76" spans="1:13" ht="14" x14ac:dyDescent="0.3">
      <c r="E76" s="374"/>
      <c r="F76" s="374"/>
      <c r="G76" s="374"/>
      <c r="H76" s="374"/>
      <c r="I76" s="374"/>
      <c r="J76" s="374"/>
      <c r="K76" s="374"/>
      <c r="L76" s="374"/>
      <c r="M76" s="374"/>
    </row>
    <row r="77" spans="1:13" ht="14" x14ac:dyDescent="0.3">
      <c r="E77" s="374"/>
      <c r="F77" s="374"/>
      <c r="G77" s="374"/>
      <c r="H77" s="374"/>
      <c r="I77" s="374"/>
      <c r="J77" s="374"/>
      <c r="K77" s="374"/>
      <c r="L77" s="374"/>
      <c r="M77" s="374"/>
    </row>
    <row r="78" spans="1:13" ht="14" x14ac:dyDescent="0.3">
      <c r="E78" s="374"/>
      <c r="F78" s="374"/>
      <c r="G78" s="374"/>
      <c r="H78" s="374"/>
      <c r="I78" s="374"/>
      <c r="J78" s="374"/>
      <c r="K78" s="374"/>
      <c r="L78" s="374"/>
      <c r="M78" s="374"/>
    </row>
    <row r="79" spans="1:13" ht="14" x14ac:dyDescent="0.3">
      <c r="E79" s="374"/>
      <c r="F79" s="374"/>
      <c r="G79" s="374"/>
      <c r="H79" s="374"/>
      <c r="I79" s="374"/>
      <c r="J79" s="374"/>
      <c r="K79" s="374"/>
      <c r="L79" s="374"/>
      <c r="M79" s="374"/>
    </row>
    <row r="80" spans="1:13" ht="14" x14ac:dyDescent="0.3">
      <c r="E80" s="374"/>
      <c r="F80" s="374"/>
      <c r="G80" s="374"/>
      <c r="H80" s="374"/>
      <c r="I80" s="374"/>
      <c r="J80" s="374"/>
      <c r="K80" s="374"/>
      <c r="L80" s="374"/>
      <c r="M80" s="374"/>
    </row>
  </sheetData>
  <mergeCells count="5">
    <mergeCell ref="A4:N4"/>
    <mergeCell ref="A5:N5"/>
    <mergeCell ref="A6:N6"/>
    <mergeCell ref="A8:N8"/>
    <mergeCell ref="A9:N9"/>
  </mergeCells>
  <pageMargins left="0.7" right="0.7" top="0.75" bottom="0.75" header="0.3" footer="0.3"/>
  <pageSetup scale="63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F10F6-0223-4374-B249-EC166954BBC6}">
  <sheetPr>
    <tabColor theme="3" tint="0.59999389629810485"/>
    <pageSetUpPr fitToPage="1"/>
  </sheetPr>
  <dimension ref="A4:X74"/>
  <sheetViews>
    <sheetView zoomScaleNormal="100" workbookViewId="0"/>
  </sheetViews>
  <sheetFormatPr defaultRowHeight="12.5" x14ac:dyDescent="0.25"/>
  <cols>
    <col min="1" max="1" width="4.1796875" customWidth="1"/>
    <col min="2" max="2" width="4.453125" bestFit="1" customWidth="1"/>
    <col min="3" max="3" width="9.7265625" customWidth="1"/>
    <col min="4" max="6" width="14.81640625" customWidth="1"/>
    <col min="7" max="7" width="1.81640625" customWidth="1"/>
    <col min="8" max="10" width="14.81640625" customWidth="1"/>
    <col min="11" max="11" width="1.81640625" customWidth="1"/>
    <col min="12" max="13" width="10.81640625" customWidth="1"/>
  </cols>
  <sheetData>
    <row r="4" spans="1:24" ht="14" x14ac:dyDescent="0.3">
      <c r="A4" s="764" t="str">
        <f>'Bill_Bos T2 p6'!A4:N4</f>
        <v>Eastern Massachusetts</v>
      </c>
      <c r="B4" s="764"/>
      <c r="C4" s="764"/>
      <c r="D4" s="764"/>
      <c r="E4" s="764"/>
      <c r="F4" s="764"/>
      <c r="G4" s="764"/>
      <c r="H4" s="764"/>
      <c r="I4" s="764"/>
      <c r="J4" s="764"/>
      <c r="K4" s="764"/>
      <c r="L4" s="764"/>
      <c r="M4" s="764"/>
    </row>
    <row r="5" spans="1:24" ht="14" x14ac:dyDescent="0.3">
      <c r="A5" s="764" t="str">
        <f>+'Bill_Bos G1 nonDem'!A5:M5</f>
        <v>Calculation of Monthly Typical Bill</v>
      </c>
      <c r="B5" s="764"/>
      <c r="C5" s="764"/>
      <c r="D5" s="764"/>
      <c r="E5" s="764"/>
      <c r="F5" s="764"/>
      <c r="G5" s="764"/>
      <c r="H5" s="764"/>
      <c r="I5" s="764"/>
      <c r="J5" s="764"/>
      <c r="K5" s="764"/>
      <c r="L5" s="764"/>
      <c r="M5" s="764"/>
    </row>
    <row r="6" spans="1:24" ht="14" x14ac:dyDescent="0.3">
      <c r="A6" s="764" t="str">
        <f>+'Bill_Bos G1 nonDem'!A6:M6</f>
        <v>Proposed January 1, 2019</v>
      </c>
      <c r="B6" s="764"/>
      <c r="C6" s="764"/>
      <c r="D6" s="764"/>
      <c r="E6" s="764"/>
      <c r="F6" s="764"/>
      <c r="G6" s="764"/>
      <c r="H6" s="764"/>
      <c r="I6" s="764"/>
      <c r="J6" s="764"/>
      <c r="K6" s="764"/>
      <c r="L6" s="764"/>
      <c r="M6" s="764"/>
    </row>
    <row r="7" spans="1:24" ht="14" x14ac:dyDescent="0.3">
      <c r="A7" s="487"/>
      <c r="B7" s="487"/>
      <c r="C7" s="293"/>
      <c r="D7" s="468"/>
      <c r="E7" s="243"/>
      <c r="F7" s="469"/>
      <c r="G7" s="293"/>
      <c r="H7" s="369"/>
      <c r="I7" s="369"/>
      <c r="J7" s="369"/>
      <c r="K7" s="369"/>
      <c r="L7" s="369"/>
      <c r="M7" s="369"/>
    </row>
    <row r="8" spans="1:24" ht="14" x14ac:dyDescent="0.3">
      <c r="A8" s="764" t="s">
        <v>424</v>
      </c>
      <c r="B8" s="764"/>
      <c r="C8" s="764"/>
      <c r="D8" s="764"/>
      <c r="E8" s="764"/>
      <c r="F8" s="764"/>
      <c r="G8" s="764"/>
      <c r="H8" s="764"/>
      <c r="I8" s="764"/>
      <c r="J8" s="764"/>
      <c r="K8" s="764"/>
      <c r="L8" s="764"/>
      <c r="M8" s="764"/>
    </row>
    <row r="9" spans="1:24" ht="14" x14ac:dyDescent="0.3">
      <c r="A9" s="764" t="s">
        <v>425</v>
      </c>
      <c r="B9" s="764"/>
      <c r="C9" s="764"/>
      <c r="D9" s="764"/>
      <c r="E9" s="764"/>
      <c r="F9" s="764"/>
      <c r="G9" s="764"/>
      <c r="H9" s="764"/>
      <c r="I9" s="764"/>
      <c r="J9" s="764"/>
      <c r="K9" s="764"/>
      <c r="L9" s="764"/>
      <c r="M9" s="764"/>
    </row>
    <row r="10" spans="1:24" ht="14" x14ac:dyDescent="0.3">
      <c r="A10" s="366"/>
      <c r="B10" s="366"/>
      <c r="C10" s="293"/>
      <c r="D10" s="293"/>
      <c r="E10" s="293"/>
      <c r="F10" s="367"/>
      <c r="G10" s="293"/>
    </row>
    <row r="11" spans="1:24" ht="14" x14ac:dyDescent="0.3">
      <c r="A11" s="366"/>
      <c r="B11" s="366"/>
      <c r="C11" s="293"/>
      <c r="D11" s="293"/>
      <c r="E11" s="293"/>
      <c r="F11" s="368"/>
      <c r="G11" s="293"/>
    </row>
    <row r="12" spans="1:24" ht="14" x14ac:dyDescent="0.3">
      <c r="A12" s="151">
        <f>IF(C12&lt;&gt;"",COUNTA($C12:C$12),"")</f>
        <v>1</v>
      </c>
      <c r="B12" s="151"/>
      <c r="C12" s="366" t="s">
        <v>528</v>
      </c>
      <c r="D12" s="760" t="s">
        <v>548</v>
      </c>
      <c r="E12" s="760"/>
      <c r="F12" s="760"/>
      <c r="G12" s="293"/>
      <c r="H12" s="760" t="s">
        <v>549</v>
      </c>
      <c r="I12" s="760"/>
      <c r="J12" s="760"/>
      <c r="L12" s="760" t="s">
        <v>550</v>
      </c>
      <c r="M12" s="760"/>
      <c r="O12" s="335"/>
      <c r="P12" s="335"/>
      <c r="Q12" s="335"/>
      <c r="R12" s="335"/>
      <c r="S12" s="335"/>
      <c r="T12" s="335"/>
      <c r="U12" s="335"/>
      <c r="V12" s="335"/>
      <c r="W12" s="335"/>
      <c r="X12" s="335"/>
    </row>
    <row r="13" spans="1:24" ht="14" x14ac:dyDescent="0.3">
      <c r="A13" s="151">
        <f>IF(C13&lt;&gt;"",COUNTA($C$12:C13),"")</f>
        <v>2</v>
      </c>
      <c r="B13" s="151"/>
      <c r="C13" s="370" t="s">
        <v>551</v>
      </c>
      <c r="D13" s="370" t="s">
        <v>552</v>
      </c>
      <c r="E13" s="370" t="s">
        <v>553</v>
      </c>
      <c r="F13" s="370" t="s">
        <v>47</v>
      </c>
      <c r="G13" s="293"/>
      <c r="H13" s="370" t="s">
        <v>552</v>
      </c>
      <c r="I13" s="370" t="s">
        <v>553</v>
      </c>
      <c r="J13" s="370" t="s">
        <v>47</v>
      </c>
      <c r="L13" s="370" t="s">
        <v>65</v>
      </c>
      <c r="M13" s="370" t="s">
        <v>325</v>
      </c>
      <c r="O13" s="335"/>
      <c r="P13" s="335"/>
      <c r="Q13" s="335"/>
      <c r="R13" s="335"/>
      <c r="S13" s="335"/>
      <c r="T13" s="335"/>
      <c r="U13" s="335"/>
      <c r="V13" s="335"/>
      <c r="W13" s="335"/>
      <c r="X13" s="335"/>
    </row>
    <row r="14" spans="1:24" ht="14" x14ac:dyDescent="0.3">
      <c r="A14" s="151">
        <f>IF(C14&lt;&gt;"",COUNTA($C$12:C14),"")</f>
        <v>3</v>
      </c>
      <c r="B14" s="151"/>
      <c r="C14" s="371">
        <v>25</v>
      </c>
      <c r="D14" s="372">
        <f>ROUND(SUM(F$30:F$49)*C14+F$29,2)</f>
        <v>7.05</v>
      </c>
      <c r="E14" s="372">
        <f>ROUND(F$50*C14,2)</f>
        <v>2.85</v>
      </c>
      <c r="F14" s="372">
        <f t="shared" ref="F14:F24" si="0">SUM(D14:E14)</f>
        <v>9.9</v>
      </c>
      <c r="G14" s="373"/>
      <c r="H14" s="372">
        <f>ROUND(SUM(H$30:H$49)*C14+H$29,2)</f>
        <v>7</v>
      </c>
      <c r="I14" s="372">
        <f t="shared" ref="I14:I24" si="1">ROUND(H$50*C14,2)</f>
        <v>3.3</v>
      </c>
      <c r="J14" s="372">
        <f t="shared" ref="J14:J24" si="2">SUM(H14:I14)</f>
        <v>10.3</v>
      </c>
      <c r="K14" s="374"/>
      <c r="L14" s="375">
        <f t="shared" ref="L14:L24" si="3">+J14-F14</f>
        <v>0.40000000000000036</v>
      </c>
      <c r="M14" s="376">
        <f t="shared" ref="M14:M24" si="4">+L14/F14</f>
        <v>4.0404040404040435E-2</v>
      </c>
      <c r="O14" s="339"/>
      <c r="P14" s="339"/>
      <c r="Q14" s="339"/>
      <c r="R14" s="339"/>
      <c r="S14" s="339"/>
      <c r="T14" s="339"/>
      <c r="U14" s="339"/>
      <c r="V14" s="339"/>
      <c r="W14" s="339"/>
      <c r="X14" s="339"/>
    </row>
    <row r="15" spans="1:24" ht="14" x14ac:dyDescent="0.3">
      <c r="A15" s="151">
        <f>IF(C15&lt;&gt;"",COUNTA($C$12:C15),"")</f>
        <v>4</v>
      </c>
      <c r="B15" s="151"/>
      <c r="C15" s="371">
        <v>50</v>
      </c>
      <c r="D15" s="372">
        <f t="shared" ref="D15:D24" si="5">ROUND(SUM(F$30:F$49)*C15+F$29,2)</f>
        <v>9.09</v>
      </c>
      <c r="E15" s="372">
        <f t="shared" ref="E15:E24" si="6">ROUND(F$50*C15,2)</f>
        <v>5.7</v>
      </c>
      <c r="F15" s="372">
        <f t="shared" si="0"/>
        <v>14.79</v>
      </c>
      <c r="G15" s="373"/>
      <c r="H15" s="372">
        <f t="shared" ref="H15:H24" si="7">ROUND(SUM(H$30:H$49)*C15+H$29,2)</f>
        <v>9</v>
      </c>
      <c r="I15" s="372">
        <f t="shared" si="1"/>
        <v>6.59</v>
      </c>
      <c r="J15" s="372">
        <f t="shared" si="2"/>
        <v>15.59</v>
      </c>
      <c r="K15" s="374"/>
      <c r="L15" s="375">
        <f t="shared" si="3"/>
        <v>0.80000000000000071</v>
      </c>
      <c r="M15" s="376">
        <f t="shared" si="4"/>
        <v>5.4090601757944605E-2</v>
      </c>
      <c r="O15" s="339"/>
      <c r="P15" s="339"/>
      <c r="Q15" s="339"/>
      <c r="R15" s="339"/>
      <c r="S15" s="339"/>
      <c r="T15" s="339"/>
      <c r="U15" s="339"/>
      <c r="V15" s="339"/>
      <c r="W15" s="339"/>
      <c r="X15" s="339"/>
    </row>
    <row r="16" spans="1:24" ht="14" x14ac:dyDescent="0.3">
      <c r="A16" s="151">
        <f>IF(C16&lt;&gt;"",COUNTA($C$12:C16),"")</f>
        <v>5</v>
      </c>
      <c r="B16" s="151"/>
      <c r="C16" s="371">
        <v>100</v>
      </c>
      <c r="D16" s="372">
        <f t="shared" si="5"/>
        <v>13.19</v>
      </c>
      <c r="E16" s="372">
        <f t="shared" si="6"/>
        <v>11.4</v>
      </c>
      <c r="F16" s="372">
        <f t="shared" si="0"/>
        <v>24.59</v>
      </c>
      <c r="G16" s="373"/>
      <c r="H16" s="372">
        <f t="shared" si="7"/>
        <v>13</v>
      </c>
      <c r="I16" s="372">
        <f t="shared" si="1"/>
        <v>13.19</v>
      </c>
      <c r="J16" s="372">
        <f t="shared" si="2"/>
        <v>26.189999999999998</v>
      </c>
      <c r="K16" s="374"/>
      <c r="L16" s="375">
        <f t="shared" si="3"/>
        <v>1.5999999999999979</v>
      </c>
      <c r="M16" s="376">
        <f t="shared" si="4"/>
        <v>6.5067100447336226E-2</v>
      </c>
      <c r="O16" s="339"/>
      <c r="P16" s="339"/>
      <c r="Q16" s="339"/>
      <c r="R16" s="339"/>
      <c r="S16" s="339"/>
      <c r="T16" s="339"/>
      <c r="U16" s="339"/>
      <c r="V16" s="339"/>
      <c r="W16" s="339"/>
      <c r="X16" s="339"/>
    </row>
    <row r="17" spans="1:24" ht="14" x14ac:dyDescent="0.3">
      <c r="A17" s="151">
        <f>IF(C17&lt;&gt;"",COUNTA($C$12:C17),"")</f>
        <v>6</v>
      </c>
      <c r="B17" s="151"/>
      <c r="C17" s="371">
        <v>150</v>
      </c>
      <c r="D17" s="372">
        <f t="shared" si="5"/>
        <v>17.28</v>
      </c>
      <c r="E17" s="372">
        <f t="shared" si="6"/>
        <v>17.100000000000001</v>
      </c>
      <c r="F17" s="372">
        <f t="shared" si="0"/>
        <v>34.380000000000003</v>
      </c>
      <c r="G17" s="373"/>
      <c r="H17" s="372">
        <f t="shared" si="7"/>
        <v>16.989999999999998</v>
      </c>
      <c r="I17" s="372">
        <f t="shared" si="1"/>
        <v>19.78</v>
      </c>
      <c r="J17" s="372">
        <f t="shared" si="2"/>
        <v>36.769999999999996</v>
      </c>
      <c r="K17" s="374"/>
      <c r="L17" s="375">
        <f t="shared" si="3"/>
        <v>2.3899999999999935</v>
      </c>
      <c r="M17" s="376">
        <f t="shared" si="4"/>
        <v>6.9517161140197598E-2</v>
      </c>
      <c r="O17" s="339"/>
      <c r="P17" s="339"/>
      <c r="Q17" s="339"/>
      <c r="R17" s="339"/>
      <c r="S17" s="339"/>
      <c r="T17" s="339"/>
      <c r="U17" s="339"/>
      <c r="V17" s="339"/>
      <c r="W17" s="339"/>
      <c r="X17" s="339"/>
    </row>
    <row r="18" spans="1:24" ht="14" x14ac:dyDescent="0.3">
      <c r="A18" s="151">
        <f>IF(C18&lt;&gt;"",COUNTA($C$12:C18),"")</f>
        <v>7</v>
      </c>
      <c r="B18" s="151"/>
      <c r="C18" s="371">
        <v>250</v>
      </c>
      <c r="D18" s="372">
        <f t="shared" si="5"/>
        <v>25.47</v>
      </c>
      <c r="E18" s="372">
        <f t="shared" si="6"/>
        <v>28.51</v>
      </c>
      <c r="F18" s="372">
        <f t="shared" si="0"/>
        <v>53.980000000000004</v>
      </c>
      <c r="G18" s="373"/>
      <c r="H18" s="372">
        <f t="shared" si="7"/>
        <v>24.99</v>
      </c>
      <c r="I18" s="372">
        <f t="shared" si="1"/>
        <v>32.96</v>
      </c>
      <c r="J18" s="372">
        <f t="shared" si="2"/>
        <v>57.95</v>
      </c>
      <c r="K18" s="374"/>
      <c r="L18" s="375">
        <f t="shared" si="3"/>
        <v>3.9699999999999989</v>
      </c>
      <c r="M18" s="376">
        <f t="shared" si="4"/>
        <v>7.3545757688032579E-2</v>
      </c>
      <c r="O18" s="339"/>
      <c r="P18" s="339"/>
      <c r="Q18" s="339"/>
      <c r="R18" s="339"/>
      <c r="S18" s="339"/>
      <c r="T18" s="339"/>
      <c r="U18" s="339"/>
      <c r="V18" s="339"/>
      <c r="W18" s="339"/>
      <c r="X18" s="339"/>
    </row>
    <row r="19" spans="1:24" ht="14" x14ac:dyDescent="0.3">
      <c r="A19" s="151">
        <f>IF(C19&lt;&gt;"",COUNTA($C$12:C19),"")</f>
        <v>8</v>
      </c>
      <c r="B19" s="151"/>
      <c r="C19" s="371">
        <v>400</v>
      </c>
      <c r="D19" s="372">
        <f t="shared" si="5"/>
        <v>37.75</v>
      </c>
      <c r="E19" s="372">
        <f t="shared" si="6"/>
        <v>45.61</v>
      </c>
      <c r="F19" s="372">
        <f t="shared" si="0"/>
        <v>83.36</v>
      </c>
      <c r="G19" s="373"/>
      <c r="H19" s="372">
        <f t="shared" si="7"/>
        <v>36.979999999999997</v>
      </c>
      <c r="I19" s="372">
        <f t="shared" si="1"/>
        <v>52.74</v>
      </c>
      <c r="J19" s="372">
        <f t="shared" si="2"/>
        <v>89.72</v>
      </c>
      <c r="K19" s="374"/>
      <c r="L19" s="375">
        <f t="shared" si="3"/>
        <v>6.3599999999999994</v>
      </c>
      <c r="M19" s="376">
        <f t="shared" si="4"/>
        <v>7.6295585412667941E-2</v>
      </c>
      <c r="O19" s="339"/>
      <c r="P19" s="339"/>
      <c r="Q19" s="339"/>
      <c r="R19" s="339"/>
      <c r="S19" s="339"/>
      <c r="T19" s="339"/>
      <c r="U19" s="339"/>
      <c r="V19" s="339"/>
      <c r="W19" s="339"/>
      <c r="X19" s="339"/>
    </row>
    <row r="20" spans="1:24" ht="14" x14ac:dyDescent="0.3">
      <c r="A20" s="151">
        <f>IF(C20&lt;&gt;"",COUNTA($C$12:C20),"")</f>
        <v>9</v>
      </c>
      <c r="B20" s="151"/>
      <c r="C20" s="371">
        <v>600</v>
      </c>
      <c r="D20" s="372">
        <f t="shared" si="5"/>
        <v>54.13</v>
      </c>
      <c r="E20" s="372">
        <f t="shared" si="6"/>
        <v>68.42</v>
      </c>
      <c r="F20" s="372">
        <f t="shared" si="0"/>
        <v>122.55000000000001</v>
      </c>
      <c r="G20" s="373"/>
      <c r="H20" s="372">
        <f t="shared" si="7"/>
        <v>52.98</v>
      </c>
      <c r="I20" s="372">
        <f t="shared" si="1"/>
        <v>79.11</v>
      </c>
      <c r="J20" s="372">
        <f t="shared" si="2"/>
        <v>132.09</v>
      </c>
      <c r="K20" s="374"/>
      <c r="L20" s="375">
        <f t="shared" si="3"/>
        <v>9.539999999999992</v>
      </c>
      <c r="M20" s="376">
        <f t="shared" si="4"/>
        <v>7.7845777233782054E-2</v>
      </c>
      <c r="O20" s="339"/>
      <c r="P20" s="339"/>
      <c r="Q20" s="339"/>
      <c r="R20" s="339"/>
      <c r="S20" s="339"/>
      <c r="T20" s="339"/>
      <c r="U20" s="339"/>
      <c r="V20" s="339"/>
      <c r="W20" s="339"/>
      <c r="X20" s="339"/>
    </row>
    <row r="21" spans="1:24" ht="14" x14ac:dyDescent="0.3">
      <c r="A21" s="151">
        <f>IF(C21&lt;&gt;"",COUNTA($C$12:C21),"")</f>
        <v>10</v>
      </c>
      <c r="B21" s="151"/>
      <c r="C21" s="379">
        <v>900</v>
      </c>
      <c r="D21" s="380">
        <f t="shared" si="5"/>
        <v>78.69</v>
      </c>
      <c r="E21" s="380">
        <f t="shared" si="6"/>
        <v>102.63</v>
      </c>
      <c r="F21" s="380">
        <f t="shared" si="0"/>
        <v>181.32</v>
      </c>
      <c r="G21" s="381"/>
      <c r="H21" s="380">
        <f t="shared" si="7"/>
        <v>76.959999999999994</v>
      </c>
      <c r="I21" s="380">
        <f t="shared" si="1"/>
        <v>118.67</v>
      </c>
      <c r="J21" s="380">
        <f t="shared" si="2"/>
        <v>195.63</v>
      </c>
      <c r="K21" s="382"/>
      <c r="L21" s="375">
        <f t="shared" si="3"/>
        <v>14.310000000000002</v>
      </c>
      <c r="M21" s="376">
        <f t="shared" si="4"/>
        <v>7.8921244209133046E-2</v>
      </c>
      <c r="O21" s="339"/>
      <c r="P21" s="339"/>
      <c r="Q21" s="339"/>
      <c r="R21" s="339"/>
      <c r="S21" s="339"/>
      <c r="T21" s="339"/>
      <c r="U21" s="339"/>
      <c r="V21" s="339"/>
      <c r="W21" s="339"/>
      <c r="X21" s="339"/>
    </row>
    <row r="22" spans="1:24" ht="14" x14ac:dyDescent="0.3">
      <c r="A22" s="151">
        <f>IF(C22&lt;&gt;"",COUNTA($C$12:C22),"")</f>
        <v>11</v>
      </c>
      <c r="B22" s="151"/>
      <c r="C22" s="371">
        <v>1500</v>
      </c>
      <c r="D22" s="372">
        <f t="shared" si="5"/>
        <v>127.82</v>
      </c>
      <c r="E22" s="372">
        <f t="shared" si="6"/>
        <v>171.05</v>
      </c>
      <c r="F22" s="372">
        <f t="shared" si="0"/>
        <v>298.87</v>
      </c>
      <c r="G22" s="373"/>
      <c r="H22" s="372">
        <f t="shared" si="7"/>
        <v>124.94</v>
      </c>
      <c r="I22" s="372">
        <f t="shared" si="1"/>
        <v>197.78</v>
      </c>
      <c r="J22" s="372">
        <f t="shared" si="2"/>
        <v>322.72000000000003</v>
      </c>
      <c r="K22" s="374"/>
      <c r="L22" s="375">
        <f t="shared" si="3"/>
        <v>23.850000000000023</v>
      </c>
      <c r="M22" s="376">
        <f t="shared" si="4"/>
        <v>7.9800582192926767E-2</v>
      </c>
      <c r="O22" s="339"/>
      <c r="P22" s="339"/>
      <c r="Q22" s="339"/>
      <c r="R22" s="339"/>
      <c r="S22" s="339"/>
      <c r="T22" s="339"/>
      <c r="U22" s="339"/>
      <c r="V22" s="339"/>
      <c r="W22" s="339"/>
      <c r="X22" s="339"/>
    </row>
    <row r="23" spans="1:24" ht="14" x14ac:dyDescent="0.3">
      <c r="A23" s="151">
        <f>IF(C23&lt;&gt;"",COUNTA($C$12:C23),"")</f>
        <v>12</v>
      </c>
      <c r="B23" s="151"/>
      <c r="C23" s="371">
        <v>2500</v>
      </c>
      <c r="D23" s="372">
        <f t="shared" si="5"/>
        <v>209.7</v>
      </c>
      <c r="E23" s="372">
        <f t="shared" si="6"/>
        <v>285.08</v>
      </c>
      <c r="F23" s="372">
        <f t="shared" si="0"/>
        <v>494.78</v>
      </c>
      <c r="G23" s="373"/>
      <c r="H23" s="372">
        <f t="shared" si="7"/>
        <v>204.9</v>
      </c>
      <c r="I23" s="372">
        <f t="shared" si="1"/>
        <v>329.63</v>
      </c>
      <c r="J23" s="372">
        <f t="shared" si="2"/>
        <v>534.53</v>
      </c>
      <c r="K23" s="374"/>
      <c r="L23" s="375">
        <f t="shared" si="3"/>
        <v>39.75</v>
      </c>
      <c r="M23" s="376">
        <f t="shared" si="4"/>
        <v>8.0338736408100575E-2</v>
      </c>
      <c r="O23" s="339"/>
      <c r="P23" s="339"/>
      <c r="Q23" s="339"/>
      <c r="R23" s="339"/>
      <c r="S23" s="339"/>
      <c r="T23" s="339"/>
      <c r="U23" s="339"/>
      <c r="V23" s="339"/>
      <c r="W23" s="339"/>
      <c r="X23" s="339"/>
    </row>
    <row r="24" spans="1:24" ht="14" x14ac:dyDescent="0.3">
      <c r="A24" s="151">
        <f>IF(C24&lt;&gt;"",COUNTA($C$12:C24),"")</f>
        <v>13</v>
      </c>
      <c r="B24" s="151" t="s">
        <v>554</v>
      </c>
      <c r="C24" s="371">
        <v>593</v>
      </c>
      <c r="D24" s="372">
        <f t="shared" si="5"/>
        <v>53.55</v>
      </c>
      <c r="E24" s="372">
        <f t="shared" si="6"/>
        <v>67.62</v>
      </c>
      <c r="F24" s="372">
        <f t="shared" si="0"/>
        <v>121.17</v>
      </c>
      <c r="G24" s="373"/>
      <c r="H24" s="372">
        <f t="shared" si="7"/>
        <v>52.42</v>
      </c>
      <c r="I24" s="372">
        <f t="shared" si="1"/>
        <v>78.19</v>
      </c>
      <c r="J24" s="372">
        <f t="shared" si="2"/>
        <v>130.61000000000001</v>
      </c>
      <c r="K24" s="374"/>
      <c r="L24" s="375">
        <f t="shared" si="3"/>
        <v>9.4400000000000119</v>
      </c>
      <c r="M24" s="376">
        <f t="shared" si="4"/>
        <v>7.7907072707766048E-2</v>
      </c>
      <c r="O24" s="339"/>
      <c r="P24" s="339"/>
      <c r="Q24" s="339"/>
      <c r="R24" s="339"/>
      <c r="S24" s="339"/>
      <c r="T24" s="339"/>
      <c r="U24" s="339"/>
      <c r="V24" s="339"/>
      <c r="W24" s="339"/>
      <c r="X24" s="339"/>
    </row>
    <row r="25" spans="1:24" ht="14" x14ac:dyDescent="0.3">
      <c r="A25" s="151" t="str">
        <f>IF(C25&lt;&gt;"",COUNTA($C$12:C25),"")</f>
        <v/>
      </c>
      <c r="B25" s="151"/>
      <c r="C25" s="488"/>
      <c r="D25" s="489"/>
      <c r="E25" s="489"/>
      <c r="F25" s="490"/>
      <c r="G25" s="491"/>
      <c r="H25" s="489"/>
      <c r="I25" s="489"/>
      <c r="J25" s="415"/>
      <c r="K25" s="415"/>
      <c r="L25" s="415"/>
      <c r="M25" s="415"/>
    </row>
    <row r="26" spans="1:24" ht="14" x14ac:dyDescent="0.3">
      <c r="A26" s="151" t="str">
        <f>IF(C26&lt;&gt;"",COUNTA($C$12:C26),"")</f>
        <v/>
      </c>
      <c r="B26" s="151"/>
      <c r="C26" s="371"/>
      <c r="D26" s="372"/>
      <c r="E26" s="372"/>
      <c r="F26" s="450"/>
      <c r="G26" s="451"/>
    </row>
    <row r="27" spans="1:24" ht="14" x14ac:dyDescent="0.3">
      <c r="A27" s="151">
        <f>IF(C27&lt;&gt;"",COUNTA($C$12:C27),"")</f>
        <v>14</v>
      </c>
      <c r="B27" s="151"/>
      <c r="C27" s="293" t="s">
        <v>46</v>
      </c>
      <c r="F27" s="395" t="str">
        <f>'Bill_EMA R1'!F29</f>
        <v>Current</v>
      </c>
      <c r="H27" s="395" t="str">
        <f>'Bill_EMA R1'!H29</f>
        <v>Proposed</v>
      </c>
      <c r="I27" s="420"/>
    </row>
    <row r="28" spans="1:24" ht="17" x14ac:dyDescent="0.6">
      <c r="A28" s="151">
        <f>IF(C28&lt;&gt;"",COUNTA($C$12:C28),"")</f>
        <v>15</v>
      </c>
      <c r="B28" s="151"/>
      <c r="C28" s="274" t="s">
        <v>46</v>
      </c>
      <c r="F28" s="396" t="str">
        <f>'Bill_EMA R1'!F30</f>
        <v>Rates</v>
      </c>
      <c r="H28" s="396" t="str">
        <f>'Bill_EMA R1'!H30</f>
        <v>Rates</v>
      </c>
      <c r="I28" s="396" t="str">
        <f>'Bill_EMA R1'!I30</f>
        <v>Change</v>
      </c>
    </row>
    <row r="29" spans="1:24" ht="14" x14ac:dyDescent="0.3">
      <c r="A29" s="151">
        <f>IF(C29&lt;&gt;"",COUNTA($C$12:C29),"")</f>
        <v>16</v>
      </c>
      <c r="B29" s="151"/>
      <c r="C29" s="293" t="str">
        <f>'Bill_EMA R1'!C31</f>
        <v>Customer Charge</v>
      </c>
      <c r="F29" s="454">
        <v>5</v>
      </c>
      <c r="G29" s="455" t="s">
        <v>46</v>
      </c>
      <c r="H29" s="454">
        <f>F29</f>
        <v>5</v>
      </c>
      <c r="I29" s="354">
        <f>H29-F29</f>
        <v>0</v>
      </c>
    </row>
    <row r="30" spans="1:24" ht="14" x14ac:dyDescent="0.3">
      <c r="A30" s="151">
        <f>IF(C30&lt;&gt;"",COUNTA($C$12:C30),"")</f>
        <v>17</v>
      </c>
      <c r="B30" s="151"/>
      <c r="C30" s="293" t="str">
        <f>'Bill_EMA R1'!C32</f>
        <v>Distribution Energy</v>
      </c>
      <c r="F30" s="308">
        <v>3.3000000000000002E-2</v>
      </c>
      <c r="G30" s="400"/>
      <c r="H30" s="308">
        <v>3.4380000000000001E-2</v>
      </c>
      <c r="I30" s="354">
        <f t="shared" ref="I30:I50" si="8">H30-F30</f>
        <v>1.3799999999999993E-3</v>
      </c>
    </row>
    <row r="31" spans="1:24" ht="14" x14ac:dyDescent="0.3">
      <c r="A31" s="151">
        <f>IF(C31&lt;&gt;"",COUNTA($C$12:C31),"")</f>
        <v>18</v>
      </c>
      <c r="B31" s="151"/>
      <c r="C31" s="293" t="str">
        <f>'Bill_EMA R1'!C33</f>
        <v>Revenue Decoupling</v>
      </c>
      <c r="F31" s="308">
        <v>0</v>
      </c>
      <c r="G31" s="400"/>
      <c r="H31" s="277">
        <v>-3.2000000000000003E-4</v>
      </c>
      <c r="I31" s="354">
        <f t="shared" si="8"/>
        <v>-3.2000000000000003E-4</v>
      </c>
      <c r="N31" s="492"/>
    </row>
    <row r="32" spans="1:24" ht="14" x14ac:dyDescent="0.3">
      <c r="A32" s="151">
        <f>IF(C32&lt;&gt;"",COUNTA($C$12:C32),"")</f>
        <v>19</v>
      </c>
      <c r="B32" s="151"/>
      <c r="C32" s="293" t="str">
        <f>'Bill_EMA R1'!C34</f>
        <v>Residential Assistance Adjustment Factor</v>
      </c>
      <c r="F32" s="277">
        <v>2.0899999999999998E-3</v>
      </c>
      <c r="G32" s="400"/>
      <c r="H32" s="277">
        <v>2.7299999999999998E-3</v>
      </c>
      <c r="I32" s="354">
        <f t="shared" si="8"/>
        <v>6.3999999999999994E-4</v>
      </c>
      <c r="N32" s="492"/>
    </row>
    <row r="33" spans="1:14" ht="14" x14ac:dyDescent="0.3">
      <c r="A33" s="151">
        <f>IF(C33&lt;&gt;"",COUNTA($C$12:C33),"")</f>
        <v>20</v>
      </c>
      <c r="B33" s="151"/>
      <c r="C33" s="293" t="str">
        <f>'Bill_EMA R1'!C35</f>
        <v>Pension Adjustment Factor</v>
      </c>
      <c r="F33" s="277">
        <v>-6.0000000000000002E-5</v>
      </c>
      <c r="G33" s="400"/>
      <c r="H33" s="277">
        <v>5.4000000000000001E-4</v>
      </c>
      <c r="I33" s="354">
        <f t="shared" si="8"/>
        <v>6.0000000000000006E-4</v>
      </c>
      <c r="N33" s="492"/>
    </row>
    <row r="34" spans="1:14" ht="14" x14ac:dyDescent="0.3">
      <c r="A34" s="151">
        <f>IF(C34&lt;&gt;"",COUNTA($C$12:C34),"")</f>
        <v>21</v>
      </c>
      <c r="B34" s="151"/>
      <c r="C34" s="293" t="str">
        <f>'Bill_EMA R1'!C36</f>
        <v>Net Metering Recovery Surcharge</v>
      </c>
      <c r="F34" s="277">
        <v>4.1099999999999999E-3</v>
      </c>
      <c r="G34" s="400"/>
      <c r="H34" s="277">
        <v>3.5599999999999998E-3</v>
      </c>
      <c r="I34" s="354">
        <f t="shared" si="8"/>
        <v>-5.5000000000000014E-4</v>
      </c>
      <c r="N34" s="492"/>
    </row>
    <row r="35" spans="1:14" ht="14" x14ac:dyDescent="0.3">
      <c r="A35" s="151">
        <f>IF(C35&lt;&gt;"",COUNTA($C$12:C35),"")</f>
        <v>22</v>
      </c>
      <c r="B35" s="151"/>
      <c r="C35" s="293" t="str">
        <f>'Bill_EMA R1'!C37</f>
        <v>Long Term Renewable Contract Adjustment</v>
      </c>
      <c r="F35" s="277">
        <v>2.3600000000000001E-3</v>
      </c>
      <c r="G35" s="400"/>
      <c r="H35" s="277">
        <v>1.74E-3</v>
      </c>
      <c r="I35" s="354">
        <f t="shared" si="8"/>
        <v>-6.2000000000000011E-4</v>
      </c>
      <c r="N35" s="492"/>
    </row>
    <row r="36" spans="1:14" ht="14" x14ac:dyDescent="0.3">
      <c r="A36" s="151">
        <f>IF(C36&lt;&gt;"",COUNTA($C$12:C36),"")</f>
        <v>23</v>
      </c>
      <c r="B36" s="151"/>
      <c r="C36" s="293" t="str">
        <f>'Bill_EMA R1'!C38</f>
        <v>AG Consulting Expense</v>
      </c>
      <c r="F36" s="277">
        <v>2.0000000000000002E-5</v>
      </c>
      <c r="G36" s="400"/>
      <c r="H36" s="277">
        <v>1.0000000000000001E-5</v>
      </c>
      <c r="I36" s="354">
        <f t="shared" si="8"/>
        <v>-1.0000000000000001E-5</v>
      </c>
      <c r="N36" s="492"/>
    </row>
    <row r="37" spans="1:14" ht="14" x14ac:dyDescent="0.3">
      <c r="A37" s="151">
        <f>IF(C37&lt;&gt;"",COUNTA($C$12:C37),"")</f>
        <v>24</v>
      </c>
      <c r="B37" s="151"/>
      <c r="C37" s="293" t="str">
        <f>'Bill_EMA R1'!C39</f>
        <v>Storm Cost Recovery Adjustment Factor</v>
      </c>
      <c r="F37" s="277">
        <v>1.2899999999999999E-3</v>
      </c>
      <c r="G37" s="400"/>
      <c r="H37" s="277">
        <v>2.0699999999999998E-3</v>
      </c>
      <c r="I37" s="354">
        <f t="shared" si="8"/>
        <v>7.7999999999999988E-4</v>
      </c>
      <c r="N37" s="492"/>
    </row>
    <row r="38" spans="1:14" ht="14" x14ac:dyDescent="0.3">
      <c r="A38" s="151">
        <f>IF(C38&lt;&gt;"",COUNTA($C$12:C38),"")</f>
        <v>25</v>
      </c>
      <c r="B38" s="151"/>
      <c r="C38" s="293" t="str">
        <f>'Bill_EMA R1'!C40</f>
        <v>Storm Reserve Adjustment</v>
      </c>
      <c r="F38" s="277">
        <v>0</v>
      </c>
      <c r="G38" s="400"/>
      <c r="H38" s="277">
        <v>0</v>
      </c>
      <c r="I38" s="354">
        <f t="shared" si="8"/>
        <v>0</v>
      </c>
      <c r="N38" s="492"/>
    </row>
    <row r="39" spans="1:14" ht="14" x14ac:dyDescent="0.3">
      <c r="A39" s="151">
        <f>IF(C39&lt;&gt;"",COUNTA($C$12:C39),"")</f>
        <v>26</v>
      </c>
      <c r="B39" s="151"/>
      <c r="C39" s="293" t="str">
        <f>'Bill_EMA R1'!C41</f>
        <v>Basic Service Cost True Up Factor</v>
      </c>
      <c r="F39" s="277">
        <v>1.1100000000000001E-3</v>
      </c>
      <c r="G39" s="400"/>
      <c r="H39" s="277">
        <v>-1.3999999999999999E-4</v>
      </c>
      <c r="I39" s="354">
        <f t="shared" si="8"/>
        <v>-1.25E-3</v>
      </c>
      <c r="N39" s="492"/>
    </row>
    <row r="40" spans="1:14" ht="14" x14ac:dyDescent="0.3">
      <c r="A40" s="151">
        <f>IF(C40&lt;&gt;"",COUNTA($C$12:C40),"")</f>
        <v>27</v>
      </c>
      <c r="B40" s="151"/>
      <c r="C40" s="293" t="str">
        <f>'Bill_EMA R1'!C42</f>
        <v>Solar Program Cost Adjustment Factor</v>
      </c>
      <c r="F40" s="277">
        <v>0</v>
      </c>
      <c r="G40" s="400"/>
      <c r="H40" s="277">
        <v>2.0000000000000002E-5</v>
      </c>
      <c r="I40" s="354">
        <f t="shared" si="8"/>
        <v>2.0000000000000002E-5</v>
      </c>
      <c r="N40" s="492"/>
    </row>
    <row r="41" spans="1:14" ht="14" x14ac:dyDescent="0.3">
      <c r="A41" s="151">
        <f>IF(C41&lt;&gt;"",COUNTA($C$12:C41),"")</f>
        <v>28</v>
      </c>
      <c r="B41" s="151"/>
      <c r="C41" s="293" t="str">
        <f>'Bill_EMA R1'!C43</f>
        <v>Solar Expansion Cost Recovery Factor</v>
      </c>
      <c r="F41" s="277">
        <v>0</v>
      </c>
      <c r="G41" s="400"/>
      <c r="H41" s="277">
        <v>4.2999999999999999E-4</v>
      </c>
      <c r="I41" s="354">
        <f t="shared" si="8"/>
        <v>4.2999999999999999E-4</v>
      </c>
      <c r="N41" s="492"/>
    </row>
    <row r="42" spans="1:14" ht="14" x14ac:dyDescent="0.3">
      <c r="A42" s="151">
        <f>IF(C42&lt;&gt;"",COUNTA($C$12:C42),"")</f>
        <v>29</v>
      </c>
      <c r="B42" s="151"/>
      <c r="C42" s="293" t="str">
        <f>'Bill_EMA R1'!C44</f>
        <v>Vegetation Management</v>
      </c>
      <c r="F42" s="277">
        <v>0</v>
      </c>
      <c r="G42" s="400"/>
      <c r="H42" s="277">
        <v>9.7000000000000005E-4</v>
      </c>
      <c r="I42" s="354">
        <f t="shared" si="8"/>
        <v>9.7000000000000005E-4</v>
      </c>
      <c r="N42" s="492"/>
    </row>
    <row r="43" spans="1:14" ht="14" x14ac:dyDescent="0.3">
      <c r="A43" s="151">
        <f>IF(C43&lt;&gt;"",COUNTA($C$12:C43),"")</f>
        <v>30</v>
      </c>
      <c r="B43" s="151"/>
      <c r="C43" s="293" t="str">
        <f>'Bill_EMA R1'!C45</f>
        <v>Solar Massachusetts Renewable Target</v>
      </c>
      <c r="D43" s="339"/>
      <c r="E43" s="339"/>
      <c r="F43" s="277">
        <v>0</v>
      </c>
      <c r="G43" s="277"/>
      <c r="H43" s="277">
        <v>5.0000000000000001E-4</v>
      </c>
      <c r="I43" s="354">
        <f t="shared" si="8"/>
        <v>5.0000000000000001E-4</v>
      </c>
      <c r="J43" s="339"/>
      <c r="K43" s="339"/>
      <c r="L43" s="339"/>
    </row>
    <row r="44" spans="1:14" ht="14" x14ac:dyDescent="0.3">
      <c r="A44" s="151">
        <f>IF(C44&lt;&gt;"",COUNTA($C$12:C44),"")</f>
        <v>31</v>
      </c>
      <c r="B44" s="151"/>
      <c r="C44" s="293" t="str">
        <f>'Bill_EMA R1'!C46</f>
        <v>Tax Act Credit Factor</v>
      </c>
      <c r="D44" s="339"/>
      <c r="E44" s="339"/>
      <c r="F44" s="277">
        <v>0</v>
      </c>
      <c r="G44" s="277"/>
      <c r="H44" s="277">
        <v>-7.5000000000000002E-4</v>
      </c>
      <c r="I44" s="354">
        <f t="shared" si="8"/>
        <v>-7.5000000000000002E-4</v>
      </c>
      <c r="J44" s="339"/>
      <c r="K44" s="339"/>
      <c r="L44" s="339"/>
    </row>
    <row r="45" spans="1:14" ht="14" x14ac:dyDescent="0.3">
      <c r="A45" s="151">
        <f>IF(C45&lt;&gt;"",COUNTA($C$12:C45),"")</f>
        <v>32</v>
      </c>
      <c r="B45" s="151"/>
      <c r="C45" s="293" t="str">
        <f>'Bill_EMA R1'!C47</f>
        <v>Transition</v>
      </c>
      <c r="F45" s="308">
        <v>-6.0999999999999997E-4</v>
      </c>
      <c r="G45" s="400"/>
      <c r="H45" s="277">
        <v>-5.1999999999999995E-4</v>
      </c>
      <c r="I45" s="354">
        <f t="shared" si="8"/>
        <v>9.0000000000000019E-5</v>
      </c>
      <c r="N45" s="492"/>
    </row>
    <row r="46" spans="1:14" ht="14" x14ac:dyDescent="0.3">
      <c r="A46" s="151">
        <f>IF(C46&lt;&gt;"",COUNTA($C$12:C46),"")</f>
        <v>33</v>
      </c>
      <c r="B46" s="151"/>
      <c r="C46" s="293" t="str">
        <f>'Bill_EMA R1'!C48</f>
        <v>Transmission Energy</v>
      </c>
      <c r="F46" s="308">
        <v>2.7109999999999999E-2</v>
      </c>
      <c r="G46" s="400"/>
      <c r="H46" s="308">
        <v>2.3279999999999999E-2</v>
      </c>
      <c r="I46" s="354">
        <f t="shared" si="8"/>
        <v>-3.8300000000000001E-3</v>
      </c>
    </row>
    <row r="47" spans="1:14" ht="14" x14ac:dyDescent="0.3">
      <c r="A47" s="151">
        <f>IF(C47&lt;&gt;"",COUNTA($C$12:C47),"")</f>
        <v>34</v>
      </c>
      <c r="B47" s="151"/>
      <c r="C47" s="293" t="str">
        <f>'Bill_EMA R1'!C49</f>
        <v>Energy Efficiency Reconciliation Factor</v>
      </c>
      <c r="F47" s="308">
        <v>8.4600000000000005E-3</v>
      </c>
      <c r="G47" s="400"/>
      <c r="H47" s="308">
        <v>8.4600000000000005E-3</v>
      </c>
      <c r="I47" s="354">
        <f t="shared" si="8"/>
        <v>0</v>
      </c>
      <c r="N47" s="492"/>
    </row>
    <row r="48" spans="1:14" ht="14" x14ac:dyDescent="0.3">
      <c r="A48" s="151">
        <f>IF(C48&lt;&gt;"",COUNTA($C$12:C48),"")</f>
        <v>35</v>
      </c>
      <c r="B48" s="151"/>
      <c r="C48" s="293" t="str">
        <f>'Bill_EMA R1'!C50</f>
        <v>System Benefits Charge</v>
      </c>
      <c r="F48" s="308">
        <v>2.5000000000000001E-3</v>
      </c>
      <c r="G48" s="400"/>
      <c r="H48" s="308">
        <f>F48</f>
        <v>2.5000000000000001E-3</v>
      </c>
      <c r="I48" s="354">
        <f t="shared" si="8"/>
        <v>0</v>
      </c>
      <c r="N48" s="492"/>
    </row>
    <row r="49" spans="1:14" ht="14" x14ac:dyDescent="0.3">
      <c r="A49" s="151">
        <f>IF(C49&lt;&gt;"",COUNTA($C$12:C49),"")</f>
        <v>36</v>
      </c>
      <c r="B49" s="151"/>
      <c r="C49" s="293" t="str">
        <f>'Bill_EMA R1'!C51</f>
        <v>Renewable Energy Charge</v>
      </c>
      <c r="F49" s="308">
        <v>5.0000000000000001E-4</v>
      </c>
      <c r="G49" s="400"/>
      <c r="H49" s="308">
        <f>F49</f>
        <v>5.0000000000000001E-4</v>
      </c>
      <c r="I49" s="354">
        <f t="shared" si="8"/>
        <v>0</v>
      </c>
      <c r="N49" s="492"/>
    </row>
    <row r="50" spans="1:14" ht="14" x14ac:dyDescent="0.3">
      <c r="A50" s="151">
        <f>IF(C50&lt;&gt;"",COUNTA($C$12:C50),"")</f>
        <v>37</v>
      </c>
      <c r="B50" s="151"/>
      <c r="C50" s="293" t="str">
        <f>'Bill_EMA R1'!C52</f>
        <v>Basic Service Charge</v>
      </c>
      <c r="F50" s="308">
        <v>0.11403000000000001</v>
      </c>
      <c r="G50" s="400"/>
      <c r="H50" s="308">
        <v>0.13185000000000002</v>
      </c>
      <c r="I50" s="354">
        <f t="shared" si="8"/>
        <v>1.7820000000000016E-2</v>
      </c>
      <c r="N50" s="492"/>
    </row>
    <row r="51" spans="1:14" ht="14" x14ac:dyDescent="0.3">
      <c r="A51" s="151"/>
      <c r="B51" s="151"/>
      <c r="E51" s="293"/>
      <c r="F51" s="400"/>
      <c r="G51" s="403"/>
      <c r="H51" s="403"/>
      <c r="I51" s="354"/>
    </row>
    <row r="52" spans="1:14" ht="14" x14ac:dyDescent="0.3">
      <c r="A52" s="151"/>
      <c r="B52" s="151"/>
      <c r="E52" s="293"/>
      <c r="F52" s="400"/>
      <c r="G52" s="403"/>
      <c r="H52" s="403"/>
      <c r="I52" s="354"/>
    </row>
    <row r="53" spans="1:14" ht="14" x14ac:dyDescent="0.3">
      <c r="A53" s="151"/>
      <c r="B53" s="151"/>
      <c r="C53" s="293" t="str">
        <f>'Bill_EMA R1'!C55</f>
        <v>Total Energy</v>
      </c>
      <c r="E53" s="293"/>
      <c r="F53" s="400">
        <f>SUM(F30:F49)</f>
        <v>8.1880000000000008E-2</v>
      </c>
      <c r="G53" s="403"/>
      <c r="H53" s="400">
        <f>SUM(H30:H49)</f>
        <v>7.9960000000000003E-2</v>
      </c>
      <c r="I53" s="354">
        <f t="shared" ref="I53:I54" si="9">H53-F53</f>
        <v>-1.920000000000005E-3</v>
      </c>
    </row>
    <row r="54" spans="1:14" ht="14" x14ac:dyDescent="0.3">
      <c r="A54" s="151"/>
      <c r="B54" s="151"/>
      <c r="C54" s="293" t="str">
        <f>'Bill_EMA R1'!C56</f>
        <v>Total Basic Service</v>
      </c>
      <c r="E54" s="293"/>
      <c r="F54" s="400">
        <f>F50</f>
        <v>0.11403000000000001</v>
      </c>
      <c r="G54" s="403"/>
      <c r="H54" s="400">
        <f>H50</f>
        <v>0.13185000000000002</v>
      </c>
      <c r="I54" s="354">
        <f t="shared" si="9"/>
        <v>1.7820000000000016E-2</v>
      </c>
    </row>
    <row r="55" spans="1:14" ht="14" x14ac:dyDescent="0.3">
      <c r="A55" s="151"/>
      <c r="B55" s="151"/>
      <c r="E55" s="293"/>
      <c r="F55" s="400"/>
      <c r="G55" s="403"/>
      <c r="H55" s="403"/>
      <c r="I55" s="403"/>
    </row>
    <row r="56" spans="1:14" ht="14" x14ac:dyDescent="0.3">
      <c r="F56" s="403"/>
      <c r="G56" s="403"/>
      <c r="H56" s="403"/>
      <c r="I56" s="403"/>
    </row>
    <row r="57" spans="1:14" ht="14" x14ac:dyDescent="0.3">
      <c r="F57" s="403"/>
      <c r="G57" s="403"/>
      <c r="H57" s="403"/>
      <c r="I57" s="403"/>
    </row>
    <row r="58" spans="1:14" ht="14" x14ac:dyDescent="0.3">
      <c r="F58" s="403"/>
      <c r="G58" s="403"/>
      <c r="H58" s="403"/>
      <c r="I58" s="403"/>
    </row>
    <row r="59" spans="1:14" ht="14" x14ac:dyDescent="0.3">
      <c r="F59" s="403"/>
      <c r="G59" s="403"/>
      <c r="H59" s="403"/>
      <c r="I59" s="403"/>
    </row>
    <row r="60" spans="1:14" ht="14" x14ac:dyDescent="0.3">
      <c r="F60" s="403"/>
      <c r="G60" s="403"/>
      <c r="H60" s="403"/>
      <c r="I60" s="403"/>
    </row>
    <row r="61" spans="1:14" ht="14" x14ac:dyDescent="0.3">
      <c r="F61" s="403"/>
      <c r="G61" s="403"/>
      <c r="H61" s="403"/>
      <c r="I61" s="403"/>
    </row>
    <row r="62" spans="1:14" ht="14" x14ac:dyDescent="0.3">
      <c r="F62" s="403"/>
      <c r="G62" s="403"/>
      <c r="H62" s="403"/>
      <c r="I62" s="403"/>
    </row>
    <row r="63" spans="1:14" ht="14" x14ac:dyDescent="0.3">
      <c r="F63" s="403"/>
      <c r="G63" s="403"/>
      <c r="H63" s="403"/>
      <c r="I63" s="403"/>
    </row>
    <row r="64" spans="1:14" ht="14" x14ac:dyDescent="0.3">
      <c r="F64" s="403"/>
      <c r="G64" s="403"/>
      <c r="H64" s="403"/>
      <c r="I64" s="403"/>
    </row>
    <row r="65" spans="6:9" ht="14" x14ac:dyDescent="0.3">
      <c r="F65" s="403"/>
      <c r="G65" s="403"/>
      <c r="H65" s="403"/>
      <c r="I65" s="403"/>
    </row>
    <row r="66" spans="6:9" ht="14" x14ac:dyDescent="0.3">
      <c r="F66" s="403"/>
      <c r="G66" s="403"/>
      <c r="H66" s="403"/>
      <c r="I66" s="403"/>
    </row>
    <row r="67" spans="6:9" ht="14" x14ac:dyDescent="0.3">
      <c r="F67" s="403"/>
      <c r="G67" s="403"/>
      <c r="H67" s="403"/>
      <c r="I67" s="403"/>
    </row>
    <row r="68" spans="6:9" ht="14" x14ac:dyDescent="0.3">
      <c r="F68" s="403"/>
      <c r="G68" s="403"/>
      <c r="H68" s="403"/>
      <c r="I68" s="403"/>
    </row>
    <row r="69" spans="6:9" ht="14" x14ac:dyDescent="0.3">
      <c r="F69" s="403"/>
      <c r="G69" s="403"/>
      <c r="H69" s="403"/>
      <c r="I69" s="403"/>
    </row>
    <row r="70" spans="6:9" ht="14" x14ac:dyDescent="0.3">
      <c r="F70" s="403"/>
      <c r="G70" s="403"/>
      <c r="H70" s="403"/>
      <c r="I70" s="403"/>
    </row>
    <row r="71" spans="6:9" ht="14" x14ac:dyDescent="0.3">
      <c r="F71" s="403"/>
      <c r="G71" s="403"/>
      <c r="H71" s="403"/>
      <c r="I71" s="403"/>
    </row>
    <row r="72" spans="6:9" ht="14" x14ac:dyDescent="0.3">
      <c r="F72" s="403"/>
      <c r="G72" s="403"/>
      <c r="H72" s="403"/>
      <c r="I72" s="403"/>
    </row>
    <row r="73" spans="6:9" ht="14" x14ac:dyDescent="0.3">
      <c r="F73" s="403"/>
      <c r="G73" s="403"/>
      <c r="H73" s="403"/>
      <c r="I73" s="403"/>
    </row>
    <row r="74" spans="6:9" ht="14" x14ac:dyDescent="0.3">
      <c r="F74" s="403"/>
      <c r="G74" s="403"/>
      <c r="H74" s="403"/>
      <c r="I74" s="403"/>
    </row>
  </sheetData>
  <mergeCells count="8">
    <mergeCell ref="D12:F12"/>
    <mergeCell ref="H12:J12"/>
    <mergeCell ref="L12:M12"/>
    <mergeCell ref="A4:M4"/>
    <mergeCell ref="A5:M5"/>
    <mergeCell ref="A6:M6"/>
    <mergeCell ref="A8:M8"/>
    <mergeCell ref="A9:M9"/>
  </mergeCells>
  <pageMargins left="0.7" right="0.7" top="0.75" bottom="0.75" header="0.3" footer="0.3"/>
  <pageSetup scale="69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DAA4F-0B20-4CA4-92DE-96B625BB34B1}">
  <sheetPr>
    <tabColor theme="9" tint="0.59999389629810485"/>
    <pageSetUpPr fitToPage="1"/>
  </sheetPr>
  <dimension ref="A4:N73"/>
  <sheetViews>
    <sheetView workbookViewId="0"/>
  </sheetViews>
  <sheetFormatPr defaultRowHeight="12.5" x14ac:dyDescent="0.25"/>
  <cols>
    <col min="1" max="1" width="3.26953125" bestFit="1" customWidth="1"/>
    <col min="2" max="2" width="41.7265625" customWidth="1"/>
    <col min="3" max="3" width="8.7265625" customWidth="1"/>
    <col min="4" max="4" width="1.26953125" customWidth="1"/>
    <col min="5" max="5" width="15.7265625" customWidth="1"/>
    <col min="6" max="6" width="1.26953125" customWidth="1"/>
    <col min="7" max="7" width="13.7265625" customWidth="1"/>
    <col min="8" max="8" width="1.26953125" customWidth="1"/>
    <col min="9" max="9" width="15.7265625" customWidth="1"/>
    <col min="10" max="10" width="11" bestFit="1" customWidth="1"/>
    <col min="11" max="11" width="1.26953125" customWidth="1"/>
    <col min="12" max="12" width="13.7265625" customWidth="1"/>
    <col min="13" max="13" width="1.26953125" customWidth="1"/>
    <col min="14" max="14" width="15.7265625" customWidth="1"/>
  </cols>
  <sheetData>
    <row r="4" spans="1:14" ht="14" x14ac:dyDescent="0.3">
      <c r="A4" s="748" t="str">
        <f>'R1 EMA'!A4:N4</f>
        <v>Eastern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4" ht="14" x14ac:dyDescent="0.3">
      <c r="A5" s="748" t="str">
        <f>'R1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4" ht="14" x14ac:dyDescent="0.3">
      <c r="A6" s="205"/>
      <c r="C6" s="205"/>
      <c r="D6" s="205"/>
      <c r="E6" s="206"/>
      <c r="F6" s="207"/>
      <c r="G6" s="208"/>
      <c r="H6" s="209"/>
      <c r="I6" s="210"/>
      <c r="J6" s="210"/>
      <c r="K6" s="210"/>
      <c r="L6" s="211"/>
      <c r="M6" s="211"/>
      <c r="N6" s="212"/>
    </row>
    <row r="7" spans="1:14" ht="14" x14ac:dyDescent="0.3">
      <c r="A7" s="748" t="s">
        <v>342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4" ht="14" x14ac:dyDescent="0.3">
      <c r="B8" s="207"/>
      <c r="C8" s="207"/>
      <c r="D8" s="207"/>
      <c r="E8" s="213"/>
      <c r="F8" s="207"/>
      <c r="I8" s="210"/>
      <c r="J8" s="210"/>
      <c r="K8" s="210"/>
      <c r="L8" s="214"/>
      <c r="M8" s="214"/>
      <c r="N8" s="215"/>
    </row>
    <row r="9" spans="1:14" ht="14.5" thickBot="1" x14ac:dyDescent="0.35">
      <c r="A9" s="151"/>
      <c r="B9" s="216" t="s">
        <v>46</v>
      </c>
      <c r="C9" s="216"/>
      <c r="D9" s="216"/>
      <c r="E9" s="217" t="s">
        <v>144</v>
      </c>
      <c r="F9" s="216"/>
      <c r="G9" s="749" t="s">
        <v>63</v>
      </c>
      <c r="H9" s="749"/>
      <c r="I9" s="749"/>
      <c r="J9" s="218"/>
      <c r="K9" s="216"/>
      <c r="L9" s="750" t="s">
        <v>64</v>
      </c>
      <c r="M9" s="750"/>
      <c r="N9" s="750"/>
    </row>
    <row r="10" spans="1:14" ht="14" x14ac:dyDescent="0.3">
      <c r="A10" s="151"/>
      <c r="B10" s="219" t="s">
        <v>293</v>
      </c>
      <c r="C10" s="220" t="s">
        <v>294</v>
      </c>
      <c r="D10" s="220"/>
      <c r="E10" s="221" t="s">
        <v>295</v>
      </c>
      <c r="F10" s="222"/>
      <c r="G10" s="223" t="s">
        <v>211</v>
      </c>
      <c r="H10" s="223"/>
      <c r="I10" s="223" t="s">
        <v>148</v>
      </c>
      <c r="J10" s="224"/>
      <c r="K10" s="222"/>
      <c r="L10" s="225" t="s">
        <v>211</v>
      </c>
      <c r="M10" s="226"/>
      <c r="N10" s="227" t="s">
        <v>148</v>
      </c>
    </row>
    <row r="11" spans="1:14" ht="14" x14ac:dyDescent="0.3">
      <c r="A11" s="151" t="str">
        <f>IF(B11&lt;&gt;"",COUNTA($B$9:B11),"")</f>
        <v/>
      </c>
      <c r="B11" s="228"/>
      <c r="C11" s="220"/>
      <c r="D11" s="220"/>
      <c r="E11" s="213" t="s">
        <v>66</v>
      </c>
      <c r="F11" s="222"/>
      <c r="G11" s="229" t="s">
        <v>67</v>
      </c>
      <c r="H11" s="230"/>
      <c r="I11" s="231" t="s">
        <v>68</v>
      </c>
      <c r="J11" s="231" t="s">
        <v>69</v>
      </c>
      <c r="K11" s="222"/>
      <c r="L11" s="226" t="s">
        <v>70</v>
      </c>
      <c r="M11" s="230"/>
      <c r="N11" s="231" t="s">
        <v>71</v>
      </c>
    </row>
    <row r="12" spans="1:14" ht="14" x14ac:dyDescent="0.3">
      <c r="A12" s="151">
        <f>IF(B12&lt;&gt;"",COUNTA($B$12:B12),"")</f>
        <v>1</v>
      </c>
      <c r="B12" s="232" t="str">
        <f>+'R1 EMA'!B12</f>
        <v>Customer Charge</v>
      </c>
      <c r="C12" s="233" t="str">
        <f>+'R1 EMA'!C12</f>
        <v>CUST</v>
      </c>
      <c r="D12" s="233"/>
      <c r="E12" s="234">
        <v>869258.00307858922</v>
      </c>
      <c r="F12" s="207"/>
      <c r="G12" s="209">
        <v>7</v>
      </c>
      <c r="H12" s="209"/>
      <c r="I12" s="210">
        <f>G12*E12</f>
        <v>6084806.0215501245</v>
      </c>
      <c r="J12" s="235"/>
      <c r="K12" s="210"/>
      <c r="L12" s="209">
        <v>7</v>
      </c>
      <c r="M12" s="211"/>
      <c r="N12" s="210">
        <f>L12*E12</f>
        <v>6084806.0215501245</v>
      </c>
    </row>
    <row r="13" spans="1:14" ht="14" x14ac:dyDescent="0.3">
      <c r="A13" s="151">
        <f>IF(B13&lt;&gt;"",COUNTA($B$12:B13),"")</f>
        <v>2</v>
      </c>
      <c r="B13" s="232" t="str">
        <f>+'R1 EMA'!B13</f>
        <v>Distribution Energy</v>
      </c>
      <c r="C13" s="233" t="str">
        <f>+'R1 EMA'!C13</f>
        <v>DKWH</v>
      </c>
      <c r="D13" s="233"/>
      <c r="E13" s="234">
        <v>634017094.0532316</v>
      </c>
      <c r="F13" s="207"/>
      <c r="G13" s="236">
        <v>3.8350000000000002E-2</v>
      </c>
      <c r="H13" s="209"/>
      <c r="I13" s="237">
        <f>G13*E13</f>
        <v>24314555.556941435</v>
      </c>
      <c r="J13" s="235"/>
      <c r="K13" s="210"/>
      <c r="L13" s="236">
        <v>3.9940000000000003E-2</v>
      </c>
      <c r="M13" s="211"/>
      <c r="N13" s="237">
        <f>L13*E13</f>
        <v>25322642.736486074</v>
      </c>
    </row>
    <row r="14" spans="1:14" ht="14" x14ac:dyDescent="0.3">
      <c r="A14" s="151">
        <f>IF(B14&lt;&gt;"",COUNTA($B$12:B14),"")</f>
        <v>3</v>
      </c>
      <c r="B14" s="232" t="str">
        <f>+'R1 EMA'!B14</f>
        <v>Total Distribution</v>
      </c>
      <c r="C14" s="233" t="str">
        <f>+'R1 EMA'!C14</f>
        <v>DIST</v>
      </c>
      <c r="D14" s="233"/>
      <c r="E14" s="234"/>
      <c r="F14" s="207"/>
      <c r="G14" s="209"/>
      <c r="H14" s="209"/>
      <c r="I14" s="210">
        <f>SUM(I12:I13)</f>
        <v>30399361.578491561</v>
      </c>
      <c r="J14" s="235"/>
      <c r="K14" s="210"/>
      <c r="L14" s="238"/>
      <c r="M14" s="211"/>
      <c r="N14" s="210">
        <f>SUM(N12:N13)</f>
        <v>31407448.758036196</v>
      </c>
    </row>
    <row r="15" spans="1:14" ht="14" x14ac:dyDescent="0.3">
      <c r="A15" s="151" t="str">
        <f>IF(B15&lt;&gt;"",COUNTA($B$12:B15),"")</f>
        <v/>
      </c>
      <c r="B15" s="207"/>
      <c r="C15" s="233"/>
      <c r="D15" s="233"/>
      <c r="E15" s="234"/>
      <c r="F15" s="207"/>
      <c r="G15" s="209"/>
      <c r="H15" s="209"/>
      <c r="I15" s="210"/>
      <c r="J15" s="235"/>
      <c r="K15" s="210"/>
      <c r="L15" s="238"/>
      <c r="M15" s="211"/>
      <c r="N15" s="210"/>
    </row>
    <row r="16" spans="1:14" ht="14" x14ac:dyDescent="0.3">
      <c r="A16" s="151">
        <f>IF(B16&lt;&gt;"",COUNTA($B$12:B16),"")</f>
        <v>4</v>
      </c>
      <c r="B16" s="228" t="s">
        <v>302</v>
      </c>
      <c r="F16" s="239"/>
      <c r="G16" s="240"/>
      <c r="H16" s="211"/>
      <c r="I16" s="210"/>
      <c r="K16" s="210"/>
      <c r="L16" s="241"/>
      <c r="M16" s="211"/>
      <c r="N16" s="210"/>
    </row>
    <row r="17" spans="1:14" ht="14" x14ac:dyDescent="0.3">
      <c r="A17" s="151">
        <f>IF(B17&lt;&gt;"",COUNTA($B$12:B17),"")</f>
        <v>5</v>
      </c>
      <c r="B17" s="207" t="str">
        <f>'R1 EMA'!B17</f>
        <v>Revenue Decoupling</v>
      </c>
      <c r="C17" s="233" t="str">
        <f>'R1 EMA'!C17</f>
        <v>RDAF</v>
      </c>
      <c r="D17" s="233"/>
      <c r="E17" s="242"/>
      <c r="F17" s="239"/>
      <c r="G17" s="236">
        <v>0</v>
      </c>
      <c r="H17" s="211"/>
      <c r="I17" s="210">
        <f>G17*$E$13</f>
        <v>0</v>
      </c>
      <c r="K17" s="210"/>
      <c r="L17" s="236">
        <v>-4.636470553498867E-4</v>
      </c>
      <c r="M17" s="211"/>
      <c r="N17" s="210">
        <f>$E$13*L17</f>
        <v>-293960.15869927302</v>
      </c>
    </row>
    <row r="18" spans="1:14" ht="14" x14ac:dyDescent="0.3">
      <c r="A18" s="151">
        <f>IF(B18&lt;&gt;"",COUNTA($B$12:B18),"")</f>
        <v>6</v>
      </c>
      <c r="B18" s="207" t="str">
        <f>'R1 EMA'!B18</f>
        <v>Residential Assistance Adjustment Factor</v>
      </c>
      <c r="C18" s="233" t="str">
        <f>'R1 EMA'!C18</f>
        <v>RAAF</v>
      </c>
      <c r="D18" s="243"/>
      <c r="E18" s="206"/>
      <c r="F18" s="239"/>
      <c r="G18" s="236">
        <v>2.9499999999999999E-3</v>
      </c>
      <c r="H18" s="211"/>
      <c r="I18" s="210">
        <f t="shared" ref="I18:I36" si="0">G18*$E$13</f>
        <v>1870350.4274570332</v>
      </c>
      <c r="K18" s="210"/>
      <c r="L18" s="236">
        <v>3.9170150182816542E-3</v>
      </c>
      <c r="M18" s="211"/>
      <c r="N18" s="210">
        <f t="shared" ref="N18:N35" si="1">$E$13*L18</f>
        <v>2483454.4792538001</v>
      </c>
    </row>
    <row r="19" spans="1:14" ht="14" x14ac:dyDescent="0.3">
      <c r="A19" s="151">
        <f>IF(B19&lt;&gt;"",COUNTA($B$12:B19),"")</f>
        <v>7</v>
      </c>
      <c r="B19" s="207" t="str">
        <f>'R1 EMA'!B19</f>
        <v>Pension Adjustment Factor</v>
      </c>
      <c r="C19" s="233" t="str">
        <f>'R1 EMA'!C19</f>
        <v>PAF</v>
      </c>
      <c r="D19" s="243"/>
      <c r="E19" s="206"/>
      <c r="F19" s="239"/>
      <c r="G19" s="236">
        <v>-1E-4</v>
      </c>
      <c r="H19" s="211"/>
      <c r="I19" s="210">
        <f t="shared" si="0"/>
        <v>-63401.709405323163</v>
      </c>
      <c r="K19" s="210"/>
      <c r="L19" s="236">
        <v>9.1807557129104558E-4</v>
      </c>
      <c r="M19" s="211"/>
      <c r="N19" s="210">
        <f t="shared" si="1"/>
        <v>582075.60583120922</v>
      </c>
    </row>
    <row r="20" spans="1:14" ht="14" x14ac:dyDescent="0.3">
      <c r="A20" s="151">
        <f>IF(B20&lt;&gt;"",COUNTA($B$12:B20),"")</f>
        <v>8</v>
      </c>
      <c r="B20" s="207" t="str">
        <f>'R1 EMA'!B20</f>
        <v>Net Metering Recovery Surcharge</v>
      </c>
      <c r="C20" s="233" t="str">
        <f>'R1 EMA'!C20</f>
        <v>NMRS</v>
      </c>
      <c r="D20" s="243"/>
      <c r="E20" s="206"/>
      <c r="F20" s="239"/>
      <c r="G20" s="236">
        <v>5.7999999999999996E-3</v>
      </c>
      <c r="H20" s="211"/>
      <c r="I20" s="210">
        <f t="shared" si="0"/>
        <v>3677299.1455087429</v>
      </c>
      <c r="K20" s="210"/>
      <c r="L20" s="236">
        <v>5.1074733847265843E-3</v>
      </c>
      <c r="M20" s="211"/>
      <c r="N20" s="210">
        <f t="shared" si="1"/>
        <v>3238225.4333385718</v>
      </c>
    </row>
    <row r="21" spans="1:14" ht="14" x14ac:dyDescent="0.3">
      <c r="A21" s="151">
        <f>IF(B21&lt;&gt;"",COUNTA($B$12:B21),"")</f>
        <v>9</v>
      </c>
      <c r="B21" s="207" t="str">
        <f>'R1 EMA'!B21</f>
        <v>Long Term Renewable Contract Adjustment</v>
      </c>
      <c r="C21" s="233" t="str">
        <f>'R1 EMA'!C21</f>
        <v>LTRCA</v>
      </c>
      <c r="D21" s="243"/>
      <c r="E21" s="206"/>
      <c r="F21" s="239"/>
      <c r="G21" s="236">
        <v>2.3600000000000001E-3</v>
      </c>
      <c r="H21" s="211"/>
      <c r="I21" s="210">
        <f t="shared" si="0"/>
        <v>1496280.3419656267</v>
      </c>
      <c r="K21" s="210"/>
      <c r="L21" s="236">
        <v>1.7357128782064517E-3</v>
      </c>
      <c r="M21" s="211"/>
      <c r="N21" s="210">
        <f t="shared" si="1"/>
        <v>1100471.6351512251</v>
      </c>
    </row>
    <row r="22" spans="1:14" ht="14" x14ac:dyDescent="0.3">
      <c r="A22" s="151">
        <f>IF(B22&lt;&gt;"",COUNTA($B$12:B22),"")</f>
        <v>10</v>
      </c>
      <c r="B22" s="207" t="str">
        <f>'R1 EMA'!B22</f>
        <v>AG Consulting Expense</v>
      </c>
      <c r="C22" s="233" t="str">
        <f>'R1 EMA'!C22</f>
        <v>AGCE</v>
      </c>
      <c r="D22" s="243"/>
      <c r="E22" s="206"/>
      <c r="F22" s="239"/>
      <c r="G22" s="236">
        <v>3.0000000000000001E-5</v>
      </c>
      <c r="H22" s="211"/>
      <c r="I22" s="210">
        <f t="shared" si="0"/>
        <v>19020.512821596949</v>
      </c>
      <c r="K22" s="210"/>
      <c r="L22" s="236">
        <v>8.2242703690137013E-6</v>
      </c>
      <c r="M22" s="211"/>
      <c r="N22" s="210">
        <f t="shared" si="1"/>
        <v>5214.3280000701652</v>
      </c>
    </row>
    <row r="23" spans="1:14" ht="14" x14ac:dyDescent="0.3">
      <c r="A23" s="151">
        <f>IF(B23&lt;&gt;"",COUNTA($B$12:B23),"")</f>
        <v>11</v>
      </c>
      <c r="B23" s="207" t="str">
        <f>'R1 EMA'!B23</f>
        <v>Storm Cost Recovery Adjustment Factor</v>
      </c>
      <c r="C23" s="233" t="str">
        <f>'R1 EMA'!C23</f>
        <v>SCRA</v>
      </c>
      <c r="D23" s="243"/>
      <c r="E23" s="206"/>
      <c r="F23" s="239"/>
      <c r="G23" s="236">
        <v>1.82E-3</v>
      </c>
      <c r="H23" s="211"/>
      <c r="I23" s="210">
        <f t="shared" si="0"/>
        <v>1153911.1111768815</v>
      </c>
      <c r="K23" s="210"/>
      <c r="L23" s="236">
        <v>2.9625818337441516E-3</v>
      </c>
      <c r="M23" s="211"/>
      <c r="N23" s="210">
        <f t="shared" si="1"/>
        <v>1878327.525125361</v>
      </c>
    </row>
    <row r="24" spans="1:14" ht="14" x14ac:dyDescent="0.3">
      <c r="A24" s="151">
        <f>IF(B24&lt;&gt;"",COUNTA($B$12:B24),"")</f>
        <v>12</v>
      </c>
      <c r="B24" s="207" t="str">
        <f>'R1 EMA'!B24</f>
        <v>Storm Reserve Adjustment</v>
      </c>
      <c r="C24" s="233" t="str">
        <f>'R1 EMA'!C24</f>
        <v>SRA</v>
      </c>
      <c r="D24" s="243"/>
      <c r="E24" s="206"/>
      <c r="F24" s="239"/>
      <c r="G24" s="236">
        <v>0</v>
      </c>
      <c r="H24" s="211"/>
      <c r="I24" s="210">
        <f t="shared" si="0"/>
        <v>0</v>
      </c>
      <c r="K24" s="210"/>
      <c r="L24" s="236">
        <v>0</v>
      </c>
      <c r="M24" s="211"/>
      <c r="N24" s="210">
        <f t="shared" si="1"/>
        <v>0</v>
      </c>
    </row>
    <row r="25" spans="1:14" ht="14" x14ac:dyDescent="0.3">
      <c r="A25" s="151">
        <f>IF(B25&lt;&gt;"",COUNTA($B$12:B25),"")</f>
        <v>13</v>
      </c>
      <c r="B25" s="207" t="str">
        <f>'R1 EMA'!B25</f>
        <v>Basic Service Cost True Up Factor</v>
      </c>
      <c r="C25" s="233" t="str">
        <f>'R1 EMA'!C25</f>
        <v>BSTF</v>
      </c>
      <c r="D25" s="243"/>
      <c r="E25" s="206"/>
      <c r="F25" s="239"/>
      <c r="G25" s="236">
        <v>1.57E-3</v>
      </c>
      <c r="H25" s="211"/>
      <c r="I25" s="210">
        <f t="shared" si="0"/>
        <v>995406.83766357356</v>
      </c>
      <c r="K25" s="210"/>
      <c r="L25" s="236">
        <v>-1.9437188368004869E-4</v>
      </c>
      <c r="M25" s="211"/>
      <c r="N25" s="210">
        <f t="shared" si="1"/>
        <v>-123235.09685647722</v>
      </c>
    </row>
    <row r="26" spans="1:14" ht="14" x14ac:dyDescent="0.3">
      <c r="A26" s="151">
        <f>IF(B26&lt;&gt;"",COUNTA($B$12:B26),"")</f>
        <v>14</v>
      </c>
      <c r="B26" s="207" t="str">
        <f>'R1 EMA'!B26</f>
        <v>Solar Program Cost Adjustment Factor</v>
      </c>
      <c r="C26" s="233" t="str">
        <f>'R1 EMA'!C26</f>
        <v>SPCA</v>
      </c>
      <c r="D26" s="233"/>
      <c r="E26" s="206"/>
      <c r="F26" s="239"/>
      <c r="G26" s="236">
        <v>0</v>
      </c>
      <c r="H26" s="211"/>
      <c r="I26" s="210">
        <f t="shared" si="0"/>
        <v>0</v>
      </c>
      <c r="K26" s="210"/>
      <c r="L26" s="236">
        <v>3.4591298516964567E-5</v>
      </c>
      <c r="M26" s="211"/>
      <c r="N26" s="210">
        <f t="shared" si="1"/>
        <v>21931.474565253735</v>
      </c>
    </row>
    <row r="27" spans="1:14" ht="14" x14ac:dyDescent="0.3">
      <c r="A27" s="151">
        <f>IF(B27&lt;&gt;"",COUNTA($B$12:B27),"")</f>
        <v>15</v>
      </c>
      <c r="B27" s="207" t="str">
        <f>'R1 EMA'!B27</f>
        <v>Solar Expansion Cost Recovery Factor</v>
      </c>
      <c r="C27" s="233" t="str">
        <f>'R1 EMA'!C27</f>
        <v>SECRF</v>
      </c>
      <c r="D27" s="233"/>
      <c r="E27" s="206"/>
      <c r="F27" s="239"/>
      <c r="G27" s="236">
        <v>0</v>
      </c>
      <c r="H27" s="211"/>
      <c r="I27" s="210">
        <f t="shared" si="0"/>
        <v>0</v>
      </c>
      <c r="K27" s="210"/>
      <c r="L27" s="236">
        <v>6.1011137043019529E-4</v>
      </c>
      <c r="M27" s="211"/>
      <c r="N27" s="210">
        <f t="shared" si="1"/>
        <v>386821.03812898713</v>
      </c>
    </row>
    <row r="28" spans="1:14" ht="14" x14ac:dyDescent="0.3">
      <c r="A28" s="151">
        <f>IF(B28&lt;&gt;"",COUNTA($B$12:B28),"")</f>
        <v>16</v>
      </c>
      <c r="B28" s="207" t="str">
        <f>'R1 EMA'!B28</f>
        <v>Vegetation Management</v>
      </c>
      <c r="C28" s="233" t="str">
        <f>'R1 EMA'!C28</f>
        <v>RTWF</v>
      </c>
      <c r="D28" s="233"/>
      <c r="E28" s="206"/>
      <c r="F28" s="239"/>
      <c r="G28" s="236">
        <v>0</v>
      </c>
      <c r="H28" s="211"/>
      <c r="I28" s="210">
        <f t="shared" si="0"/>
        <v>0</v>
      </c>
      <c r="K28" s="210"/>
      <c r="L28" s="236">
        <v>1.6436655676838139E-3</v>
      </c>
      <c r="M28" s="211"/>
      <c r="N28" s="210">
        <f t="shared" si="1"/>
        <v>1042112.066818247</v>
      </c>
    </row>
    <row r="29" spans="1:14" ht="14" x14ac:dyDescent="0.3">
      <c r="A29" s="151">
        <f>IF(B29&lt;&gt;"",COUNTA($B$12:B29),"")</f>
        <v>17</v>
      </c>
      <c r="B29" s="207" t="str">
        <f>'R1 EMA'!B29</f>
        <v>Solar Massachusetts Renewable Target</v>
      </c>
      <c r="C29" s="233" t="str">
        <f>'R1 EMA'!C29</f>
        <v>SMART</v>
      </c>
      <c r="D29" s="233"/>
      <c r="E29" s="206"/>
      <c r="F29" s="239"/>
      <c r="G29" s="236">
        <v>0</v>
      </c>
      <c r="H29" s="211"/>
      <c r="I29" s="210">
        <f t="shared" si="0"/>
        <v>0</v>
      </c>
      <c r="K29" s="210"/>
      <c r="L29" s="236">
        <v>7.1483108644926168E-4</v>
      </c>
      <c r="M29" s="211"/>
      <c r="N29" s="210">
        <f t="shared" si="1"/>
        <v>453215.12816947524</v>
      </c>
    </row>
    <row r="30" spans="1:14" ht="14" x14ac:dyDescent="0.3">
      <c r="A30" s="151">
        <f>IF(B30&lt;&gt;"",COUNTA($B$12:B30),"")</f>
        <v>18</v>
      </c>
      <c r="B30" s="207" t="str">
        <f>'R1 EMA'!B30</f>
        <v>Tax Act Credit Factor</v>
      </c>
      <c r="C30" s="233" t="str">
        <f>'R1 EMA'!C30</f>
        <v>TACF</v>
      </c>
      <c r="D30" s="233"/>
      <c r="E30" s="206"/>
      <c r="F30" s="239"/>
      <c r="G30" s="236">
        <v>0</v>
      </c>
      <c r="H30" s="211"/>
      <c r="I30" s="210">
        <f t="shared" si="0"/>
        <v>0</v>
      </c>
      <c r="K30" s="210"/>
      <c r="L30" s="236">
        <v>-1.0821348464114689E-3</v>
      </c>
      <c r="M30" s="211"/>
      <c r="N30" s="210">
        <f t="shared" si="1"/>
        <v>-686091.99069553963</v>
      </c>
    </row>
    <row r="31" spans="1:14" ht="14" x14ac:dyDescent="0.3">
      <c r="A31" s="151">
        <f>IF(B31&lt;&gt;"",COUNTA($B$12:B31),"")</f>
        <v>19</v>
      </c>
      <c r="B31" s="207" t="str">
        <f>'R1 EMA'!B31</f>
        <v>Transition</v>
      </c>
      <c r="C31" s="233" t="str">
        <f>'R1 EMA'!C31</f>
        <v>TRNSN</v>
      </c>
      <c r="D31" s="233"/>
      <c r="E31" s="206"/>
      <c r="F31" s="239"/>
      <c r="G31" s="236">
        <v>-6.0999999999999997E-4</v>
      </c>
      <c r="H31" s="211"/>
      <c r="I31" s="210">
        <f t="shared" si="0"/>
        <v>-386750.42737247125</v>
      </c>
      <c r="K31" s="210"/>
      <c r="L31" s="236">
        <v>-5.210932140356871E-4</v>
      </c>
      <c r="M31" s="211"/>
      <c r="N31" s="210">
        <f t="shared" si="1"/>
        <v>-330382.00529376499</v>
      </c>
    </row>
    <row r="32" spans="1:14" ht="14" x14ac:dyDescent="0.3">
      <c r="A32" s="151">
        <f>IF(B32&lt;&gt;"",COUNTA($B$12:B32),"")</f>
        <v>20</v>
      </c>
      <c r="B32" s="207" t="str">
        <f>'R1 EMA'!B32</f>
        <v>Transmission Energy</v>
      </c>
      <c r="C32" s="233" t="str">
        <f>'R1 EMA'!C32</f>
        <v>TMKWH</v>
      </c>
      <c r="D32" s="233"/>
      <c r="E32" s="206"/>
      <c r="F32" s="239"/>
      <c r="G32" s="236">
        <v>2.896E-2</v>
      </c>
      <c r="H32" s="211"/>
      <c r="I32" s="210">
        <f t="shared" si="0"/>
        <v>18361135.043781586</v>
      </c>
      <c r="K32" s="210"/>
      <c r="L32" s="236">
        <v>2.503692470248408E-2</v>
      </c>
      <c r="M32" s="211"/>
      <c r="N32" s="210">
        <f t="shared" si="1"/>
        <v>15873838.243898526</v>
      </c>
    </row>
    <row r="33" spans="1:14" ht="14" x14ac:dyDescent="0.3">
      <c r="A33" s="151">
        <f>IF(B33&lt;&gt;"",COUNTA($B$12:B33),"")</f>
        <v>21</v>
      </c>
      <c r="B33" s="207" t="str">
        <f>'R1 EMA'!B33</f>
        <v>Energy Efficiency Reconciliation Factor</v>
      </c>
      <c r="C33" s="233" t="str">
        <f>'R1 EMA'!C33</f>
        <v>EERF</v>
      </c>
      <c r="D33" s="233"/>
      <c r="E33" s="206"/>
      <c r="F33" s="239"/>
      <c r="G33" s="236">
        <v>1.4749999999999999E-2</v>
      </c>
      <c r="H33" s="211"/>
      <c r="I33" s="210">
        <f t="shared" si="0"/>
        <v>9351752.1372851655</v>
      </c>
      <c r="K33" s="210"/>
      <c r="L33" s="236">
        <v>1.4749999999999999E-2</v>
      </c>
      <c r="M33" s="211"/>
      <c r="N33" s="210">
        <f t="shared" si="1"/>
        <v>9351752.1372851655</v>
      </c>
    </row>
    <row r="34" spans="1:14" ht="14" x14ac:dyDescent="0.3">
      <c r="A34" s="151">
        <f>IF(B34&lt;&gt;"",COUNTA($B$12:B34),"")</f>
        <v>22</v>
      </c>
      <c r="B34" s="207" t="str">
        <f>'R1 EMA'!B34</f>
        <v>System Benefits Charge</v>
      </c>
      <c r="C34" s="233" t="str">
        <f>'R1 EMA'!C34</f>
        <v>SBC</v>
      </c>
      <c r="D34" s="233"/>
      <c r="E34" s="206"/>
      <c r="F34" s="239"/>
      <c r="G34" s="236">
        <v>2.5000000000000001E-3</v>
      </c>
      <c r="H34" s="211"/>
      <c r="I34" s="210">
        <f t="shared" si="0"/>
        <v>1585042.7351330791</v>
      </c>
      <c r="K34" s="210"/>
      <c r="L34" s="236">
        <f>+G34</f>
        <v>2.5000000000000001E-3</v>
      </c>
      <c r="M34" s="211"/>
      <c r="N34" s="210">
        <f t="shared" si="1"/>
        <v>1585042.7351330791</v>
      </c>
    </row>
    <row r="35" spans="1:14" ht="14" x14ac:dyDescent="0.3">
      <c r="A35" s="151">
        <f>IF(B35&lt;&gt;"",COUNTA($B$12:B35),"")</f>
        <v>23</v>
      </c>
      <c r="B35" s="207" t="str">
        <f>'R1 EMA'!B35</f>
        <v>Renewable Energy Charge</v>
      </c>
      <c r="C35" s="233" t="str">
        <f>'R1 EMA'!C35</f>
        <v>RNEW</v>
      </c>
      <c r="D35" s="233"/>
      <c r="E35" s="206"/>
      <c r="F35" s="239"/>
      <c r="G35" s="236">
        <v>5.0000000000000001E-4</v>
      </c>
      <c r="H35" s="211"/>
      <c r="I35" s="210">
        <f t="shared" si="0"/>
        <v>317008.54702661582</v>
      </c>
      <c r="K35" s="210"/>
      <c r="L35" s="236">
        <f>+G35</f>
        <v>5.0000000000000001E-4</v>
      </c>
      <c r="M35" s="211"/>
      <c r="N35" s="210">
        <f t="shared" si="1"/>
        <v>317008.54702661582</v>
      </c>
    </row>
    <row r="36" spans="1:14" ht="14" x14ac:dyDescent="0.3">
      <c r="A36" s="151">
        <f>IF(B36&lt;&gt;"",COUNTA($B$12:B36),"")</f>
        <v>24</v>
      </c>
      <c r="B36" s="207" t="str">
        <f>'R1 EMA'!B36</f>
        <v>Basic Service Charge</v>
      </c>
      <c r="C36" s="233" t="str">
        <f>'R1 EMA'!C36</f>
        <v>BS</v>
      </c>
      <c r="D36" s="233"/>
      <c r="E36" s="206"/>
      <c r="F36" s="239"/>
      <c r="G36" s="236">
        <v>0.11397</v>
      </c>
      <c r="H36" s="211"/>
      <c r="I36" s="237">
        <f t="shared" si="0"/>
        <v>72258928.209246799</v>
      </c>
      <c r="K36" s="210"/>
      <c r="L36" s="236">
        <v>0.13588</v>
      </c>
      <c r="M36" s="211"/>
      <c r="N36" s="237">
        <f>$E$13*L36</f>
        <v>86150242.739953116</v>
      </c>
    </row>
    <row r="37" spans="1:14" ht="14" x14ac:dyDescent="0.3">
      <c r="A37" s="151" t="str">
        <f>IF(B37&lt;&gt;"",COUNTA($B$12:B37),"")</f>
        <v/>
      </c>
      <c r="B37" s="207"/>
      <c r="E37" s="206"/>
      <c r="F37" s="239"/>
      <c r="G37" s="241"/>
      <c r="H37" s="211"/>
      <c r="I37" s="244"/>
      <c r="K37" s="210"/>
      <c r="L37" s="241"/>
      <c r="M37" s="211"/>
      <c r="N37" s="244"/>
    </row>
    <row r="38" spans="1:14" ht="14" x14ac:dyDescent="0.3">
      <c r="A38" s="151">
        <f>IF(B38&lt;&gt;"",COUNTA($B$12:B38),"")</f>
        <v>25</v>
      </c>
      <c r="B38" s="188" t="s">
        <v>46</v>
      </c>
      <c r="E38" s="188"/>
      <c r="G38" s="245" t="s">
        <v>324</v>
      </c>
      <c r="H38" s="246"/>
      <c r="I38" s="154">
        <f>SUM(I14:I37)</f>
        <v>141035344.49078047</v>
      </c>
      <c r="K38" s="247"/>
      <c r="L38" s="245"/>
      <c r="N38" s="154">
        <f>SUM(N14:N37)</f>
        <v>154443512.62416983</v>
      </c>
    </row>
    <row r="39" spans="1:14" ht="14" x14ac:dyDescent="0.3">
      <c r="A39" s="151" t="str">
        <f>IF(B39&lt;&gt;"",COUNTA($B$12:B39),"")</f>
        <v/>
      </c>
      <c r="E39" s="188"/>
      <c r="G39" s="245"/>
      <c r="H39" s="246"/>
      <c r="I39" s="265"/>
      <c r="K39" s="247"/>
      <c r="L39" s="245"/>
      <c r="N39" s="265"/>
    </row>
    <row r="40" spans="1:14" ht="14" x14ac:dyDescent="0.3">
      <c r="A40" s="151" t="str">
        <f>IF(B40&lt;&gt;"",COUNTA($B$12:B40),"")</f>
        <v/>
      </c>
      <c r="E40" s="188"/>
      <c r="G40" s="245"/>
      <c r="H40" s="246"/>
      <c r="K40" s="247"/>
      <c r="L40" s="248" t="s">
        <v>325</v>
      </c>
      <c r="N40" s="160">
        <f>+N38/I38-1</f>
        <v>9.5069559916350244E-2</v>
      </c>
    </row>
    <row r="41" spans="1:14" ht="14" x14ac:dyDescent="0.3">
      <c r="A41" s="151" t="str">
        <f>IF(B41&lt;&gt;"",COUNTA($B$12:B41),"")</f>
        <v/>
      </c>
      <c r="E41" s="188"/>
      <c r="G41" s="245"/>
      <c r="H41" s="246"/>
      <c r="K41" s="247"/>
      <c r="L41" s="248"/>
      <c r="N41" s="160"/>
    </row>
    <row r="42" spans="1:14" ht="14" x14ac:dyDescent="0.3">
      <c r="A42" s="151" t="str">
        <f>IF(B42&lt;&gt;"",COUNTA($B$12:B42),"")</f>
        <v/>
      </c>
      <c r="E42" s="188"/>
      <c r="H42" s="188"/>
      <c r="I42" s="188"/>
      <c r="L42" s="248"/>
    </row>
    <row r="43" spans="1:14" ht="14.5" thickBot="1" x14ac:dyDescent="0.35">
      <c r="A43" s="151">
        <f>IF(B43&lt;&gt;"",COUNTA($B$12:B43),"")</f>
        <v>26</v>
      </c>
      <c r="B43" s="188" t="s">
        <v>46</v>
      </c>
      <c r="E43" s="747" t="s">
        <v>326</v>
      </c>
      <c r="F43" s="747"/>
      <c r="G43" s="747"/>
      <c r="I43" s="747" t="s">
        <v>327</v>
      </c>
      <c r="J43" s="747"/>
      <c r="L43" s="747" t="s">
        <v>328</v>
      </c>
      <c r="M43" s="747"/>
      <c r="N43" s="747"/>
    </row>
    <row r="44" spans="1:14" ht="14" x14ac:dyDescent="0.3">
      <c r="A44" s="151">
        <f>IF(B44&lt;&gt;"",COUNTA($B$12:B44),"")</f>
        <v>27</v>
      </c>
      <c r="B44" s="144" t="s">
        <v>329</v>
      </c>
      <c r="C44" s="144"/>
      <c r="D44" s="144"/>
      <c r="E44" s="249" t="s">
        <v>148</v>
      </c>
      <c r="F44" s="250"/>
      <c r="G44" s="251" t="s">
        <v>330</v>
      </c>
      <c r="I44" s="249" t="s">
        <v>148</v>
      </c>
      <c r="J44" s="251" t="s">
        <v>330</v>
      </c>
      <c r="K44" s="212"/>
      <c r="L44" s="249" t="s">
        <v>148</v>
      </c>
      <c r="M44" s="252"/>
      <c r="N44" s="251" t="s">
        <v>330</v>
      </c>
    </row>
    <row r="45" spans="1:14" ht="14" x14ac:dyDescent="0.3">
      <c r="A45" s="151">
        <f>IF(B45&lt;&gt;"",COUNTA($B$12:B45),"")</f>
        <v>28</v>
      </c>
      <c r="B45" s="130" t="str">
        <f>+'R1 EMA'!B45</f>
        <v>Distribution</v>
      </c>
      <c r="C45" s="253" t="str">
        <f>+'R1 EMA'!C45</f>
        <v>DIST</v>
      </c>
      <c r="D45" s="253"/>
      <c r="E45" s="154">
        <f t="shared" ref="E45:E60" si="2">SUMIF($C$12:$C$36,$C45,$I$12:$I$36)</f>
        <v>30399361.578491561</v>
      </c>
      <c r="G45" s="254">
        <f>+E45/$E$13*100</f>
        <v>4.7947227075772272</v>
      </c>
      <c r="I45" s="154">
        <f t="shared" ref="I45:I60" si="3">SUMIF($C$12:$C$36,$C45,$N$12:$N$36)</f>
        <v>31407448.758036196</v>
      </c>
      <c r="J45" s="254">
        <f>+I45/E$13*100</f>
        <v>4.953722707577227</v>
      </c>
      <c r="L45" s="154">
        <f t="shared" ref="L45:L65" si="4">I45-E45</f>
        <v>1008087.1795446351</v>
      </c>
      <c r="N45" s="254">
        <f>+L45/$E$13*100</f>
        <v>0.1589999999999995</v>
      </c>
    </row>
    <row r="46" spans="1:14" ht="14" x14ac:dyDescent="0.3">
      <c r="A46" s="151">
        <f>IF(B46&lt;&gt;"",COUNTA($B$12:B46),"")</f>
        <v>29</v>
      </c>
      <c r="B46" s="130" t="str">
        <f>+'R1 EMA'!B46</f>
        <v>Revenue Decoupling</v>
      </c>
      <c r="C46" s="253" t="str">
        <f>+'R1 EMA'!C46</f>
        <v>RDAF</v>
      </c>
      <c r="D46" s="253"/>
      <c r="E46" s="154">
        <f t="shared" si="2"/>
        <v>0</v>
      </c>
      <c r="G46" s="254">
        <f t="shared" ref="G46:G66" si="5">+E46/$E$13*100</f>
        <v>0</v>
      </c>
      <c r="I46" s="154">
        <f t="shared" si="3"/>
        <v>-293960.15869927302</v>
      </c>
      <c r="J46" s="254">
        <f t="shared" ref="J46:J66" si="6">+I46/E$13*100</f>
        <v>-4.6364705534988677E-2</v>
      </c>
      <c r="L46" s="154">
        <f>I46-E46</f>
        <v>-293960.15869927302</v>
      </c>
      <c r="N46" s="254">
        <f t="shared" ref="N46:N65" si="7">+L46/$E$13*100</f>
        <v>-4.6364705534988677E-2</v>
      </c>
    </row>
    <row r="47" spans="1:14" ht="14" x14ac:dyDescent="0.3">
      <c r="A47" s="151">
        <f>IF(B47&lt;&gt;"",COUNTA($B$12:B47),"")</f>
        <v>30</v>
      </c>
      <c r="B47" s="130" t="str">
        <f>+'R1 EMA'!B47</f>
        <v>Residential Assistance Adjustment Factor</v>
      </c>
      <c r="C47" s="253" t="str">
        <f>+'R1 EMA'!C47</f>
        <v>RAAF</v>
      </c>
      <c r="D47" s="253"/>
      <c r="E47" s="154">
        <f t="shared" si="2"/>
        <v>1870350.4274570332</v>
      </c>
      <c r="G47" s="254">
        <f t="shared" si="5"/>
        <v>0.29499999999999998</v>
      </c>
      <c r="I47" s="154">
        <f t="shared" si="3"/>
        <v>2483454.4792538001</v>
      </c>
      <c r="J47" s="254">
        <f t="shared" si="6"/>
        <v>0.39170150182816543</v>
      </c>
      <c r="L47" s="154">
        <f t="shared" si="4"/>
        <v>613104.05179676693</v>
      </c>
      <c r="N47" s="254">
        <f t="shared" si="7"/>
        <v>9.6701501828165407E-2</v>
      </c>
    </row>
    <row r="48" spans="1:14" ht="14" x14ac:dyDescent="0.3">
      <c r="A48" s="151">
        <f>IF(B48&lt;&gt;"",COUNTA($B$12:B48),"")</f>
        <v>31</v>
      </c>
      <c r="B48" s="130" t="str">
        <f>+'R1 EMA'!B48</f>
        <v>Pension Adjustment Factor</v>
      </c>
      <c r="C48" s="253" t="str">
        <f>+'R1 EMA'!C48</f>
        <v>PAF</v>
      </c>
      <c r="D48" s="253"/>
      <c r="E48" s="154">
        <f t="shared" si="2"/>
        <v>-63401.709405323163</v>
      </c>
      <c r="G48" s="254">
        <f t="shared" si="5"/>
        <v>-0.01</v>
      </c>
      <c r="I48" s="154">
        <f t="shared" si="3"/>
        <v>582075.60583120922</v>
      </c>
      <c r="J48" s="254">
        <f t="shared" si="6"/>
        <v>9.1807557129104572E-2</v>
      </c>
      <c r="L48" s="154">
        <f t="shared" si="4"/>
        <v>645477.31523653236</v>
      </c>
      <c r="N48" s="254">
        <f t="shared" si="7"/>
        <v>0.10180755712910455</v>
      </c>
    </row>
    <row r="49" spans="1:14" ht="14" x14ac:dyDescent="0.3">
      <c r="A49" s="151">
        <f>IF(B49&lt;&gt;"",COUNTA($B$12:B49),"")</f>
        <v>32</v>
      </c>
      <c r="B49" s="130" t="str">
        <f>+'R1 EMA'!B49</f>
        <v>Net Metering Recovery Surcharge</v>
      </c>
      <c r="C49" s="253" t="str">
        <f>+'R1 EMA'!C49</f>
        <v>NMRS</v>
      </c>
      <c r="D49" s="253"/>
      <c r="E49" s="154">
        <f t="shared" si="2"/>
        <v>3677299.1455087429</v>
      </c>
      <c r="G49" s="254">
        <f t="shared" si="5"/>
        <v>0.57999999999999996</v>
      </c>
      <c r="I49" s="154">
        <f t="shared" si="3"/>
        <v>3238225.4333385718</v>
      </c>
      <c r="J49" s="254">
        <f t="shared" si="6"/>
        <v>0.51074733847265841</v>
      </c>
      <c r="L49" s="154">
        <f t="shared" si="4"/>
        <v>-439073.71217017109</v>
      </c>
      <c r="N49" s="254">
        <f t="shared" si="7"/>
        <v>-6.9252661527341525E-2</v>
      </c>
    </row>
    <row r="50" spans="1:14" ht="14" x14ac:dyDescent="0.3">
      <c r="A50" s="151">
        <f>IF(B50&lt;&gt;"",COUNTA($B$12:B50),"")</f>
        <v>33</v>
      </c>
      <c r="B50" s="130" t="str">
        <f>+'R1 EMA'!B50</f>
        <v>Long Term Renewable Contract Adjustment</v>
      </c>
      <c r="C50" s="253" t="str">
        <f>+'R1 EMA'!C50</f>
        <v>LTRCA</v>
      </c>
      <c r="D50" s="253"/>
      <c r="E50" s="154">
        <f t="shared" si="2"/>
        <v>1496280.3419656267</v>
      </c>
      <c r="G50" s="254">
        <f t="shared" si="5"/>
        <v>0.23600000000000002</v>
      </c>
      <c r="I50" s="154">
        <f t="shared" si="3"/>
        <v>1100471.6351512251</v>
      </c>
      <c r="J50" s="254">
        <f t="shared" si="6"/>
        <v>0.17357128782064515</v>
      </c>
      <c r="L50" s="154">
        <f t="shared" si="4"/>
        <v>-395808.70681440155</v>
      </c>
      <c r="N50" s="254">
        <f t="shared" si="7"/>
        <v>-6.2428712179354862E-2</v>
      </c>
    </row>
    <row r="51" spans="1:14" ht="14" x14ac:dyDescent="0.3">
      <c r="A51" s="151">
        <f>IF(B51&lt;&gt;"",COUNTA($B$12:B51),"")</f>
        <v>34</v>
      </c>
      <c r="B51" s="130" t="str">
        <f>+'R1 EMA'!B51</f>
        <v>AG Consulting Expense</v>
      </c>
      <c r="C51" s="253" t="str">
        <f>+'R1 EMA'!C51</f>
        <v>AGCE</v>
      </c>
      <c r="D51" s="253"/>
      <c r="E51" s="154">
        <f t="shared" si="2"/>
        <v>19020.512821596949</v>
      </c>
      <c r="G51" s="254">
        <f t="shared" si="5"/>
        <v>3.0000000000000001E-3</v>
      </c>
      <c r="I51" s="154">
        <f t="shared" si="3"/>
        <v>5214.3280000701652</v>
      </c>
      <c r="J51" s="254">
        <f t="shared" si="6"/>
        <v>8.2242703690137012E-4</v>
      </c>
      <c r="L51" s="154">
        <f t="shared" si="4"/>
        <v>-13806.184821526784</v>
      </c>
      <c r="N51" s="254">
        <f t="shared" si="7"/>
        <v>-2.1775729630986299E-3</v>
      </c>
    </row>
    <row r="52" spans="1:14" ht="14" x14ac:dyDescent="0.3">
      <c r="A52" s="151">
        <f>IF(B52&lt;&gt;"",COUNTA($B$12:B52),"")</f>
        <v>35</v>
      </c>
      <c r="B52" s="130" t="str">
        <f>+'R1 EMA'!B52</f>
        <v>Storm Cost Recovery Adjustment Factor</v>
      </c>
      <c r="C52" s="253" t="str">
        <f>+'R1 EMA'!C52</f>
        <v>SCRA</v>
      </c>
      <c r="D52" s="253"/>
      <c r="E52" s="154">
        <f t="shared" si="2"/>
        <v>1153911.1111768815</v>
      </c>
      <c r="G52" s="254">
        <f t="shared" si="5"/>
        <v>0.182</v>
      </c>
      <c r="I52" s="154">
        <f t="shared" si="3"/>
        <v>1878327.525125361</v>
      </c>
      <c r="J52" s="254">
        <f t="shared" si="6"/>
        <v>0.29625818337441517</v>
      </c>
      <c r="L52" s="154">
        <f t="shared" si="4"/>
        <v>724416.41394847957</v>
      </c>
      <c r="N52" s="254">
        <f t="shared" si="7"/>
        <v>0.11425818337441515</v>
      </c>
    </row>
    <row r="53" spans="1:14" ht="14" x14ac:dyDescent="0.3">
      <c r="A53" s="151">
        <f>IF(B53&lt;&gt;"",COUNTA($B$12:B53),"")</f>
        <v>36</v>
      </c>
      <c r="B53" s="130" t="str">
        <f>+'R1 EMA'!B53</f>
        <v>Storm Reserve Adjustment</v>
      </c>
      <c r="C53" s="253" t="str">
        <f>+'R1 EMA'!C53</f>
        <v>SRA</v>
      </c>
      <c r="D53" s="253"/>
      <c r="E53" s="154">
        <f t="shared" si="2"/>
        <v>0</v>
      </c>
      <c r="G53" s="254">
        <f t="shared" si="5"/>
        <v>0</v>
      </c>
      <c r="I53" s="154">
        <f t="shared" si="3"/>
        <v>0</v>
      </c>
      <c r="J53" s="254">
        <f t="shared" si="6"/>
        <v>0</v>
      </c>
      <c r="L53" s="154">
        <f t="shared" si="4"/>
        <v>0</v>
      </c>
      <c r="N53" s="254">
        <f t="shared" si="7"/>
        <v>0</v>
      </c>
    </row>
    <row r="54" spans="1:14" ht="14" x14ac:dyDescent="0.3">
      <c r="A54" s="151">
        <f>IF(B54&lt;&gt;"",COUNTA($B$12:B54),"")</f>
        <v>37</v>
      </c>
      <c r="B54" s="130" t="str">
        <f>+'R1 EMA'!B54</f>
        <v>Basic Service Cost True Up Factor</v>
      </c>
      <c r="C54" s="253" t="str">
        <f>+'R1 EMA'!C54</f>
        <v>BSTF</v>
      </c>
      <c r="D54" s="253"/>
      <c r="E54" s="154">
        <f t="shared" si="2"/>
        <v>995406.83766357356</v>
      </c>
      <c r="G54" s="254">
        <f t="shared" si="5"/>
        <v>0.157</v>
      </c>
      <c r="I54" s="154">
        <f t="shared" si="3"/>
        <v>-123235.09685647722</v>
      </c>
      <c r="J54" s="254">
        <f t="shared" si="6"/>
        <v>-1.9437188368004871E-2</v>
      </c>
      <c r="L54" s="154">
        <f t="shared" si="4"/>
        <v>-1118641.9345200509</v>
      </c>
      <c r="N54" s="254">
        <f t="shared" si="7"/>
        <v>-0.1764371883680049</v>
      </c>
    </row>
    <row r="55" spans="1:14" ht="14" x14ac:dyDescent="0.3">
      <c r="A55" s="151">
        <f>IF(B55&lt;&gt;"",COUNTA($B$12:B55),"")</f>
        <v>38</v>
      </c>
      <c r="B55" s="130" t="str">
        <f>+'R1 EMA'!B55</f>
        <v>Solar Program Cost Adjustment Factor</v>
      </c>
      <c r="C55" s="253" t="str">
        <f>+'R1 EMA'!C55</f>
        <v>SPCA</v>
      </c>
      <c r="D55" s="253"/>
      <c r="E55" s="154">
        <f t="shared" si="2"/>
        <v>0</v>
      </c>
      <c r="G55" s="254">
        <f t="shared" si="5"/>
        <v>0</v>
      </c>
      <c r="I55" s="154">
        <f t="shared" si="3"/>
        <v>21931.474565253735</v>
      </c>
      <c r="J55" s="254">
        <f t="shared" si="6"/>
        <v>3.4591298516964569E-3</v>
      </c>
      <c r="L55" s="154">
        <f t="shared" si="4"/>
        <v>21931.474565253735</v>
      </c>
      <c r="N55" s="254">
        <f t="shared" si="7"/>
        <v>3.4591298516964569E-3</v>
      </c>
    </row>
    <row r="56" spans="1:14" ht="14" x14ac:dyDescent="0.3">
      <c r="A56" s="151">
        <f>IF(B56&lt;&gt;"",COUNTA($B$12:B56),"")</f>
        <v>39</v>
      </c>
      <c r="B56" s="130" t="str">
        <f>+'R1 EMA'!B56</f>
        <v>Solar Expansion Cost Recovery Factor</v>
      </c>
      <c r="C56" s="253" t="str">
        <f>+'R1 EMA'!C56</f>
        <v>SECRF</v>
      </c>
      <c r="D56" s="253"/>
      <c r="E56" s="154">
        <f t="shared" si="2"/>
        <v>0</v>
      </c>
      <c r="G56" s="254">
        <f t="shared" si="5"/>
        <v>0</v>
      </c>
      <c r="I56" s="154">
        <f t="shared" si="3"/>
        <v>386821.03812898713</v>
      </c>
      <c r="J56" s="254">
        <f t="shared" si="6"/>
        <v>6.1011137043019532E-2</v>
      </c>
      <c r="L56" s="154">
        <f t="shared" si="4"/>
        <v>386821.03812898713</v>
      </c>
      <c r="N56" s="254">
        <f t="shared" si="7"/>
        <v>6.1011137043019532E-2</v>
      </c>
    </row>
    <row r="57" spans="1:14" ht="14" x14ac:dyDescent="0.3">
      <c r="A57" s="151">
        <f>IF(B57&lt;&gt;"",COUNTA($B$12:B57),"")</f>
        <v>40</v>
      </c>
      <c r="B57" s="130" t="str">
        <f>+'R1 EMA'!B57</f>
        <v>Vegetation Management</v>
      </c>
      <c r="C57" s="253" t="str">
        <f>+'R1 EMA'!C57</f>
        <v>RTWF</v>
      </c>
      <c r="D57" s="253"/>
      <c r="E57" s="154">
        <f t="shared" si="2"/>
        <v>0</v>
      </c>
      <c r="G57" s="254">
        <f t="shared" si="5"/>
        <v>0</v>
      </c>
      <c r="I57" s="154">
        <f t="shared" si="3"/>
        <v>1042112.066818247</v>
      </c>
      <c r="J57" s="254">
        <f t="shared" si="6"/>
        <v>0.16436655676838138</v>
      </c>
      <c r="L57" s="154">
        <f t="shared" si="4"/>
        <v>1042112.066818247</v>
      </c>
      <c r="N57" s="254">
        <f t="shared" si="7"/>
        <v>0.16436655676838138</v>
      </c>
    </row>
    <row r="58" spans="1:14" ht="14" x14ac:dyDescent="0.3">
      <c r="A58" s="151">
        <f>IF(B58&lt;&gt;"",COUNTA($B$12:B58),"")</f>
        <v>41</v>
      </c>
      <c r="B58" s="130" t="str">
        <f>+'R1 EMA'!B58</f>
        <v>Solar Massachusetts Renewable Target</v>
      </c>
      <c r="C58" s="253" t="str">
        <f>+'R1 EMA'!C58</f>
        <v>SMART</v>
      </c>
      <c r="D58" s="253"/>
      <c r="E58" s="154">
        <f t="shared" si="2"/>
        <v>0</v>
      </c>
      <c r="G58" s="254">
        <f t="shared" si="5"/>
        <v>0</v>
      </c>
      <c r="I58" s="154">
        <f t="shared" si="3"/>
        <v>453215.12816947524</v>
      </c>
      <c r="J58" s="254">
        <f t="shared" si="6"/>
        <v>7.1483108644926172E-2</v>
      </c>
      <c r="L58" s="154">
        <f t="shared" si="4"/>
        <v>453215.12816947524</v>
      </c>
      <c r="N58" s="254">
        <f t="shared" si="7"/>
        <v>7.1483108644926172E-2</v>
      </c>
    </row>
    <row r="59" spans="1:14" ht="14" x14ac:dyDescent="0.3">
      <c r="A59" s="151">
        <f>IF(B59&lt;&gt;"",COUNTA($B$12:B59),"")</f>
        <v>42</v>
      </c>
      <c r="B59" s="130" t="str">
        <f>+'R1 EMA'!B59</f>
        <v>Tax Act Credit Factor</v>
      </c>
      <c r="C59" s="253" t="str">
        <f>+'R1 EMA'!C59</f>
        <v>TACF</v>
      </c>
      <c r="D59" s="253"/>
      <c r="E59" s="154">
        <f t="shared" si="2"/>
        <v>0</v>
      </c>
      <c r="G59" s="254">
        <f t="shared" si="5"/>
        <v>0</v>
      </c>
      <c r="I59" s="154">
        <f t="shared" si="3"/>
        <v>-686091.99069553963</v>
      </c>
      <c r="J59" s="254">
        <f t="shared" si="6"/>
        <v>-0.10821348464114688</v>
      </c>
      <c r="L59" s="154">
        <f t="shared" si="4"/>
        <v>-686091.99069553963</v>
      </c>
      <c r="N59" s="254">
        <f t="shared" si="7"/>
        <v>-0.10821348464114688</v>
      </c>
    </row>
    <row r="60" spans="1:14" ht="14" x14ac:dyDescent="0.3">
      <c r="A60" s="151">
        <f>IF(B60&lt;&gt;"",COUNTA($B$12:B60),"")</f>
        <v>43</v>
      </c>
      <c r="B60" s="130" t="str">
        <f>+'R1 EMA'!B60</f>
        <v>Transition</v>
      </c>
      <c r="C60" s="253" t="str">
        <f>+'R1 EMA'!C60</f>
        <v>TRNSN</v>
      </c>
      <c r="D60" s="253"/>
      <c r="E60" s="154">
        <f t="shared" si="2"/>
        <v>-386750.42737247125</v>
      </c>
      <c r="G60" s="254">
        <f t="shared" si="5"/>
        <v>-6.0999999999999999E-2</v>
      </c>
      <c r="I60" s="154">
        <f t="shared" si="3"/>
        <v>-330382.00529376499</v>
      </c>
      <c r="J60" s="254">
        <f t="shared" si="6"/>
        <v>-5.2109321403568713E-2</v>
      </c>
      <c r="L60" s="154">
        <f t="shared" si="4"/>
        <v>56368.422078706266</v>
      </c>
      <c r="N60" s="254">
        <f t="shared" si="7"/>
        <v>8.8906785964312837E-3</v>
      </c>
    </row>
    <row r="61" spans="1:14" ht="14" x14ac:dyDescent="0.3">
      <c r="A61" s="151">
        <f>IF(B61&lt;&gt;"",COUNTA($B$12:B61),"")</f>
        <v>44</v>
      </c>
      <c r="B61" s="130" t="str">
        <f>+'R1 EMA'!B61</f>
        <v>Transmission</v>
      </c>
      <c r="C61" s="253" t="str">
        <f>+'R1 EMA'!C61</f>
        <v>TRNSM</v>
      </c>
      <c r="D61" s="253"/>
      <c r="E61" s="154">
        <f>SUM(SUMIF($C$12:$C$36,{"TMKW","TMKWH"},$I$12:$I$36))</f>
        <v>18361135.043781586</v>
      </c>
      <c r="G61" s="254">
        <f t="shared" si="5"/>
        <v>2.8959999999999999</v>
      </c>
      <c r="I61" s="154">
        <f>SUM(SUMIF($C$12:$C$36,{"TMKW","TMKWH"},$N$12:$N$36))</f>
        <v>15873838.243898526</v>
      </c>
      <c r="J61" s="254">
        <f t="shared" si="6"/>
        <v>2.5036924702484078</v>
      </c>
      <c r="L61" s="154">
        <f t="shared" si="4"/>
        <v>-2487296.7998830602</v>
      </c>
      <c r="N61" s="254">
        <f t="shared" si="7"/>
        <v>-0.392307529751592</v>
      </c>
    </row>
    <row r="62" spans="1:14" ht="14" x14ac:dyDescent="0.3">
      <c r="A62" s="151">
        <f>IF(B62&lt;&gt;"",COUNTA($B$12:B62),"")</f>
        <v>45</v>
      </c>
      <c r="B62" s="130" t="str">
        <f>+'R1 EMA'!B62</f>
        <v>Energy Efficiency Reconciliation Factor</v>
      </c>
      <c r="C62" s="253" t="str">
        <f>+'R1 EMA'!C62</f>
        <v>EERF</v>
      </c>
      <c r="D62" s="253"/>
      <c r="E62" s="154">
        <f>SUMIF($C$12:$C$36,$C62,$I$12:$I$36)</f>
        <v>9351752.1372851655</v>
      </c>
      <c r="G62" s="254">
        <f t="shared" si="5"/>
        <v>1.4749999999999999</v>
      </c>
      <c r="I62" s="154">
        <f>SUMIF($C$12:$C$36,$C62,$N$12:$N$36)</f>
        <v>9351752.1372851655</v>
      </c>
      <c r="J62" s="254">
        <f t="shared" si="6"/>
        <v>1.4749999999999999</v>
      </c>
      <c r="L62" s="154">
        <f t="shared" si="4"/>
        <v>0</v>
      </c>
      <c r="N62" s="254">
        <f t="shared" si="7"/>
        <v>0</v>
      </c>
    </row>
    <row r="63" spans="1:14" ht="14" x14ac:dyDescent="0.3">
      <c r="A63" s="151">
        <f>IF(B63&lt;&gt;"",COUNTA($B$12:B63),"")</f>
        <v>46</v>
      </c>
      <c r="B63" s="130" t="str">
        <f>+'R1 EMA'!B63</f>
        <v>System Benefits Charge</v>
      </c>
      <c r="C63" s="253" t="str">
        <f>+'R1 EMA'!C63</f>
        <v>SBC</v>
      </c>
      <c r="D63" s="253"/>
      <c r="E63" s="154">
        <f>SUMIF($C$12:$C$36,$C63,$I$12:$I$36)</f>
        <v>1585042.7351330791</v>
      </c>
      <c r="G63" s="254">
        <f t="shared" si="5"/>
        <v>0.25</v>
      </c>
      <c r="I63" s="154">
        <f>SUMIF($C$12:$C$36,$C63,$N$12:$N$36)</f>
        <v>1585042.7351330791</v>
      </c>
      <c r="J63" s="254">
        <f t="shared" si="6"/>
        <v>0.25</v>
      </c>
      <c r="L63" s="154">
        <f t="shared" si="4"/>
        <v>0</v>
      </c>
      <c r="N63" s="254">
        <f t="shared" si="7"/>
        <v>0</v>
      </c>
    </row>
    <row r="64" spans="1:14" ht="14" x14ac:dyDescent="0.3">
      <c r="A64" s="151">
        <f>IF(B64&lt;&gt;"",COUNTA($B$12:B64),"")</f>
        <v>47</v>
      </c>
      <c r="B64" s="130" t="str">
        <f>+'R1 EMA'!B64</f>
        <v>Renewable Energy Charge</v>
      </c>
      <c r="C64" s="253" t="str">
        <f>+'R1 EMA'!C64</f>
        <v>RNEW</v>
      </c>
      <c r="D64" s="253"/>
      <c r="E64" s="154">
        <f>SUMIF($C$12:$C$36,$C64,$I$12:$I$36)</f>
        <v>317008.54702661582</v>
      </c>
      <c r="G64" s="254">
        <f t="shared" si="5"/>
        <v>0.05</v>
      </c>
      <c r="I64" s="154">
        <f>SUMIF($C$12:$C$36,$C64,$N$12:$N$36)</f>
        <v>317008.54702661582</v>
      </c>
      <c r="J64" s="254">
        <f t="shared" si="6"/>
        <v>0.05</v>
      </c>
      <c r="L64" s="154">
        <f>I64-E64</f>
        <v>0</v>
      </c>
      <c r="N64" s="254">
        <f t="shared" si="7"/>
        <v>0</v>
      </c>
    </row>
    <row r="65" spans="1:14" ht="14" x14ac:dyDescent="0.3">
      <c r="A65" s="151">
        <f>IF(B65&lt;&gt;"",COUNTA($B$12:B65),"")</f>
        <v>48</v>
      </c>
      <c r="B65" s="130" t="str">
        <f>+'R1 EMA'!B65</f>
        <v>Basic Service Charge</v>
      </c>
      <c r="C65" s="253" t="str">
        <f>+'R1 EMA'!C65</f>
        <v>BS</v>
      </c>
      <c r="D65" s="253"/>
      <c r="E65" s="255">
        <f>SUMIF($C$12:$C$36,$C65,$I$12:$I$36)</f>
        <v>72258928.209246799</v>
      </c>
      <c r="F65" s="256"/>
      <c r="G65" s="257">
        <f t="shared" si="5"/>
        <v>11.396999999999998</v>
      </c>
      <c r="H65" s="258"/>
      <c r="I65" s="255">
        <f>SUMIF($C$12:$C$36,$C65,$N$12:$N$36)</f>
        <v>86150242.739953116</v>
      </c>
      <c r="J65" s="257">
        <f t="shared" si="6"/>
        <v>13.588000000000001</v>
      </c>
      <c r="K65" s="255"/>
      <c r="L65" s="255">
        <f t="shared" si="4"/>
        <v>13891314.530706316</v>
      </c>
      <c r="M65" s="259"/>
      <c r="N65" s="257">
        <f t="shared" si="7"/>
        <v>2.1910000000000021</v>
      </c>
    </row>
    <row r="66" spans="1:14" ht="14" x14ac:dyDescent="0.3">
      <c r="A66" s="151">
        <f>IF(B66&lt;&gt;"",COUNTA($B$12:B66),"")</f>
        <v>49</v>
      </c>
      <c r="B66" s="130" t="str">
        <f>+'R1 EMA'!B66</f>
        <v>Total</v>
      </c>
      <c r="C66" s="130"/>
      <c r="D66" s="130"/>
      <c r="E66" s="154">
        <f>SUM(E45:E65)</f>
        <v>141035344.49078047</v>
      </c>
      <c r="G66" s="254">
        <f t="shared" si="5"/>
        <v>22.244722707577228</v>
      </c>
      <c r="I66" s="154">
        <f>SUM(I45:I65)</f>
        <v>154443512.62416983</v>
      </c>
      <c r="J66" s="254">
        <f t="shared" si="6"/>
        <v>24.359518705847837</v>
      </c>
      <c r="L66" s="154">
        <f>SUM(L45:L65)</f>
        <v>13408168.133389376</v>
      </c>
      <c r="N66" s="254">
        <f>+L66/$E$13*100</f>
        <v>2.1147959982706142</v>
      </c>
    </row>
    <row r="67" spans="1:14" ht="14" x14ac:dyDescent="0.3">
      <c r="A67" s="151" t="str">
        <f>IF(B67&lt;&gt;"",COUNTA($B$12:B67),"")</f>
        <v/>
      </c>
    </row>
    <row r="68" spans="1:14" ht="14" x14ac:dyDescent="0.3">
      <c r="A68" s="151"/>
      <c r="B68" s="256" t="s">
        <v>164</v>
      </c>
      <c r="E68" s="188"/>
      <c r="G68" s="188"/>
      <c r="H68" s="188"/>
      <c r="I68" s="188"/>
      <c r="J68" s="188"/>
      <c r="K68" s="188"/>
      <c r="L68" s="188"/>
      <c r="M68" s="188"/>
      <c r="N68" s="188"/>
    </row>
    <row r="69" spans="1:14" ht="14" x14ac:dyDescent="0.3">
      <c r="A69" s="151"/>
      <c r="B69" s="188" t="str">
        <f>'R1 EMA'!B69</f>
        <v>Col. (a): Company's forecast</v>
      </c>
    </row>
    <row r="70" spans="1:14" ht="14" x14ac:dyDescent="0.3">
      <c r="A70" s="151"/>
      <c r="B70" s="188" t="str">
        <f>'R1 EMA'!B70</f>
        <v>Col. (b): Current rates</v>
      </c>
    </row>
    <row r="71" spans="1:14" ht="14" x14ac:dyDescent="0.3">
      <c r="A71" s="151"/>
      <c r="B71" s="188" t="str">
        <f>'R1 EMA'!B71</f>
        <v>Col. (c): Col. (a) x Col. (b)</v>
      </c>
    </row>
    <row r="72" spans="1:14" ht="14" x14ac:dyDescent="0.3">
      <c r="A72" s="151"/>
      <c r="B72" s="188" t="str">
        <f>'R1 EMA'!B72</f>
        <v>Col. (e): Proposed rates</v>
      </c>
    </row>
    <row r="73" spans="1:14" ht="14" x14ac:dyDescent="0.3">
      <c r="A73" s="151"/>
      <c r="B73" s="188" t="str">
        <f>'R1 EMA'!B73</f>
        <v>Col. (f): Col. (a), Line 1 or Line 2  x Col. (e)</v>
      </c>
    </row>
  </sheetData>
  <mergeCells count="8">
    <mergeCell ref="E43:G43"/>
    <mergeCell ref="I43:J43"/>
    <mergeCell ref="L43:N43"/>
    <mergeCell ref="A4:N4"/>
    <mergeCell ref="A5:N5"/>
    <mergeCell ref="A7:N7"/>
    <mergeCell ref="G9:I9"/>
    <mergeCell ref="L9:N9"/>
  </mergeCells>
  <pageMargins left="0.7" right="0.7" top="0.75" bottom="0.75" header="0.3" footer="0.3"/>
  <pageSetup scale="63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330EB-6DF2-46EF-8C8E-B56E8EC18018}">
  <sheetPr>
    <tabColor theme="3" tint="0.59999389629810485"/>
    <pageSetUpPr fitToPage="1"/>
  </sheetPr>
  <dimension ref="A4:AB93"/>
  <sheetViews>
    <sheetView zoomScaleNormal="100" workbookViewId="0"/>
  </sheetViews>
  <sheetFormatPr defaultRowHeight="12.5" x14ac:dyDescent="0.25"/>
  <cols>
    <col min="1" max="1" width="3.81640625" customWidth="1"/>
    <col min="2" max="2" width="4.453125" bestFit="1" customWidth="1"/>
    <col min="3" max="3" width="9.26953125" bestFit="1" customWidth="1"/>
    <col min="4" max="4" width="9.7265625" customWidth="1"/>
    <col min="5" max="7" width="14.7265625" customWidth="1"/>
    <col min="8" max="8" width="1.7265625" customWidth="1"/>
    <col min="9" max="11" width="14.7265625" customWidth="1"/>
    <col min="12" max="12" width="1.7265625" customWidth="1"/>
    <col min="13" max="14" width="11.7265625" customWidth="1"/>
    <col min="15" max="15" width="10.81640625" bestFit="1" customWidth="1"/>
    <col min="16" max="16" width="11.1796875" bestFit="1" customWidth="1"/>
    <col min="17" max="17" width="11.54296875" bestFit="1" customWidth="1"/>
    <col min="18" max="18" width="11.26953125" bestFit="1" customWidth="1"/>
    <col min="19" max="20" width="11.81640625" bestFit="1" customWidth="1"/>
    <col min="21" max="21" width="8.453125" bestFit="1" customWidth="1"/>
    <col min="22" max="22" width="10.81640625" bestFit="1" customWidth="1"/>
    <col min="23" max="23" width="11.1796875" bestFit="1" customWidth="1"/>
    <col min="24" max="24" width="11.54296875" bestFit="1" customWidth="1"/>
    <col min="25" max="25" width="11.26953125" bestFit="1" customWidth="1"/>
    <col min="26" max="27" width="11.81640625" bestFit="1" customWidth="1"/>
    <col min="28" max="28" width="8" bestFit="1" customWidth="1"/>
  </cols>
  <sheetData>
    <row r="4" spans="1:28" ht="14" x14ac:dyDescent="0.3">
      <c r="A4" s="764" t="str">
        <f>'Bill_Cam G0'!A4:M4</f>
        <v>Eastern Massachusetts</v>
      </c>
      <c r="B4" s="764"/>
      <c r="C4" s="764"/>
      <c r="D4" s="764"/>
      <c r="E4" s="764"/>
      <c r="F4" s="764"/>
      <c r="G4" s="764"/>
      <c r="H4" s="764"/>
      <c r="I4" s="764"/>
      <c r="J4" s="764"/>
      <c r="K4" s="764"/>
      <c r="L4" s="764"/>
      <c r="M4" s="764"/>
      <c r="N4" s="764"/>
    </row>
    <row r="5" spans="1:28" ht="14" x14ac:dyDescent="0.3">
      <c r="A5" s="764" t="str">
        <f>+'Bill_Cam G0'!A5</f>
        <v>Calculation of Monthly Typical Bill</v>
      </c>
      <c r="B5" s="764"/>
      <c r="C5" s="764"/>
      <c r="D5" s="764"/>
      <c r="E5" s="764"/>
      <c r="F5" s="764"/>
      <c r="G5" s="764"/>
      <c r="H5" s="764"/>
      <c r="I5" s="764"/>
      <c r="J5" s="764"/>
      <c r="K5" s="764"/>
      <c r="L5" s="764"/>
      <c r="M5" s="764"/>
      <c r="N5" s="764"/>
    </row>
    <row r="6" spans="1:28" ht="14" x14ac:dyDescent="0.3">
      <c r="A6" s="764" t="str">
        <f>+'Bill_Cam G0'!A6</f>
        <v>Proposed January 1, 2019</v>
      </c>
      <c r="B6" s="764"/>
      <c r="C6" s="764"/>
      <c r="D6" s="764"/>
      <c r="E6" s="764"/>
      <c r="F6" s="764"/>
      <c r="G6" s="764"/>
      <c r="H6" s="764"/>
      <c r="I6" s="764"/>
      <c r="J6" s="764"/>
      <c r="K6" s="764"/>
      <c r="L6" s="764"/>
      <c r="M6" s="764"/>
      <c r="N6" s="764"/>
    </row>
    <row r="7" spans="1:28" ht="14" x14ac:dyDescent="0.3">
      <c r="A7" s="487"/>
      <c r="B7" s="487"/>
      <c r="C7" s="293"/>
      <c r="D7" s="293"/>
      <c r="E7" s="468"/>
      <c r="F7" s="243"/>
      <c r="G7" s="469"/>
      <c r="H7" s="293"/>
      <c r="I7" s="369"/>
      <c r="J7" s="369"/>
      <c r="K7" s="369"/>
      <c r="L7" s="369"/>
      <c r="M7" s="369"/>
    </row>
    <row r="8" spans="1:28" ht="14" x14ac:dyDescent="0.3">
      <c r="A8" s="764" t="str">
        <f>+'Bill_Cam G0'!A8</f>
        <v>Cambridge Service Area</v>
      </c>
      <c r="B8" s="764"/>
      <c r="C8" s="764"/>
      <c r="D8" s="764"/>
      <c r="E8" s="764"/>
      <c r="F8" s="764"/>
      <c r="G8" s="764"/>
      <c r="H8" s="764"/>
      <c r="I8" s="764"/>
      <c r="J8" s="764"/>
      <c r="K8" s="764"/>
      <c r="L8" s="764"/>
      <c r="M8" s="764"/>
      <c r="N8" s="764"/>
    </row>
    <row r="9" spans="1:28" ht="14" x14ac:dyDescent="0.3">
      <c r="A9" s="764" t="s">
        <v>354</v>
      </c>
      <c r="B9" s="764"/>
      <c r="C9" s="764"/>
      <c r="D9" s="764"/>
      <c r="E9" s="764"/>
      <c r="F9" s="764"/>
      <c r="G9" s="764"/>
      <c r="H9" s="764"/>
      <c r="I9" s="764"/>
      <c r="J9" s="764"/>
      <c r="K9" s="764"/>
      <c r="L9" s="764"/>
      <c r="M9" s="764"/>
      <c r="N9" s="764"/>
    </row>
    <row r="10" spans="1:28" ht="14" x14ac:dyDescent="0.3">
      <c r="A10" s="366"/>
      <c r="B10" s="366"/>
      <c r="C10" s="293"/>
      <c r="D10" s="293"/>
      <c r="E10" s="293"/>
      <c r="F10" s="293"/>
      <c r="G10" s="368"/>
      <c r="H10" s="293"/>
    </row>
    <row r="11" spans="1:28" ht="14" x14ac:dyDescent="0.3">
      <c r="A11" s="151"/>
      <c r="B11" s="151"/>
      <c r="C11" s="293"/>
      <c r="D11" s="293"/>
      <c r="E11" s="293"/>
      <c r="F11" s="293"/>
      <c r="G11" s="368"/>
      <c r="H11" s="293"/>
    </row>
    <row r="12" spans="1:28" ht="14" x14ac:dyDescent="0.3">
      <c r="A12" s="151">
        <f>IF(C12&lt;&gt;"",COUNTA($C$12:C12),"")</f>
        <v>1</v>
      </c>
      <c r="B12" s="151"/>
      <c r="C12" s="406" t="s">
        <v>528</v>
      </c>
      <c r="D12" s="406" t="s">
        <v>528</v>
      </c>
      <c r="E12" s="760" t="str">
        <f>+'Bill_Cam G0'!D12</f>
        <v>Current Monthly Bill</v>
      </c>
      <c r="F12" s="760"/>
      <c r="G12" s="760"/>
      <c r="H12" s="293"/>
      <c r="I12" s="760" t="str">
        <f>+'Bill_Cam G0'!H12</f>
        <v>Proposed Monthly Bill</v>
      </c>
      <c r="J12" s="760"/>
      <c r="K12" s="760"/>
      <c r="M12" s="760" t="s">
        <v>550</v>
      </c>
      <c r="N12" s="760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  <c r="AA12" s="335"/>
      <c r="AB12" s="335"/>
    </row>
    <row r="13" spans="1:28" ht="14" x14ac:dyDescent="0.3">
      <c r="A13" s="151">
        <f>IF(C13&lt;&gt;"",COUNTA($C$12:C13),"")</f>
        <v>2</v>
      </c>
      <c r="B13" s="151"/>
      <c r="C13" s="408" t="s">
        <v>534</v>
      </c>
      <c r="D13" s="370" t="s">
        <v>551</v>
      </c>
      <c r="E13" s="370" t="s">
        <v>552</v>
      </c>
      <c r="F13" s="370" t="s">
        <v>553</v>
      </c>
      <c r="G13" s="370" t="s">
        <v>47</v>
      </c>
      <c r="H13" s="293"/>
      <c r="I13" s="370" t="s">
        <v>552</v>
      </c>
      <c r="J13" s="370" t="s">
        <v>553</v>
      </c>
      <c r="K13" s="370" t="s">
        <v>47</v>
      </c>
      <c r="M13" s="370" t="s">
        <v>65</v>
      </c>
      <c r="N13" s="370" t="s">
        <v>325</v>
      </c>
      <c r="O13" s="335"/>
      <c r="P13" s="335"/>
      <c r="Q13" s="335"/>
      <c r="R13" s="335"/>
      <c r="S13" s="335"/>
      <c r="T13" s="335"/>
      <c r="U13" s="335"/>
      <c r="V13" s="335"/>
      <c r="W13" s="335"/>
      <c r="X13" s="335"/>
      <c r="Y13" s="335"/>
      <c r="Z13" s="335"/>
      <c r="AA13" s="335"/>
      <c r="AB13" s="335"/>
    </row>
    <row r="14" spans="1:28" ht="14" x14ac:dyDescent="0.3">
      <c r="A14" s="151" t="str">
        <f>IF(C14&lt;&gt;"",COUNTA($C$12:C14),"")</f>
        <v/>
      </c>
      <c r="B14" s="151"/>
      <c r="C14" s="408"/>
      <c r="D14" s="370"/>
      <c r="E14" s="370"/>
      <c r="F14" s="370"/>
      <c r="G14" s="370"/>
      <c r="H14" s="293"/>
      <c r="I14" s="370"/>
      <c r="J14" s="370"/>
      <c r="K14" s="370"/>
      <c r="M14" s="370"/>
      <c r="N14" s="376"/>
      <c r="V14" s="369"/>
      <c r="Y14" s="369"/>
      <c r="Z14" s="369"/>
    </row>
    <row r="15" spans="1:28" ht="14" x14ac:dyDescent="0.3">
      <c r="A15" s="151">
        <f>IF(C15&lt;&gt;"",COUNTA($C$12:C15),"")</f>
        <v>3</v>
      </c>
      <c r="B15" s="151"/>
      <c r="C15" s="405" t="s">
        <v>574</v>
      </c>
      <c r="D15" s="370"/>
      <c r="E15" s="370"/>
      <c r="F15" s="370"/>
      <c r="G15" s="370"/>
      <c r="H15" s="293"/>
      <c r="I15" s="370"/>
      <c r="J15" s="370"/>
      <c r="K15" s="370"/>
      <c r="M15" s="370"/>
      <c r="N15" s="376"/>
      <c r="V15" s="369"/>
      <c r="Y15" s="369"/>
      <c r="Z15" s="369"/>
    </row>
    <row r="16" spans="1:28" ht="14" x14ac:dyDescent="0.3">
      <c r="A16" s="151">
        <f>IF(C16&lt;&gt;"",COUNTA($C$12:C16),"")</f>
        <v>4</v>
      </c>
      <c r="B16" s="151"/>
      <c r="C16" s="371">
        <v>5</v>
      </c>
      <c r="D16" s="409">
        <f>+C16*250</f>
        <v>1250</v>
      </c>
      <c r="E16" s="372">
        <f t="shared" ref="E16:E24" si="0">ROUND($G$51+IF($C16&lt;=10,$C16*SUM($G$52,$G$54),($C16-10)*SUM($G$53,$G$54)+10*SUM($G$52,$G$54))+$D16*SUM($G$55:$G$70,$G$71:$G$73),2)</f>
        <v>111.35</v>
      </c>
      <c r="F16" s="372">
        <f t="shared" ref="F16:F24" si="1">ROUND(G$74*D16,2)</f>
        <v>142.54</v>
      </c>
      <c r="G16" s="372">
        <f t="shared" ref="G16:G24" si="2">SUM(E16:F16)</f>
        <v>253.89</v>
      </c>
      <c r="H16" s="373"/>
      <c r="I16" s="372">
        <f t="shared" ref="I16:I24" si="3">ROUND($I$51+IF($C16&lt;=10,$C16*SUM($I$52,$I$54),($C16-10)*SUM($I$53,$I$54)+10*SUM($I$52,$I$54))+$D16*SUM($I$55:$I$70,$I$71:$I$73),2)</f>
        <v>105.65</v>
      </c>
      <c r="J16" s="372">
        <f t="shared" ref="J16:J24" si="4">ROUND(I$74*D16,2)</f>
        <v>164.81</v>
      </c>
      <c r="K16" s="372">
        <f t="shared" ref="K16:K24" si="5">SUM(I16:J16)</f>
        <v>270.46000000000004</v>
      </c>
      <c r="L16" s="374"/>
      <c r="M16" s="375">
        <f t="shared" ref="M16:M24" si="6">+K16-G16</f>
        <v>16.57000000000005</v>
      </c>
      <c r="N16" s="376">
        <f t="shared" ref="N16:N24" si="7">+M16/G16</f>
        <v>6.5264484619323535E-2</v>
      </c>
      <c r="O16" s="339"/>
      <c r="P16" s="339"/>
      <c r="Q16" s="339"/>
      <c r="R16" s="339"/>
      <c r="S16" s="339"/>
      <c r="T16" s="339"/>
      <c r="U16" s="339"/>
      <c r="V16" s="339"/>
      <c r="W16" s="339"/>
      <c r="X16" s="339"/>
      <c r="Y16" s="339"/>
      <c r="Z16" s="339"/>
      <c r="AA16" s="339"/>
      <c r="AB16" s="339"/>
    </row>
    <row r="17" spans="1:28" ht="14" x14ac:dyDescent="0.3">
      <c r="A17" s="151">
        <f>IF(C17&lt;&gt;"",COUNTA($C$12:C17),"")</f>
        <v>5</v>
      </c>
      <c r="B17" s="151"/>
      <c r="C17" s="379">
        <v>10</v>
      </c>
      <c r="D17" s="409">
        <f t="shared" ref="D17:D24" si="8">+C17*250</f>
        <v>2500</v>
      </c>
      <c r="E17" s="372">
        <f t="shared" si="0"/>
        <v>214.7</v>
      </c>
      <c r="F17" s="380">
        <f t="shared" si="1"/>
        <v>285.08</v>
      </c>
      <c r="G17" s="380">
        <f>SUM(E17:F17)</f>
        <v>499.78</v>
      </c>
      <c r="H17" s="381"/>
      <c r="I17" s="372">
        <f t="shared" si="3"/>
        <v>203.3</v>
      </c>
      <c r="J17" s="380">
        <f t="shared" si="4"/>
        <v>329.63</v>
      </c>
      <c r="K17" s="380">
        <f t="shared" si="5"/>
        <v>532.93000000000006</v>
      </c>
      <c r="L17" s="374"/>
      <c r="M17" s="375">
        <f t="shared" si="6"/>
        <v>33.150000000000091</v>
      </c>
      <c r="N17" s="376">
        <f t="shared" si="7"/>
        <v>6.6329184841330366E-2</v>
      </c>
      <c r="O17" s="339"/>
      <c r="P17" s="339"/>
      <c r="Q17" s="339"/>
      <c r="R17" s="339"/>
      <c r="S17" s="339"/>
      <c r="T17" s="339"/>
      <c r="U17" s="339"/>
      <c r="V17" s="339"/>
      <c r="W17" s="339"/>
      <c r="X17" s="339"/>
      <c r="Y17" s="339"/>
      <c r="Z17" s="339"/>
      <c r="AA17" s="339"/>
      <c r="AB17" s="339"/>
    </row>
    <row r="18" spans="1:28" ht="14" x14ac:dyDescent="0.3">
      <c r="A18" s="151">
        <f>IF(C18&lt;&gt;"",COUNTA($C$12:C18),"")</f>
        <v>6</v>
      </c>
      <c r="B18" s="151"/>
      <c r="C18" s="371">
        <v>15</v>
      </c>
      <c r="D18" s="409">
        <f t="shared" si="8"/>
        <v>3750</v>
      </c>
      <c r="E18" s="372">
        <f t="shared" si="0"/>
        <v>334.3</v>
      </c>
      <c r="F18" s="372">
        <f t="shared" si="1"/>
        <v>427.61</v>
      </c>
      <c r="G18" s="372">
        <f>SUM(E18:F18)</f>
        <v>761.91000000000008</v>
      </c>
      <c r="H18" s="373"/>
      <c r="I18" s="372">
        <f t="shared" si="3"/>
        <v>317.75</v>
      </c>
      <c r="J18" s="372">
        <f t="shared" si="4"/>
        <v>494.44</v>
      </c>
      <c r="K18" s="372">
        <f t="shared" si="5"/>
        <v>812.19</v>
      </c>
      <c r="L18" s="374"/>
      <c r="M18" s="375">
        <f t="shared" si="6"/>
        <v>50.279999999999973</v>
      </c>
      <c r="N18" s="376">
        <f t="shared" si="7"/>
        <v>6.5992046304681612E-2</v>
      </c>
      <c r="O18" s="339"/>
      <c r="P18" s="339"/>
      <c r="Q18" s="339"/>
      <c r="R18" s="339"/>
      <c r="S18" s="339"/>
      <c r="T18" s="339"/>
      <c r="U18" s="339"/>
      <c r="V18" s="339"/>
      <c r="W18" s="339"/>
      <c r="X18" s="339"/>
      <c r="Y18" s="339"/>
      <c r="Z18" s="339"/>
      <c r="AA18" s="339"/>
      <c r="AB18" s="339"/>
    </row>
    <row r="19" spans="1:28" ht="14" x14ac:dyDescent="0.3">
      <c r="A19" s="151">
        <f>IF(C19&lt;&gt;"",COUNTA($C$12:C19),"")</f>
        <v>7</v>
      </c>
      <c r="B19" s="151"/>
      <c r="C19" s="371">
        <v>20</v>
      </c>
      <c r="D19" s="409">
        <f t="shared" si="8"/>
        <v>5000</v>
      </c>
      <c r="E19" s="372">
        <f t="shared" si="0"/>
        <v>453.9</v>
      </c>
      <c r="F19" s="372">
        <f t="shared" si="1"/>
        <v>570.15</v>
      </c>
      <c r="G19" s="372">
        <f t="shared" si="2"/>
        <v>1024.05</v>
      </c>
      <c r="H19" s="373"/>
      <c r="I19" s="372">
        <f t="shared" si="3"/>
        <v>432.2</v>
      </c>
      <c r="J19" s="372">
        <f t="shared" si="4"/>
        <v>659.25</v>
      </c>
      <c r="K19" s="372">
        <f t="shared" si="5"/>
        <v>1091.45</v>
      </c>
      <c r="L19" s="374"/>
      <c r="M19" s="375">
        <f t="shared" si="6"/>
        <v>67.400000000000091</v>
      </c>
      <c r="N19" s="376">
        <f t="shared" si="7"/>
        <v>6.5817098774473989E-2</v>
      </c>
      <c r="O19" s="339"/>
      <c r="P19" s="339"/>
      <c r="Q19" s="339"/>
      <c r="R19" s="339"/>
      <c r="S19" s="339"/>
      <c r="T19" s="339"/>
      <c r="U19" s="339"/>
      <c r="V19" s="339"/>
      <c r="W19" s="339"/>
      <c r="X19" s="339"/>
      <c r="Y19" s="339"/>
      <c r="Z19" s="339"/>
      <c r="AA19" s="339"/>
      <c r="AB19" s="339"/>
    </row>
    <row r="20" spans="1:28" ht="14" x14ac:dyDescent="0.3">
      <c r="A20" s="151">
        <f>IF(C20&lt;&gt;"",COUNTA($C$12:C20),"")</f>
        <v>8</v>
      </c>
      <c r="B20" s="151"/>
      <c r="C20" s="371">
        <v>30</v>
      </c>
      <c r="D20" s="409">
        <f t="shared" si="8"/>
        <v>7500</v>
      </c>
      <c r="E20" s="372">
        <f t="shared" si="0"/>
        <v>693.1</v>
      </c>
      <c r="F20" s="372">
        <f t="shared" si="1"/>
        <v>855.23</v>
      </c>
      <c r="G20" s="372">
        <f t="shared" si="2"/>
        <v>1548.33</v>
      </c>
      <c r="H20" s="373"/>
      <c r="I20" s="372">
        <f t="shared" si="3"/>
        <v>661.1</v>
      </c>
      <c r="J20" s="372">
        <f t="shared" si="4"/>
        <v>988.88</v>
      </c>
      <c r="K20" s="372">
        <f t="shared" si="5"/>
        <v>1649.98</v>
      </c>
      <c r="L20" s="374"/>
      <c r="M20" s="375">
        <f t="shared" si="6"/>
        <v>101.65000000000009</v>
      </c>
      <c r="N20" s="376">
        <f t="shared" si="7"/>
        <v>6.5651379227942425E-2</v>
      </c>
      <c r="O20" s="339"/>
      <c r="P20" s="339"/>
      <c r="Q20" s="339"/>
      <c r="R20" s="339"/>
      <c r="S20" s="339"/>
      <c r="T20" s="339"/>
      <c r="U20" s="339"/>
      <c r="V20" s="339"/>
      <c r="W20" s="339"/>
      <c r="X20" s="339"/>
      <c r="Y20" s="339"/>
      <c r="Z20" s="339"/>
      <c r="AA20" s="339"/>
      <c r="AB20" s="339"/>
    </row>
    <row r="21" spans="1:28" ht="14" x14ac:dyDescent="0.3">
      <c r="A21" s="151">
        <f>IF(C21&lt;&gt;"",COUNTA($C$12:C21),"")</f>
        <v>9</v>
      </c>
      <c r="B21" s="151"/>
      <c r="C21" s="371">
        <v>50</v>
      </c>
      <c r="D21" s="409">
        <f t="shared" si="8"/>
        <v>12500</v>
      </c>
      <c r="E21" s="372">
        <f t="shared" si="0"/>
        <v>1171.5</v>
      </c>
      <c r="F21" s="372">
        <f t="shared" si="1"/>
        <v>1425.38</v>
      </c>
      <c r="G21" s="372">
        <f t="shared" si="2"/>
        <v>2596.88</v>
      </c>
      <c r="H21" s="373"/>
      <c r="I21" s="372">
        <f t="shared" si="3"/>
        <v>1118.9000000000001</v>
      </c>
      <c r="J21" s="372">
        <f t="shared" si="4"/>
        <v>1648.13</v>
      </c>
      <c r="K21" s="372">
        <f t="shared" si="5"/>
        <v>2767.03</v>
      </c>
      <c r="L21" s="374"/>
      <c r="M21" s="375">
        <f t="shared" si="6"/>
        <v>170.15000000000009</v>
      </c>
      <c r="N21" s="376">
        <f t="shared" si="7"/>
        <v>6.552093281168174E-2</v>
      </c>
      <c r="O21" s="339"/>
      <c r="P21" s="339"/>
      <c r="Q21" s="339"/>
      <c r="R21" s="339"/>
      <c r="S21" s="339"/>
      <c r="T21" s="339"/>
      <c r="U21" s="339"/>
      <c r="V21" s="339"/>
      <c r="W21" s="339"/>
      <c r="X21" s="339"/>
      <c r="Y21" s="339"/>
      <c r="Z21" s="339"/>
      <c r="AA21" s="339"/>
      <c r="AB21" s="339"/>
    </row>
    <row r="22" spans="1:28" ht="14" x14ac:dyDescent="0.3">
      <c r="A22" s="151">
        <f>IF(C22&lt;&gt;"",COUNTA($C$12:C22),"")</f>
        <v>10</v>
      </c>
      <c r="B22" s="151"/>
      <c r="C22" s="409">
        <v>75</v>
      </c>
      <c r="D22" s="409">
        <f t="shared" si="8"/>
        <v>18750</v>
      </c>
      <c r="E22" s="372">
        <f t="shared" si="0"/>
        <v>1769.5</v>
      </c>
      <c r="F22" s="372">
        <f t="shared" si="1"/>
        <v>2138.06</v>
      </c>
      <c r="G22" s="372">
        <f t="shared" si="2"/>
        <v>3907.56</v>
      </c>
      <c r="H22" s="373"/>
      <c r="I22" s="372">
        <f t="shared" si="3"/>
        <v>1691.15</v>
      </c>
      <c r="J22" s="372">
        <f t="shared" si="4"/>
        <v>2472.19</v>
      </c>
      <c r="K22" s="372">
        <f t="shared" si="5"/>
        <v>4163.34</v>
      </c>
      <c r="L22" s="374"/>
      <c r="M22" s="375">
        <f t="shared" si="6"/>
        <v>255.7800000000002</v>
      </c>
      <c r="N22" s="376">
        <f t="shared" si="7"/>
        <v>6.5457728096305678E-2</v>
      </c>
      <c r="O22" s="339"/>
      <c r="P22" s="339"/>
      <c r="Q22" s="339"/>
      <c r="R22" s="339"/>
      <c r="S22" s="339"/>
      <c r="T22" s="339"/>
      <c r="U22" s="339"/>
      <c r="V22" s="339"/>
      <c r="W22" s="339"/>
      <c r="X22" s="339"/>
      <c r="Y22" s="339"/>
      <c r="Z22" s="339"/>
      <c r="AA22" s="339"/>
      <c r="AB22" s="339"/>
    </row>
    <row r="23" spans="1:28" ht="14" x14ac:dyDescent="0.3">
      <c r="A23" s="151">
        <f>IF(C23&lt;&gt;"",COUNTA($C$12:C23),"")</f>
        <v>11</v>
      </c>
      <c r="B23" s="151"/>
      <c r="C23" s="409">
        <v>100</v>
      </c>
      <c r="D23" s="409">
        <f t="shared" si="8"/>
        <v>25000</v>
      </c>
      <c r="E23" s="372">
        <f t="shared" si="0"/>
        <v>2367.5</v>
      </c>
      <c r="F23" s="372">
        <f t="shared" si="1"/>
        <v>2850.75</v>
      </c>
      <c r="G23" s="372">
        <f t="shared" si="2"/>
        <v>5218.25</v>
      </c>
      <c r="H23" s="373"/>
      <c r="I23" s="372">
        <f t="shared" si="3"/>
        <v>2263.4</v>
      </c>
      <c r="J23" s="372">
        <f t="shared" si="4"/>
        <v>3296.25</v>
      </c>
      <c r="K23" s="372">
        <f t="shared" si="5"/>
        <v>5559.65</v>
      </c>
      <c r="L23" s="374"/>
      <c r="M23" s="375">
        <f t="shared" si="6"/>
        <v>341.39999999999964</v>
      </c>
      <c r="N23" s="376">
        <f t="shared" si="7"/>
        <v>6.5424232261773518E-2</v>
      </c>
      <c r="O23" s="339"/>
      <c r="P23" s="339"/>
      <c r="Q23" s="339"/>
      <c r="R23" s="339"/>
      <c r="S23" s="339"/>
      <c r="T23" s="339"/>
      <c r="U23" s="339"/>
      <c r="V23" s="339"/>
      <c r="W23" s="339"/>
      <c r="X23" s="339"/>
      <c r="Y23" s="339"/>
      <c r="Z23" s="339"/>
      <c r="AA23" s="339"/>
      <c r="AB23" s="339"/>
    </row>
    <row r="24" spans="1:28" ht="14" x14ac:dyDescent="0.3">
      <c r="A24" s="151">
        <f>IF(C24&lt;&gt;"",COUNTA($C$12:C24),"")</f>
        <v>12</v>
      </c>
      <c r="B24" s="151" t="s">
        <v>554</v>
      </c>
      <c r="C24" s="409">
        <v>19</v>
      </c>
      <c r="D24" s="409">
        <f t="shared" si="8"/>
        <v>4750</v>
      </c>
      <c r="E24" s="372">
        <f t="shared" si="0"/>
        <v>429.98</v>
      </c>
      <c r="F24" s="372">
        <f t="shared" si="1"/>
        <v>541.64</v>
      </c>
      <c r="G24" s="372">
        <f t="shared" si="2"/>
        <v>971.62</v>
      </c>
      <c r="H24" s="373"/>
      <c r="I24" s="372">
        <f t="shared" si="3"/>
        <v>409.31</v>
      </c>
      <c r="J24" s="372">
        <f t="shared" si="4"/>
        <v>626.29</v>
      </c>
      <c r="K24" s="372">
        <f t="shared" si="5"/>
        <v>1035.5999999999999</v>
      </c>
      <c r="L24" s="374"/>
      <c r="M24" s="375">
        <f t="shared" si="6"/>
        <v>63.979999999999905</v>
      </c>
      <c r="N24" s="376">
        <f t="shared" si="7"/>
        <v>6.5848788621065746E-2</v>
      </c>
      <c r="O24" s="339"/>
      <c r="P24" s="339"/>
      <c r="Q24" s="339"/>
      <c r="R24" s="339"/>
      <c r="S24" s="339"/>
      <c r="T24" s="339"/>
      <c r="U24" s="339"/>
      <c r="V24" s="339"/>
      <c r="W24" s="339"/>
      <c r="X24" s="339"/>
      <c r="Y24" s="339"/>
      <c r="Z24" s="339"/>
      <c r="AA24" s="339"/>
      <c r="AB24" s="339"/>
    </row>
    <row r="25" spans="1:28" ht="14" x14ac:dyDescent="0.3">
      <c r="A25" s="151" t="str">
        <f>IF(C25&lt;&gt;"",COUNTA($C$12:C25),"")</f>
        <v/>
      </c>
      <c r="B25" s="151"/>
      <c r="C25" s="365"/>
      <c r="D25" s="493"/>
      <c r="E25" s="489"/>
      <c r="F25" s="489"/>
      <c r="G25" s="489"/>
      <c r="H25" s="494"/>
      <c r="I25" s="489"/>
      <c r="J25" s="489"/>
      <c r="K25" s="495"/>
      <c r="L25" s="495"/>
      <c r="M25" s="495"/>
    </row>
    <row r="26" spans="1:28" ht="14" x14ac:dyDescent="0.3">
      <c r="A26" s="151">
        <f>IF(C26&lt;&gt;"",COUNTA($C$12:C26),"")</f>
        <v>13</v>
      </c>
      <c r="B26" s="151"/>
      <c r="C26" s="496" t="s">
        <v>580</v>
      </c>
      <c r="D26" s="293"/>
      <c r="E26" s="448"/>
      <c r="F26" s="448"/>
      <c r="G26" s="448"/>
      <c r="H26" s="448"/>
      <c r="I26" s="374"/>
      <c r="J26" s="374"/>
      <c r="K26" s="374"/>
      <c r="L26" s="374"/>
      <c r="M26" s="374"/>
    </row>
    <row r="27" spans="1:28" ht="14" x14ac:dyDescent="0.3">
      <c r="A27" s="151">
        <f>IF(C27&lt;&gt;"",COUNTA($C$12:C27),"")</f>
        <v>14</v>
      </c>
      <c r="B27" s="151"/>
      <c r="C27" s="409">
        <f t="shared" ref="C27:C34" si="9">+C16</f>
        <v>5</v>
      </c>
      <c r="D27" s="409">
        <f>+C27*350</f>
        <v>1750</v>
      </c>
      <c r="E27" s="372">
        <f t="shared" ref="E27:E35" si="10">ROUND($G$51+IF($C27&lt;=10,$C27*SUM($G$52,$G$54),($C27-10)*SUM($G$53,$G$54)+10*SUM($G$52,$G$54))+$D27*SUM($G$55:$G$70,$G$71:$G$73),2)</f>
        <v>127.87</v>
      </c>
      <c r="F27" s="372">
        <f t="shared" ref="F27:F35" si="11">ROUND(G$74*D27,2)</f>
        <v>199.55</v>
      </c>
      <c r="G27" s="372">
        <f t="shared" ref="G27" si="12">SUM(E27:F27)</f>
        <v>327.42</v>
      </c>
      <c r="H27" s="373"/>
      <c r="I27" s="372">
        <f t="shared" ref="I27:I35" si="13">ROUND($I$51+IF($C27&lt;=10,$C27*SUM($I$52,$I$54),($C27-10)*SUM($I$53,$I$54)+10*SUM($I$52,$I$54))+$D27*SUM($I$55:$I$70,$I$71:$I$73),2)</f>
        <v>122.63</v>
      </c>
      <c r="J27" s="372">
        <f t="shared" ref="J27:J35" si="14">ROUND(I$74*D27,2)</f>
        <v>230.74</v>
      </c>
      <c r="K27" s="372">
        <f t="shared" ref="K27:K35" si="15">SUM(I27:J27)</f>
        <v>353.37</v>
      </c>
      <c r="L27" s="374"/>
      <c r="M27" s="375">
        <f t="shared" ref="M27:M35" si="16">+K27-G27</f>
        <v>25.949999999999989</v>
      </c>
      <c r="N27" s="376">
        <f t="shared" ref="N27:N35" si="17">+M27/G27</f>
        <v>7.925600146600692E-2</v>
      </c>
      <c r="O27" s="339"/>
      <c r="P27" s="339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</row>
    <row r="28" spans="1:28" ht="14" x14ac:dyDescent="0.3">
      <c r="A28" s="151">
        <f>IF(C28&lt;&gt;"",COUNTA($C$12:C28),"")</f>
        <v>15</v>
      </c>
      <c r="B28" s="151"/>
      <c r="C28" s="409">
        <f t="shared" si="9"/>
        <v>10</v>
      </c>
      <c r="D28" s="409">
        <f t="shared" ref="D28:D35" si="18">+C28*350</f>
        <v>3500</v>
      </c>
      <c r="E28" s="372">
        <f t="shared" si="10"/>
        <v>247.74</v>
      </c>
      <c r="F28" s="372">
        <f t="shared" si="11"/>
        <v>399.11</v>
      </c>
      <c r="G28" s="372">
        <f>SUM(E28:F28)</f>
        <v>646.85</v>
      </c>
      <c r="H28" s="373"/>
      <c r="I28" s="372">
        <f t="shared" si="13"/>
        <v>237.26</v>
      </c>
      <c r="J28" s="372">
        <f t="shared" si="14"/>
        <v>461.48</v>
      </c>
      <c r="K28" s="372">
        <f t="shared" si="15"/>
        <v>698.74</v>
      </c>
      <c r="L28" s="374"/>
      <c r="M28" s="375">
        <f t="shared" si="16"/>
        <v>51.889999999999986</v>
      </c>
      <c r="N28" s="376">
        <f t="shared" si="17"/>
        <v>8.0219525392285662E-2</v>
      </c>
      <c r="O28" s="339"/>
      <c r="P28" s="339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</row>
    <row r="29" spans="1:28" ht="14" x14ac:dyDescent="0.3">
      <c r="A29" s="151">
        <f>IF(C29&lt;&gt;"",COUNTA($C$12:C29),"")</f>
        <v>16</v>
      </c>
      <c r="B29" s="151"/>
      <c r="C29" s="409">
        <f t="shared" si="9"/>
        <v>15</v>
      </c>
      <c r="D29" s="409">
        <f t="shared" si="18"/>
        <v>5250</v>
      </c>
      <c r="E29" s="372">
        <f t="shared" si="10"/>
        <v>383.86</v>
      </c>
      <c r="F29" s="372">
        <f t="shared" si="11"/>
        <v>598.66</v>
      </c>
      <c r="G29" s="372">
        <f>SUM(E29:F29)</f>
        <v>982.52</v>
      </c>
      <c r="H29" s="373"/>
      <c r="I29" s="372">
        <f t="shared" si="13"/>
        <v>368.69</v>
      </c>
      <c r="J29" s="372">
        <f t="shared" si="14"/>
        <v>692.21</v>
      </c>
      <c r="K29" s="372">
        <f t="shared" si="15"/>
        <v>1060.9000000000001</v>
      </c>
      <c r="L29" s="374"/>
      <c r="M29" s="375">
        <f t="shared" si="16"/>
        <v>78.380000000000109</v>
      </c>
      <c r="N29" s="376">
        <f t="shared" si="17"/>
        <v>7.9774457517404335E-2</v>
      </c>
      <c r="O29" s="339"/>
      <c r="P29" s="339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</row>
    <row r="30" spans="1:28" ht="14" x14ac:dyDescent="0.3">
      <c r="A30" s="151">
        <f>IF(C30&lt;&gt;"",COUNTA($C$12:C30),"")</f>
        <v>17</v>
      </c>
      <c r="B30" s="151"/>
      <c r="C30" s="409">
        <f t="shared" si="9"/>
        <v>20</v>
      </c>
      <c r="D30" s="409">
        <f t="shared" si="18"/>
        <v>7000</v>
      </c>
      <c r="E30" s="372">
        <f t="shared" si="10"/>
        <v>519.98</v>
      </c>
      <c r="F30" s="372">
        <f t="shared" si="11"/>
        <v>798.21</v>
      </c>
      <c r="G30" s="372">
        <f t="shared" ref="G30:G35" si="19">SUM(E30:F30)</f>
        <v>1318.19</v>
      </c>
      <c r="H30" s="373"/>
      <c r="I30" s="372">
        <f t="shared" si="13"/>
        <v>500.12</v>
      </c>
      <c r="J30" s="372">
        <f t="shared" si="14"/>
        <v>922.95</v>
      </c>
      <c r="K30" s="372">
        <f t="shared" si="15"/>
        <v>1423.0700000000002</v>
      </c>
      <c r="L30" s="374"/>
      <c r="M30" s="375">
        <f t="shared" si="16"/>
        <v>104.88000000000011</v>
      </c>
      <c r="N30" s="376">
        <f t="shared" si="17"/>
        <v>7.9563644087726426E-2</v>
      </c>
      <c r="O30" s="339"/>
      <c r="P30" s="339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</row>
    <row r="31" spans="1:28" ht="14" x14ac:dyDescent="0.3">
      <c r="A31" s="151">
        <f>IF(C31&lt;&gt;"",COUNTA($C$12:C31),"")</f>
        <v>18</v>
      </c>
      <c r="B31" s="151"/>
      <c r="C31" s="409">
        <f t="shared" si="9"/>
        <v>30</v>
      </c>
      <c r="D31" s="409">
        <f t="shared" si="18"/>
        <v>10500</v>
      </c>
      <c r="E31" s="372">
        <f t="shared" si="10"/>
        <v>792.22</v>
      </c>
      <c r="F31" s="372">
        <f t="shared" si="11"/>
        <v>1197.32</v>
      </c>
      <c r="G31" s="372">
        <f t="shared" si="19"/>
        <v>1989.54</v>
      </c>
      <c r="H31" s="373"/>
      <c r="I31" s="372">
        <f t="shared" si="13"/>
        <v>762.98</v>
      </c>
      <c r="J31" s="372">
        <f t="shared" si="14"/>
        <v>1384.43</v>
      </c>
      <c r="K31" s="372">
        <f t="shared" si="15"/>
        <v>2147.41</v>
      </c>
      <c r="L31" s="374"/>
      <c r="M31" s="375">
        <f t="shared" si="16"/>
        <v>157.86999999999989</v>
      </c>
      <c r="N31" s="376">
        <f t="shared" si="17"/>
        <v>7.9350000502628693E-2</v>
      </c>
      <c r="O31" s="339"/>
      <c r="P31" s="339"/>
      <c r="Q31" s="339"/>
      <c r="R31" s="339"/>
      <c r="S31" s="339"/>
      <c r="T31" s="339"/>
      <c r="U31" s="339"/>
      <c r="V31" s="339"/>
      <c r="W31" s="339"/>
      <c r="X31" s="339"/>
      <c r="Y31" s="339"/>
      <c r="Z31" s="339"/>
      <c r="AA31" s="339"/>
      <c r="AB31" s="339"/>
    </row>
    <row r="32" spans="1:28" ht="14" x14ac:dyDescent="0.3">
      <c r="A32" s="151">
        <f>IF(C32&lt;&gt;"",COUNTA($C$12:C32),"")</f>
        <v>19</v>
      </c>
      <c r="B32" s="151"/>
      <c r="C32" s="409">
        <f t="shared" si="9"/>
        <v>50</v>
      </c>
      <c r="D32" s="409">
        <f t="shared" si="18"/>
        <v>17500</v>
      </c>
      <c r="E32" s="372">
        <f t="shared" si="10"/>
        <v>1336.7</v>
      </c>
      <c r="F32" s="372">
        <f t="shared" si="11"/>
        <v>1995.53</v>
      </c>
      <c r="G32" s="372">
        <f t="shared" si="19"/>
        <v>3332.23</v>
      </c>
      <c r="H32" s="373"/>
      <c r="I32" s="372">
        <f t="shared" si="13"/>
        <v>1288.7</v>
      </c>
      <c r="J32" s="372">
        <f t="shared" si="14"/>
        <v>2307.38</v>
      </c>
      <c r="K32" s="372">
        <f t="shared" si="15"/>
        <v>3596.08</v>
      </c>
      <c r="L32" s="374"/>
      <c r="M32" s="375">
        <f t="shared" si="16"/>
        <v>263.84999999999991</v>
      </c>
      <c r="N32" s="376">
        <f t="shared" si="17"/>
        <v>7.9181208980172404E-2</v>
      </c>
      <c r="O32" s="339"/>
      <c r="P32" s="339"/>
      <c r="Q32" s="339"/>
      <c r="R32" s="339"/>
      <c r="S32" s="339"/>
      <c r="T32" s="339"/>
      <c r="U32" s="339"/>
      <c r="V32" s="339"/>
      <c r="W32" s="339"/>
      <c r="X32" s="339"/>
      <c r="Y32" s="339"/>
      <c r="Z32" s="339"/>
      <c r="AA32" s="339"/>
      <c r="AB32" s="339"/>
    </row>
    <row r="33" spans="1:28" ht="14" x14ac:dyDescent="0.3">
      <c r="A33" s="151">
        <f>IF(C33&lt;&gt;"",COUNTA($C$12:C33),"")</f>
        <v>20</v>
      </c>
      <c r="B33" s="151"/>
      <c r="C33" s="409">
        <f t="shared" si="9"/>
        <v>75</v>
      </c>
      <c r="D33" s="409">
        <f t="shared" si="18"/>
        <v>26250</v>
      </c>
      <c r="E33" s="372">
        <f t="shared" si="10"/>
        <v>2017.3</v>
      </c>
      <c r="F33" s="372">
        <f t="shared" si="11"/>
        <v>2993.29</v>
      </c>
      <c r="G33" s="372">
        <f t="shared" si="19"/>
        <v>5010.59</v>
      </c>
      <c r="H33" s="373"/>
      <c r="I33" s="372">
        <f t="shared" si="13"/>
        <v>1945.85</v>
      </c>
      <c r="J33" s="372">
        <f t="shared" si="14"/>
        <v>3461.06</v>
      </c>
      <c r="K33" s="372">
        <f t="shared" si="15"/>
        <v>5406.91</v>
      </c>
      <c r="L33" s="374"/>
      <c r="M33" s="375">
        <f t="shared" si="16"/>
        <v>396.31999999999971</v>
      </c>
      <c r="N33" s="376">
        <f t="shared" si="17"/>
        <v>7.9096473668769485E-2</v>
      </c>
      <c r="O33" s="339"/>
      <c r="P33" s="339"/>
      <c r="Q33" s="339"/>
      <c r="R33" s="339"/>
      <c r="S33" s="339"/>
      <c r="T33" s="339"/>
      <c r="U33" s="339"/>
      <c r="V33" s="339"/>
      <c r="W33" s="339"/>
      <c r="X33" s="339"/>
      <c r="Y33" s="339"/>
      <c r="Z33" s="339"/>
      <c r="AA33" s="339"/>
      <c r="AB33" s="339"/>
    </row>
    <row r="34" spans="1:28" ht="14" x14ac:dyDescent="0.3">
      <c r="A34" s="151">
        <f>IF(C34&lt;&gt;"",COUNTA($C$12:C34),"")</f>
        <v>21</v>
      </c>
      <c r="B34" s="151"/>
      <c r="C34" s="409">
        <f t="shared" si="9"/>
        <v>100</v>
      </c>
      <c r="D34" s="409">
        <f t="shared" si="18"/>
        <v>35000</v>
      </c>
      <c r="E34" s="372">
        <f t="shared" si="10"/>
        <v>2697.9</v>
      </c>
      <c r="F34" s="380">
        <f t="shared" si="11"/>
        <v>3991.05</v>
      </c>
      <c r="G34" s="380">
        <f t="shared" si="19"/>
        <v>6688.9500000000007</v>
      </c>
      <c r="H34" s="381"/>
      <c r="I34" s="372">
        <f t="shared" si="13"/>
        <v>2603</v>
      </c>
      <c r="J34" s="380">
        <f t="shared" si="14"/>
        <v>4614.75</v>
      </c>
      <c r="K34" s="380">
        <f t="shared" si="15"/>
        <v>7217.75</v>
      </c>
      <c r="L34" s="374"/>
      <c r="M34" s="375">
        <f t="shared" si="16"/>
        <v>528.79999999999927</v>
      </c>
      <c r="N34" s="376">
        <f t="shared" si="17"/>
        <v>7.9055756135118255E-2</v>
      </c>
      <c r="O34" s="339"/>
      <c r="P34" s="339"/>
      <c r="Q34" s="339"/>
      <c r="R34" s="339"/>
      <c r="S34" s="339"/>
      <c r="T34" s="339"/>
      <c r="U34" s="339"/>
      <c r="V34" s="339"/>
      <c r="W34" s="339"/>
      <c r="X34" s="339"/>
      <c r="Y34" s="339"/>
      <c r="Z34" s="339"/>
      <c r="AA34" s="339"/>
      <c r="AB34" s="339"/>
    </row>
    <row r="35" spans="1:28" ht="14" x14ac:dyDescent="0.3">
      <c r="A35" s="151">
        <f>IF(C35&lt;&gt;"",COUNTA($C$12:C35),"")</f>
        <v>22</v>
      </c>
      <c r="B35" s="151" t="s">
        <v>554</v>
      </c>
      <c r="C35" s="409">
        <v>26</v>
      </c>
      <c r="D35" s="409">
        <f t="shared" si="18"/>
        <v>9100</v>
      </c>
      <c r="E35" s="372">
        <f t="shared" si="10"/>
        <v>683.32</v>
      </c>
      <c r="F35" s="380">
        <f t="shared" si="11"/>
        <v>1037.67</v>
      </c>
      <c r="G35" s="380">
        <f t="shared" si="19"/>
        <v>1720.9900000000002</v>
      </c>
      <c r="H35" s="381"/>
      <c r="I35" s="372">
        <f t="shared" si="13"/>
        <v>657.84</v>
      </c>
      <c r="J35" s="380">
        <f t="shared" si="14"/>
        <v>1199.8399999999999</v>
      </c>
      <c r="K35" s="380">
        <f t="shared" si="15"/>
        <v>1857.6799999999998</v>
      </c>
      <c r="L35" s="374"/>
      <c r="M35" s="375">
        <f t="shared" si="16"/>
        <v>136.6899999999996</v>
      </c>
      <c r="N35" s="376">
        <f t="shared" si="17"/>
        <v>7.9425214556737442E-2</v>
      </c>
      <c r="O35" s="339"/>
      <c r="P35" s="339"/>
      <c r="Q35" s="339"/>
      <c r="R35" s="339"/>
      <c r="S35" s="339"/>
      <c r="T35" s="339"/>
      <c r="U35" s="339"/>
      <c r="V35" s="339"/>
      <c r="W35" s="339"/>
      <c r="X35" s="339"/>
      <c r="Y35" s="339"/>
      <c r="Z35" s="339"/>
      <c r="AA35" s="339"/>
      <c r="AB35" s="339"/>
    </row>
    <row r="36" spans="1:28" ht="14" x14ac:dyDescent="0.3">
      <c r="A36" s="151" t="str">
        <f>IF(C36&lt;&gt;"",COUNTA($C$12:C36),"")</f>
        <v/>
      </c>
      <c r="B36" s="151"/>
      <c r="C36" s="365"/>
      <c r="D36" s="493"/>
      <c r="E36" s="489"/>
      <c r="F36" s="489"/>
      <c r="G36" s="489"/>
      <c r="H36" s="494"/>
      <c r="I36" s="489"/>
      <c r="J36" s="489"/>
      <c r="K36" s="495"/>
      <c r="L36" s="495"/>
      <c r="M36" s="495"/>
    </row>
    <row r="37" spans="1:28" ht="14" x14ac:dyDescent="0.3">
      <c r="A37" s="151">
        <f>IF(C37&lt;&gt;"",COUNTA($C$12:C37),"")</f>
        <v>23</v>
      </c>
      <c r="B37" s="151"/>
      <c r="C37" s="496" t="s">
        <v>591</v>
      </c>
      <c r="D37" s="493"/>
      <c r="E37" s="489"/>
      <c r="F37" s="489"/>
      <c r="G37" s="489"/>
      <c r="H37" s="494"/>
      <c r="I37" s="489"/>
      <c r="J37" s="489"/>
      <c r="K37" s="495"/>
      <c r="L37" s="495"/>
      <c r="M37" s="495"/>
    </row>
    <row r="38" spans="1:28" ht="14" x14ac:dyDescent="0.3">
      <c r="A38" s="151">
        <f>IF(C38&lt;&gt;"",COUNTA($C$12:C38),"")</f>
        <v>24</v>
      </c>
      <c r="B38" s="151"/>
      <c r="C38" s="409">
        <f t="shared" ref="C38:C45" si="20">+C27</f>
        <v>5</v>
      </c>
      <c r="D38" s="409">
        <f>+C38*500</f>
        <v>2500</v>
      </c>
      <c r="E38" s="372">
        <f t="shared" ref="E38:E46" si="21">ROUND($G$51+IF($C38&lt;=10,$C38*SUM($G$52,$G$54),($C38-10)*SUM($G$53,$G$54)+10*SUM($G$52,$G$54))+$D38*SUM($G$55:$G$70,$G$71:$G$73),2)</f>
        <v>152.65</v>
      </c>
      <c r="F38" s="372">
        <f t="shared" ref="F38:F46" si="22">ROUND(G$74*D38,2)</f>
        <v>285.08</v>
      </c>
      <c r="G38" s="372">
        <f t="shared" ref="G38" si="23">SUM(E38:F38)</f>
        <v>437.73</v>
      </c>
      <c r="H38" s="373"/>
      <c r="I38" s="372">
        <f t="shared" ref="I38:I46" si="24">ROUND($I$51+IF($C38&lt;=10,$C38*SUM($I$52,$I$54),($C38-10)*SUM($I$53,$I$54)+10*SUM($I$52,$I$54))+$D38*SUM($I$55:$I$70,$I$71:$I$73),2)</f>
        <v>148.1</v>
      </c>
      <c r="J38" s="372">
        <f t="shared" ref="J38:J46" si="25">ROUND(I$74*D38,2)</f>
        <v>329.63</v>
      </c>
      <c r="K38" s="372">
        <f t="shared" ref="K38:K46" si="26">SUM(I38:J38)</f>
        <v>477.73</v>
      </c>
      <c r="L38" s="374"/>
      <c r="M38" s="375">
        <f t="shared" ref="M38:M46" si="27">+K38-G38</f>
        <v>40</v>
      </c>
      <c r="N38" s="376">
        <f t="shared" ref="N38:N46" si="28">+M38/G38</f>
        <v>9.1380531377789953E-2</v>
      </c>
      <c r="O38" s="339"/>
      <c r="P38" s="339"/>
      <c r="Q38" s="339"/>
      <c r="R38" s="339"/>
      <c r="S38" s="339"/>
      <c r="T38" s="339"/>
      <c r="U38" s="339"/>
      <c r="V38" s="339"/>
      <c r="W38" s="339"/>
      <c r="X38" s="339"/>
      <c r="Y38" s="339"/>
      <c r="Z38" s="339"/>
      <c r="AA38" s="339"/>
      <c r="AB38" s="339"/>
    </row>
    <row r="39" spans="1:28" ht="14" x14ac:dyDescent="0.3">
      <c r="A39" s="151">
        <f>IF(C39&lt;&gt;"",COUNTA($C$12:C39),"")</f>
        <v>25</v>
      </c>
      <c r="B39" s="151"/>
      <c r="C39" s="409">
        <f t="shared" si="20"/>
        <v>10</v>
      </c>
      <c r="D39" s="409">
        <f t="shared" ref="D39:D46" si="29">+C39*500</f>
        <v>5000</v>
      </c>
      <c r="E39" s="372">
        <f t="shared" si="21"/>
        <v>297.3</v>
      </c>
      <c r="F39" s="372">
        <f t="shared" si="22"/>
        <v>570.15</v>
      </c>
      <c r="G39" s="372">
        <f>SUM(E39:F39)</f>
        <v>867.45</v>
      </c>
      <c r="H39" s="373"/>
      <c r="I39" s="372">
        <f t="shared" si="24"/>
        <v>288.2</v>
      </c>
      <c r="J39" s="372">
        <f t="shared" si="25"/>
        <v>659.25</v>
      </c>
      <c r="K39" s="372">
        <f t="shared" si="26"/>
        <v>947.45</v>
      </c>
      <c r="L39" s="374"/>
      <c r="M39" s="375">
        <f t="shared" si="27"/>
        <v>80</v>
      </c>
      <c r="N39" s="376">
        <f t="shared" si="28"/>
        <v>9.2224335696581936E-2</v>
      </c>
      <c r="O39" s="339"/>
      <c r="P39" s="339"/>
      <c r="Q39" s="339"/>
      <c r="R39" s="339"/>
      <c r="S39" s="339"/>
      <c r="T39" s="339"/>
      <c r="U39" s="339"/>
      <c r="V39" s="339"/>
      <c r="W39" s="339"/>
      <c r="X39" s="339"/>
      <c r="Y39" s="339"/>
      <c r="Z39" s="339"/>
      <c r="AA39" s="339"/>
      <c r="AB39" s="339"/>
    </row>
    <row r="40" spans="1:28" ht="14" x14ac:dyDescent="0.3">
      <c r="A40" s="151">
        <f>IF(C40&lt;&gt;"",COUNTA($C$12:C40),"")</f>
        <v>26</v>
      </c>
      <c r="B40" s="151"/>
      <c r="C40" s="409">
        <f t="shared" si="20"/>
        <v>15</v>
      </c>
      <c r="D40" s="409">
        <f t="shared" si="29"/>
        <v>7500</v>
      </c>
      <c r="E40" s="372">
        <f t="shared" si="21"/>
        <v>458.2</v>
      </c>
      <c r="F40" s="372">
        <f t="shared" si="22"/>
        <v>855.23</v>
      </c>
      <c r="G40" s="372">
        <f>SUM(E40:F40)</f>
        <v>1313.43</v>
      </c>
      <c r="H40" s="373"/>
      <c r="I40" s="372">
        <f t="shared" si="24"/>
        <v>445.1</v>
      </c>
      <c r="J40" s="372">
        <f t="shared" si="25"/>
        <v>988.88</v>
      </c>
      <c r="K40" s="372">
        <f t="shared" si="26"/>
        <v>1433.98</v>
      </c>
      <c r="L40" s="374"/>
      <c r="M40" s="375">
        <f t="shared" si="27"/>
        <v>120.54999999999995</v>
      </c>
      <c r="N40" s="376">
        <f t="shared" si="28"/>
        <v>9.1782584530580191E-2</v>
      </c>
      <c r="O40" s="339"/>
      <c r="P40" s="339"/>
      <c r="Q40" s="339"/>
      <c r="R40" s="339"/>
      <c r="S40" s="339"/>
      <c r="T40" s="339"/>
      <c r="U40" s="339"/>
      <c r="V40" s="339"/>
      <c r="W40" s="339"/>
      <c r="X40" s="339"/>
      <c r="Y40" s="339"/>
      <c r="Z40" s="339"/>
      <c r="AA40" s="339"/>
      <c r="AB40" s="339"/>
    </row>
    <row r="41" spans="1:28" ht="14" x14ac:dyDescent="0.3">
      <c r="A41" s="151">
        <f>IF(C41&lt;&gt;"",COUNTA($C$12:C41),"")</f>
        <v>27</v>
      </c>
      <c r="B41" s="151"/>
      <c r="C41" s="409">
        <f t="shared" si="20"/>
        <v>20</v>
      </c>
      <c r="D41" s="409">
        <f t="shared" si="29"/>
        <v>10000</v>
      </c>
      <c r="E41" s="372">
        <f t="shared" si="21"/>
        <v>619.1</v>
      </c>
      <c r="F41" s="372">
        <f t="shared" si="22"/>
        <v>1140.3</v>
      </c>
      <c r="G41" s="372">
        <f t="shared" ref="G41:G46" si="30">SUM(E41:F41)</f>
        <v>1759.4</v>
      </c>
      <c r="H41" s="373"/>
      <c r="I41" s="372">
        <f t="shared" si="24"/>
        <v>602</v>
      </c>
      <c r="J41" s="372">
        <f t="shared" si="25"/>
        <v>1318.5</v>
      </c>
      <c r="K41" s="372">
        <f t="shared" si="26"/>
        <v>1920.5</v>
      </c>
      <c r="L41" s="374"/>
      <c r="M41" s="375">
        <f t="shared" si="27"/>
        <v>161.09999999999991</v>
      </c>
      <c r="N41" s="376">
        <f t="shared" si="28"/>
        <v>9.1565306354438963E-2</v>
      </c>
      <c r="O41" s="339"/>
      <c r="P41" s="339"/>
      <c r="Q41" s="339"/>
      <c r="R41" s="339"/>
      <c r="S41" s="339"/>
      <c r="T41" s="339"/>
      <c r="U41" s="339"/>
      <c r="V41" s="339"/>
      <c r="W41" s="339"/>
      <c r="X41" s="339"/>
      <c r="Y41" s="339"/>
      <c r="Z41" s="339"/>
      <c r="AA41" s="339"/>
      <c r="AB41" s="339"/>
    </row>
    <row r="42" spans="1:28" ht="14" x14ac:dyDescent="0.3">
      <c r="A42" s="151">
        <f>IF(C42&lt;&gt;"",COUNTA($C$12:C42),"")</f>
        <v>28</v>
      </c>
      <c r="B42" s="151"/>
      <c r="C42" s="409">
        <f t="shared" si="20"/>
        <v>30</v>
      </c>
      <c r="D42" s="409">
        <f t="shared" si="29"/>
        <v>15000</v>
      </c>
      <c r="E42" s="372">
        <f t="shared" si="21"/>
        <v>940.9</v>
      </c>
      <c r="F42" s="372">
        <f t="shared" si="22"/>
        <v>1710.45</v>
      </c>
      <c r="G42" s="372">
        <f t="shared" si="30"/>
        <v>2651.35</v>
      </c>
      <c r="H42" s="373"/>
      <c r="I42" s="372">
        <f t="shared" si="24"/>
        <v>915.8</v>
      </c>
      <c r="J42" s="372">
        <f t="shared" si="25"/>
        <v>1977.75</v>
      </c>
      <c r="K42" s="372">
        <f t="shared" si="26"/>
        <v>2893.55</v>
      </c>
      <c r="L42" s="374"/>
      <c r="M42" s="375">
        <f t="shared" si="27"/>
        <v>242.20000000000027</v>
      </c>
      <c r="N42" s="376">
        <f t="shared" si="28"/>
        <v>9.1349689780677867E-2</v>
      </c>
      <c r="O42" s="339"/>
      <c r="P42" s="339"/>
      <c r="Q42" s="339"/>
      <c r="R42" s="339"/>
      <c r="S42" s="339"/>
      <c r="T42" s="339"/>
      <c r="U42" s="339"/>
      <c r="V42" s="339"/>
      <c r="W42" s="339"/>
      <c r="X42" s="339"/>
      <c r="Y42" s="339"/>
      <c r="Z42" s="339"/>
      <c r="AA42" s="339"/>
      <c r="AB42" s="339"/>
    </row>
    <row r="43" spans="1:28" ht="14" x14ac:dyDescent="0.3">
      <c r="A43" s="151">
        <f>IF(C43&lt;&gt;"",COUNTA($C$12:C43),"")</f>
        <v>29</v>
      </c>
      <c r="B43" s="151"/>
      <c r="C43" s="409">
        <f t="shared" si="20"/>
        <v>50</v>
      </c>
      <c r="D43" s="409">
        <f t="shared" si="29"/>
        <v>25000</v>
      </c>
      <c r="E43" s="372">
        <f t="shared" si="21"/>
        <v>1584.5</v>
      </c>
      <c r="F43" s="372">
        <f t="shared" si="22"/>
        <v>2850.75</v>
      </c>
      <c r="G43" s="372">
        <f t="shared" si="30"/>
        <v>4435.25</v>
      </c>
      <c r="H43" s="373"/>
      <c r="I43" s="372">
        <f t="shared" si="24"/>
        <v>1543.4</v>
      </c>
      <c r="J43" s="372">
        <f t="shared" si="25"/>
        <v>3296.25</v>
      </c>
      <c r="K43" s="372">
        <f t="shared" si="26"/>
        <v>4839.6499999999996</v>
      </c>
      <c r="L43" s="374"/>
      <c r="M43" s="375">
        <f t="shared" si="27"/>
        <v>404.39999999999964</v>
      </c>
      <c r="N43" s="376">
        <f t="shared" si="28"/>
        <v>9.1178625782086603E-2</v>
      </c>
      <c r="O43" s="339"/>
      <c r="P43" s="339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9"/>
    </row>
    <row r="44" spans="1:28" ht="14" x14ac:dyDescent="0.3">
      <c r="A44" s="151">
        <f>IF(C44&lt;&gt;"",COUNTA($C$12:C44),"")</f>
        <v>30</v>
      </c>
      <c r="B44" s="151"/>
      <c r="C44" s="409">
        <f t="shared" si="20"/>
        <v>75</v>
      </c>
      <c r="D44" s="409">
        <f t="shared" si="29"/>
        <v>37500</v>
      </c>
      <c r="E44" s="372">
        <f t="shared" si="21"/>
        <v>2389</v>
      </c>
      <c r="F44" s="372">
        <f t="shared" si="22"/>
        <v>4276.13</v>
      </c>
      <c r="G44" s="372">
        <f t="shared" si="30"/>
        <v>6665.13</v>
      </c>
      <c r="H44" s="373"/>
      <c r="I44" s="372">
        <f t="shared" si="24"/>
        <v>2327.9</v>
      </c>
      <c r="J44" s="372">
        <f t="shared" si="25"/>
        <v>4944.38</v>
      </c>
      <c r="K44" s="372">
        <f t="shared" si="26"/>
        <v>7272.2800000000007</v>
      </c>
      <c r="L44" s="374"/>
      <c r="M44" s="375">
        <f t="shared" si="27"/>
        <v>607.15000000000055</v>
      </c>
      <c r="N44" s="376">
        <f t="shared" si="28"/>
        <v>9.1093497051070352E-2</v>
      </c>
      <c r="O44" s="339"/>
      <c r="P44" s="339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9"/>
    </row>
    <row r="45" spans="1:28" ht="14" x14ac:dyDescent="0.3">
      <c r="A45" s="151">
        <f>IF(C45&lt;&gt;"",COUNTA($C$12:C45),"")</f>
        <v>31</v>
      </c>
      <c r="B45" s="151"/>
      <c r="C45" s="409">
        <f t="shared" si="20"/>
        <v>100</v>
      </c>
      <c r="D45" s="409">
        <f t="shared" si="29"/>
        <v>50000</v>
      </c>
      <c r="E45" s="372">
        <f t="shared" si="21"/>
        <v>3193.5</v>
      </c>
      <c r="F45" s="372">
        <f t="shared" si="22"/>
        <v>5701.5</v>
      </c>
      <c r="G45" s="372">
        <f t="shared" si="30"/>
        <v>8895</v>
      </c>
      <c r="H45" s="373"/>
      <c r="I45" s="372">
        <f t="shared" si="24"/>
        <v>3112.4</v>
      </c>
      <c r="J45" s="372">
        <f t="shared" si="25"/>
        <v>6592.5</v>
      </c>
      <c r="K45" s="372">
        <f t="shared" si="26"/>
        <v>9704.9</v>
      </c>
      <c r="L45" s="374"/>
      <c r="M45" s="375">
        <f t="shared" si="27"/>
        <v>809.89999999999964</v>
      </c>
      <c r="N45" s="376">
        <f t="shared" si="28"/>
        <v>9.1051152332771182E-2</v>
      </c>
      <c r="O45" s="339"/>
      <c r="P45" s="339"/>
      <c r="Q45" s="339"/>
      <c r="R45" s="339"/>
      <c r="S45" s="339"/>
      <c r="T45" s="339"/>
      <c r="U45" s="339"/>
      <c r="V45" s="339"/>
      <c r="W45" s="339"/>
      <c r="X45" s="339"/>
      <c r="Y45" s="339"/>
      <c r="Z45" s="339"/>
      <c r="AA45" s="339"/>
      <c r="AB45" s="339"/>
    </row>
    <row r="46" spans="1:28" ht="14" x14ac:dyDescent="0.3">
      <c r="A46" s="151">
        <f>IF(C46&lt;&gt;"",COUNTA($C$12:C46),"")</f>
        <v>32</v>
      </c>
      <c r="B46" s="151" t="s">
        <v>554</v>
      </c>
      <c r="C46" s="409">
        <v>32</v>
      </c>
      <c r="D46" s="409">
        <f t="shared" si="29"/>
        <v>16000</v>
      </c>
      <c r="E46" s="372">
        <f t="shared" si="21"/>
        <v>1005.26</v>
      </c>
      <c r="F46" s="372">
        <f t="shared" si="22"/>
        <v>1824.48</v>
      </c>
      <c r="G46" s="372">
        <f t="shared" si="30"/>
        <v>2829.74</v>
      </c>
      <c r="H46" s="373"/>
      <c r="I46" s="372">
        <f t="shared" si="24"/>
        <v>978.56</v>
      </c>
      <c r="J46" s="372">
        <f t="shared" si="25"/>
        <v>2109.6</v>
      </c>
      <c r="K46" s="372">
        <f t="shared" si="26"/>
        <v>3088.16</v>
      </c>
      <c r="L46" s="374"/>
      <c r="M46" s="375">
        <f t="shared" si="27"/>
        <v>258.42000000000007</v>
      </c>
      <c r="N46" s="376">
        <f t="shared" si="28"/>
        <v>9.1322877720214607E-2</v>
      </c>
      <c r="O46" s="339"/>
      <c r="P46" s="339"/>
      <c r="Q46" s="339"/>
      <c r="R46" s="339"/>
      <c r="S46" s="339"/>
      <c r="T46" s="339"/>
      <c r="U46" s="339"/>
      <c r="V46" s="339"/>
      <c r="W46" s="339"/>
      <c r="X46" s="339"/>
      <c r="Y46" s="339"/>
      <c r="Z46" s="339"/>
      <c r="AA46" s="339"/>
      <c r="AB46" s="339"/>
    </row>
    <row r="47" spans="1:28" ht="14" x14ac:dyDescent="0.3">
      <c r="A47" s="151" t="str">
        <f>IF(C47&lt;&gt;"",COUNTA($C$12:C47),"")</f>
        <v/>
      </c>
      <c r="B47" s="151"/>
      <c r="C47" s="488"/>
      <c r="D47" s="488"/>
      <c r="E47" s="489"/>
      <c r="F47" s="489"/>
      <c r="G47" s="489"/>
      <c r="H47" s="494"/>
      <c r="I47" s="489"/>
      <c r="J47" s="489"/>
      <c r="K47" s="489"/>
      <c r="L47" s="495"/>
      <c r="M47" s="497"/>
    </row>
    <row r="48" spans="1:28" ht="14" x14ac:dyDescent="0.3">
      <c r="A48" s="151" t="str">
        <f>IF(C48&lt;&gt;"",COUNTA($C$12:C48),"")</f>
        <v/>
      </c>
      <c r="B48" s="151"/>
      <c r="D48" s="371"/>
      <c r="E48" s="372"/>
      <c r="F48" s="372"/>
      <c r="G48" s="372"/>
      <c r="H48" s="373"/>
      <c r="I48" s="374"/>
      <c r="J48" s="374"/>
      <c r="K48" s="374"/>
      <c r="L48" s="374"/>
      <c r="M48" s="374"/>
    </row>
    <row r="49" spans="1:16" ht="14" x14ac:dyDescent="0.3">
      <c r="A49" s="151">
        <f>IF(C49&lt;&gt;"",COUNTA($C$12:C49),"")</f>
        <v>33</v>
      </c>
      <c r="B49" s="151"/>
      <c r="C49" s="293" t="s">
        <v>46</v>
      </c>
      <c r="D49" s="293"/>
      <c r="E49" s="448"/>
      <c r="G49" s="480" t="str">
        <f>'Bill_Cam G0'!F27</f>
        <v>Current</v>
      </c>
      <c r="I49" s="480" t="str">
        <f>'Bill_Cam G0'!H27</f>
        <v>Proposed</v>
      </c>
      <c r="J49" s="481"/>
      <c r="K49" s="374"/>
      <c r="L49" s="374"/>
      <c r="M49" s="374"/>
    </row>
    <row r="50" spans="1:16" ht="17" x14ac:dyDescent="0.6">
      <c r="A50" s="151">
        <f>IF(C50&lt;&gt;"",COUNTA($C$12:C50),"")</f>
        <v>34</v>
      </c>
      <c r="B50" s="151"/>
      <c r="C50" s="274" t="s">
        <v>46</v>
      </c>
      <c r="D50" s="274"/>
      <c r="E50" s="448"/>
      <c r="G50" s="482" t="str">
        <f>'Bill_Cam G0'!F28</f>
        <v>Rates</v>
      </c>
      <c r="I50" s="482" t="str">
        <f>'Bill_Cam G0'!H28</f>
        <v>Rates</v>
      </c>
      <c r="J50" s="498" t="str">
        <f>'Bill_Cam G0'!I28</f>
        <v>Change</v>
      </c>
      <c r="K50" s="374"/>
      <c r="L50" s="374"/>
      <c r="M50" s="374"/>
    </row>
    <row r="51" spans="1:16" ht="14" x14ac:dyDescent="0.3">
      <c r="A51" s="151">
        <f>IF(C51&lt;&gt;"",COUNTA($C$12:C51),"")</f>
        <v>35</v>
      </c>
      <c r="B51" s="151"/>
      <c r="C51" s="293" t="s">
        <v>296</v>
      </c>
      <c r="D51" s="293"/>
      <c r="E51" s="483"/>
      <c r="G51" s="454">
        <v>8</v>
      </c>
      <c r="I51" s="454">
        <f>G51</f>
        <v>8</v>
      </c>
      <c r="J51" s="421">
        <f t="shared" ref="J51:J74" si="31">I51-G51</f>
        <v>0</v>
      </c>
      <c r="K51" s="374"/>
      <c r="L51" s="374"/>
      <c r="M51" s="374"/>
      <c r="P51" s="374"/>
    </row>
    <row r="52" spans="1:16" ht="14" x14ac:dyDescent="0.3">
      <c r="A52" s="151">
        <f>IF(C52&lt;&gt;"",COUNTA($C$12:C52),"")</f>
        <v>36</v>
      </c>
      <c r="B52" s="151"/>
      <c r="C52" s="293" t="s">
        <v>428</v>
      </c>
      <c r="D52" s="293"/>
      <c r="E52" s="483"/>
      <c r="G52" s="454">
        <v>3.74</v>
      </c>
      <c r="I52" s="454">
        <v>3.87</v>
      </c>
      <c r="J52" s="421">
        <f t="shared" si="31"/>
        <v>0.12999999999999989</v>
      </c>
      <c r="K52" s="374"/>
      <c r="L52" s="374"/>
      <c r="M52" s="374"/>
    </row>
    <row r="53" spans="1:16" ht="14" x14ac:dyDescent="0.3">
      <c r="A53" s="151">
        <f>IF(C53&lt;&gt;"",COUNTA($C$12:C53),"")</f>
        <v>37</v>
      </c>
      <c r="B53" s="151"/>
      <c r="C53" s="293" t="s">
        <v>430</v>
      </c>
      <c r="D53" s="293"/>
      <c r="E53" s="483"/>
      <c r="G53" s="454">
        <v>6.99</v>
      </c>
      <c r="I53" s="454">
        <v>7.23</v>
      </c>
      <c r="J53" s="421">
        <f t="shared" si="31"/>
        <v>0.24000000000000021</v>
      </c>
      <c r="K53" s="374"/>
      <c r="L53" s="374"/>
      <c r="M53" s="374"/>
    </row>
    <row r="54" spans="1:16" ht="14" x14ac:dyDescent="0.3">
      <c r="A54" s="151">
        <f>IF(C54&lt;&gt;"",COUNTA($C$12:C54),"")</f>
        <v>38</v>
      </c>
      <c r="B54" s="151"/>
      <c r="C54" s="293" t="str">
        <f>'Bill_Bos G3 p1'!C44</f>
        <v>Transmission Demand</v>
      </c>
      <c r="D54" s="293"/>
      <c r="E54" s="483"/>
      <c r="G54" s="454">
        <v>8.67</v>
      </c>
      <c r="I54" s="454">
        <v>7.17</v>
      </c>
      <c r="J54" s="421">
        <f t="shared" si="31"/>
        <v>-1.5</v>
      </c>
      <c r="K54" s="374"/>
      <c r="L54" s="374"/>
      <c r="M54" s="374"/>
    </row>
    <row r="55" spans="1:16" ht="14" x14ac:dyDescent="0.3">
      <c r="A55" s="151">
        <f>IF(C55&lt;&gt;"",COUNTA($C$12:C55),"")</f>
        <v>39</v>
      </c>
      <c r="B55" s="151"/>
      <c r="C55" s="293" t="s">
        <v>298</v>
      </c>
      <c r="D55" s="293"/>
      <c r="E55" s="483"/>
      <c r="G55" s="308">
        <v>1.1270000000000001E-2</v>
      </c>
      <c r="I55" s="308">
        <v>1.166E-2</v>
      </c>
      <c r="J55" s="354">
        <f t="shared" si="31"/>
        <v>3.8999999999999972E-4</v>
      </c>
      <c r="K55" s="374"/>
      <c r="L55" s="374"/>
      <c r="M55" s="374"/>
    </row>
    <row r="56" spans="1:16" ht="14" x14ac:dyDescent="0.3">
      <c r="A56" s="151">
        <f>IF(C56&lt;&gt;"",COUNTA($C$12:C56),"")</f>
        <v>40</v>
      </c>
      <c r="B56" s="151"/>
      <c r="C56" s="293" t="str">
        <f>'Bill_Cam G0'!C31</f>
        <v>Revenue Decoupling</v>
      </c>
      <c r="D56" s="293"/>
      <c r="E56" s="483"/>
      <c r="G56" s="308">
        <v>0</v>
      </c>
      <c r="I56" s="277">
        <v>-3.2000000000000003E-4</v>
      </c>
      <c r="J56" s="354">
        <f t="shared" si="31"/>
        <v>-3.2000000000000003E-4</v>
      </c>
      <c r="K56" s="374"/>
      <c r="L56" s="374"/>
      <c r="M56" s="374"/>
    </row>
    <row r="57" spans="1:16" ht="14" x14ac:dyDescent="0.3">
      <c r="A57" s="151">
        <f>IF(C57&lt;&gt;"",COUNTA($C$12:C57),"")</f>
        <v>41</v>
      </c>
      <c r="B57" s="151"/>
      <c r="C57" s="293" t="str">
        <f>'Bill_Cam G0'!C32</f>
        <v>Residential Assistance Adjustment Factor</v>
      </c>
      <c r="D57" s="293"/>
      <c r="E57" s="483"/>
      <c r="G57" s="277">
        <v>2.0899999999999998E-3</v>
      </c>
      <c r="I57" s="277">
        <v>2.7299999999999998E-3</v>
      </c>
      <c r="J57" s="354">
        <f t="shared" si="31"/>
        <v>6.3999999999999994E-4</v>
      </c>
      <c r="K57" s="374"/>
      <c r="L57" s="374"/>
      <c r="M57" s="374"/>
    </row>
    <row r="58" spans="1:16" ht="14" x14ac:dyDescent="0.3">
      <c r="A58" s="151">
        <f>IF(C58&lt;&gt;"",COUNTA($C$12:C58),"")</f>
        <v>42</v>
      </c>
      <c r="B58" s="151"/>
      <c r="C58" s="293" t="str">
        <f>'Bill_Cam G0'!C33</f>
        <v>Pension Adjustment Factor</v>
      </c>
      <c r="D58" s="293"/>
      <c r="E58" s="483"/>
      <c r="G58" s="277">
        <v>-6.0000000000000002E-5</v>
      </c>
      <c r="I58" s="277">
        <v>5.4000000000000001E-4</v>
      </c>
      <c r="J58" s="354">
        <f t="shared" si="31"/>
        <v>6.0000000000000006E-4</v>
      </c>
      <c r="K58" s="374"/>
      <c r="L58" s="374"/>
      <c r="M58" s="374"/>
    </row>
    <row r="59" spans="1:16" ht="14" x14ac:dyDescent="0.3">
      <c r="A59" s="151">
        <f>IF(C59&lt;&gt;"",COUNTA($C$12:C59),"")</f>
        <v>43</v>
      </c>
      <c r="B59" s="151"/>
      <c r="C59" s="293" t="str">
        <f>'Bill_Cam G0'!C34</f>
        <v>Net Metering Recovery Surcharge</v>
      </c>
      <c r="D59" s="293"/>
      <c r="E59" s="483"/>
      <c r="G59" s="277">
        <v>4.1099999999999999E-3</v>
      </c>
      <c r="I59" s="277">
        <v>3.5599999999999998E-3</v>
      </c>
      <c r="J59" s="354">
        <f t="shared" si="31"/>
        <v>-5.5000000000000014E-4</v>
      </c>
      <c r="K59" s="374"/>
      <c r="L59" s="374"/>
      <c r="M59" s="374"/>
    </row>
    <row r="60" spans="1:16" ht="14" x14ac:dyDescent="0.3">
      <c r="A60" s="151">
        <f>IF(C60&lt;&gt;"",COUNTA($C$12:C60),"")</f>
        <v>44</v>
      </c>
      <c r="B60" s="151"/>
      <c r="C60" s="293" t="str">
        <f>'Bill_Cam G0'!C35</f>
        <v>Long Term Renewable Contract Adjustment</v>
      </c>
      <c r="D60" s="293"/>
      <c r="E60" s="483"/>
      <c r="G60" s="277">
        <v>2.3600000000000001E-3</v>
      </c>
      <c r="I60" s="277">
        <v>1.74E-3</v>
      </c>
      <c r="J60" s="354">
        <f t="shared" si="31"/>
        <v>-6.2000000000000011E-4</v>
      </c>
      <c r="K60" s="374"/>
      <c r="L60" s="374"/>
      <c r="M60" s="374"/>
    </row>
    <row r="61" spans="1:16" ht="14" x14ac:dyDescent="0.3">
      <c r="A61" s="151">
        <f>IF(C61&lt;&gt;"",COUNTA($C$12:C61),"")</f>
        <v>45</v>
      </c>
      <c r="B61" s="151"/>
      <c r="C61" s="293" t="str">
        <f>'Bill_Cam G0'!C36</f>
        <v>AG Consulting Expense</v>
      </c>
      <c r="D61" s="293"/>
      <c r="E61" s="483"/>
      <c r="G61" s="277">
        <v>2.0000000000000002E-5</v>
      </c>
      <c r="I61" s="277">
        <v>1.0000000000000001E-5</v>
      </c>
      <c r="J61" s="354">
        <f t="shared" si="31"/>
        <v>-1.0000000000000001E-5</v>
      </c>
      <c r="K61" s="374"/>
      <c r="L61" s="374"/>
      <c r="M61" s="374"/>
    </row>
    <row r="62" spans="1:16" ht="14" x14ac:dyDescent="0.3">
      <c r="A62" s="151">
        <f>IF(C62&lt;&gt;"",COUNTA($C$12:C62),"")</f>
        <v>46</v>
      </c>
      <c r="B62" s="151"/>
      <c r="C62" s="293" t="str">
        <f>'Bill_Cam G0'!C37</f>
        <v>Storm Cost Recovery Adjustment Factor</v>
      </c>
      <c r="D62" s="293"/>
      <c r="E62" s="483"/>
      <c r="G62" s="277">
        <v>1.2899999999999999E-3</v>
      </c>
      <c r="I62" s="277">
        <v>2.0699999999999998E-3</v>
      </c>
      <c r="J62" s="354">
        <f t="shared" si="31"/>
        <v>7.7999999999999988E-4</v>
      </c>
      <c r="K62" s="374"/>
      <c r="L62" s="374"/>
      <c r="M62" s="374"/>
    </row>
    <row r="63" spans="1:16" ht="14" x14ac:dyDescent="0.3">
      <c r="A63" s="151">
        <f>IF(C63&lt;&gt;"",COUNTA($C$12:C63),"")</f>
        <v>47</v>
      </c>
      <c r="B63" s="151"/>
      <c r="C63" s="293" t="str">
        <f>'Bill_Cam G0'!C38</f>
        <v>Storm Reserve Adjustment</v>
      </c>
      <c r="D63" s="293"/>
      <c r="E63" s="483"/>
      <c r="G63" s="277">
        <v>0</v>
      </c>
      <c r="I63" s="277">
        <v>0</v>
      </c>
      <c r="J63" s="354">
        <f t="shared" si="31"/>
        <v>0</v>
      </c>
      <c r="K63" s="374"/>
      <c r="L63" s="374"/>
      <c r="M63" s="374"/>
    </row>
    <row r="64" spans="1:16" ht="14" x14ac:dyDescent="0.3">
      <c r="A64" s="151">
        <f>IF(C64&lt;&gt;"",COUNTA($C$12:C64),"")</f>
        <v>48</v>
      </c>
      <c r="B64" s="151"/>
      <c r="C64" s="293" t="str">
        <f>'Bill_Cam G0'!C39</f>
        <v>Basic Service Cost True Up Factor</v>
      </c>
      <c r="E64" s="374"/>
      <c r="G64" s="277">
        <v>1.1100000000000001E-3</v>
      </c>
      <c r="I64" s="277">
        <v>-1.3999999999999999E-4</v>
      </c>
      <c r="J64" s="354">
        <f t="shared" si="31"/>
        <v>-1.25E-3</v>
      </c>
      <c r="K64" s="374"/>
      <c r="L64" s="374"/>
      <c r="M64" s="374"/>
    </row>
    <row r="65" spans="1:13" ht="14" x14ac:dyDescent="0.3">
      <c r="A65" s="151">
        <f>IF(C65&lt;&gt;"",COUNTA($C$12:C65),"")</f>
        <v>49</v>
      </c>
      <c r="B65" s="151"/>
      <c r="C65" s="293" t="str">
        <f>'Bill_Cam G0'!C40</f>
        <v>Solar Program Cost Adjustment Factor</v>
      </c>
      <c r="D65" s="293"/>
      <c r="E65" s="483"/>
      <c r="G65" s="277">
        <v>0</v>
      </c>
      <c r="I65" s="277">
        <v>2.0000000000000002E-5</v>
      </c>
      <c r="J65" s="354">
        <f t="shared" si="31"/>
        <v>2.0000000000000002E-5</v>
      </c>
      <c r="K65" s="374"/>
      <c r="L65" s="374"/>
      <c r="M65" s="374"/>
    </row>
    <row r="66" spans="1:13" ht="14" x14ac:dyDescent="0.3">
      <c r="A66" s="151">
        <f>IF(C66&lt;&gt;"",COUNTA($C$12:C66),"")</f>
        <v>50</v>
      </c>
      <c r="B66" s="151"/>
      <c r="C66" s="293" t="str">
        <f>'Bill_Cam G0'!C41</f>
        <v>Solar Expansion Cost Recovery Factor</v>
      </c>
      <c r="D66" s="293"/>
      <c r="E66" s="483"/>
      <c r="G66" s="277">
        <v>0</v>
      </c>
      <c r="I66" s="277">
        <v>4.2999999999999999E-4</v>
      </c>
      <c r="J66" s="354">
        <f t="shared" si="31"/>
        <v>4.2999999999999999E-4</v>
      </c>
      <c r="K66" s="374"/>
      <c r="L66" s="374"/>
      <c r="M66" s="374"/>
    </row>
    <row r="67" spans="1:13" ht="14" x14ac:dyDescent="0.3">
      <c r="A67" s="151">
        <f>IF(C67&lt;&gt;"",COUNTA($C$12:C67),"")</f>
        <v>51</v>
      </c>
      <c r="B67" s="151"/>
      <c r="C67" s="293" t="str">
        <f>'Bill_Cam G0'!C42</f>
        <v>Vegetation Management</v>
      </c>
      <c r="D67" s="293"/>
      <c r="E67" s="483"/>
      <c r="G67" s="277">
        <v>0</v>
      </c>
      <c r="I67" s="277">
        <v>9.7000000000000005E-4</v>
      </c>
      <c r="J67" s="354">
        <f t="shared" si="31"/>
        <v>9.7000000000000005E-4</v>
      </c>
      <c r="K67" s="374"/>
      <c r="L67" s="374"/>
      <c r="M67" s="374"/>
    </row>
    <row r="68" spans="1:13" ht="14" x14ac:dyDescent="0.3">
      <c r="A68" s="151">
        <f>IF(C68&lt;&gt;"",COUNTA($C$12:C68),"")</f>
        <v>52</v>
      </c>
      <c r="B68" s="151"/>
      <c r="C68" s="293" t="str">
        <f>'Bill_Cam G0'!C43</f>
        <v>Solar Massachusetts Renewable Target</v>
      </c>
      <c r="D68" s="339"/>
      <c r="E68" s="339"/>
      <c r="F68" s="277"/>
      <c r="G68" s="277">
        <v>0</v>
      </c>
      <c r="H68" s="277"/>
      <c r="I68" s="277">
        <v>5.0000000000000001E-4</v>
      </c>
      <c r="J68" s="354">
        <f t="shared" si="31"/>
        <v>5.0000000000000001E-4</v>
      </c>
      <c r="K68" s="339"/>
      <c r="L68" s="339"/>
    </row>
    <row r="69" spans="1:13" ht="14" x14ac:dyDescent="0.3">
      <c r="A69" s="151">
        <f>IF(C69&lt;&gt;"",COUNTA($C$12:C69),"")</f>
        <v>53</v>
      </c>
      <c r="B69" s="151"/>
      <c r="C69" s="293" t="str">
        <f>'Bill_Cam G0'!C44</f>
        <v>Tax Act Credit Factor</v>
      </c>
      <c r="D69" s="339"/>
      <c r="E69" s="339"/>
      <c r="F69" s="277"/>
      <c r="G69" s="277">
        <v>0</v>
      </c>
      <c r="H69" s="277"/>
      <c r="I69" s="277">
        <v>-7.5000000000000002E-4</v>
      </c>
      <c r="J69" s="354">
        <f t="shared" si="31"/>
        <v>-7.5000000000000002E-4</v>
      </c>
      <c r="K69" s="339"/>
      <c r="L69" s="339"/>
    </row>
    <row r="70" spans="1:13" ht="14" x14ac:dyDescent="0.3">
      <c r="A70" s="151">
        <f>IF(C70&lt;&gt;"",COUNTA($C$12:C70),"")</f>
        <v>54</v>
      </c>
      <c r="B70" s="151"/>
      <c r="C70" s="293" t="str">
        <f>'Bill_Cam G0'!C45</f>
        <v>Transition</v>
      </c>
      <c r="D70" s="293"/>
      <c r="E70" s="483"/>
      <c r="G70" s="308">
        <v>-6.0999999999999997E-4</v>
      </c>
      <c r="I70" s="277">
        <v>-5.1999999999999995E-4</v>
      </c>
      <c r="J70" s="354">
        <f t="shared" si="31"/>
        <v>9.0000000000000019E-5</v>
      </c>
      <c r="K70" s="374"/>
      <c r="L70" s="374"/>
      <c r="M70" s="374"/>
    </row>
    <row r="71" spans="1:13" ht="14" x14ac:dyDescent="0.3">
      <c r="A71" s="151">
        <f>IF(C71&lt;&gt;"",COUNTA($C$12:C71),"")</f>
        <v>55</v>
      </c>
      <c r="B71" s="151"/>
      <c r="C71" s="293" t="str">
        <f>'Bill_Cam G0'!C47</f>
        <v>Energy Efficiency Reconciliation Factor</v>
      </c>
      <c r="D71" s="293"/>
      <c r="E71" s="483"/>
      <c r="G71" s="308">
        <v>8.4600000000000005E-3</v>
      </c>
      <c r="I71" s="308">
        <v>8.4600000000000005E-3</v>
      </c>
      <c r="J71" s="354">
        <f t="shared" si="31"/>
        <v>0</v>
      </c>
      <c r="K71" s="374"/>
      <c r="L71" s="374"/>
      <c r="M71" s="374"/>
    </row>
    <row r="72" spans="1:13" ht="14" x14ac:dyDescent="0.3">
      <c r="A72" s="151">
        <f>IF(C72&lt;&gt;"",COUNTA($C$12:C72),"")</f>
        <v>56</v>
      </c>
      <c r="B72" s="151"/>
      <c r="C72" s="293" t="str">
        <f>'Bill_Cam G0'!C48</f>
        <v>System Benefits Charge</v>
      </c>
      <c r="D72" s="293"/>
      <c r="E72" s="483"/>
      <c r="G72" s="308">
        <v>2.5000000000000001E-3</v>
      </c>
      <c r="I72" s="308">
        <f>G72</f>
        <v>2.5000000000000001E-3</v>
      </c>
      <c r="J72" s="354">
        <f t="shared" si="31"/>
        <v>0</v>
      </c>
      <c r="K72" s="374"/>
      <c r="L72" s="374"/>
      <c r="M72" s="374"/>
    </row>
    <row r="73" spans="1:13" ht="14" x14ac:dyDescent="0.3">
      <c r="A73" s="151">
        <f>IF(C73&lt;&gt;"",COUNTA($C$12:C73),"")</f>
        <v>57</v>
      </c>
      <c r="B73" s="151"/>
      <c r="C73" s="293" t="str">
        <f>'Bill_Cam G0'!C49</f>
        <v>Renewable Energy Charge</v>
      </c>
      <c r="D73" s="293"/>
      <c r="E73" s="483"/>
      <c r="G73" s="308">
        <v>5.0000000000000001E-4</v>
      </c>
      <c r="I73" s="308">
        <f>G73</f>
        <v>5.0000000000000001E-4</v>
      </c>
      <c r="J73" s="354">
        <f t="shared" si="31"/>
        <v>0</v>
      </c>
      <c r="K73" s="374"/>
      <c r="L73" s="374"/>
      <c r="M73" s="374"/>
    </row>
    <row r="74" spans="1:13" ht="14" x14ac:dyDescent="0.3">
      <c r="A74" s="151">
        <f>IF(C74&lt;&gt;"",COUNTA($C$12:C74),"")</f>
        <v>58</v>
      </c>
      <c r="B74" s="151"/>
      <c r="C74" s="293" t="str">
        <f>'Bill_Cam G0'!C50</f>
        <v>Basic Service Charge</v>
      </c>
      <c r="D74" s="293"/>
      <c r="E74" s="483"/>
      <c r="G74" s="308">
        <v>0.11403000000000001</v>
      </c>
      <c r="I74" s="308">
        <v>0.13185000000000002</v>
      </c>
      <c r="J74" s="354">
        <f t="shared" si="31"/>
        <v>1.7820000000000016E-2</v>
      </c>
      <c r="K74" s="374"/>
      <c r="L74" s="374"/>
      <c r="M74" s="374"/>
    </row>
    <row r="75" spans="1:13" ht="14" x14ac:dyDescent="0.3">
      <c r="A75" s="151" t="str">
        <f>IF(C75&lt;&gt;"",COUNTA($C$12:C75),"")</f>
        <v/>
      </c>
      <c r="B75" s="151"/>
      <c r="E75" s="374"/>
      <c r="G75" s="374"/>
      <c r="I75" s="374"/>
      <c r="J75" s="374"/>
      <c r="K75" s="374"/>
      <c r="L75" s="374"/>
      <c r="M75" s="374"/>
    </row>
    <row r="76" spans="1:13" ht="14" x14ac:dyDescent="0.3">
      <c r="A76" s="151"/>
      <c r="B76" s="151"/>
      <c r="E76" s="374"/>
      <c r="G76" s="374"/>
      <c r="I76" s="374"/>
      <c r="J76" s="374"/>
      <c r="K76" s="374"/>
      <c r="L76" s="374"/>
      <c r="M76" s="374"/>
    </row>
    <row r="77" spans="1:13" ht="14" x14ac:dyDescent="0.3">
      <c r="A77" s="151"/>
      <c r="B77" s="151"/>
      <c r="C77" s="293" t="s">
        <v>592</v>
      </c>
      <c r="E77" s="374"/>
      <c r="G77" s="374">
        <f>G52+G54</f>
        <v>12.41</v>
      </c>
      <c r="I77" s="374">
        <f>I52+I54</f>
        <v>11.04</v>
      </c>
      <c r="J77" s="421">
        <f>I77-G77</f>
        <v>-1.370000000000001</v>
      </c>
      <c r="K77" s="374"/>
      <c r="L77" s="374"/>
      <c r="M77" s="374"/>
    </row>
    <row r="78" spans="1:13" ht="14" x14ac:dyDescent="0.3">
      <c r="A78" s="151"/>
      <c r="B78" s="151"/>
      <c r="C78" s="293" t="s">
        <v>570</v>
      </c>
      <c r="E78" s="374"/>
      <c r="G78" s="374">
        <f>G53+G54</f>
        <v>15.66</v>
      </c>
      <c r="I78" s="374">
        <f>I53+I54</f>
        <v>14.4</v>
      </c>
      <c r="J78" s="421">
        <f>I78-G78</f>
        <v>-1.2599999999999998</v>
      </c>
      <c r="K78" s="374"/>
      <c r="L78" s="374"/>
      <c r="M78" s="374"/>
    </row>
    <row r="79" spans="1:13" ht="14" x14ac:dyDescent="0.3">
      <c r="A79" s="151"/>
      <c r="B79" s="151"/>
      <c r="C79" s="369" t="str">
        <f>'Bill_Cam G0'!C53</f>
        <v>Total Energy</v>
      </c>
      <c r="E79" s="374"/>
      <c r="G79" s="403">
        <f>SUM(G55:G70,G71:G73)</f>
        <v>3.3040000000000007E-2</v>
      </c>
      <c r="I79" s="403">
        <f>SUM(I55:I70,I71:I73)</f>
        <v>3.3959999999999997E-2</v>
      </c>
      <c r="J79" s="354">
        <f>I79-G79</f>
        <v>9.1999999999999027E-4</v>
      </c>
      <c r="K79" s="374"/>
      <c r="L79" s="374"/>
      <c r="M79" s="374"/>
    </row>
    <row r="80" spans="1:13" ht="14" x14ac:dyDescent="0.3">
      <c r="C80" s="369" t="str">
        <f>'Bill_Cam G0'!C54</f>
        <v>Total Basic Service</v>
      </c>
      <c r="E80" s="374"/>
      <c r="G80" s="403">
        <f>G74</f>
        <v>0.11403000000000001</v>
      </c>
      <c r="I80" s="403">
        <f>I74</f>
        <v>0.13185000000000002</v>
      </c>
      <c r="J80" s="354">
        <f>I80-G80</f>
        <v>1.7820000000000016E-2</v>
      </c>
      <c r="K80" s="374"/>
      <c r="L80" s="374"/>
      <c r="M80" s="374"/>
    </row>
    <row r="81" spans="5:13" ht="14" x14ac:dyDescent="0.3">
      <c r="E81" s="374"/>
      <c r="F81" s="374"/>
      <c r="G81" s="374"/>
      <c r="H81" s="374"/>
      <c r="I81" s="374"/>
      <c r="J81" s="374"/>
      <c r="K81" s="374"/>
      <c r="L81" s="374"/>
      <c r="M81" s="374"/>
    </row>
    <row r="82" spans="5:13" ht="14" x14ac:dyDescent="0.3">
      <c r="E82" s="374"/>
      <c r="F82" s="374"/>
      <c r="G82" s="374"/>
      <c r="H82" s="374"/>
      <c r="I82" s="374"/>
      <c r="J82" s="374"/>
      <c r="K82" s="374"/>
      <c r="L82" s="374"/>
      <c r="M82" s="374"/>
    </row>
    <row r="83" spans="5:13" ht="14" x14ac:dyDescent="0.3">
      <c r="E83" s="374"/>
      <c r="F83" s="374"/>
      <c r="G83" s="374"/>
      <c r="H83" s="374"/>
      <c r="I83" s="374"/>
      <c r="J83" s="374"/>
      <c r="K83" s="374"/>
      <c r="L83" s="374"/>
      <c r="M83" s="374"/>
    </row>
    <row r="84" spans="5:13" ht="14" x14ac:dyDescent="0.3">
      <c r="E84" s="374"/>
      <c r="F84" s="374"/>
      <c r="G84" s="374"/>
      <c r="H84" s="374"/>
      <c r="I84" s="374"/>
      <c r="J84" s="374"/>
      <c r="K84" s="374"/>
      <c r="L84" s="374"/>
      <c r="M84" s="374"/>
    </row>
    <row r="85" spans="5:13" ht="14" x14ac:dyDescent="0.3">
      <c r="E85" s="374"/>
      <c r="F85" s="374"/>
      <c r="G85" s="374"/>
      <c r="H85" s="374"/>
      <c r="I85" s="374"/>
      <c r="J85" s="374"/>
      <c r="K85" s="374"/>
      <c r="L85" s="374"/>
      <c r="M85" s="374"/>
    </row>
    <row r="86" spans="5:13" ht="14" x14ac:dyDescent="0.3">
      <c r="E86" s="374"/>
      <c r="F86" s="374"/>
      <c r="G86" s="374"/>
      <c r="H86" s="374"/>
      <c r="I86" s="374"/>
      <c r="J86" s="374"/>
      <c r="K86" s="374"/>
      <c r="L86" s="374"/>
      <c r="M86" s="374"/>
    </row>
    <row r="87" spans="5:13" ht="14" x14ac:dyDescent="0.3">
      <c r="E87" s="374"/>
      <c r="F87" s="374"/>
      <c r="G87" s="374"/>
      <c r="H87" s="374"/>
      <c r="I87" s="374"/>
      <c r="J87" s="374"/>
      <c r="K87" s="374"/>
      <c r="L87" s="374"/>
      <c r="M87" s="374"/>
    </row>
    <row r="88" spans="5:13" ht="14" x14ac:dyDescent="0.3">
      <c r="E88" s="374"/>
      <c r="F88" s="374"/>
      <c r="G88" s="374"/>
      <c r="H88" s="374"/>
      <c r="I88" s="374"/>
      <c r="J88" s="374"/>
      <c r="K88" s="374"/>
      <c r="L88" s="374"/>
      <c r="M88" s="374"/>
    </row>
    <row r="89" spans="5:13" ht="14" x14ac:dyDescent="0.3">
      <c r="E89" s="374"/>
      <c r="F89" s="374"/>
      <c r="G89" s="374"/>
      <c r="H89" s="374"/>
      <c r="I89" s="374"/>
      <c r="J89" s="374"/>
      <c r="K89" s="374"/>
      <c r="L89" s="374"/>
      <c r="M89" s="374"/>
    </row>
    <row r="90" spans="5:13" ht="14" x14ac:dyDescent="0.3">
      <c r="E90" s="374"/>
      <c r="F90" s="374"/>
      <c r="G90" s="374"/>
      <c r="H90" s="374"/>
      <c r="I90" s="374"/>
      <c r="J90" s="374"/>
      <c r="K90" s="374"/>
      <c r="L90" s="374"/>
      <c r="M90" s="374"/>
    </row>
    <row r="91" spans="5:13" ht="14" x14ac:dyDescent="0.3">
      <c r="E91" s="374"/>
      <c r="F91" s="374"/>
      <c r="G91" s="374"/>
      <c r="H91" s="374"/>
      <c r="I91" s="374"/>
      <c r="J91" s="374"/>
      <c r="K91" s="374"/>
      <c r="L91" s="374"/>
      <c r="M91" s="374"/>
    </row>
    <row r="92" spans="5:13" ht="14" x14ac:dyDescent="0.3">
      <c r="E92" s="374"/>
      <c r="F92" s="374"/>
      <c r="G92" s="374"/>
      <c r="H92" s="374"/>
      <c r="I92" s="374"/>
      <c r="J92" s="374"/>
      <c r="K92" s="374"/>
      <c r="L92" s="374"/>
      <c r="M92" s="374"/>
    </row>
    <row r="93" spans="5:13" ht="14" x14ac:dyDescent="0.3">
      <c r="E93" s="374"/>
      <c r="F93" s="374"/>
      <c r="G93" s="374"/>
      <c r="H93" s="374"/>
      <c r="I93" s="374"/>
      <c r="J93" s="374"/>
      <c r="K93" s="374"/>
      <c r="L93" s="374"/>
      <c r="M93" s="374"/>
    </row>
  </sheetData>
  <mergeCells count="8">
    <mergeCell ref="E12:G12"/>
    <mergeCell ref="I12:K12"/>
    <mergeCell ref="M12:N12"/>
    <mergeCell ref="A4:N4"/>
    <mergeCell ref="A5:N5"/>
    <mergeCell ref="A6:N6"/>
    <mergeCell ref="A8:N8"/>
    <mergeCell ref="A9:N9"/>
  </mergeCells>
  <pageMargins left="0.7" right="0.7" top="0.75" bottom="0.75" header="0.3" footer="0.3"/>
  <pageSetup scale="64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7D058-439A-4607-B7F2-058AFC21FB13}">
  <sheetPr>
    <tabColor theme="3" tint="0.59999389629810485"/>
    <pageSetUpPr fitToPage="1"/>
  </sheetPr>
  <dimension ref="A4:AB129"/>
  <sheetViews>
    <sheetView zoomScaleNormal="100" workbookViewId="0"/>
  </sheetViews>
  <sheetFormatPr defaultRowHeight="12.5" x14ac:dyDescent="0.25"/>
  <cols>
    <col min="1" max="1" width="3.81640625" customWidth="1"/>
    <col min="2" max="2" width="4.453125" bestFit="1" customWidth="1"/>
    <col min="3" max="3" width="9.26953125" bestFit="1" customWidth="1"/>
    <col min="4" max="4" width="10.7265625" customWidth="1"/>
    <col min="5" max="7" width="14.7265625" customWidth="1"/>
    <col min="8" max="8" width="1.7265625" customWidth="1"/>
    <col min="9" max="11" width="14.7265625" customWidth="1"/>
    <col min="12" max="12" width="1.7265625" customWidth="1"/>
    <col min="13" max="13" width="12.54296875" bestFit="1" customWidth="1"/>
    <col min="14" max="14" width="11.7265625" customWidth="1"/>
    <col min="15" max="15" width="10.81640625" bestFit="1" customWidth="1"/>
    <col min="16" max="16" width="11.1796875" bestFit="1" customWidth="1"/>
    <col min="17" max="18" width="12.54296875" bestFit="1" customWidth="1"/>
    <col min="19" max="20" width="13" bestFit="1" customWidth="1"/>
    <col min="22" max="22" width="10.81640625" bestFit="1" customWidth="1"/>
    <col min="23" max="23" width="11.1796875" bestFit="1" customWidth="1"/>
    <col min="24" max="24" width="12" bestFit="1" customWidth="1"/>
    <col min="25" max="25" width="12.54296875" bestFit="1" customWidth="1"/>
    <col min="26" max="27" width="13" bestFit="1" customWidth="1"/>
    <col min="28" max="28" width="8.453125" bestFit="1" customWidth="1"/>
  </cols>
  <sheetData>
    <row r="4" spans="1:28" ht="14" x14ac:dyDescent="0.3">
      <c r="A4" s="764" t="str">
        <f>'Bill_Cam G1'!A4:M4</f>
        <v>Eastern Massachusetts</v>
      </c>
      <c r="B4" s="764"/>
      <c r="C4" s="764"/>
      <c r="D4" s="764"/>
      <c r="E4" s="764"/>
      <c r="F4" s="764"/>
      <c r="G4" s="764"/>
      <c r="H4" s="764"/>
      <c r="I4" s="764"/>
      <c r="J4" s="764"/>
      <c r="K4" s="764"/>
      <c r="L4" s="764"/>
      <c r="M4" s="764"/>
      <c r="N4" s="764"/>
    </row>
    <row r="5" spans="1:28" ht="14" x14ac:dyDescent="0.3">
      <c r="A5" s="764" t="str">
        <f>+'Bill_Cam G0'!A5</f>
        <v>Calculation of Monthly Typical Bill</v>
      </c>
      <c r="B5" s="764"/>
      <c r="C5" s="764"/>
      <c r="D5" s="764"/>
      <c r="E5" s="764"/>
      <c r="F5" s="764"/>
      <c r="G5" s="764"/>
      <c r="H5" s="764"/>
      <c r="I5" s="764"/>
      <c r="J5" s="764"/>
      <c r="K5" s="764"/>
      <c r="L5" s="764"/>
      <c r="M5" s="764"/>
      <c r="N5" s="764"/>
    </row>
    <row r="6" spans="1:28" ht="14" x14ac:dyDescent="0.3">
      <c r="A6" s="764" t="str">
        <f>+'Bill_Cam G0'!A6</f>
        <v>Proposed January 1, 2019</v>
      </c>
      <c r="B6" s="764"/>
      <c r="C6" s="764"/>
      <c r="D6" s="764"/>
      <c r="E6" s="764"/>
      <c r="F6" s="764"/>
      <c r="G6" s="764"/>
      <c r="H6" s="764"/>
      <c r="I6" s="764"/>
      <c r="J6" s="764"/>
      <c r="K6" s="764"/>
      <c r="L6" s="764"/>
      <c r="M6" s="764"/>
      <c r="N6" s="764"/>
    </row>
    <row r="7" spans="1:28" ht="14" x14ac:dyDescent="0.3">
      <c r="A7" s="487"/>
      <c r="B7" s="487"/>
      <c r="C7" s="293"/>
      <c r="D7" s="293"/>
      <c r="E7" s="468"/>
      <c r="F7" s="243"/>
      <c r="G7" s="469"/>
      <c r="H7" s="293"/>
      <c r="I7" s="369"/>
      <c r="J7" s="369"/>
      <c r="K7" s="369"/>
      <c r="L7" s="369"/>
      <c r="M7" s="369"/>
    </row>
    <row r="8" spans="1:28" ht="14" x14ac:dyDescent="0.3">
      <c r="A8" s="764" t="str">
        <f>+'Bill_Cam G0'!A8</f>
        <v>Cambridge Service Area</v>
      </c>
      <c r="B8" s="764"/>
      <c r="C8" s="764"/>
      <c r="D8" s="764"/>
      <c r="E8" s="764"/>
      <c r="F8" s="764"/>
      <c r="G8" s="764"/>
      <c r="H8" s="764"/>
      <c r="I8" s="764"/>
      <c r="J8" s="764"/>
      <c r="K8" s="764"/>
      <c r="L8" s="764"/>
      <c r="M8" s="764"/>
      <c r="N8" s="764"/>
    </row>
    <row r="9" spans="1:28" ht="14" x14ac:dyDescent="0.3">
      <c r="A9" s="764" t="s">
        <v>432</v>
      </c>
      <c r="B9" s="764"/>
      <c r="C9" s="764"/>
      <c r="D9" s="764"/>
      <c r="E9" s="764"/>
      <c r="F9" s="764"/>
      <c r="G9" s="764"/>
      <c r="H9" s="764"/>
      <c r="I9" s="764"/>
      <c r="J9" s="764"/>
      <c r="K9" s="764"/>
      <c r="L9" s="764"/>
      <c r="M9" s="764"/>
      <c r="N9" s="764"/>
    </row>
    <row r="10" spans="1:28" ht="14" x14ac:dyDescent="0.3">
      <c r="A10" s="366"/>
      <c r="B10" s="366"/>
      <c r="C10" s="293"/>
      <c r="D10" s="293"/>
      <c r="E10" s="293"/>
      <c r="F10" s="293"/>
      <c r="G10" s="368"/>
      <c r="H10" s="293"/>
    </row>
    <row r="11" spans="1:28" ht="14" x14ac:dyDescent="0.3">
      <c r="A11" s="151"/>
      <c r="B11" s="151"/>
      <c r="C11" s="293"/>
      <c r="D11" s="293"/>
      <c r="E11" s="293"/>
      <c r="F11" s="293"/>
      <c r="G11" s="368"/>
      <c r="H11" s="293"/>
    </row>
    <row r="12" spans="1:28" ht="14" x14ac:dyDescent="0.3">
      <c r="A12" s="151">
        <f>IF(C12&lt;&gt;"",COUNTA($C$12:C12),"")</f>
        <v>1</v>
      </c>
      <c r="B12" s="151"/>
      <c r="C12" s="366" t="s">
        <v>528</v>
      </c>
      <c r="D12" s="366" t="s">
        <v>528</v>
      </c>
      <c r="E12" s="760" t="str">
        <f>+'Bill_Cam G0'!D12</f>
        <v>Current Monthly Bill</v>
      </c>
      <c r="F12" s="760"/>
      <c r="G12" s="760"/>
      <c r="H12" s="293"/>
      <c r="I12" s="760" t="str">
        <f>+'Bill_Cam G0'!H12</f>
        <v>Proposed Monthly Bill</v>
      </c>
      <c r="J12" s="760"/>
      <c r="K12" s="760"/>
      <c r="M12" s="760" t="s">
        <v>550</v>
      </c>
      <c r="N12" s="760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  <c r="AA12" s="335"/>
      <c r="AB12" s="335"/>
    </row>
    <row r="13" spans="1:28" ht="14" x14ac:dyDescent="0.3">
      <c r="A13" s="151">
        <f>IF(C13&lt;&gt;"",COUNTA($C$12:C13),"")</f>
        <v>2</v>
      </c>
      <c r="B13" s="151"/>
      <c r="C13" s="408" t="s">
        <v>593</v>
      </c>
      <c r="D13" s="370" t="s">
        <v>551</v>
      </c>
      <c r="E13" s="370" t="s">
        <v>552</v>
      </c>
      <c r="F13" s="370" t="s">
        <v>553</v>
      </c>
      <c r="G13" s="370" t="s">
        <v>47</v>
      </c>
      <c r="H13" s="293"/>
      <c r="I13" s="370" t="s">
        <v>552</v>
      </c>
      <c r="J13" s="370" t="s">
        <v>553</v>
      </c>
      <c r="K13" s="370" t="s">
        <v>47</v>
      </c>
      <c r="M13" s="370" t="s">
        <v>65</v>
      </c>
      <c r="N13" s="370" t="s">
        <v>325</v>
      </c>
      <c r="O13" s="335"/>
      <c r="P13" s="335"/>
      <c r="Q13" s="335"/>
      <c r="R13" s="335"/>
      <c r="S13" s="335"/>
      <c r="T13" s="335"/>
      <c r="U13" s="335"/>
      <c r="V13" s="335"/>
      <c r="W13" s="335"/>
      <c r="X13" s="335"/>
      <c r="Y13" s="335"/>
      <c r="Z13" s="335"/>
      <c r="AA13" s="335"/>
      <c r="AB13" s="335"/>
    </row>
    <row r="14" spans="1:28" ht="14" x14ac:dyDescent="0.3">
      <c r="A14" s="151" t="str">
        <f>IF(C14&lt;&gt;"",COUNTA($C$12:C14),"")</f>
        <v/>
      </c>
      <c r="B14" s="151"/>
      <c r="C14" s="408"/>
      <c r="D14" s="370"/>
      <c r="E14" s="370"/>
      <c r="F14" s="370"/>
      <c r="G14" s="370"/>
      <c r="H14" s="293"/>
      <c r="I14" s="370"/>
      <c r="J14" s="370"/>
      <c r="K14" s="370"/>
      <c r="M14" s="370"/>
      <c r="N14" s="376"/>
      <c r="O14" s="369"/>
      <c r="P14" s="369"/>
      <c r="Q14" s="369"/>
      <c r="R14" s="369"/>
      <c r="S14" s="369"/>
      <c r="T14" s="369"/>
      <c r="U14" s="369"/>
      <c r="V14" s="369"/>
      <c r="W14" s="369"/>
      <c r="X14" s="369"/>
      <c r="Y14" s="369"/>
      <c r="Z14" s="369"/>
      <c r="AA14" s="369"/>
      <c r="AB14" s="369"/>
    </row>
    <row r="15" spans="1:28" ht="14" x14ac:dyDescent="0.3">
      <c r="A15" s="151">
        <f>IF(C15&lt;&gt;"",COUNTA($C$12:C15),"")</f>
        <v>3</v>
      </c>
      <c r="B15" s="151"/>
      <c r="C15" s="405" t="s">
        <v>580</v>
      </c>
      <c r="D15" s="370"/>
      <c r="E15" s="370"/>
      <c r="F15" s="370"/>
      <c r="G15" s="370"/>
      <c r="H15" s="293"/>
      <c r="I15" s="370"/>
      <c r="J15" s="370"/>
      <c r="K15" s="370"/>
      <c r="M15" s="370"/>
      <c r="N15" s="376"/>
      <c r="O15" s="369"/>
      <c r="P15" s="369"/>
      <c r="Q15" s="369"/>
      <c r="R15" s="369"/>
      <c r="S15" s="369"/>
      <c r="T15" s="369"/>
      <c r="U15" s="369"/>
      <c r="V15" s="369"/>
      <c r="W15" s="369"/>
      <c r="X15" s="369"/>
      <c r="Y15" s="369"/>
      <c r="Z15" s="369"/>
      <c r="AA15" s="369"/>
      <c r="AB15" s="369"/>
    </row>
    <row r="16" spans="1:28" ht="14" x14ac:dyDescent="0.3">
      <c r="A16" s="151">
        <f>IF(C16&lt;&gt;"",COUNTA($C$12:C16),"")</f>
        <v>4</v>
      </c>
      <c r="B16" s="151"/>
      <c r="C16" s="371">
        <v>100</v>
      </c>
      <c r="D16" s="409">
        <f>+C16*350</f>
        <v>35000</v>
      </c>
      <c r="E16" s="372">
        <f t="shared" ref="E16:E23" si="0">ROUND($G$48+IF($C16&lt;=100,$C16*SUM($G$49,$G$51),($C16-100)*SUM($G$50,$G$52)+100*SUM($G$49,$G$51))+$D16*SUM($G$53:$G$68,$G$69:$G$71),2)</f>
        <v>2052.9</v>
      </c>
      <c r="F16" s="372">
        <f t="shared" ref="F16:F23" si="1">ROUND(G$72*D16,2)</f>
        <v>4641</v>
      </c>
      <c r="G16" s="372">
        <f t="shared" ref="G16:G23" si="2">SUM(E16:F16)</f>
        <v>6693.9</v>
      </c>
      <c r="H16" s="373"/>
      <c r="I16" s="372">
        <f t="shared" ref="I16:I23" si="3">ROUND($I$48+IF($C16&lt;=100,$C16*SUM($I$49,$I$51),($C16-100)*SUM($I$50,$I$52)+100*SUM($I$49,$I$51))+$D16*SUM($I$53:$I$68,$I$69:$I$71),2)</f>
        <v>1995.7</v>
      </c>
      <c r="J16" s="372">
        <f t="shared" ref="J16:J23" si="4">ROUND($I$72*$D16,2)</f>
        <v>6042.75</v>
      </c>
      <c r="K16" s="372">
        <f t="shared" ref="K16:K23" si="5">SUM(I16:J16)</f>
        <v>8038.45</v>
      </c>
      <c r="L16" s="374"/>
      <c r="M16" s="375">
        <f t="shared" ref="M16:M23" si="6">+K16-G16</f>
        <v>1344.5500000000002</v>
      </c>
      <c r="N16" s="376">
        <f t="shared" ref="N16:N33" si="7">+M16/G16</f>
        <v>0.2008619788165345</v>
      </c>
      <c r="O16" s="339"/>
      <c r="P16" s="339"/>
      <c r="Q16" s="339"/>
      <c r="R16" s="339"/>
      <c r="S16" s="339"/>
      <c r="T16" s="339"/>
      <c r="U16" s="339"/>
      <c r="V16" s="339"/>
      <c r="W16" s="339"/>
      <c r="X16" s="339"/>
      <c r="Y16" s="339"/>
      <c r="Z16" s="339"/>
      <c r="AA16" s="339"/>
      <c r="AB16" s="339"/>
    </row>
    <row r="17" spans="1:28" ht="14" x14ac:dyDescent="0.3">
      <c r="A17" s="151">
        <f>IF(C17&lt;&gt;"",COUNTA($C$12:C17),"")</f>
        <v>5</v>
      </c>
      <c r="B17" s="151"/>
      <c r="C17" s="371">
        <v>150</v>
      </c>
      <c r="D17" s="409">
        <f t="shared" ref="D17:D23" si="8">+C17*350</f>
        <v>52500</v>
      </c>
      <c r="E17" s="372">
        <f t="shared" si="0"/>
        <v>3364.35</v>
      </c>
      <c r="F17" s="372">
        <f t="shared" si="1"/>
        <v>6961.5</v>
      </c>
      <c r="G17" s="372">
        <f t="shared" si="2"/>
        <v>10325.85</v>
      </c>
      <c r="H17" s="373"/>
      <c r="I17" s="372">
        <f t="shared" si="3"/>
        <v>3234.55</v>
      </c>
      <c r="J17" s="372">
        <f t="shared" si="4"/>
        <v>9064.1299999999992</v>
      </c>
      <c r="K17" s="372">
        <f t="shared" si="5"/>
        <v>12298.68</v>
      </c>
      <c r="L17" s="374"/>
      <c r="M17" s="375">
        <f t="shared" si="6"/>
        <v>1972.83</v>
      </c>
      <c r="N17" s="376">
        <f t="shared" si="7"/>
        <v>0.1910573947907436</v>
      </c>
      <c r="O17" s="339"/>
      <c r="P17" s="339"/>
      <c r="Q17" s="339"/>
      <c r="R17" s="339"/>
      <c r="S17" s="339"/>
      <c r="T17" s="339"/>
      <c r="U17" s="322"/>
      <c r="V17" s="339"/>
      <c r="W17" s="339"/>
      <c r="X17" s="339"/>
      <c r="Y17" s="339"/>
      <c r="Z17" s="339"/>
      <c r="AA17" s="339"/>
      <c r="AB17" s="339"/>
    </row>
    <row r="18" spans="1:28" ht="14" x14ac:dyDescent="0.3">
      <c r="A18" s="151">
        <f>IF(C18&lt;&gt;"",COUNTA($C$12:C18),"")</f>
        <v>6</v>
      </c>
      <c r="B18" s="151"/>
      <c r="C18" s="371">
        <v>200</v>
      </c>
      <c r="D18" s="409">
        <f t="shared" si="8"/>
        <v>70000</v>
      </c>
      <c r="E18" s="372">
        <f t="shared" si="0"/>
        <v>4675.8</v>
      </c>
      <c r="F18" s="372">
        <f t="shared" si="1"/>
        <v>9282</v>
      </c>
      <c r="G18" s="372">
        <f t="shared" si="2"/>
        <v>13957.8</v>
      </c>
      <c r="H18" s="373"/>
      <c r="I18" s="372">
        <f t="shared" si="3"/>
        <v>4473.3999999999996</v>
      </c>
      <c r="J18" s="372">
        <f t="shared" si="4"/>
        <v>12085.5</v>
      </c>
      <c r="K18" s="372">
        <f t="shared" si="5"/>
        <v>16558.900000000001</v>
      </c>
      <c r="L18" s="374"/>
      <c r="M18" s="375">
        <f t="shared" si="6"/>
        <v>2601.1000000000022</v>
      </c>
      <c r="N18" s="376">
        <f t="shared" si="7"/>
        <v>0.18635458310048877</v>
      </c>
      <c r="O18" s="339"/>
      <c r="P18" s="339"/>
      <c r="Q18" s="339"/>
      <c r="R18" s="339"/>
      <c r="S18" s="339"/>
      <c r="T18" s="339"/>
      <c r="U18" s="322"/>
      <c r="V18" s="339"/>
      <c r="W18" s="339"/>
      <c r="X18" s="339"/>
      <c r="Y18" s="339"/>
      <c r="Z18" s="339"/>
      <c r="AA18" s="339"/>
      <c r="AB18" s="339"/>
    </row>
    <row r="19" spans="1:28" ht="14" x14ac:dyDescent="0.3">
      <c r="A19" s="151">
        <f>IF(C19&lt;&gt;"",COUNTA($C$12:C19),"")</f>
        <v>7</v>
      </c>
      <c r="B19" s="151"/>
      <c r="C19" s="371">
        <v>300</v>
      </c>
      <c r="D19" s="409">
        <f t="shared" si="8"/>
        <v>105000</v>
      </c>
      <c r="E19" s="372">
        <f t="shared" si="0"/>
        <v>7298.7</v>
      </c>
      <c r="F19" s="372">
        <f t="shared" si="1"/>
        <v>13923</v>
      </c>
      <c r="G19" s="372">
        <f t="shared" si="2"/>
        <v>21221.7</v>
      </c>
      <c r="H19" s="373"/>
      <c r="I19" s="372">
        <f t="shared" si="3"/>
        <v>6951.1</v>
      </c>
      <c r="J19" s="372">
        <f t="shared" si="4"/>
        <v>18128.25</v>
      </c>
      <c r="K19" s="372">
        <f t="shared" si="5"/>
        <v>25079.35</v>
      </c>
      <c r="L19" s="374"/>
      <c r="M19" s="375">
        <f t="shared" si="6"/>
        <v>3857.6499999999978</v>
      </c>
      <c r="N19" s="376">
        <f t="shared" si="7"/>
        <v>0.18177855685454028</v>
      </c>
      <c r="O19" s="339"/>
      <c r="P19" s="339"/>
      <c r="Q19" s="339"/>
      <c r="R19" s="339"/>
      <c r="S19" s="339"/>
      <c r="T19" s="339"/>
      <c r="U19" s="322"/>
      <c r="V19" s="339"/>
      <c r="W19" s="339"/>
      <c r="X19" s="339"/>
      <c r="Y19" s="339"/>
      <c r="Z19" s="339"/>
      <c r="AA19" s="339"/>
      <c r="AB19" s="339"/>
    </row>
    <row r="20" spans="1:28" ht="14" x14ac:dyDescent="0.3">
      <c r="A20" s="151">
        <f>IF(C20&lt;&gt;"",COUNTA($C$12:C20),"")</f>
        <v>8</v>
      </c>
      <c r="B20" s="151"/>
      <c r="C20" s="409">
        <v>500</v>
      </c>
      <c r="D20" s="409">
        <f t="shared" si="8"/>
        <v>175000</v>
      </c>
      <c r="E20" s="372">
        <f t="shared" si="0"/>
        <v>12544.5</v>
      </c>
      <c r="F20" s="372">
        <f t="shared" si="1"/>
        <v>23205</v>
      </c>
      <c r="G20" s="372">
        <f t="shared" si="2"/>
        <v>35749.5</v>
      </c>
      <c r="H20" s="373"/>
      <c r="I20" s="372">
        <f t="shared" si="3"/>
        <v>11906.5</v>
      </c>
      <c r="J20" s="372">
        <f t="shared" si="4"/>
        <v>30213.75</v>
      </c>
      <c r="K20" s="372">
        <f t="shared" si="5"/>
        <v>42120.25</v>
      </c>
      <c r="L20" s="374"/>
      <c r="M20" s="375">
        <f t="shared" si="6"/>
        <v>6370.75</v>
      </c>
      <c r="N20" s="376">
        <f t="shared" si="7"/>
        <v>0.17820528958446971</v>
      </c>
      <c r="O20" s="339"/>
      <c r="P20" s="339"/>
      <c r="Q20" s="339"/>
      <c r="R20" s="339"/>
      <c r="S20" s="339"/>
      <c r="T20" s="339"/>
      <c r="U20" s="322"/>
      <c r="V20" s="339"/>
      <c r="W20" s="339"/>
      <c r="X20" s="339"/>
      <c r="Y20" s="339"/>
      <c r="Z20" s="339"/>
      <c r="AA20" s="339"/>
      <c r="AB20" s="339"/>
    </row>
    <row r="21" spans="1:28" ht="14" x14ac:dyDescent="0.3">
      <c r="A21" s="151">
        <f>IF(C21&lt;&gt;"",COUNTA($C$12:C21),"")</f>
        <v>9</v>
      </c>
      <c r="B21" s="151"/>
      <c r="C21" s="409">
        <v>750</v>
      </c>
      <c r="D21" s="409">
        <f t="shared" si="8"/>
        <v>262500</v>
      </c>
      <c r="E21" s="372">
        <f t="shared" si="0"/>
        <v>19101.75</v>
      </c>
      <c r="F21" s="372">
        <f t="shared" si="1"/>
        <v>34807.5</v>
      </c>
      <c r="G21" s="372">
        <f t="shared" si="2"/>
        <v>53909.25</v>
      </c>
      <c r="H21" s="373"/>
      <c r="I21" s="372">
        <f t="shared" si="3"/>
        <v>18100.75</v>
      </c>
      <c r="J21" s="372">
        <f t="shared" si="4"/>
        <v>45320.63</v>
      </c>
      <c r="K21" s="372">
        <f t="shared" si="5"/>
        <v>63421.38</v>
      </c>
      <c r="L21" s="374"/>
      <c r="M21" s="375">
        <f t="shared" si="6"/>
        <v>9512.1299999999974</v>
      </c>
      <c r="N21" s="376">
        <f t="shared" si="7"/>
        <v>0.17644708468398276</v>
      </c>
      <c r="O21" s="339"/>
      <c r="P21" s="339"/>
      <c r="Q21" s="339"/>
      <c r="R21" s="339"/>
      <c r="S21" s="339"/>
      <c r="T21" s="339"/>
      <c r="U21" s="322"/>
      <c r="V21" s="339"/>
      <c r="W21" s="339"/>
      <c r="X21" s="339"/>
      <c r="Y21" s="339"/>
      <c r="Z21" s="339"/>
      <c r="AA21" s="339"/>
      <c r="AB21" s="339"/>
    </row>
    <row r="22" spans="1:28" ht="14" x14ac:dyDescent="0.3">
      <c r="A22" s="151">
        <f>IF(C22&lt;&gt;"",COUNTA($C$12:C22),"")</f>
        <v>10</v>
      </c>
      <c r="B22" s="151"/>
      <c r="C22" s="409">
        <v>1000</v>
      </c>
      <c r="D22" s="409">
        <f t="shared" si="8"/>
        <v>350000</v>
      </c>
      <c r="E22" s="372">
        <f t="shared" si="0"/>
        <v>25659</v>
      </c>
      <c r="F22" s="372">
        <f t="shared" si="1"/>
        <v>46410</v>
      </c>
      <c r="G22" s="372">
        <f t="shared" si="2"/>
        <v>72069</v>
      </c>
      <c r="H22" s="373"/>
      <c r="I22" s="372">
        <f t="shared" si="3"/>
        <v>24295</v>
      </c>
      <c r="J22" s="372">
        <f t="shared" si="4"/>
        <v>60427.5</v>
      </c>
      <c r="K22" s="372">
        <f t="shared" si="5"/>
        <v>84722.5</v>
      </c>
      <c r="L22" s="374"/>
      <c r="M22" s="375">
        <f t="shared" si="6"/>
        <v>12653.5</v>
      </c>
      <c r="N22" s="376">
        <f t="shared" si="7"/>
        <v>0.17557479637569551</v>
      </c>
      <c r="O22" s="339"/>
      <c r="P22" s="339"/>
      <c r="Q22" s="339"/>
      <c r="R22" s="339"/>
      <c r="S22" s="339"/>
      <c r="T22" s="339"/>
      <c r="U22" s="322"/>
      <c r="V22" s="339"/>
      <c r="W22" s="339"/>
      <c r="X22" s="339"/>
      <c r="Y22" s="339"/>
      <c r="Z22" s="339"/>
      <c r="AA22" s="339"/>
      <c r="AB22" s="339"/>
    </row>
    <row r="23" spans="1:28" ht="14" x14ac:dyDescent="0.3">
      <c r="A23" s="151">
        <f>IF(C23&lt;&gt;"",COUNTA($C$12:C23),"")</f>
        <v>11</v>
      </c>
      <c r="B23" s="151" t="s">
        <v>554</v>
      </c>
      <c r="C23" s="409">
        <v>227</v>
      </c>
      <c r="D23" s="409">
        <f t="shared" si="8"/>
        <v>79450</v>
      </c>
      <c r="E23" s="372">
        <f t="shared" si="0"/>
        <v>5383.98</v>
      </c>
      <c r="F23" s="372">
        <f t="shared" si="1"/>
        <v>10535.07</v>
      </c>
      <c r="G23" s="372">
        <f t="shared" si="2"/>
        <v>15919.05</v>
      </c>
      <c r="H23" s="373"/>
      <c r="I23" s="372">
        <f t="shared" si="3"/>
        <v>5142.38</v>
      </c>
      <c r="J23" s="372">
        <f t="shared" si="4"/>
        <v>13717.04</v>
      </c>
      <c r="K23" s="372">
        <f t="shared" si="5"/>
        <v>18859.420000000002</v>
      </c>
      <c r="L23" s="374"/>
      <c r="M23" s="375">
        <f t="shared" si="6"/>
        <v>2940.3700000000026</v>
      </c>
      <c r="N23" s="376">
        <f t="shared" si="7"/>
        <v>0.18470763016637318</v>
      </c>
      <c r="O23" s="339"/>
      <c r="P23" s="339"/>
      <c r="Q23" s="339"/>
      <c r="R23" s="339"/>
      <c r="S23" s="339"/>
      <c r="T23" s="339"/>
      <c r="U23" s="322"/>
      <c r="V23" s="339"/>
      <c r="W23" s="339"/>
      <c r="X23" s="339"/>
      <c r="Y23" s="339"/>
      <c r="Z23" s="339"/>
      <c r="AA23" s="339"/>
      <c r="AB23" s="339"/>
    </row>
    <row r="24" spans="1:28" ht="14" x14ac:dyDescent="0.3">
      <c r="A24" s="151" t="str">
        <f>IF(C24&lt;&gt;"",COUNTA($C$12:C24),"")</f>
        <v/>
      </c>
      <c r="B24" s="151"/>
      <c r="C24" s="365"/>
      <c r="D24" s="493"/>
      <c r="E24" s="489"/>
      <c r="F24" s="489"/>
      <c r="G24" s="489"/>
      <c r="H24" s="494"/>
      <c r="I24" s="489"/>
      <c r="J24" s="489"/>
      <c r="K24" s="495"/>
      <c r="L24" s="495"/>
      <c r="M24" s="495"/>
      <c r="N24" s="376"/>
      <c r="O24" s="339"/>
      <c r="P24" s="339"/>
      <c r="Q24" s="339"/>
      <c r="R24" s="339"/>
      <c r="S24" s="339"/>
      <c r="T24" s="339"/>
      <c r="U24" s="322"/>
      <c r="V24" s="339"/>
      <c r="W24" s="339"/>
      <c r="X24" s="339"/>
      <c r="Y24" s="339"/>
      <c r="Z24" s="339"/>
      <c r="AA24" s="339"/>
      <c r="AB24" s="339"/>
    </row>
    <row r="25" spans="1:28" ht="14" x14ac:dyDescent="0.3">
      <c r="A25" s="151">
        <f>IF(C25&lt;&gt;"",COUNTA($C$12:C25),"")</f>
        <v>12</v>
      </c>
      <c r="B25" s="151"/>
      <c r="C25" s="496" t="s">
        <v>578</v>
      </c>
      <c r="D25" s="293"/>
      <c r="E25" s="448"/>
      <c r="F25" s="448"/>
      <c r="G25" s="448"/>
      <c r="H25" s="448"/>
      <c r="I25" s="374"/>
      <c r="J25" s="374"/>
      <c r="K25" s="374"/>
      <c r="L25" s="374"/>
      <c r="M25" s="374"/>
      <c r="U25" s="499"/>
    </row>
    <row r="26" spans="1:28" ht="14" x14ac:dyDescent="0.3">
      <c r="A26" s="151">
        <f>IF(C26&lt;&gt;"",COUNTA($C$12:C26),"")</f>
        <v>13</v>
      </c>
      <c r="B26" s="151"/>
      <c r="C26" s="409">
        <f t="shared" ref="C26:C32" si="9">+C16</f>
        <v>100</v>
      </c>
      <c r="D26" s="409">
        <f>+C26*450</f>
        <v>45000</v>
      </c>
      <c r="E26" s="372">
        <f t="shared" ref="E26:E33" si="10">ROUND($G$48+IF($C26&lt;=100,$C26*SUM($G$49,$G$51),($C26-100)*SUM($G$50,$G$52)+100*SUM($G$49,$G$51))+$D26*SUM($G$53:$G$68,$G$69:$G$71),2)</f>
        <v>2340.3000000000002</v>
      </c>
      <c r="F26" s="372">
        <f t="shared" ref="F26:F33" si="11">ROUND(G$72*D26,2)</f>
        <v>5967</v>
      </c>
      <c r="G26" s="372">
        <f t="shared" ref="G26:G33" si="12">SUM(E26:F26)</f>
        <v>8307.2999999999993</v>
      </c>
      <c r="H26" s="373"/>
      <c r="I26" s="372">
        <f t="shared" ref="I26:I33" si="13">ROUND($I$48+IF($C26&lt;=100,$C26*SUM($I$49,$I$51),($C26-100)*SUM($I$50,$I$52)+100*SUM($I$49,$I$51))+$D26*SUM($I$53:$I$68,$I$69:$I$71),2)</f>
        <v>2287.9</v>
      </c>
      <c r="J26" s="372">
        <f t="shared" ref="J26:J33" si="14">ROUND($I$72*$D26,2)</f>
        <v>7769.25</v>
      </c>
      <c r="K26" s="372">
        <f t="shared" ref="K26:K33" si="15">SUM(I26:J26)</f>
        <v>10057.15</v>
      </c>
      <c r="L26" s="374"/>
      <c r="M26" s="375">
        <f t="shared" ref="M26:M33" si="16">+K26-G26</f>
        <v>1749.8500000000004</v>
      </c>
      <c r="N26" s="376">
        <f t="shared" si="7"/>
        <v>0.21064003948334603</v>
      </c>
      <c r="O26" s="339"/>
      <c r="P26" s="339"/>
      <c r="Q26" s="339"/>
      <c r="R26" s="339"/>
      <c r="S26" s="339"/>
      <c r="T26" s="339"/>
      <c r="U26" s="322"/>
      <c r="V26" s="339"/>
      <c r="W26" s="339"/>
      <c r="X26" s="339"/>
      <c r="Y26" s="339"/>
      <c r="Z26" s="339"/>
      <c r="AA26" s="339"/>
      <c r="AB26" s="339"/>
    </row>
    <row r="27" spans="1:28" ht="14" x14ac:dyDescent="0.3">
      <c r="A27" s="151">
        <f>IF(C27&lt;&gt;"",COUNTA($C$12:C27),"")</f>
        <v>14</v>
      </c>
      <c r="B27" s="151"/>
      <c r="C27" s="409">
        <f t="shared" si="9"/>
        <v>150</v>
      </c>
      <c r="D27" s="409">
        <f t="shared" ref="D27:D33" si="17">+C27*450</f>
        <v>67500</v>
      </c>
      <c r="E27" s="372">
        <f t="shared" si="10"/>
        <v>3795.45</v>
      </c>
      <c r="F27" s="372">
        <f t="shared" si="11"/>
        <v>8950.5</v>
      </c>
      <c r="G27" s="372">
        <f t="shared" si="12"/>
        <v>12745.95</v>
      </c>
      <c r="H27" s="373"/>
      <c r="I27" s="372">
        <f t="shared" si="13"/>
        <v>3672.85</v>
      </c>
      <c r="J27" s="372">
        <f t="shared" si="14"/>
        <v>11653.88</v>
      </c>
      <c r="K27" s="372">
        <f t="shared" si="15"/>
        <v>15326.73</v>
      </c>
      <c r="L27" s="374"/>
      <c r="M27" s="375">
        <f t="shared" si="16"/>
        <v>2580.7799999999988</v>
      </c>
      <c r="N27" s="376">
        <f t="shared" si="7"/>
        <v>0.20247843432619764</v>
      </c>
      <c r="O27" s="339"/>
      <c r="P27" s="339"/>
      <c r="Q27" s="339"/>
      <c r="R27" s="339"/>
      <c r="S27" s="339"/>
      <c r="T27" s="339"/>
      <c r="U27" s="322"/>
      <c r="V27" s="339"/>
      <c r="W27" s="339"/>
      <c r="X27" s="339"/>
      <c r="Y27" s="339"/>
      <c r="Z27" s="339"/>
      <c r="AA27" s="339"/>
      <c r="AB27" s="339"/>
    </row>
    <row r="28" spans="1:28" ht="14" x14ac:dyDescent="0.3">
      <c r="A28" s="151">
        <f>IF(C28&lt;&gt;"",COUNTA($C$12:C28),"")</f>
        <v>15</v>
      </c>
      <c r="B28" s="151"/>
      <c r="C28" s="409">
        <f t="shared" si="9"/>
        <v>200</v>
      </c>
      <c r="D28" s="409">
        <f t="shared" si="17"/>
        <v>90000</v>
      </c>
      <c r="E28" s="372">
        <f t="shared" si="10"/>
        <v>5250.6</v>
      </c>
      <c r="F28" s="372">
        <f t="shared" si="11"/>
        <v>11934</v>
      </c>
      <c r="G28" s="372">
        <f t="shared" si="12"/>
        <v>17184.599999999999</v>
      </c>
      <c r="H28" s="373"/>
      <c r="I28" s="372">
        <f t="shared" si="13"/>
        <v>5057.8</v>
      </c>
      <c r="J28" s="372">
        <f t="shared" si="14"/>
        <v>15538.5</v>
      </c>
      <c r="K28" s="372">
        <f t="shared" si="15"/>
        <v>20596.3</v>
      </c>
      <c r="L28" s="374"/>
      <c r="M28" s="375">
        <f t="shared" si="16"/>
        <v>3411.7000000000007</v>
      </c>
      <c r="N28" s="376">
        <f t="shared" si="7"/>
        <v>0.19853240692247717</v>
      </c>
      <c r="O28" s="339"/>
      <c r="P28" s="339"/>
      <c r="Q28" s="339"/>
      <c r="R28" s="339"/>
      <c r="S28" s="339"/>
      <c r="T28" s="339"/>
      <c r="U28" s="322"/>
      <c r="V28" s="339"/>
      <c r="W28" s="339"/>
      <c r="X28" s="339"/>
      <c r="Y28" s="339"/>
      <c r="Z28" s="339"/>
      <c r="AA28" s="339"/>
      <c r="AB28" s="339"/>
    </row>
    <row r="29" spans="1:28" ht="14" x14ac:dyDescent="0.3">
      <c r="A29" s="151">
        <f>IF(C29&lt;&gt;"",COUNTA($C$12:C29),"")</f>
        <v>16</v>
      </c>
      <c r="B29" s="151"/>
      <c r="C29" s="409">
        <f t="shared" si="9"/>
        <v>300</v>
      </c>
      <c r="D29" s="409">
        <f t="shared" si="17"/>
        <v>135000</v>
      </c>
      <c r="E29" s="372">
        <f t="shared" si="10"/>
        <v>8160.9</v>
      </c>
      <c r="F29" s="372">
        <f t="shared" si="11"/>
        <v>17901</v>
      </c>
      <c r="G29" s="372">
        <f t="shared" si="12"/>
        <v>26061.9</v>
      </c>
      <c r="H29" s="373"/>
      <c r="I29" s="372">
        <f t="shared" si="13"/>
        <v>7827.7</v>
      </c>
      <c r="J29" s="372">
        <f t="shared" si="14"/>
        <v>23307.75</v>
      </c>
      <c r="K29" s="372">
        <f t="shared" si="15"/>
        <v>31135.45</v>
      </c>
      <c r="L29" s="374"/>
      <c r="M29" s="375">
        <f t="shared" si="16"/>
        <v>5073.5499999999993</v>
      </c>
      <c r="N29" s="376">
        <f t="shared" si="7"/>
        <v>0.19467306681400814</v>
      </c>
      <c r="O29" s="339"/>
      <c r="P29" s="339"/>
      <c r="Q29" s="339"/>
      <c r="R29" s="339"/>
      <c r="S29" s="339"/>
      <c r="T29" s="339"/>
      <c r="U29" s="322"/>
      <c r="V29" s="339"/>
      <c r="W29" s="339"/>
      <c r="X29" s="339"/>
      <c r="Y29" s="339"/>
      <c r="Z29" s="339"/>
      <c r="AA29" s="339"/>
      <c r="AB29" s="339"/>
    </row>
    <row r="30" spans="1:28" ht="14" x14ac:dyDescent="0.3">
      <c r="A30" s="151">
        <f>IF(C30&lt;&gt;"",COUNTA($C$12:C30),"")</f>
        <v>17</v>
      </c>
      <c r="B30" s="151"/>
      <c r="C30" s="409">
        <f t="shared" si="9"/>
        <v>500</v>
      </c>
      <c r="D30" s="409">
        <f t="shared" si="17"/>
        <v>225000</v>
      </c>
      <c r="E30" s="372">
        <f t="shared" si="10"/>
        <v>13981.5</v>
      </c>
      <c r="F30" s="380">
        <f t="shared" si="11"/>
        <v>29835</v>
      </c>
      <c r="G30" s="380">
        <f t="shared" si="12"/>
        <v>43816.5</v>
      </c>
      <c r="H30" s="381"/>
      <c r="I30" s="372">
        <f t="shared" si="13"/>
        <v>13367.5</v>
      </c>
      <c r="J30" s="380">
        <f t="shared" si="14"/>
        <v>38846.25</v>
      </c>
      <c r="K30" s="380">
        <f t="shared" si="15"/>
        <v>52213.75</v>
      </c>
      <c r="L30" s="382"/>
      <c r="M30" s="375">
        <f t="shared" si="16"/>
        <v>8397.25</v>
      </c>
      <c r="N30" s="376">
        <f t="shared" si="7"/>
        <v>0.19164584117855146</v>
      </c>
      <c r="O30" s="339"/>
      <c r="P30" s="339"/>
      <c r="Q30" s="339"/>
      <c r="R30" s="339"/>
      <c r="S30" s="339"/>
      <c r="T30" s="339"/>
      <c r="U30" s="322"/>
      <c r="V30" s="339"/>
      <c r="W30" s="339"/>
      <c r="X30" s="339"/>
      <c r="Y30" s="339"/>
      <c r="Z30" s="339"/>
      <c r="AA30" s="339"/>
      <c r="AB30" s="339"/>
    </row>
    <row r="31" spans="1:28" ht="14" x14ac:dyDescent="0.3">
      <c r="A31" s="151">
        <f>IF(C31&lt;&gt;"",COUNTA($C$12:C31),"")</f>
        <v>18</v>
      </c>
      <c r="B31" s="151"/>
      <c r="C31" s="409">
        <f t="shared" si="9"/>
        <v>750</v>
      </c>
      <c r="D31" s="409">
        <f t="shared" si="17"/>
        <v>337500</v>
      </c>
      <c r="E31" s="372">
        <f t="shared" si="10"/>
        <v>21257.25</v>
      </c>
      <c r="F31" s="380">
        <f t="shared" si="11"/>
        <v>44752.5</v>
      </c>
      <c r="G31" s="380">
        <f t="shared" si="12"/>
        <v>66009.75</v>
      </c>
      <c r="H31" s="381"/>
      <c r="I31" s="372">
        <f t="shared" si="13"/>
        <v>20292.25</v>
      </c>
      <c r="J31" s="380">
        <f t="shared" si="14"/>
        <v>58269.38</v>
      </c>
      <c r="K31" s="380">
        <f t="shared" si="15"/>
        <v>78561.63</v>
      </c>
      <c r="L31" s="382"/>
      <c r="M31" s="375">
        <f t="shared" si="16"/>
        <v>12551.880000000005</v>
      </c>
      <c r="N31" s="376">
        <f t="shared" si="7"/>
        <v>0.19015190937702392</v>
      </c>
      <c r="O31" s="339"/>
      <c r="P31" s="339"/>
      <c r="Q31" s="339"/>
      <c r="R31" s="339"/>
      <c r="S31" s="339"/>
      <c r="T31" s="339"/>
      <c r="U31" s="322"/>
      <c r="V31" s="339"/>
      <c r="W31" s="339"/>
      <c r="X31" s="339"/>
      <c r="Y31" s="339"/>
      <c r="Z31" s="339"/>
      <c r="AA31" s="339"/>
      <c r="AB31" s="339"/>
    </row>
    <row r="32" spans="1:28" ht="14" x14ac:dyDescent="0.3">
      <c r="A32" s="151">
        <f>IF(C32&lt;&gt;"",COUNTA($C$12:C32),"")</f>
        <v>19</v>
      </c>
      <c r="B32" s="151"/>
      <c r="C32" s="409">
        <f t="shared" si="9"/>
        <v>1000</v>
      </c>
      <c r="D32" s="409">
        <f t="shared" si="17"/>
        <v>450000</v>
      </c>
      <c r="E32" s="372">
        <f t="shared" si="10"/>
        <v>28533</v>
      </c>
      <c r="F32" s="380">
        <f t="shared" si="11"/>
        <v>59670</v>
      </c>
      <c r="G32" s="380">
        <f t="shared" si="12"/>
        <v>88203</v>
      </c>
      <c r="H32" s="381"/>
      <c r="I32" s="372">
        <f t="shared" si="13"/>
        <v>27217</v>
      </c>
      <c r="J32" s="380">
        <f t="shared" si="14"/>
        <v>77692.5</v>
      </c>
      <c r="K32" s="380">
        <f t="shared" si="15"/>
        <v>104909.5</v>
      </c>
      <c r="L32" s="382"/>
      <c r="M32" s="375">
        <f t="shared" si="16"/>
        <v>16706.5</v>
      </c>
      <c r="N32" s="376">
        <f t="shared" si="7"/>
        <v>0.18940965726789338</v>
      </c>
      <c r="O32" s="339"/>
      <c r="P32" s="339"/>
      <c r="Q32" s="339"/>
      <c r="R32" s="339"/>
      <c r="S32" s="339"/>
      <c r="T32" s="339"/>
      <c r="U32" s="322"/>
      <c r="V32" s="339"/>
      <c r="W32" s="339"/>
      <c r="X32" s="339"/>
      <c r="Y32" s="339"/>
      <c r="Z32" s="339"/>
      <c r="AA32" s="339"/>
      <c r="AB32" s="339"/>
    </row>
    <row r="33" spans="1:28" ht="14" x14ac:dyDescent="0.3">
      <c r="A33" s="151">
        <f>IF(C33&lt;&gt;"",COUNTA($C$12:C33),"")</f>
        <v>20</v>
      </c>
      <c r="B33" s="151" t="s">
        <v>554</v>
      </c>
      <c r="C33" s="409">
        <v>312</v>
      </c>
      <c r="D33" s="409">
        <f t="shared" si="17"/>
        <v>140400</v>
      </c>
      <c r="E33" s="372">
        <f t="shared" si="10"/>
        <v>8510.14</v>
      </c>
      <c r="F33" s="380">
        <f t="shared" si="11"/>
        <v>18617.04</v>
      </c>
      <c r="G33" s="380">
        <f t="shared" si="12"/>
        <v>27127.18</v>
      </c>
      <c r="H33" s="381"/>
      <c r="I33" s="372">
        <f t="shared" si="13"/>
        <v>8160.09</v>
      </c>
      <c r="J33" s="380">
        <f t="shared" si="14"/>
        <v>24240.06</v>
      </c>
      <c r="K33" s="380">
        <f t="shared" si="15"/>
        <v>32400.15</v>
      </c>
      <c r="L33" s="382"/>
      <c r="M33" s="375">
        <f t="shared" si="16"/>
        <v>5272.9700000000012</v>
      </c>
      <c r="N33" s="376">
        <f t="shared" si="7"/>
        <v>0.19437958534576763</v>
      </c>
      <c r="O33" s="339"/>
      <c r="P33" s="339"/>
      <c r="Q33" s="339"/>
      <c r="R33" s="339"/>
      <c r="S33" s="339"/>
      <c r="T33" s="339"/>
      <c r="U33" s="322"/>
      <c r="V33" s="339"/>
      <c r="W33" s="339"/>
      <c r="X33" s="339"/>
      <c r="Y33" s="339"/>
      <c r="Z33" s="339"/>
      <c r="AA33" s="339"/>
      <c r="AB33" s="339"/>
    </row>
    <row r="34" spans="1:28" ht="14" x14ac:dyDescent="0.3">
      <c r="A34" s="151" t="str">
        <f>IF(C34&lt;&gt;"",COUNTA($C$12:C34),"")</f>
        <v/>
      </c>
      <c r="B34" s="151"/>
      <c r="C34" s="410"/>
      <c r="D34" s="411"/>
      <c r="E34" s="412"/>
      <c r="F34" s="412"/>
      <c r="G34" s="412"/>
      <c r="H34" s="500"/>
      <c r="I34" s="412"/>
      <c r="J34" s="412"/>
      <c r="K34" s="413"/>
      <c r="L34" s="413"/>
      <c r="M34" s="495"/>
      <c r="O34" s="339"/>
      <c r="P34" s="339"/>
      <c r="Q34" s="339"/>
      <c r="R34" s="339"/>
      <c r="S34" s="339"/>
      <c r="T34" s="339"/>
      <c r="U34" s="322"/>
      <c r="V34" s="339"/>
      <c r="W34" s="339"/>
      <c r="X34" s="339"/>
      <c r="Y34" s="339"/>
      <c r="Z34" s="339"/>
      <c r="AA34" s="339"/>
      <c r="AB34" s="339"/>
    </row>
    <row r="35" spans="1:28" ht="14" x14ac:dyDescent="0.3">
      <c r="A35" s="151">
        <f>IF(C35&lt;&gt;"",COUNTA($C$12:C35),"")</f>
        <v>21</v>
      </c>
      <c r="B35" s="151"/>
      <c r="C35" s="496" t="s">
        <v>583</v>
      </c>
      <c r="D35" s="433"/>
      <c r="E35" s="386"/>
      <c r="F35" s="386"/>
      <c r="G35" s="386"/>
      <c r="H35" s="386"/>
      <c r="I35" s="382"/>
      <c r="J35" s="382"/>
      <c r="K35" s="382"/>
      <c r="L35" s="382"/>
      <c r="M35" s="374"/>
      <c r="O35" s="339"/>
      <c r="P35" s="339"/>
      <c r="Q35" s="339"/>
      <c r="R35" s="339"/>
      <c r="S35" s="339"/>
      <c r="T35" s="339"/>
      <c r="U35" s="322"/>
      <c r="V35" s="339"/>
      <c r="W35" s="339"/>
      <c r="X35" s="339"/>
      <c r="Y35" s="339"/>
      <c r="Z35" s="339"/>
      <c r="AA35" s="339"/>
      <c r="AB35" s="339"/>
    </row>
    <row r="36" spans="1:28" ht="14" x14ac:dyDescent="0.3">
      <c r="A36" s="151">
        <f>IF(C36&lt;&gt;"",COUNTA($C$12:C36),"")</f>
        <v>22</v>
      </c>
      <c r="B36" s="151"/>
      <c r="C36" s="409">
        <f t="shared" ref="C36:C42" si="18">+C26</f>
        <v>100</v>
      </c>
      <c r="D36" s="409">
        <f>+C36*550</f>
        <v>55000</v>
      </c>
      <c r="E36" s="372">
        <f t="shared" ref="E36:E43" si="19">ROUND($G$48+IF($C36&lt;=100,$C36*SUM($G$49,$G$51),($C36-100)*SUM($G$50,$G$52)+100*SUM($G$49,$G$51))+$D36*SUM($G$53:$G$68,$G$69:$G$71),2)</f>
        <v>2627.7</v>
      </c>
      <c r="F36" s="380">
        <f>ROUND($G$72*$D36,2)</f>
        <v>7293</v>
      </c>
      <c r="G36" s="380">
        <f t="shared" ref="G36:G43" si="20">SUM(E36:F36)</f>
        <v>9920.7000000000007</v>
      </c>
      <c r="H36" s="381"/>
      <c r="I36" s="372">
        <f t="shared" ref="I36:I43" si="21">ROUND($I$48+IF($C36&lt;=100,$C36*SUM($I$49,$I$51),($C36-100)*SUM($I$50,$I$52)+100*SUM($I$49,$I$51))+$D36*SUM($I$53:$I$68,$I$69:$I$71),2)</f>
        <v>2580.1</v>
      </c>
      <c r="J36" s="380">
        <f t="shared" ref="J36:J43" si="22">ROUND($I$72*$D36,2)</f>
        <v>9495.75</v>
      </c>
      <c r="K36" s="380">
        <f t="shared" ref="K36:K43" si="23">SUM(I36:J36)</f>
        <v>12075.85</v>
      </c>
      <c r="L36" s="382"/>
      <c r="M36" s="375">
        <f t="shared" ref="M36:M43" si="24">+K36-G36</f>
        <v>2155.1499999999996</v>
      </c>
      <c r="N36" s="376">
        <f t="shared" ref="N36:N43" si="25">+M36/G36</f>
        <v>0.21723769492072126</v>
      </c>
      <c r="O36" s="339"/>
      <c r="P36" s="339"/>
      <c r="Q36" s="339"/>
      <c r="R36" s="339"/>
      <c r="S36" s="339"/>
      <c r="T36" s="339"/>
      <c r="U36" s="322"/>
      <c r="V36" s="339"/>
      <c r="W36" s="339"/>
      <c r="X36" s="339"/>
      <c r="Y36" s="339"/>
      <c r="Z36" s="339"/>
      <c r="AA36" s="339"/>
      <c r="AB36" s="339"/>
    </row>
    <row r="37" spans="1:28" ht="14" x14ac:dyDescent="0.3">
      <c r="A37" s="151">
        <f>IF(C37&lt;&gt;"",COUNTA($C$12:C37),"")</f>
        <v>23</v>
      </c>
      <c r="B37" s="151"/>
      <c r="C37" s="409">
        <f t="shared" si="18"/>
        <v>150</v>
      </c>
      <c r="D37" s="409">
        <f t="shared" ref="D37:D43" si="26">+C37*550</f>
        <v>82500</v>
      </c>
      <c r="E37" s="372">
        <f t="shared" si="19"/>
        <v>4226.55</v>
      </c>
      <c r="F37" s="380">
        <f t="shared" ref="F37:F43" si="27">ROUND(G$72*D37,2)</f>
        <v>10939.5</v>
      </c>
      <c r="G37" s="380">
        <f t="shared" si="20"/>
        <v>15166.05</v>
      </c>
      <c r="H37" s="381"/>
      <c r="I37" s="372">
        <f t="shared" si="21"/>
        <v>4111.1499999999996</v>
      </c>
      <c r="J37" s="380">
        <f t="shared" si="22"/>
        <v>14243.63</v>
      </c>
      <c r="K37" s="380">
        <f t="shared" si="23"/>
        <v>18354.78</v>
      </c>
      <c r="L37" s="382"/>
      <c r="M37" s="375">
        <f t="shared" si="24"/>
        <v>3188.7299999999996</v>
      </c>
      <c r="N37" s="376">
        <f t="shared" si="25"/>
        <v>0.2102544828745784</v>
      </c>
      <c r="O37" s="339"/>
      <c r="P37" s="339"/>
      <c r="Q37" s="339"/>
      <c r="R37" s="339"/>
      <c r="S37" s="339"/>
      <c r="T37" s="339"/>
      <c r="U37" s="322"/>
      <c r="V37" s="339"/>
      <c r="W37" s="339"/>
      <c r="X37" s="339"/>
      <c r="Y37" s="339"/>
      <c r="Z37" s="339"/>
      <c r="AA37" s="339"/>
      <c r="AB37" s="339"/>
    </row>
    <row r="38" spans="1:28" ht="14" x14ac:dyDescent="0.3">
      <c r="A38" s="151">
        <f>IF(C38&lt;&gt;"",COUNTA($C$12:C38),"")</f>
        <v>24</v>
      </c>
      <c r="B38" s="151"/>
      <c r="C38" s="409">
        <f t="shared" si="18"/>
        <v>200</v>
      </c>
      <c r="D38" s="409">
        <f t="shared" si="26"/>
        <v>110000</v>
      </c>
      <c r="E38" s="372">
        <f t="shared" si="19"/>
        <v>5825.4</v>
      </c>
      <c r="F38" s="372">
        <f t="shared" si="27"/>
        <v>14586</v>
      </c>
      <c r="G38" s="372">
        <f t="shared" si="20"/>
        <v>20411.400000000001</v>
      </c>
      <c r="H38" s="373"/>
      <c r="I38" s="372">
        <f t="shared" si="21"/>
        <v>5642.2</v>
      </c>
      <c r="J38" s="372">
        <f t="shared" si="22"/>
        <v>18991.5</v>
      </c>
      <c r="K38" s="372">
        <f t="shared" si="23"/>
        <v>24633.7</v>
      </c>
      <c r="L38" s="374"/>
      <c r="M38" s="375">
        <f t="shared" si="24"/>
        <v>4222.2999999999993</v>
      </c>
      <c r="N38" s="376">
        <f t="shared" si="25"/>
        <v>0.2068598920211254</v>
      </c>
      <c r="O38" s="339"/>
      <c r="P38" s="339"/>
      <c r="Q38" s="339"/>
      <c r="R38" s="339"/>
      <c r="S38" s="339"/>
      <c r="T38" s="339"/>
      <c r="U38" s="322"/>
      <c r="V38" s="339"/>
      <c r="W38" s="339"/>
      <c r="X38" s="339"/>
      <c r="Y38" s="339"/>
      <c r="Z38" s="339"/>
      <c r="AA38" s="339"/>
      <c r="AB38" s="339"/>
    </row>
    <row r="39" spans="1:28" ht="14" x14ac:dyDescent="0.3">
      <c r="A39" s="151">
        <f>IF(C39&lt;&gt;"",COUNTA($C$12:C39),"")</f>
        <v>25</v>
      </c>
      <c r="B39" s="151"/>
      <c r="C39" s="409">
        <f t="shared" si="18"/>
        <v>300</v>
      </c>
      <c r="D39" s="409">
        <f t="shared" si="26"/>
        <v>165000</v>
      </c>
      <c r="E39" s="372">
        <f t="shared" si="19"/>
        <v>9023.1</v>
      </c>
      <c r="F39" s="372">
        <f t="shared" si="27"/>
        <v>21879</v>
      </c>
      <c r="G39" s="372">
        <f t="shared" si="20"/>
        <v>30902.1</v>
      </c>
      <c r="H39" s="373"/>
      <c r="I39" s="372">
        <f t="shared" si="21"/>
        <v>8704.2999999999993</v>
      </c>
      <c r="J39" s="372">
        <f t="shared" si="22"/>
        <v>28487.25</v>
      </c>
      <c r="K39" s="372">
        <f t="shared" si="23"/>
        <v>37191.550000000003</v>
      </c>
      <c r="L39" s="374"/>
      <c r="M39" s="375">
        <f t="shared" si="24"/>
        <v>6289.4500000000044</v>
      </c>
      <c r="N39" s="376">
        <f t="shared" si="25"/>
        <v>0.20352823918115612</v>
      </c>
      <c r="O39" s="339"/>
      <c r="P39" s="339"/>
      <c r="Q39" s="339"/>
      <c r="R39" s="339"/>
      <c r="S39" s="339"/>
      <c r="T39" s="339"/>
      <c r="U39" s="322"/>
      <c r="V39" s="339"/>
      <c r="W39" s="339"/>
      <c r="X39" s="339"/>
      <c r="Y39" s="339"/>
      <c r="Z39" s="339"/>
      <c r="AA39" s="339"/>
      <c r="AB39" s="339"/>
    </row>
    <row r="40" spans="1:28" ht="14" x14ac:dyDescent="0.3">
      <c r="A40" s="151">
        <f>IF(C40&lt;&gt;"",COUNTA($C$12:C40),"")</f>
        <v>26</v>
      </c>
      <c r="B40" s="151"/>
      <c r="C40" s="409">
        <f t="shared" si="18"/>
        <v>500</v>
      </c>
      <c r="D40" s="409">
        <f t="shared" si="26"/>
        <v>275000</v>
      </c>
      <c r="E40" s="372">
        <f t="shared" si="19"/>
        <v>15418.5</v>
      </c>
      <c r="F40" s="372">
        <f t="shared" si="27"/>
        <v>36465</v>
      </c>
      <c r="G40" s="372">
        <f t="shared" si="20"/>
        <v>51883.5</v>
      </c>
      <c r="H40" s="373"/>
      <c r="I40" s="372">
        <f t="shared" si="21"/>
        <v>14828.5</v>
      </c>
      <c r="J40" s="372">
        <f t="shared" si="22"/>
        <v>47478.75</v>
      </c>
      <c r="K40" s="372">
        <f t="shared" si="23"/>
        <v>62307.25</v>
      </c>
      <c r="L40" s="374"/>
      <c r="M40" s="375">
        <f t="shared" si="24"/>
        <v>10423.75</v>
      </c>
      <c r="N40" s="376">
        <f t="shared" si="25"/>
        <v>0.20090683936126127</v>
      </c>
      <c r="O40" s="339"/>
      <c r="P40" s="339"/>
      <c r="Q40" s="339"/>
      <c r="R40" s="339"/>
      <c r="S40" s="339"/>
      <c r="T40" s="339"/>
      <c r="U40" s="322"/>
      <c r="V40" s="339"/>
      <c r="W40" s="339"/>
      <c r="X40" s="339"/>
      <c r="Y40" s="339"/>
      <c r="Z40" s="339"/>
      <c r="AA40" s="339"/>
      <c r="AB40" s="339"/>
    </row>
    <row r="41" spans="1:28" ht="14" x14ac:dyDescent="0.3">
      <c r="A41" s="151">
        <f>IF(C41&lt;&gt;"",COUNTA($C$12:C41),"")</f>
        <v>27</v>
      </c>
      <c r="B41" s="151"/>
      <c r="C41" s="409">
        <f t="shared" si="18"/>
        <v>750</v>
      </c>
      <c r="D41" s="409">
        <f t="shared" si="26"/>
        <v>412500</v>
      </c>
      <c r="E41" s="372">
        <f t="shared" si="19"/>
        <v>23412.75</v>
      </c>
      <c r="F41" s="372">
        <f t="shared" si="27"/>
        <v>54697.5</v>
      </c>
      <c r="G41" s="372">
        <f t="shared" si="20"/>
        <v>78110.25</v>
      </c>
      <c r="H41" s="373"/>
      <c r="I41" s="372">
        <f t="shared" si="21"/>
        <v>22483.75</v>
      </c>
      <c r="J41" s="372">
        <f t="shared" si="22"/>
        <v>71218.13</v>
      </c>
      <c r="K41" s="372">
        <f t="shared" si="23"/>
        <v>93701.88</v>
      </c>
      <c r="L41" s="374"/>
      <c r="M41" s="375">
        <f t="shared" si="24"/>
        <v>15591.630000000005</v>
      </c>
      <c r="N41" s="376">
        <f t="shared" si="25"/>
        <v>0.19961055047192916</v>
      </c>
      <c r="O41" s="339"/>
      <c r="P41" s="339"/>
      <c r="Q41" s="339"/>
      <c r="R41" s="339"/>
      <c r="S41" s="339"/>
      <c r="T41" s="339"/>
      <c r="U41" s="322"/>
      <c r="V41" s="339"/>
      <c r="W41" s="339"/>
      <c r="X41" s="339"/>
      <c r="Y41" s="339"/>
      <c r="Z41" s="339"/>
      <c r="AA41" s="339"/>
      <c r="AB41" s="339"/>
    </row>
    <row r="42" spans="1:28" ht="14" x14ac:dyDescent="0.3">
      <c r="A42" s="151">
        <f>IF(C42&lt;&gt;"",COUNTA($C$12:C42),"")</f>
        <v>28</v>
      </c>
      <c r="B42" s="151"/>
      <c r="C42" s="409">
        <f t="shared" si="18"/>
        <v>1000</v>
      </c>
      <c r="D42" s="409">
        <f t="shared" si="26"/>
        <v>550000</v>
      </c>
      <c r="E42" s="372">
        <f t="shared" si="19"/>
        <v>31407</v>
      </c>
      <c r="F42" s="372">
        <f t="shared" si="27"/>
        <v>72930</v>
      </c>
      <c r="G42" s="372">
        <f t="shared" si="20"/>
        <v>104337</v>
      </c>
      <c r="H42" s="373"/>
      <c r="I42" s="372">
        <f t="shared" si="21"/>
        <v>30139</v>
      </c>
      <c r="J42" s="372">
        <f t="shared" si="22"/>
        <v>94957.5</v>
      </c>
      <c r="K42" s="372">
        <f t="shared" si="23"/>
        <v>125096.5</v>
      </c>
      <c r="L42" s="374"/>
      <c r="M42" s="375">
        <f t="shared" si="24"/>
        <v>20759.5</v>
      </c>
      <c r="N42" s="376">
        <f t="shared" si="25"/>
        <v>0.19896585104037878</v>
      </c>
      <c r="O42" s="339"/>
      <c r="P42" s="339"/>
      <c r="Q42" s="339"/>
      <c r="R42" s="339"/>
      <c r="S42" s="339"/>
      <c r="T42" s="339"/>
      <c r="U42" s="322"/>
      <c r="V42" s="339"/>
      <c r="W42" s="339"/>
      <c r="X42" s="339"/>
      <c r="Y42" s="339"/>
      <c r="Z42" s="339"/>
      <c r="AA42" s="339"/>
      <c r="AB42" s="339"/>
    </row>
    <row r="43" spans="1:28" ht="14" x14ac:dyDescent="0.3">
      <c r="A43" s="151">
        <f>IF(C43&lt;&gt;"",COUNTA($C$12:C43),"")</f>
        <v>29</v>
      </c>
      <c r="B43" s="151" t="s">
        <v>554</v>
      </c>
      <c r="C43" s="409">
        <v>283</v>
      </c>
      <c r="D43" s="409">
        <f t="shared" si="26"/>
        <v>155650</v>
      </c>
      <c r="E43" s="372">
        <f t="shared" si="19"/>
        <v>8479.49</v>
      </c>
      <c r="F43" s="372">
        <f t="shared" si="27"/>
        <v>20639.189999999999</v>
      </c>
      <c r="G43" s="372">
        <f t="shared" si="20"/>
        <v>29118.68</v>
      </c>
      <c r="H43" s="373"/>
      <c r="I43" s="372">
        <f t="shared" si="21"/>
        <v>8183.74</v>
      </c>
      <c r="J43" s="372">
        <f t="shared" si="22"/>
        <v>26872.97</v>
      </c>
      <c r="K43" s="372">
        <f t="shared" si="23"/>
        <v>35056.71</v>
      </c>
      <c r="L43" s="374"/>
      <c r="M43" s="375">
        <f t="shared" si="24"/>
        <v>5938.0299999999988</v>
      </c>
      <c r="N43" s="376">
        <f t="shared" si="25"/>
        <v>0.20392510924258925</v>
      </c>
      <c r="O43" s="339"/>
      <c r="P43" s="339"/>
      <c r="Q43" s="339"/>
      <c r="R43" s="339"/>
      <c r="S43" s="339"/>
      <c r="T43" s="339"/>
      <c r="U43" s="322"/>
      <c r="V43" s="339"/>
      <c r="W43" s="339"/>
      <c r="X43" s="339"/>
      <c r="Y43" s="339"/>
      <c r="Z43" s="339"/>
      <c r="AA43" s="339"/>
      <c r="AB43" s="339"/>
    </row>
    <row r="44" spans="1:28" ht="14" x14ac:dyDescent="0.3">
      <c r="A44" s="151" t="str">
        <f>IF(C44&lt;&gt;"",COUNTA($C$12:C44),"")</f>
        <v/>
      </c>
      <c r="B44" s="151"/>
      <c r="C44" s="501"/>
      <c r="D44" s="488"/>
      <c r="E44" s="489"/>
      <c r="F44" s="489"/>
      <c r="G44" s="489"/>
      <c r="H44" s="494"/>
      <c r="I44" s="489"/>
      <c r="J44" s="489"/>
      <c r="K44" s="495"/>
      <c r="L44" s="495"/>
      <c r="M44" s="495"/>
      <c r="O44" s="339"/>
      <c r="P44" s="339"/>
      <c r="Q44" s="339"/>
      <c r="R44" s="339"/>
      <c r="S44" s="339"/>
      <c r="T44" s="339"/>
      <c r="U44" s="322"/>
      <c r="V44" s="339"/>
      <c r="W44" s="339"/>
      <c r="X44" s="339"/>
      <c r="Y44" s="339"/>
      <c r="Z44" s="339"/>
      <c r="AA44" s="339"/>
      <c r="AB44" s="339"/>
    </row>
    <row r="45" spans="1:28" ht="14" x14ac:dyDescent="0.3">
      <c r="A45" s="151" t="str">
        <f>IF(C45&lt;&gt;"",COUNTA($C$12:C45),"")</f>
        <v/>
      </c>
      <c r="B45" s="151"/>
      <c r="C45" s="501"/>
      <c r="D45" s="488"/>
      <c r="E45" s="489"/>
      <c r="F45" s="489"/>
      <c r="G45" s="489"/>
      <c r="H45" s="494"/>
      <c r="I45" s="489"/>
      <c r="J45" s="489"/>
      <c r="K45" s="495"/>
      <c r="L45" s="495"/>
      <c r="M45" s="495"/>
      <c r="O45" s="339"/>
      <c r="P45" s="339"/>
      <c r="Q45" s="339"/>
      <c r="R45" s="339"/>
      <c r="S45" s="339"/>
      <c r="T45" s="339"/>
      <c r="U45" s="322"/>
      <c r="V45" s="339"/>
      <c r="W45" s="339"/>
      <c r="X45" s="339"/>
      <c r="Y45" s="339"/>
      <c r="Z45" s="339"/>
      <c r="AA45" s="339"/>
      <c r="AB45" s="339"/>
    </row>
    <row r="46" spans="1:28" ht="14" x14ac:dyDescent="0.3">
      <c r="A46" s="151">
        <f>IF(C46&lt;&gt;"",COUNTA($C$12:C46),"")</f>
        <v>30</v>
      </c>
      <c r="B46" s="151"/>
      <c r="C46" s="293" t="s">
        <v>46</v>
      </c>
      <c r="D46" s="293"/>
      <c r="E46" s="448"/>
      <c r="F46" s="374"/>
      <c r="G46" s="480" t="str">
        <f>'Bill_Cam G1'!G49</f>
        <v>Current</v>
      </c>
      <c r="H46" s="480"/>
      <c r="I46" s="480" t="str">
        <f>'Bill_Cam G1'!I49</f>
        <v>Proposed</v>
      </c>
      <c r="J46" s="481"/>
      <c r="K46" s="502"/>
      <c r="L46" s="374"/>
      <c r="M46" s="374"/>
      <c r="O46" s="339"/>
      <c r="P46" s="339"/>
      <c r="Q46" s="339"/>
      <c r="R46" s="339"/>
      <c r="S46" s="339"/>
      <c r="T46" s="339"/>
      <c r="U46" s="322"/>
      <c r="V46" s="339"/>
      <c r="W46" s="339"/>
      <c r="X46" s="339"/>
      <c r="Y46" s="339"/>
      <c r="Z46" s="339"/>
      <c r="AA46" s="339"/>
      <c r="AB46" s="339"/>
    </row>
    <row r="47" spans="1:28" ht="17" x14ac:dyDescent="0.6">
      <c r="A47" s="151">
        <f>IF(C47&lt;&gt;"",COUNTA($C$12:C47),"")</f>
        <v>31</v>
      </c>
      <c r="B47" s="151"/>
      <c r="C47" s="274" t="s">
        <v>46</v>
      </c>
      <c r="D47" s="274"/>
      <c r="E47" s="448"/>
      <c r="F47" s="374"/>
      <c r="G47" s="482" t="str">
        <f>'Bill_Cam G1'!G50</f>
        <v>Rates</v>
      </c>
      <c r="H47" s="482"/>
      <c r="I47" s="482" t="str">
        <f>'Bill_Cam G1'!I50</f>
        <v>Rates</v>
      </c>
      <c r="J47" s="498" t="str">
        <f>'Bill_Cam G1'!J50</f>
        <v>Change</v>
      </c>
      <c r="K47" s="502"/>
      <c r="L47" s="374"/>
      <c r="M47" s="374"/>
    </row>
    <row r="48" spans="1:28" ht="14" x14ac:dyDescent="0.3">
      <c r="A48" s="151">
        <f>IF(C48&lt;&gt;"",COUNTA($C$12:C48),"")</f>
        <v>32</v>
      </c>
      <c r="B48" s="151"/>
      <c r="C48" s="293" t="s">
        <v>296</v>
      </c>
      <c r="D48" s="293"/>
      <c r="E48" s="483"/>
      <c r="F48" s="374"/>
      <c r="G48" s="454">
        <v>97</v>
      </c>
      <c r="H48" s="454"/>
      <c r="I48" s="454">
        <f>G48</f>
        <v>97</v>
      </c>
      <c r="J48" s="421">
        <f>I48-G48</f>
        <v>0</v>
      </c>
      <c r="K48" s="502"/>
      <c r="L48" s="374"/>
      <c r="M48" s="374"/>
    </row>
    <row r="49" spans="1:13" ht="14" x14ac:dyDescent="0.3">
      <c r="A49" s="151">
        <f>IF(C49&lt;&gt;"",COUNTA($C$12:C49),"")</f>
        <v>33</v>
      </c>
      <c r="B49" s="151"/>
      <c r="C49" s="232" t="s">
        <v>433</v>
      </c>
      <c r="D49" s="293"/>
      <c r="E49" s="483"/>
      <c r="F49" s="374"/>
      <c r="G49" s="454">
        <v>4.04</v>
      </c>
      <c r="H49" s="454"/>
      <c r="I49" s="454">
        <v>4.18</v>
      </c>
      <c r="J49" s="421">
        <f t="shared" ref="J49:J72" si="28">I49-G49</f>
        <v>0.13999999999999968</v>
      </c>
      <c r="K49" s="502"/>
      <c r="L49" s="374"/>
      <c r="M49" s="374"/>
    </row>
    <row r="50" spans="1:13" ht="14" x14ac:dyDescent="0.3">
      <c r="A50" s="151">
        <f>IF(C50&lt;&gt;"",COUNTA($C$12:C50),"")</f>
        <v>34</v>
      </c>
      <c r="B50" s="151"/>
      <c r="C50" s="232" t="s">
        <v>434</v>
      </c>
      <c r="D50" s="293"/>
      <c r="E50" s="483"/>
      <c r="F50" s="374"/>
      <c r="G50" s="454">
        <v>5.01</v>
      </c>
      <c r="H50" s="455"/>
      <c r="I50" s="454">
        <v>5.18</v>
      </c>
      <c r="J50" s="421">
        <f>I50-G50</f>
        <v>0.16999999999999993</v>
      </c>
      <c r="K50" s="502"/>
      <c r="L50" s="374"/>
      <c r="M50" s="374"/>
    </row>
    <row r="51" spans="1:13" ht="14" x14ac:dyDescent="0.3">
      <c r="A51" s="151">
        <f>IF(C51&lt;&gt;"",COUNTA($C$12:C51),"")</f>
        <v>35</v>
      </c>
      <c r="B51" s="151"/>
      <c r="C51" s="232" t="s">
        <v>435</v>
      </c>
      <c r="D51" s="293"/>
      <c r="E51" s="483"/>
      <c r="F51" s="374"/>
      <c r="G51" s="454">
        <v>5.46</v>
      </c>
      <c r="H51" s="448"/>
      <c r="I51" s="454">
        <v>4.58</v>
      </c>
      <c r="J51" s="421">
        <f>I51-G51</f>
        <v>-0.87999999999999989</v>
      </c>
      <c r="K51" s="502"/>
      <c r="L51" s="374"/>
      <c r="M51" s="374"/>
    </row>
    <row r="52" spans="1:13" ht="14" x14ac:dyDescent="0.3">
      <c r="A52" s="151">
        <f>IF(C52&lt;&gt;"",COUNTA($C$12:C52),"")</f>
        <v>36</v>
      </c>
      <c r="B52" s="151"/>
      <c r="C52" s="232" t="s">
        <v>436</v>
      </c>
      <c r="D52" s="293"/>
      <c r="E52" s="483"/>
      <c r="F52" s="374"/>
      <c r="G52" s="454">
        <v>11.16</v>
      </c>
      <c r="H52" s="448"/>
      <c r="I52" s="454">
        <v>9.3699999999999992</v>
      </c>
      <c r="J52" s="421">
        <f>I52-G52</f>
        <v>-1.7900000000000009</v>
      </c>
      <c r="K52" s="502"/>
      <c r="L52" s="374"/>
      <c r="M52" s="374"/>
    </row>
    <row r="53" spans="1:13" ht="14" x14ac:dyDescent="0.3">
      <c r="A53" s="151">
        <f>IF(C53&lt;&gt;"",COUNTA($C$12:C53),"")</f>
        <v>37</v>
      </c>
      <c r="B53" s="151"/>
      <c r="C53" s="293" t="s">
        <v>298</v>
      </c>
      <c r="D53" s="293"/>
      <c r="E53" s="483"/>
      <c r="F53" s="374"/>
      <c r="G53" s="308">
        <v>9.4900000000000002E-3</v>
      </c>
      <c r="H53" s="484"/>
      <c r="I53" s="308">
        <v>9.8200000000000006E-3</v>
      </c>
      <c r="J53" s="354">
        <f t="shared" si="28"/>
        <v>3.3000000000000043E-4</v>
      </c>
      <c r="K53" s="502"/>
      <c r="L53" s="374"/>
      <c r="M53" s="374"/>
    </row>
    <row r="54" spans="1:13" ht="14" x14ac:dyDescent="0.3">
      <c r="A54" s="151">
        <f>IF(C54&lt;&gt;"",COUNTA($C$12:C54),"")</f>
        <v>38</v>
      </c>
      <c r="B54" s="151"/>
      <c r="C54" s="293" t="str">
        <f>'Bill_Cam G1'!C56</f>
        <v>Revenue Decoupling</v>
      </c>
      <c r="D54" s="293"/>
      <c r="E54" s="483"/>
      <c r="F54" s="374"/>
      <c r="G54" s="308">
        <v>0</v>
      </c>
      <c r="H54" s="400"/>
      <c r="I54" s="277">
        <v>-2.2000000000000001E-4</v>
      </c>
      <c r="J54" s="354">
        <f t="shared" si="28"/>
        <v>-2.2000000000000001E-4</v>
      </c>
      <c r="K54" s="502"/>
      <c r="L54" s="374"/>
      <c r="M54" s="374"/>
    </row>
    <row r="55" spans="1:13" ht="14" x14ac:dyDescent="0.3">
      <c r="A55" s="151">
        <f>IF(C55&lt;&gt;"",COUNTA($C$12:C55),"")</f>
        <v>39</v>
      </c>
      <c r="B55" s="151"/>
      <c r="C55" s="293" t="str">
        <f>'Bill_Cam G1'!C57</f>
        <v>Residential Assistance Adjustment Factor</v>
      </c>
      <c r="D55" s="293"/>
      <c r="E55" s="483"/>
      <c r="F55" s="374"/>
      <c r="G55" s="277">
        <v>1.47E-3</v>
      </c>
      <c r="H55" s="400"/>
      <c r="I55" s="277">
        <v>1.8799999999999999E-3</v>
      </c>
      <c r="J55" s="354">
        <f t="shared" si="28"/>
        <v>4.0999999999999999E-4</v>
      </c>
      <c r="K55" s="502"/>
      <c r="L55" s="374"/>
      <c r="M55" s="374"/>
    </row>
    <row r="56" spans="1:13" ht="14" x14ac:dyDescent="0.3">
      <c r="A56" s="151">
        <f>IF(C56&lt;&gt;"",COUNTA($C$12:C56),"")</f>
        <v>40</v>
      </c>
      <c r="B56" s="151"/>
      <c r="C56" s="293" t="str">
        <f>'Bill_Cam G1'!C58</f>
        <v>Pension Adjustment Factor</v>
      </c>
      <c r="D56" s="293"/>
      <c r="E56" s="483"/>
      <c r="F56" s="374"/>
      <c r="G56" s="277">
        <v>-5.0000000000000002E-5</v>
      </c>
      <c r="H56" s="400"/>
      <c r="I56" s="277">
        <v>4.0999999999999999E-4</v>
      </c>
      <c r="J56" s="354">
        <f t="shared" si="28"/>
        <v>4.6000000000000001E-4</v>
      </c>
      <c r="K56" s="502"/>
      <c r="L56" s="374"/>
      <c r="M56" s="374"/>
    </row>
    <row r="57" spans="1:13" ht="14" x14ac:dyDescent="0.3">
      <c r="A57" s="151">
        <f>IF(C57&lt;&gt;"",COUNTA($C$12:C57),"")</f>
        <v>41</v>
      </c>
      <c r="B57" s="151"/>
      <c r="C57" s="293" t="str">
        <f>'Bill_Cam G1'!C59</f>
        <v>Net Metering Recovery Surcharge</v>
      </c>
      <c r="D57" s="293"/>
      <c r="E57" s="483"/>
      <c r="F57" s="374"/>
      <c r="G57" s="277">
        <v>2.8999999999999998E-3</v>
      </c>
      <c r="H57" s="400"/>
      <c r="I57" s="277">
        <v>2.4499999999999999E-3</v>
      </c>
      <c r="J57" s="354">
        <f t="shared" si="28"/>
        <v>-4.4999999999999988E-4</v>
      </c>
      <c r="K57" s="502"/>
      <c r="L57" s="374"/>
      <c r="M57" s="374"/>
    </row>
    <row r="58" spans="1:13" ht="14" x14ac:dyDescent="0.3">
      <c r="A58" s="151">
        <f>IF(C58&lt;&gt;"",COUNTA($C$12:C58),"")</f>
        <v>42</v>
      </c>
      <c r="B58" s="151"/>
      <c r="C58" s="293" t="str">
        <f>'Bill_Cam G1'!C60</f>
        <v>Long Term Renewable Contract Adjustment</v>
      </c>
      <c r="D58" s="293"/>
      <c r="E58" s="483"/>
      <c r="F58" s="374"/>
      <c r="G58" s="277">
        <v>2.3600000000000001E-3</v>
      </c>
      <c r="H58" s="400"/>
      <c r="I58" s="277">
        <v>1.74E-3</v>
      </c>
      <c r="J58" s="354">
        <f t="shared" si="28"/>
        <v>-6.2000000000000011E-4</v>
      </c>
      <c r="K58" s="502"/>
      <c r="L58" s="374"/>
      <c r="M58" s="374"/>
    </row>
    <row r="59" spans="1:13" ht="14" x14ac:dyDescent="0.3">
      <c r="A59" s="151">
        <f>IF(C59&lt;&gt;"",COUNTA($C$12:C59),"")</f>
        <v>43</v>
      </c>
      <c r="B59" s="151"/>
      <c r="C59" s="293" t="str">
        <f>'Bill_Cam G1'!C61</f>
        <v>AG Consulting Expense</v>
      </c>
      <c r="D59" s="293"/>
      <c r="E59" s="483"/>
      <c r="F59" s="374"/>
      <c r="G59" s="277">
        <v>2.0000000000000002E-5</v>
      </c>
      <c r="H59" s="400"/>
      <c r="I59" s="277">
        <v>0</v>
      </c>
      <c r="J59" s="354">
        <f t="shared" si="28"/>
        <v>-2.0000000000000002E-5</v>
      </c>
      <c r="K59" s="502"/>
      <c r="L59" s="374"/>
      <c r="M59" s="374"/>
    </row>
    <row r="60" spans="1:13" ht="14" x14ac:dyDescent="0.3">
      <c r="A60" s="151">
        <f>IF(C60&lt;&gt;"",COUNTA($C$12:C60),"")</f>
        <v>44</v>
      </c>
      <c r="B60" s="151"/>
      <c r="C60" s="293" t="str">
        <f>'Bill_Cam G1'!C62</f>
        <v>Storm Cost Recovery Adjustment Factor</v>
      </c>
      <c r="D60" s="293"/>
      <c r="E60" s="483"/>
      <c r="F60" s="374"/>
      <c r="G60" s="277">
        <v>9.1E-4</v>
      </c>
      <c r="H60" s="400"/>
      <c r="I60" s="277">
        <v>1.42E-3</v>
      </c>
      <c r="J60" s="354">
        <f t="shared" si="28"/>
        <v>5.1000000000000004E-4</v>
      </c>
      <c r="K60" s="502"/>
      <c r="L60" s="374"/>
      <c r="M60" s="374"/>
    </row>
    <row r="61" spans="1:13" ht="14" x14ac:dyDescent="0.3">
      <c r="A61" s="151">
        <f>IF(C61&lt;&gt;"",COUNTA($C$12:C61),"")</f>
        <v>45</v>
      </c>
      <c r="B61" s="151"/>
      <c r="C61" s="293" t="str">
        <f>'Bill_Cam G1'!C63</f>
        <v>Storm Reserve Adjustment</v>
      </c>
      <c r="D61" s="293"/>
      <c r="E61" s="483"/>
      <c r="F61" s="374"/>
      <c r="G61" s="277">
        <v>0</v>
      </c>
      <c r="H61" s="400"/>
      <c r="I61" s="277">
        <v>0</v>
      </c>
      <c r="J61" s="354">
        <f t="shared" si="28"/>
        <v>0</v>
      </c>
      <c r="K61" s="502"/>
      <c r="L61" s="374"/>
      <c r="M61" s="374"/>
    </row>
    <row r="62" spans="1:13" ht="14" x14ac:dyDescent="0.3">
      <c r="A62" s="151">
        <f>IF(C62&lt;&gt;"",COUNTA($C$12:C62),"")</f>
        <v>46</v>
      </c>
      <c r="B62" s="151"/>
      <c r="C62" s="293" t="str">
        <f>'Bill_Cam G1'!C64</f>
        <v>Basic Service Cost True Up Factor</v>
      </c>
      <c r="D62" s="293"/>
      <c r="E62" s="483"/>
      <c r="F62" s="374"/>
      <c r="G62" s="277">
        <v>7.9000000000000001E-4</v>
      </c>
      <c r="H62" s="400"/>
      <c r="I62" s="277">
        <v>-9.0000000000000006E-5</v>
      </c>
      <c r="J62" s="354">
        <f t="shared" si="28"/>
        <v>-8.8000000000000003E-4</v>
      </c>
      <c r="K62" s="502"/>
      <c r="L62" s="374"/>
      <c r="M62" s="374"/>
    </row>
    <row r="63" spans="1:13" ht="14" x14ac:dyDescent="0.3">
      <c r="A63" s="151">
        <f>IF(C63&lt;&gt;"",COUNTA($C$12:C63),"")</f>
        <v>47</v>
      </c>
      <c r="B63" s="151"/>
      <c r="C63" s="293" t="str">
        <f>'Bill_Cam G1'!C65</f>
        <v>Solar Program Cost Adjustment Factor</v>
      </c>
      <c r="D63" s="293"/>
      <c r="E63" s="483"/>
      <c r="F63" s="374"/>
      <c r="G63" s="277">
        <v>0</v>
      </c>
      <c r="H63" s="400"/>
      <c r="I63" s="277">
        <v>2.0000000000000002E-5</v>
      </c>
      <c r="J63" s="354">
        <f t="shared" si="28"/>
        <v>2.0000000000000002E-5</v>
      </c>
      <c r="K63" s="502"/>
      <c r="L63" s="374"/>
      <c r="M63" s="374"/>
    </row>
    <row r="64" spans="1:13" ht="14" x14ac:dyDescent="0.3">
      <c r="A64" s="151">
        <f>IF(C64&lt;&gt;"",COUNTA($C$12:C64),"")</f>
        <v>48</v>
      </c>
      <c r="B64" s="151"/>
      <c r="C64" s="293" t="str">
        <f>'Bill_Cam G1'!C66</f>
        <v>Solar Expansion Cost Recovery Factor</v>
      </c>
      <c r="D64" s="293"/>
      <c r="E64" s="483"/>
      <c r="F64" s="374"/>
      <c r="G64" s="277">
        <v>0</v>
      </c>
      <c r="H64" s="400"/>
      <c r="I64" s="277">
        <v>2.9E-4</v>
      </c>
      <c r="J64" s="354">
        <f t="shared" si="28"/>
        <v>2.9E-4</v>
      </c>
      <c r="K64" s="502"/>
      <c r="L64" s="374"/>
      <c r="M64" s="374"/>
    </row>
    <row r="65" spans="1:13" ht="14" x14ac:dyDescent="0.3">
      <c r="A65" s="151">
        <f>IF(C65&lt;&gt;"",COUNTA($C$12:C65),"")</f>
        <v>49</v>
      </c>
      <c r="B65" s="151"/>
      <c r="C65" s="293" t="str">
        <f>'Bill_Cam G1'!C67</f>
        <v>Vegetation Management</v>
      </c>
      <c r="D65" s="293"/>
      <c r="E65" s="483"/>
      <c r="F65" s="374"/>
      <c r="G65" s="277">
        <v>0</v>
      </c>
      <c r="H65" s="400"/>
      <c r="I65" s="277">
        <v>7.3999999999999999E-4</v>
      </c>
      <c r="J65" s="354">
        <f t="shared" si="28"/>
        <v>7.3999999999999999E-4</v>
      </c>
      <c r="K65" s="502"/>
      <c r="L65" s="374"/>
      <c r="M65" s="374"/>
    </row>
    <row r="66" spans="1:13" ht="14" x14ac:dyDescent="0.3">
      <c r="A66" s="151">
        <f>IF(C66&lt;&gt;"",COUNTA($C$12:C66),"")</f>
        <v>50</v>
      </c>
      <c r="B66" s="151"/>
      <c r="C66" s="293" t="str">
        <f>'Bill_Cam G1'!C68</f>
        <v>Solar Massachusetts Renewable Target</v>
      </c>
      <c r="D66" s="339"/>
      <c r="E66" s="339"/>
      <c r="F66" s="277"/>
      <c r="G66" s="277">
        <v>0</v>
      </c>
      <c r="H66" s="277"/>
      <c r="I66" s="277">
        <v>3.4000000000000002E-4</v>
      </c>
      <c r="J66" s="354">
        <f t="shared" si="28"/>
        <v>3.4000000000000002E-4</v>
      </c>
      <c r="K66" s="339"/>
      <c r="L66" s="339"/>
    </row>
    <row r="67" spans="1:13" ht="14" x14ac:dyDescent="0.3">
      <c r="A67" s="151">
        <f>IF(C67&lt;&gt;"",COUNTA($C$12:C67),"")</f>
        <v>51</v>
      </c>
      <c r="B67" s="151"/>
      <c r="C67" s="293" t="str">
        <f>'Bill_Cam G1'!C69</f>
        <v>Tax Act Credit Factor</v>
      </c>
      <c r="D67" s="339"/>
      <c r="E67" s="339"/>
      <c r="F67" s="277"/>
      <c r="G67" s="277">
        <v>0</v>
      </c>
      <c r="H67" s="277"/>
      <c r="I67" s="277">
        <v>-5.1999999999999995E-4</v>
      </c>
      <c r="J67" s="354">
        <f t="shared" si="28"/>
        <v>-5.1999999999999995E-4</v>
      </c>
      <c r="K67" s="339"/>
      <c r="L67" s="339"/>
    </row>
    <row r="68" spans="1:13" ht="14" x14ac:dyDescent="0.3">
      <c r="A68" s="151">
        <f>IF(C68&lt;&gt;"",COUNTA($C$12:C68),"")</f>
        <v>52</v>
      </c>
      <c r="B68" s="151"/>
      <c r="C68" s="293" t="str">
        <f>'Bill_Cam G1'!C70</f>
        <v>Transition</v>
      </c>
      <c r="D68" s="293"/>
      <c r="E68" s="483"/>
      <c r="F68" s="374"/>
      <c r="G68" s="308">
        <v>-6.0999999999999997E-4</v>
      </c>
      <c r="H68" s="400"/>
      <c r="I68" s="277">
        <v>-5.1999999999999995E-4</v>
      </c>
      <c r="J68" s="354">
        <f t="shared" si="28"/>
        <v>9.0000000000000019E-5</v>
      </c>
      <c r="K68" s="502"/>
      <c r="L68" s="374"/>
      <c r="M68" s="374"/>
    </row>
    <row r="69" spans="1:13" ht="14" x14ac:dyDescent="0.3">
      <c r="A69" s="151">
        <f>IF(C69&lt;&gt;"",COUNTA($C$12:C69),"")</f>
        <v>53</v>
      </c>
      <c r="B69" s="151"/>
      <c r="C69" s="293" t="str">
        <f>'Bill_Cam G1'!C71</f>
        <v>Energy Efficiency Reconciliation Factor</v>
      </c>
      <c r="D69" s="293"/>
      <c r="E69" s="483"/>
      <c r="F69" s="374"/>
      <c r="G69" s="308">
        <v>8.4600000000000005E-3</v>
      </c>
      <c r="H69" s="400"/>
      <c r="I69" s="308">
        <v>8.4600000000000005E-3</v>
      </c>
      <c r="J69" s="354">
        <f t="shared" si="28"/>
        <v>0</v>
      </c>
      <c r="K69" s="502"/>
      <c r="L69" s="374"/>
      <c r="M69" s="374"/>
    </row>
    <row r="70" spans="1:13" ht="14" x14ac:dyDescent="0.3">
      <c r="A70" s="151">
        <f>IF(C70&lt;&gt;"",COUNTA($C$12:C70),"")</f>
        <v>54</v>
      </c>
      <c r="B70" s="151"/>
      <c r="C70" s="293" t="str">
        <f>'Bill_Cam G1'!C72</f>
        <v>System Benefits Charge</v>
      </c>
      <c r="D70" s="293"/>
      <c r="E70" s="483"/>
      <c r="F70" s="374"/>
      <c r="G70" s="308">
        <v>2.5000000000000001E-3</v>
      </c>
      <c r="H70" s="400"/>
      <c r="I70" s="308">
        <f>G70</f>
        <v>2.5000000000000001E-3</v>
      </c>
      <c r="J70" s="354">
        <f t="shared" si="28"/>
        <v>0</v>
      </c>
      <c r="K70" s="502"/>
      <c r="L70" s="374"/>
      <c r="M70" s="374"/>
    </row>
    <row r="71" spans="1:13" ht="14" x14ac:dyDescent="0.3">
      <c r="A71" s="151">
        <f>IF(C71&lt;&gt;"",COUNTA($C$12:C71),"")</f>
        <v>55</v>
      </c>
      <c r="B71" s="151"/>
      <c r="C71" s="293" t="str">
        <f>'Bill_Cam G1'!C73</f>
        <v>Renewable Energy Charge</v>
      </c>
      <c r="D71" s="293"/>
      <c r="E71" s="483"/>
      <c r="F71" s="374"/>
      <c r="G71" s="308">
        <v>5.0000000000000001E-4</v>
      </c>
      <c r="H71" s="400"/>
      <c r="I71" s="308">
        <f>G71</f>
        <v>5.0000000000000001E-4</v>
      </c>
      <c r="J71" s="354">
        <f t="shared" si="28"/>
        <v>0</v>
      </c>
      <c r="K71" s="502"/>
      <c r="L71" s="374"/>
      <c r="M71" s="374"/>
    </row>
    <row r="72" spans="1:13" ht="14" x14ac:dyDescent="0.3">
      <c r="A72" s="151">
        <f>IF(C72&lt;&gt;"",COUNTA($C$12:C72),"")</f>
        <v>56</v>
      </c>
      <c r="B72" s="151"/>
      <c r="C72" s="293" t="str">
        <f>'Bill_Cam G1'!C74</f>
        <v>Basic Service Charge</v>
      </c>
      <c r="D72" s="293"/>
      <c r="E72" s="483"/>
      <c r="F72" s="374"/>
      <c r="G72" s="308">
        <v>0.1326</v>
      </c>
      <c r="H72" s="400"/>
      <c r="I72" s="308">
        <v>0.17265000000000003</v>
      </c>
      <c r="J72" s="354">
        <f t="shared" si="28"/>
        <v>4.005000000000003E-2</v>
      </c>
      <c r="K72" s="502"/>
      <c r="L72" s="374"/>
      <c r="M72" s="374"/>
    </row>
    <row r="73" spans="1:13" ht="14" x14ac:dyDescent="0.3">
      <c r="A73" s="151" t="str">
        <f>IF(C73&lt;&gt;"",COUNTA($C$12:C73),"")</f>
        <v/>
      </c>
      <c r="B73" s="151"/>
      <c r="E73" s="374"/>
      <c r="F73" s="374"/>
      <c r="G73" s="374"/>
      <c r="H73" s="374"/>
      <c r="I73" s="502"/>
      <c r="J73" s="502"/>
      <c r="K73" s="502"/>
      <c r="L73" s="374"/>
      <c r="M73" s="374"/>
    </row>
    <row r="74" spans="1:13" ht="14" x14ac:dyDescent="0.3">
      <c r="E74" s="374"/>
      <c r="F74" s="374"/>
      <c r="G74" s="374"/>
      <c r="H74" s="374"/>
      <c r="I74" s="502"/>
      <c r="J74" s="502"/>
      <c r="K74" s="502"/>
      <c r="L74" s="374"/>
      <c r="M74" s="374"/>
    </row>
    <row r="75" spans="1:13" ht="14" x14ac:dyDescent="0.3">
      <c r="C75" s="293" t="s">
        <v>594</v>
      </c>
      <c r="E75" s="374"/>
      <c r="F75" s="374"/>
      <c r="G75" s="374">
        <f>G49+G51</f>
        <v>9.5</v>
      </c>
      <c r="H75" s="374"/>
      <c r="I75" s="374">
        <f>I49+I51</f>
        <v>8.76</v>
      </c>
      <c r="J75" s="421">
        <f t="shared" ref="J75:J78" si="29">I75-G75</f>
        <v>-0.74000000000000021</v>
      </c>
      <c r="K75" s="502"/>
      <c r="L75" s="374"/>
      <c r="M75" s="374"/>
    </row>
    <row r="76" spans="1:13" ht="14" x14ac:dyDescent="0.3">
      <c r="C76" s="293" t="s">
        <v>595</v>
      </c>
      <c r="E76" s="374"/>
      <c r="F76" s="374"/>
      <c r="G76" s="374">
        <f>G50+G52</f>
        <v>16.170000000000002</v>
      </c>
      <c r="H76" s="374"/>
      <c r="I76" s="374">
        <f>I50+I52</f>
        <v>14.549999999999999</v>
      </c>
      <c r="J76" s="421">
        <f t="shared" si="29"/>
        <v>-1.6200000000000028</v>
      </c>
      <c r="K76" s="502"/>
      <c r="L76" s="374"/>
      <c r="M76" s="374"/>
    </row>
    <row r="77" spans="1:13" ht="14" x14ac:dyDescent="0.3">
      <c r="C77" s="369" t="str">
        <f>'Bill_Cam G1'!C79</f>
        <v>Total Energy</v>
      </c>
      <c r="E77" s="374"/>
      <c r="F77" s="374"/>
      <c r="G77" s="403">
        <f>SUM(G53:G68,G69:G71)</f>
        <v>2.8739999999999998E-2</v>
      </c>
      <c r="H77" s="403"/>
      <c r="I77" s="403">
        <f>SUM(I53:I68,I69:I71)</f>
        <v>2.9219999999999999E-2</v>
      </c>
      <c r="J77" s="354">
        <f t="shared" si="29"/>
        <v>4.8000000000000126E-4</v>
      </c>
      <c r="K77" s="502"/>
      <c r="L77" s="374"/>
      <c r="M77" s="374"/>
    </row>
    <row r="78" spans="1:13" ht="14" x14ac:dyDescent="0.3">
      <c r="C78" s="369" t="str">
        <f>'Bill_Cam G1'!C80</f>
        <v>Total Basic Service</v>
      </c>
      <c r="E78" s="374"/>
      <c r="F78" s="374"/>
      <c r="G78" s="403">
        <f>G72</f>
        <v>0.1326</v>
      </c>
      <c r="H78" s="403"/>
      <c r="I78" s="403">
        <f>I72</f>
        <v>0.17265000000000003</v>
      </c>
      <c r="J78" s="354">
        <f t="shared" si="29"/>
        <v>4.005000000000003E-2</v>
      </c>
      <c r="K78" s="502"/>
      <c r="L78" s="374"/>
      <c r="M78" s="374"/>
    </row>
    <row r="79" spans="1:13" ht="14" x14ac:dyDescent="0.3">
      <c r="E79" s="374"/>
      <c r="F79" s="374"/>
      <c r="G79" s="374"/>
      <c r="H79" s="374"/>
      <c r="I79" s="502"/>
      <c r="J79" s="502"/>
      <c r="K79" s="502"/>
      <c r="L79" s="374"/>
      <c r="M79" s="374"/>
    </row>
    <row r="80" spans="1:13" ht="14" x14ac:dyDescent="0.3">
      <c r="E80" s="374"/>
      <c r="F80" s="374"/>
      <c r="G80" s="374"/>
      <c r="H80" s="374"/>
      <c r="I80" s="502"/>
      <c r="J80" s="502"/>
      <c r="K80" s="502"/>
      <c r="L80" s="374"/>
      <c r="M80" s="374"/>
    </row>
    <row r="81" spans="5:13" ht="14" x14ac:dyDescent="0.3">
      <c r="E81" s="374"/>
      <c r="F81" s="374"/>
      <c r="G81" s="374"/>
      <c r="H81" s="374"/>
      <c r="I81" s="502"/>
      <c r="J81" s="502"/>
      <c r="K81" s="502"/>
      <c r="L81" s="374"/>
      <c r="M81" s="374"/>
    </row>
    <row r="82" spans="5:13" ht="14" x14ac:dyDescent="0.3">
      <c r="E82" s="374"/>
      <c r="F82" s="374"/>
      <c r="G82" s="374"/>
      <c r="H82" s="374"/>
      <c r="I82" s="502"/>
      <c r="J82" s="502"/>
      <c r="K82" s="502"/>
      <c r="L82" s="374"/>
      <c r="M82" s="374"/>
    </row>
    <row r="83" spans="5:13" ht="14" x14ac:dyDescent="0.3">
      <c r="E83" s="374"/>
      <c r="F83" s="374"/>
      <c r="G83" s="374"/>
      <c r="H83" s="374"/>
      <c r="I83" s="502"/>
      <c r="J83" s="502"/>
      <c r="K83" s="502"/>
      <c r="L83" s="374"/>
      <c r="M83" s="374"/>
    </row>
    <row r="84" spans="5:13" ht="14" x14ac:dyDescent="0.3">
      <c r="E84" s="374"/>
      <c r="F84" s="374"/>
      <c r="G84" s="374"/>
      <c r="H84" s="374"/>
      <c r="I84" s="502"/>
      <c r="J84" s="502"/>
      <c r="K84" s="502"/>
      <c r="L84" s="374"/>
      <c r="M84" s="374"/>
    </row>
    <row r="85" spans="5:13" ht="14" x14ac:dyDescent="0.3">
      <c r="E85" s="374"/>
      <c r="F85" s="374"/>
      <c r="G85" s="374"/>
      <c r="H85" s="374"/>
      <c r="I85" s="502"/>
      <c r="J85" s="502"/>
      <c r="K85" s="502"/>
      <c r="L85" s="374"/>
      <c r="M85" s="374"/>
    </row>
    <row r="86" spans="5:13" ht="14" x14ac:dyDescent="0.3">
      <c r="E86" s="374"/>
      <c r="F86" s="374"/>
      <c r="G86" s="374"/>
      <c r="H86" s="374"/>
      <c r="I86" s="502"/>
      <c r="J86" s="502"/>
      <c r="K86" s="502"/>
      <c r="L86" s="374"/>
      <c r="M86" s="374"/>
    </row>
    <row r="87" spans="5:13" ht="14" x14ac:dyDescent="0.3">
      <c r="E87" s="374"/>
      <c r="F87" s="374"/>
      <c r="G87" s="374"/>
      <c r="H87" s="374"/>
      <c r="I87" s="502"/>
      <c r="J87" s="502"/>
      <c r="K87" s="502"/>
      <c r="L87" s="374"/>
      <c r="M87" s="374"/>
    </row>
    <row r="88" spans="5:13" ht="14" x14ac:dyDescent="0.3">
      <c r="E88" s="374"/>
      <c r="F88" s="374"/>
      <c r="G88" s="374"/>
      <c r="H88" s="374"/>
      <c r="I88" s="502"/>
      <c r="J88" s="502"/>
      <c r="K88" s="502"/>
      <c r="L88" s="374"/>
      <c r="M88" s="374"/>
    </row>
    <row r="89" spans="5:13" ht="14" x14ac:dyDescent="0.3">
      <c r="E89" s="374"/>
      <c r="F89" s="374"/>
      <c r="G89" s="374"/>
      <c r="H89" s="374"/>
      <c r="I89" s="502"/>
      <c r="J89" s="502"/>
      <c r="K89" s="502"/>
      <c r="L89" s="374"/>
      <c r="M89" s="374"/>
    </row>
    <row r="90" spans="5:13" ht="14" x14ac:dyDescent="0.3">
      <c r="E90" s="374"/>
      <c r="F90" s="374"/>
      <c r="G90" s="374"/>
      <c r="H90" s="374"/>
      <c r="I90" s="502"/>
      <c r="J90" s="502"/>
      <c r="K90" s="502"/>
      <c r="L90" s="374"/>
      <c r="M90" s="374"/>
    </row>
    <row r="91" spans="5:13" ht="14" x14ac:dyDescent="0.3">
      <c r="E91" s="374"/>
      <c r="F91" s="374"/>
      <c r="G91" s="374"/>
      <c r="H91" s="374"/>
      <c r="I91" s="502"/>
      <c r="J91" s="502"/>
      <c r="K91" s="502"/>
      <c r="L91" s="374"/>
      <c r="M91" s="374"/>
    </row>
    <row r="92" spans="5:13" ht="14" x14ac:dyDescent="0.3">
      <c r="E92" s="374"/>
      <c r="F92" s="374"/>
      <c r="G92" s="374"/>
      <c r="H92" s="374"/>
      <c r="I92" s="502"/>
      <c r="J92" s="502"/>
      <c r="K92" s="502"/>
      <c r="L92" s="374"/>
      <c r="M92" s="374"/>
    </row>
    <row r="93" spans="5:13" ht="14" x14ac:dyDescent="0.3">
      <c r="E93" s="374"/>
      <c r="F93" s="374"/>
      <c r="G93" s="374"/>
      <c r="H93" s="374"/>
      <c r="I93" s="502"/>
      <c r="J93" s="502"/>
      <c r="K93" s="502"/>
      <c r="L93" s="374"/>
      <c r="M93" s="374"/>
    </row>
    <row r="94" spans="5:13" ht="14" x14ac:dyDescent="0.3">
      <c r="E94" s="374"/>
      <c r="F94" s="374"/>
      <c r="G94" s="374"/>
      <c r="H94" s="374"/>
      <c r="I94" s="502"/>
      <c r="J94" s="502"/>
      <c r="K94" s="502"/>
      <c r="L94" s="374"/>
      <c r="M94" s="374"/>
    </row>
    <row r="95" spans="5:13" ht="14" x14ac:dyDescent="0.3">
      <c r="E95" s="374"/>
      <c r="F95" s="374"/>
      <c r="G95" s="374"/>
      <c r="H95" s="374"/>
      <c r="I95" s="502"/>
      <c r="J95" s="502"/>
      <c r="K95" s="502"/>
      <c r="L95" s="374"/>
      <c r="M95" s="374"/>
    </row>
    <row r="96" spans="5:13" ht="14" x14ac:dyDescent="0.3">
      <c r="I96" s="447"/>
      <c r="J96" s="447"/>
      <c r="K96" s="447"/>
    </row>
    <row r="97" spans="9:11" ht="14" x14ac:dyDescent="0.3">
      <c r="I97" s="447"/>
      <c r="J97" s="447"/>
      <c r="K97" s="447"/>
    </row>
    <row r="98" spans="9:11" ht="14" x14ac:dyDescent="0.3">
      <c r="I98" s="447"/>
      <c r="J98" s="447"/>
      <c r="K98" s="447"/>
    </row>
    <row r="99" spans="9:11" ht="14" x14ac:dyDescent="0.3">
      <c r="I99" s="447"/>
      <c r="J99" s="447"/>
      <c r="K99" s="447"/>
    </row>
    <row r="100" spans="9:11" ht="14" x14ac:dyDescent="0.3">
      <c r="I100" s="447"/>
      <c r="J100" s="447"/>
      <c r="K100" s="447"/>
    </row>
    <row r="101" spans="9:11" ht="14" x14ac:dyDescent="0.3">
      <c r="I101" s="447"/>
      <c r="J101" s="447"/>
      <c r="K101" s="447"/>
    </row>
    <row r="102" spans="9:11" ht="14" x14ac:dyDescent="0.3">
      <c r="I102" s="447"/>
      <c r="J102" s="447"/>
      <c r="K102" s="447"/>
    </row>
    <row r="103" spans="9:11" ht="14" x14ac:dyDescent="0.3">
      <c r="I103" s="447"/>
      <c r="J103" s="447"/>
      <c r="K103" s="447"/>
    </row>
    <row r="104" spans="9:11" ht="14" x14ac:dyDescent="0.3">
      <c r="I104" s="447"/>
      <c r="J104" s="447"/>
      <c r="K104" s="447"/>
    </row>
    <row r="105" spans="9:11" ht="14" x14ac:dyDescent="0.3">
      <c r="I105" s="447"/>
      <c r="J105" s="447"/>
      <c r="K105" s="447"/>
    </row>
    <row r="106" spans="9:11" ht="14" x14ac:dyDescent="0.3">
      <c r="I106" s="447"/>
      <c r="J106" s="447"/>
      <c r="K106" s="447"/>
    </row>
    <row r="107" spans="9:11" ht="14" x14ac:dyDescent="0.3">
      <c r="I107" s="447"/>
      <c r="J107" s="447"/>
      <c r="K107" s="447"/>
    </row>
    <row r="108" spans="9:11" ht="14" x14ac:dyDescent="0.3">
      <c r="I108" s="447"/>
      <c r="J108" s="447"/>
      <c r="K108" s="447"/>
    </row>
    <row r="109" spans="9:11" ht="14" x14ac:dyDescent="0.3">
      <c r="I109" s="447"/>
      <c r="J109" s="447"/>
      <c r="K109" s="447"/>
    </row>
    <row r="110" spans="9:11" ht="14" x14ac:dyDescent="0.3">
      <c r="I110" s="447"/>
      <c r="J110" s="447"/>
      <c r="K110" s="447"/>
    </row>
    <row r="111" spans="9:11" ht="14" x14ac:dyDescent="0.3">
      <c r="I111" s="447"/>
      <c r="J111" s="447"/>
      <c r="K111" s="447"/>
    </row>
    <row r="112" spans="9:11" ht="14" x14ac:dyDescent="0.3">
      <c r="I112" s="447"/>
      <c r="J112" s="447"/>
      <c r="K112" s="447"/>
    </row>
    <row r="113" spans="9:11" ht="14" x14ac:dyDescent="0.3">
      <c r="I113" s="447"/>
      <c r="J113" s="447"/>
      <c r="K113" s="447"/>
    </row>
    <row r="114" spans="9:11" ht="14" x14ac:dyDescent="0.3">
      <c r="I114" s="447"/>
      <c r="J114" s="447"/>
      <c r="K114" s="447"/>
    </row>
    <row r="115" spans="9:11" ht="14" x14ac:dyDescent="0.3">
      <c r="I115" s="447"/>
      <c r="J115" s="447"/>
      <c r="K115" s="447"/>
    </row>
    <row r="116" spans="9:11" ht="14" x14ac:dyDescent="0.3">
      <c r="I116" s="447"/>
      <c r="J116" s="447"/>
      <c r="K116" s="447"/>
    </row>
    <row r="117" spans="9:11" ht="14" x14ac:dyDescent="0.3">
      <c r="I117" s="447"/>
      <c r="J117" s="447"/>
      <c r="K117" s="447"/>
    </row>
    <row r="118" spans="9:11" ht="14" x14ac:dyDescent="0.3">
      <c r="I118" s="447"/>
      <c r="J118" s="447"/>
      <c r="K118" s="447"/>
    </row>
    <row r="119" spans="9:11" ht="14" x14ac:dyDescent="0.3">
      <c r="I119" s="447"/>
      <c r="J119" s="447"/>
      <c r="K119" s="447"/>
    </row>
    <row r="120" spans="9:11" ht="14" x14ac:dyDescent="0.3">
      <c r="I120" s="447"/>
      <c r="J120" s="447"/>
      <c r="K120" s="447"/>
    </row>
    <row r="121" spans="9:11" ht="14" x14ac:dyDescent="0.3">
      <c r="I121" s="447"/>
      <c r="J121" s="447"/>
      <c r="K121" s="447"/>
    </row>
    <row r="122" spans="9:11" ht="14" x14ac:dyDescent="0.3">
      <c r="I122" s="447"/>
      <c r="J122" s="447"/>
      <c r="K122" s="447"/>
    </row>
    <row r="123" spans="9:11" ht="14" x14ac:dyDescent="0.3">
      <c r="I123" s="447"/>
      <c r="J123" s="447"/>
      <c r="K123" s="447"/>
    </row>
    <row r="124" spans="9:11" ht="14" x14ac:dyDescent="0.3">
      <c r="I124" s="447"/>
      <c r="J124" s="447"/>
      <c r="K124" s="447"/>
    </row>
    <row r="125" spans="9:11" ht="14" x14ac:dyDescent="0.3">
      <c r="I125" s="447"/>
      <c r="J125" s="447"/>
      <c r="K125" s="447"/>
    </row>
    <row r="126" spans="9:11" ht="14" x14ac:dyDescent="0.3">
      <c r="I126" s="447"/>
      <c r="J126" s="447"/>
      <c r="K126" s="447"/>
    </row>
    <row r="127" spans="9:11" ht="14" x14ac:dyDescent="0.3">
      <c r="I127" s="447"/>
      <c r="J127" s="447"/>
      <c r="K127" s="447"/>
    </row>
    <row r="128" spans="9:11" ht="14" x14ac:dyDescent="0.3">
      <c r="I128" s="447"/>
      <c r="J128" s="447"/>
      <c r="K128" s="447"/>
    </row>
    <row r="129" spans="9:11" ht="14" x14ac:dyDescent="0.3">
      <c r="I129" s="447"/>
      <c r="J129" s="447"/>
      <c r="K129" s="447"/>
    </row>
  </sheetData>
  <mergeCells count="8">
    <mergeCell ref="E12:G12"/>
    <mergeCell ref="I12:K12"/>
    <mergeCell ref="M12:N12"/>
    <mergeCell ref="A4:N4"/>
    <mergeCell ref="A5:N5"/>
    <mergeCell ref="A6:N6"/>
    <mergeCell ref="A8:N8"/>
    <mergeCell ref="A9:N9"/>
  </mergeCells>
  <pageMargins left="0.7" right="0.7" top="0.75" bottom="0.75" header="0.3" footer="0.3"/>
  <pageSetup scale="64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387BB-E989-4FE8-B582-F759E1052A7E}">
  <sheetPr>
    <tabColor theme="3" tint="0.59999389629810485"/>
    <pageSetUpPr fitToPage="1"/>
  </sheetPr>
  <dimension ref="A4:AB126"/>
  <sheetViews>
    <sheetView zoomScaleNormal="100" workbookViewId="0"/>
  </sheetViews>
  <sheetFormatPr defaultRowHeight="12.5" x14ac:dyDescent="0.25"/>
  <cols>
    <col min="1" max="1" width="3.81640625" customWidth="1"/>
    <col min="2" max="2" width="4.453125" bestFit="1" customWidth="1"/>
    <col min="3" max="3" width="9.26953125" bestFit="1" customWidth="1"/>
    <col min="4" max="4" width="11.54296875" customWidth="1"/>
    <col min="5" max="7" width="14.7265625" customWidth="1"/>
    <col min="8" max="8" width="1.7265625" customWidth="1"/>
    <col min="9" max="11" width="14.7265625" customWidth="1"/>
    <col min="12" max="12" width="1.7265625" customWidth="1"/>
    <col min="13" max="13" width="13.54296875" customWidth="1"/>
    <col min="14" max="14" width="11.7265625" customWidth="1"/>
    <col min="15" max="15" width="10.81640625" bestFit="1" customWidth="1"/>
    <col min="16" max="16" width="11.1796875" bestFit="1" customWidth="1"/>
    <col min="17" max="17" width="12.54296875" bestFit="1" customWidth="1"/>
    <col min="18" max="18" width="13" bestFit="1" customWidth="1"/>
    <col min="19" max="20" width="14.1796875" bestFit="1" customWidth="1"/>
    <col min="21" max="21" width="8.7265625" bestFit="1" customWidth="1"/>
    <col min="22" max="22" width="10.81640625" bestFit="1" customWidth="1"/>
    <col min="23" max="23" width="11.1796875" bestFit="1" customWidth="1"/>
    <col min="24" max="25" width="13" bestFit="1" customWidth="1"/>
    <col min="26" max="27" width="14.1796875" bestFit="1" customWidth="1"/>
    <col min="28" max="28" width="8.453125" bestFit="1" customWidth="1"/>
  </cols>
  <sheetData>
    <row r="4" spans="1:28" ht="14" x14ac:dyDescent="0.3">
      <c r="A4" s="765" t="str">
        <f>'Bill_Cam G2'!A4:M4</f>
        <v>Eastern Massachusetts</v>
      </c>
      <c r="B4" s="765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  <c r="N4" s="765"/>
    </row>
    <row r="5" spans="1:28" ht="14" x14ac:dyDescent="0.3">
      <c r="A5" s="765" t="str">
        <f>+'Bill_Cam G0'!A5</f>
        <v>Calculation of Monthly Typical Bill</v>
      </c>
      <c r="B5" s="765"/>
      <c r="C5" s="765"/>
      <c r="D5" s="765"/>
      <c r="E5" s="765"/>
      <c r="F5" s="765"/>
      <c r="G5" s="765"/>
      <c r="H5" s="765"/>
      <c r="I5" s="765"/>
      <c r="J5" s="765"/>
      <c r="K5" s="765"/>
      <c r="L5" s="765"/>
      <c r="M5" s="765"/>
      <c r="N5" s="765"/>
    </row>
    <row r="6" spans="1:28" ht="14" x14ac:dyDescent="0.3">
      <c r="A6" s="765" t="str">
        <f>+'Bill_Cam G0'!A6</f>
        <v>Proposed January 1, 2019</v>
      </c>
      <c r="B6" s="765"/>
      <c r="C6" s="765"/>
      <c r="D6" s="765"/>
      <c r="E6" s="765"/>
      <c r="F6" s="765"/>
      <c r="G6" s="765"/>
      <c r="H6" s="765"/>
      <c r="I6" s="765"/>
      <c r="J6" s="765"/>
      <c r="K6" s="765"/>
      <c r="L6" s="765"/>
      <c r="M6" s="765"/>
      <c r="N6" s="765"/>
    </row>
    <row r="7" spans="1:28" ht="14" x14ac:dyDescent="0.3">
      <c r="A7" s="503"/>
      <c r="B7" s="503"/>
      <c r="C7" s="504"/>
      <c r="D7" s="293"/>
      <c r="E7" s="468"/>
      <c r="F7" s="293"/>
      <c r="G7" s="429"/>
      <c r="H7" s="293"/>
      <c r="I7" s="369"/>
      <c r="J7" s="369"/>
      <c r="K7" s="369"/>
      <c r="L7" s="369"/>
      <c r="M7" s="369"/>
    </row>
    <row r="8" spans="1:28" ht="14" x14ac:dyDescent="0.3">
      <c r="A8" s="765" t="str">
        <f>+'Bill_Cam G0'!A8</f>
        <v>Cambridge Service Area</v>
      </c>
      <c r="B8" s="765"/>
      <c r="C8" s="765"/>
      <c r="D8" s="765"/>
      <c r="E8" s="765"/>
      <c r="F8" s="765"/>
      <c r="G8" s="765"/>
      <c r="H8" s="765"/>
      <c r="I8" s="765"/>
      <c r="J8" s="765"/>
      <c r="K8" s="765"/>
      <c r="L8" s="765"/>
      <c r="M8" s="765"/>
      <c r="N8" s="765"/>
    </row>
    <row r="9" spans="1:28" ht="14" x14ac:dyDescent="0.3">
      <c r="A9" s="765" t="s">
        <v>596</v>
      </c>
      <c r="B9" s="765"/>
      <c r="C9" s="765"/>
      <c r="D9" s="765"/>
      <c r="E9" s="765"/>
      <c r="F9" s="765"/>
      <c r="G9" s="765"/>
      <c r="H9" s="765"/>
      <c r="I9" s="765"/>
      <c r="J9" s="765"/>
      <c r="K9" s="765"/>
      <c r="L9" s="765"/>
      <c r="M9" s="765"/>
      <c r="N9" s="765"/>
    </row>
    <row r="10" spans="1:28" ht="14" x14ac:dyDescent="0.3">
      <c r="A10" s="505"/>
      <c r="B10" s="505"/>
      <c r="C10" s="505"/>
      <c r="D10" s="293"/>
      <c r="E10" s="293"/>
      <c r="F10" s="293"/>
      <c r="H10" s="293"/>
    </row>
    <row r="11" spans="1:28" ht="14" x14ac:dyDescent="0.3">
      <c r="A11" s="369"/>
      <c r="B11" s="369"/>
      <c r="D11" s="293"/>
      <c r="E11" s="293"/>
      <c r="F11" s="293"/>
      <c r="G11" s="367"/>
      <c r="H11" s="293"/>
    </row>
    <row r="12" spans="1:28" ht="14" x14ac:dyDescent="0.3">
      <c r="A12" s="151">
        <f>IF(C12&lt;&gt;"",COUNTA($C$12:C12),"")</f>
        <v>1</v>
      </c>
      <c r="B12" s="151"/>
      <c r="C12" s="366" t="s">
        <v>528</v>
      </c>
      <c r="D12" s="366" t="s">
        <v>528</v>
      </c>
      <c r="E12" s="760" t="str">
        <f>+'Bill_Cam G0'!D12</f>
        <v>Current Monthly Bill</v>
      </c>
      <c r="F12" s="760"/>
      <c r="G12" s="760"/>
      <c r="H12" s="293"/>
      <c r="I12" s="760" t="str">
        <f>+'Bill_Cam G0'!H12</f>
        <v>Proposed Monthly Bill</v>
      </c>
      <c r="J12" s="760"/>
      <c r="K12" s="760"/>
      <c r="M12" s="760" t="s">
        <v>550</v>
      </c>
      <c r="N12" s="760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  <c r="AA12" s="335"/>
      <c r="AB12" s="335"/>
    </row>
    <row r="13" spans="1:28" ht="14" x14ac:dyDescent="0.3">
      <c r="A13" s="151">
        <f>IF(C13&lt;&gt;"",COUNTA($C$12:C13),"")</f>
        <v>2</v>
      </c>
      <c r="B13" s="151"/>
      <c r="C13" s="408" t="s">
        <v>593</v>
      </c>
      <c r="D13" s="370" t="s">
        <v>551</v>
      </c>
      <c r="E13" s="370" t="s">
        <v>552</v>
      </c>
      <c r="F13" s="370" t="s">
        <v>553</v>
      </c>
      <c r="G13" s="370" t="s">
        <v>47</v>
      </c>
      <c r="H13" s="293"/>
      <c r="I13" s="370" t="s">
        <v>552</v>
      </c>
      <c r="J13" s="370" t="s">
        <v>553</v>
      </c>
      <c r="K13" s="370" t="s">
        <v>47</v>
      </c>
      <c r="M13" s="370" t="s">
        <v>65</v>
      </c>
      <c r="N13" s="370" t="s">
        <v>325</v>
      </c>
      <c r="O13" s="335"/>
      <c r="P13" s="335"/>
      <c r="Q13" s="335"/>
      <c r="R13" s="335"/>
      <c r="S13" s="335"/>
      <c r="T13" s="335"/>
      <c r="U13" s="335"/>
      <c r="V13" s="335"/>
      <c r="W13" s="335"/>
      <c r="X13" s="335"/>
      <c r="Y13" s="335"/>
      <c r="Z13" s="335"/>
      <c r="AA13" s="335"/>
      <c r="AB13" s="335"/>
    </row>
    <row r="14" spans="1:28" ht="14" x14ac:dyDescent="0.3">
      <c r="A14" s="151" t="str">
        <f>IF(C14&lt;&gt;"",COUNTA($C$12:C14),"")</f>
        <v/>
      </c>
      <c r="B14" s="151"/>
      <c r="C14" s="408"/>
      <c r="D14" s="370"/>
      <c r="E14" s="370"/>
      <c r="F14" s="370"/>
      <c r="G14" s="370"/>
      <c r="H14" s="293"/>
      <c r="I14" s="370"/>
      <c r="J14" s="370"/>
      <c r="K14" s="370"/>
      <c r="M14" s="370"/>
      <c r="N14" s="376"/>
      <c r="O14" s="369"/>
      <c r="P14" s="369"/>
      <c r="Q14" s="369"/>
      <c r="R14" s="369"/>
      <c r="S14" s="369"/>
      <c r="T14" s="369"/>
      <c r="U14" s="369"/>
      <c r="V14" s="369"/>
      <c r="W14" s="369"/>
      <c r="X14" s="369"/>
      <c r="Y14" s="369"/>
      <c r="Z14" s="369"/>
      <c r="AA14" s="369"/>
      <c r="AB14" s="369"/>
    </row>
    <row r="15" spans="1:28" ht="14" x14ac:dyDescent="0.3">
      <c r="A15" s="151">
        <f>IF(C15&lt;&gt;"",COUNTA($C$12:C15),"")</f>
        <v>3</v>
      </c>
      <c r="B15" s="151"/>
      <c r="C15" s="405" t="s">
        <v>575</v>
      </c>
      <c r="D15" s="370"/>
      <c r="E15" s="370"/>
      <c r="F15" s="370"/>
      <c r="G15" s="370"/>
      <c r="H15" s="293"/>
      <c r="I15" s="370"/>
      <c r="J15" s="370"/>
      <c r="K15" s="370"/>
      <c r="M15" s="370"/>
      <c r="N15" s="376"/>
      <c r="O15" s="369"/>
      <c r="P15" s="369"/>
      <c r="Q15" s="369"/>
      <c r="R15" s="369"/>
      <c r="S15" s="369"/>
      <c r="T15" s="369"/>
      <c r="U15" s="369"/>
      <c r="V15" s="369"/>
      <c r="W15" s="369"/>
      <c r="X15" s="369"/>
      <c r="Y15" s="369"/>
      <c r="Z15" s="369"/>
      <c r="AA15" s="369"/>
      <c r="AB15" s="369"/>
    </row>
    <row r="16" spans="1:28" ht="14" x14ac:dyDescent="0.3">
      <c r="A16" s="151">
        <f>IF(C16&lt;&gt;"",COUNTA($C$12:C16),"")</f>
        <v>4</v>
      </c>
      <c r="B16" s="151"/>
      <c r="C16" s="371">
        <v>300</v>
      </c>
      <c r="D16" s="409">
        <f>+C16*400</f>
        <v>120000</v>
      </c>
      <c r="E16" s="372">
        <f t="shared" ref="E16:E22" si="0">ROUND($G$45+IF($C16&lt;=100,SUM($G$46,$G$48),($C16-100)*SUM($G$47,$G$49)+SUM($G$46,$G$48))+$D16*SUM($G$50:$G$65,$G$66:$G$68),2)</f>
        <v>5501.45</v>
      </c>
      <c r="F16" s="372">
        <f t="shared" ref="F16:F22" si="1">ROUND($G$69*$D16,2)</f>
        <v>15912</v>
      </c>
      <c r="G16" s="372">
        <f t="shared" ref="G16:G22" si="2">SUM(E16:F16)</f>
        <v>21413.45</v>
      </c>
      <c r="H16" s="373"/>
      <c r="I16" s="372">
        <f t="shared" ref="I16:I22" si="3">ROUND($I$45+IF($C16&lt;=100,SUM($I$46,$I$48),($C16-100)*SUM($I$47,$I$49)+SUM($I$46,$I$48))+$D16*SUM($I$50:$I$65,$I$66:$I$68),2)</f>
        <v>5527.53</v>
      </c>
      <c r="J16" s="372">
        <f t="shared" ref="J16:J22" si="4">ROUND($I$69*$D16,2)</f>
        <v>20718</v>
      </c>
      <c r="K16" s="372">
        <f t="shared" ref="K16:K22" si="5">SUM(I16:J16)</f>
        <v>26245.53</v>
      </c>
      <c r="L16" s="374"/>
      <c r="M16" s="375">
        <f t="shared" ref="M16:M22" si="6">+K16-G16</f>
        <v>4832.0799999999981</v>
      </c>
      <c r="N16" s="376">
        <f t="shared" ref="N16:N22" si="7">+M16/G16</f>
        <v>0.22565630479908647</v>
      </c>
      <c r="O16" s="339"/>
      <c r="P16" s="339"/>
      <c r="Q16" s="339"/>
      <c r="R16" s="339"/>
      <c r="S16" s="339"/>
      <c r="T16" s="339"/>
      <c r="U16" s="339"/>
      <c r="V16" s="339"/>
      <c r="W16" s="339"/>
      <c r="X16" s="339"/>
      <c r="Y16" s="339"/>
      <c r="Z16" s="339"/>
      <c r="AA16" s="339"/>
      <c r="AB16" s="339"/>
    </row>
    <row r="17" spans="1:28" ht="14" x14ac:dyDescent="0.3">
      <c r="A17" s="151">
        <f>IF(C17&lt;&gt;"",COUNTA($C$12:C17),"")</f>
        <v>5</v>
      </c>
      <c r="B17" s="151"/>
      <c r="C17" s="371">
        <v>500</v>
      </c>
      <c r="D17" s="409">
        <f t="shared" ref="D17:D22" si="8">+C17*400</f>
        <v>200000</v>
      </c>
      <c r="E17" s="372">
        <f t="shared" si="0"/>
        <v>9638.65</v>
      </c>
      <c r="F17" s="372">
        <f t="shared" si="1"/>
        <v>26520</v>
      </c>
      <c r="G17" s="372">
        <f t="shared" si="2"/>
        <v>36158.65</v>
      </c>
      <c r="H17" s="373"/>
      <c r="I17" s="372">
        <f t="shared" si="3"/>
        <v>9677.5300000000007</v>
      </c>
      <c r="J17" s="372">
        <f t="shared" si="4"/>
        <v>34530</v>
      </c>
      <c r="K17" s="372">
        <f t="shared" si="5"/>
        <v>44207.53</v>
      </c>
      <c r="L17" s="374"/>
      <c r="M17" s="375">
        <f t="shared" si="6"/>
        <v>8048.8799999999974</v>
      </c>
      <c r="N17" s="376">
        <f t="shared" si="7"/>
        <v>0.2225990184921173</v>
      </c>
      <c r="O17" s="339"/>
      <c r="P17" s="339"/>
      <c r="Q17" s="339"/>
      <c r="R17" s="339"/>
      <c r="S17" s="339"/>
      <c r="T17" s="339"/>
      <c r="U17" s="322"/>
      <c r="V17" s="339"/>
      <c r="W17" s="339"/>
      <c r="X17" s="339"/>
      <c r="Y17" s="339"/>
      <c r="Z17" s="339"/>
      <c r="AA17" s="339"/>
      <c r="AB17" s="339"/>
    </row>
    <row r="18" spans="1:28" ht="14" x14ac:dyDescent="0.3">
      <c r="A18" s="151">
        <f>IF(C18&lt;&gt;"",COUNTA($C$12:C18),"")</f>
        <v>6</v>
      </c>
      <c r="B18" s="151"/>
      <c r="C18" s="371">
        <v>1000</v>
      </c>
      <c r="D18" s="409">
        <f t="shared" si="8"/>
        <v>400000</v>
      </c>
      <c r="E18" s="372">
        <f t="shared" si="0"/>
        <v>19981.650000000001</v>
      </c>
      <c r="F18" s="372">
        <f t="shared" si="1"/>
        <v>53040</v>
      </c>
      <c r="G18" s="372">
        <f t="shared" si="2"/>
        <v>73021.649999999994</v>
      </c>
      <c r="H18" s="373"/>
      <c r="I18" s="372">
        <f t="shared" si="3"/>
        <v>20052.53</v>
      </c>
      <c r="J18" s="372">
        <f t="shared" si="4"/>
        <v>69060</v>
      </c>
      <c r="K18" s="372">
        <f t="shared" si="5"/>
        <v>89112.53</v>
      </c>
      <c r="L18" s="374"/>
      <c r="M18" s="375">
        <f t="shared" si="6"/>
        <v>16090.880000000005</v>
      </c>
      <c r="N18" s="376">
        <f t="shared" si="7"/>
        <v>0.22035766104983942</v>
      </c>
      <c r="O18" s="339"/>
      <c r="P18" s="339"/>
      <c r="Q18" s="339"/>
      <c r="R18" s="339"/>
      <c r="S18" s="339"/>
      <c r="T18" s="339"/>
      <c r="U18" s="322"/>
      <c r="V18" s="339"/>
      <c r="W18" s="339"/>
      <c r="X18" s="339"/>
      <c r="Y18" s="339"/>
      <c r="Z18" s="339"/>
      <c r="AA18" s="339"/>
      <c r="AB18" s="339"/>
    </row>
    <row r="19" spans="1:28" ht="14" x14ac:dyDescent="0.3">
      <c r="A19" s="151">
        <f>IF(C19&lt;&gt;"",COUNTA($C$12:C19),"")</f>
        <v>7</v>
      </c>
      <c r="B19" s="151"/>
      <c r="C19" s="371">
        <v>2000</v>
      </c>
      <c r="D19" s="409">
        <f t="shared" si="8"/>
        <v>800000</v>
      </c>
      <c r="E19" s="372">
        <f t="shared" si="0"/>
        <v>40667.65</v>
      </c>
      <c r="F19" s="372">
        <f t="shared" si="1"/>
        <v>106080</v>
      </c>
      <c r="G19" s="372">
        <f t="shared" si="2"/>
        <v>146747.65</v>
      </c>
      <c r="H19" s="373"/>
      <c r="I19" s="372">
        <f t="shared" si="3"/>
        <v>40802.53</v>
      </c>
      <c r="J19" s="372">
        <f t="shared" si="4"/>
        <v>138120</v>
      </c>
      <c r="K19" s="372">
        <f t="shared" si="5"/>
        <v>178922.53</v>
      </c>
      <c r="L19" s="374"/>
      <c r="M19" s="375">
        <f t="shared" si="6"/>
        <v>32174.880000000005</v>
      </c>
      <c r="N19" s="376">
        <f t="shared" si="7"/>
        <v>0.21925311921519702</v>
      </c>
      <c r="O19" s="339"/>
      <c r="P19" s="339"/>
      <c r="Q19" s="339"/>
      <c r="R19" s="339"/>
      <c r="S19" s="339"/>
      <c r="T19" s="339"/>
      <c r="U19" s="322"/>
      <c r="V19" s="339"/>
      <c r="W19" s="339"/>
      <c r="X19" s="339"/>
      <c r="Y19" s="339"/>
      <c r="Z19" s="339"/>
      <c r="AA19" s="339"/>
      <c r="AB19" s="339"/>
    </row>
    <row r="20" spans="1:28" ht="14" x14ac:dyDescent="0.3">
      <c r="A20" s="151">
        <f>IF(C20&lt;&gt;"",COUNTA($C$12:C20),"")</f>
        <v>8</v>
      </c>
      <c r="B20" s="151"/>
      <c r="C20" s="409">
        <v>3000</v>
      </c>
      <c r="D20" s="409">
        <f t="shared" si="8"/>
        <v>1200000</v>
      </c>
      <c r="E20" s="372">
        <f t="shared" si="0"/>
        <v>61353.65</v>
      </c>
      <c r="F20" s="372">
        <f t="shared" si="1"/>
        <v>159120</v>
      </c>
      <c r="G20" s="372">
        <f t="shared" si="2"/>
        <v>220473.65</v>
      </c>
      <c r="H20" s="373"/>
      <c r="I20" s="372">
        <f t="shared" si="3"/>
        <v>61552.53</v>
      </c>
      <c r="J20" s="372">
        <f t="shared" si="4"/>
        <v>207180</v>
      </c>
      <c r="K20" s="372">
        <f t="shared" si="5"/>
        <v>268732.53000000003</v>
      </c>
      <c r="L20" s="374"/>
      <c r="M20" s="375">
        <f t="shared" si="6"/>
        <v>48258.880000000034</v>
      </c>
      <c r="N20" s="376">
        <f t="shared" si="7"/>
        <v>0.2188872910663022</v>
      </c>
      <c r="O20" s="339"/>
      <c r="P20" s="339"/>
      <c r="Q20" s="339"/>
      <c r="R20" s="339"/>
      <c r="S20" s="339"/>
      <c r="T20" s="339"/>
      <c r="U20" s="322"/>
      <c r="V20" s="339"/>
      <c r="W20" s="339"/>
      <c r="X20" s="339"/>
      <c r="Y20" s="339"/>
      <c r="Z20" s="339"/>
      <c r="AA20" s="339"/>
      <c r="AB20" s="339"/>
    </row>
    <row r="21" spans="1:28" ht="14" x14ac:dyDescent="0.3">
      <c r="A21" s="151">
        <f>IF(C21&lt;&gt;"",COUNTA($C$12:C21),"")</f>
        <v>9</v>
      </c>
      <c r="B21" s="151"/>
      <c r="C21" s="409">
        <v>5000</v>
      </c>
      <c r="D21" s="409">
        <f t="shared" si="8"/>
        <v>2000000</v>
      </c>
      <c r="E21" s="372">
        <f t="shared" si="0"/>
        <v>102725.65</v>
      </c>
      <c r="F21" s="372">
        <f t="shared" si="1"/>
        <v>265200</v>
      </c>
      <c r="G21" s="372">
        <f t="shared" si="2"/>
        <v>367925.65</v>
      </c>
      <c r="H21" s="373"/>
      <c r="I21" s="372">
        <f t="shared" si="3"/>
        <v>103052.53</v>
      </c>
      <c r="J21" s="372">
        <f t="shared" si="4"/>
        <v>345300</v>
      </c>
      <c r="K21" s="372">
        <f t="shared" si="5"/>
        <v>448352.53</v>
      </c>
      <c r="L21" s="374"/>
      <c r="M21" s="375">
        <f t="shared" si="6"/>
        <v>80426.880000000005</v>
      </c>
      <c r="N21" s="376">
        <f t="shared" si="7"/>
        <v>0.2185954689486857</v>
      </c>
      <c r="O21" s="339"/>
      <c r="P21" s="339"/>
      <c r="Q21" s="339"/>
      <c r="R21" s="339"/>
      <c r="S21" s="339"/>
      <c r="T21" s="339"/>
      <c r="U21" s="322"/>
      <c r="V21" s="339"/>
      <c r="W21" s="339"/>
      <c r="X21" s="339"/>
      <c r="Y21" s="339"/>
      <c r="Z21" s="339"/>
      <c r="AA21" s="339"/>
      <c r="AB21" s="339"/>
    </row>
    <row r="22" spans="1:28" ht="14" x14ac:dyDescent="0.3">
      <c r="A22" s="151">
        <f>IF(C22&lt;&gt;"",COUNTA($C$12:C22),"")</f>
        <v>10</v>
      </c>
      <c r="B22" s="151" t="s">
        <v>554</v>
      </c>
      <c r="C22" s="409">
        <v>802</v>
      </c>
      <c r="D22" s="409">
        <f t="shared" si="8"/>
        <v>320800</v>
      </c>
      <c r="E22" s="372">
        <f t="shared" si="0"/>
        <v>15885.82</v>
      </c>
      <c r="F22" s="372">
        <f t="shared" si="1"/>
        <v>42538.080000000002</v>
      </c>
      <c r="G22" s="372">
        <f t="shared" si="2"/>
        <v>58423.9</v>
      </c>
      <c r="H22" s="373"/>
      <c r="I22" s="372">
        <f t="shared" si="3"/>
        <v>15944.03</v>
      </c>
      <c r="J22" s="372">
        <f t="shared" si="4"/>
        <v>55386.12</v>
      </c>
      <c r="K22" s="372">
        <f t="shared" si="5"/>
        <v>71330.150000000009</v>
      </c>
      <c r="L22" s="374"/>
      <c r="M22" s="375">
        <f t="shared" si="6"/>
        <v>12906.250000000007</v>
      </c>
      <c r="N22" s="376">
        <f t="shared" si="7"/>
        <v>0.22090702606296408</v>
      </c>
      <c r="O22" s="339"/>
      <c r="P22" s="339"/>
      <c r="Q22" s="339"/>
      <c r="R22" s="339"/>
      <c r="S22" s="339"/>
      <c r="T22" s="339"/>
      <c r="U22" s="322"/>
      <c r="V22" s="339"/>
      <c r="W22" s="339"/>
      <c r="X22" s="339"/>
      <c r="Y22" s="339"/>
      <c r="Z22" s="339"/>
      <c r="AA22" s="339"/>
      <c r="AB22" s="339"/>
    </row>
    <row r="23" spans="1:28" ht="14" x14ac:dyDescent="0.3">
      <c r="A23" s="151" t="str">
        <f>IF(C23&lt;&gt;"",COUNTA($C$12:C23),"")</f>
        <v/>
      </c>
      <c r="B23" s="151"/>
      <c r="C23" s="493"/>
      <c r="D23" s="493"/>
      <c r="E23" s="489"/>
      <c r="F23" s="489"/>
      <c r="G23" s="489"/>
      <c r="H23" s="494"/>
      <c r="I23" s="489"/>
      <c r="J23" s="489"/>
      <c r="K23" s="489"/>
      <c r="L23" s="495"/>
      <c r="M23" s="497"/>
      <c r="O23" s="339"/>
      <c r="P23" s="339"/>
      <c r="Q23" s="339"/>
      <c r="R23" s="339"/>
      <c r="S23" s="339"/>
      <c r="T23" s="339"/>
      <c r="U23" s="322"/>
      <c r="V23" s="339"/>
      <c r="W23" s="339"/>
      <c r="X23" s="339"/>
      <c r="Y23" s="339"/>
      <c r="Z23" s="339"/>
      <c r="AA23" s="339"/>
      <c r="AB23" s="339"/>
    </row>
    <row r="24" spans="1:28" ht="14" x14ac:dyDescent="0.3">
      <c r="A24" s="151">
        <f>IF(C24&lt;&gt;"",COUNTA($C$12:C24),"")</f>
        <v>11</v>
      </c>
      <c r="B24" s="151"/>
      <c r="C24" s="496" t="s">
        <v>591</v>
      </c>
      <c r="D24" s="493"/>
      <c r="E24" s="489"/>
      <c r="F24" s="489"/>
      <c r="G24" s="489"/>
      <c r="H24" s="494"/>
      <c r="I24" s="489"/>
      <c r="J24" s="489"/>
      <c r="K24" s="489"/>
      <c r="L24" s="495"/>
      <c r="M24" s="497"/>
      <c r="O24" s="339"/>
      <c r="P24" s="339"/>
      <c r="Q24" s="339"/>
      <c r="R24" s="339"/>
      <c r="S24" s="339"/>
      <c r="T24" s="339"/>
      <c r="U24" s="322"/>
      <c r="V24" s="339"/>
      <c r="W24" s="339"/>
      <c r="X24" s="339"/>
      <c r="Y24" s="339"/>
      <c r="Z24" s="339"/>
      <c r="AA24" s="339"/>
      <c r="AB24" s="339"/>
    </row>
    <row r="25" spans="1:28" ht="14" x14ac:dyDescent="0.3">
      <c r="A25" s="151">
        <f>IF(C25&lt;&gt;"",COUNTA($C$12:C25),"")</f>
        <v>12</v>
      </c>
      <c r="B25" s="151"/>
      <c r="C25" s="409">
        <f t="shared" ref="C25:C30" si="9">+C16</f>
        <v>300</v>
      </c>
      <c r="D25" s="409">
        <f>+C25*500</f>
        <v>150000</v>
      </c>
      <c r="E25" s="372">
        <f t="shared" ref="E25:E31" si="10">ROUND($G$45+IF($C25&lt;=100,SUM($G$46,$G$48),($C25-100)*SUM($G$47,$G$49)+SUM($G$46,$G$48))+$D25*SUM($G$50:$G$65,$G$66:$G$68),2)</f>
        <v>6093.65</v>
      </c>
      <c r="F25" s="372">
        <f t="shared" ref="F25:F31" si="11">ROUND($G$69*$D25,2)</f>
        <v>19890</v>
      </c>
      <c r="G25" s="372">
        <f t="shared" ref="G25:G31" si="12">SUM(E25:F25)</f>
        <v>25983.65</v>
      </c>
      <c r="H25" s="373"/>
      <c r="I25" s="372">
        <f t="shared" ref="I25:I31" si="13">ROUND($I$45+IF($C25&lt;=100,SUM($I$46,$I$48),($C25-100)*SUM($I$47,$I$49)+SUM($I$46,$I$48))+$D25*SUM($I$50:$I$65,$I$66:$I$68),2)</f>
        <v>6135.03</v>
      </c>
      <c r="J25" s="372">
        <f t="shared" ref="J25:J31" si="14">ROUND($I$69*$D25,2)</f>
        <v>25897.5</v>
      </c>
      <c r="K25" s="372">
        <f t="shared" ref="K25:K31" si="15">SUM(I25:J25)</f>
        <v>32032.53</v>
      </c>
      <c r="L25" s="374"/>
      <c r="M25" s="375">
        <f t="shared" ref="M25:M31" si="16">+K25-G25</f>
        <v>6048.8799999999974</v>
      </c>
      <c r="N25" s="376">
        <f t="shared" ref="N25:N31" si="17">+M25/G25</f>
        <v>0.23279562340163901</v>
      </c>
      <c r="O25" s="339"/>
      <c r="P25" s="339"/>
      <c r="Q25" s="339"/>
      <c r="R25" s="339"/>
      <c r="S25" s="339"/>
      <c r="T25" s="339"/>
      <c r="U25" s="499"/>
      <c r="V25" s="339"/>
      <c r="W25" s="339"/>
      <c r="X25" s="339"/>
      <c r="Y25" s="339"/>
      <c r="Z25" s="339"/>
    </row>
    <row r="26" spans="1:28" ht="14" x14ac:dyDescent="0.3">
      <c r="A26" s="151">
        <f>IF(C26&lt;&gt;"",COUNTA($C$12:C26),"")</f>
        <v>13</v>
      </c>
      <c r="B26" s="151"/>
      <c r="C26" s="409">
        <f t="shared" si="9"/>
        <v>500</v>
      </c>
      <c r="D26" s="409">
        <f t="shared" ref="D26:D29" si="18">+C26*500</f>
        <v>250000</v>
      </c>
      <c r="E26" s="372">
        <f t="shared" si="10"/>
        <v>10625.65</v>
      </c>
      <c r="F26" s="372">
        <f t="shared" si="11"/>
        <v>33150</v>
      </c>
      <c r="G26" s="372">
        <f t="shared" si="12"/>
        <v>43775.65</v>
      </c>
      <c r="H26" s="373"/>
      <c r="I26" s="372">
        <f t="shared" si="13"/>
        <v>10690.03</v>
      </c>
      <c r="J26" s="372">
        <f t="shared" si="14"/>
        <v>43162.5</v>
      </c>
      <c r="K26" s="372">
        <f t="shared" si="15"/>
        <v>53852.53</v>
      </c>
      <c r="L26" s="374"/>
      <c r="M26" s="375">
        <f t="shared" si="16"/>
        <v>10076.879999999997</v>
      </c>
      <c r="N26" s="376">
        <f t="shared" si="17"/>
        <v>0.23019372642096683</v>
      </c>
      <c r="O26" s="339"/>
      <c r="P26" s="339"/>
      <c r="Q26" s="339"/>
      <c r="R26" s="339"/>
      <c r="S26" s="339"/>
      <c r="T26" s="339"/>
      <c r="U26" s="322"/>
      <c r="V26" s="339"/>
      <c r="W26" s="339"/>
      <c r="X26" s="339"/>
      <c r="Y26" s="339"/>
      <c r="Z26" s="339"/>
      <c r="AA26" s="339"/>
      <c r="AB26" s="339"/>
    </row>
    <row r="27" spans="1:28" ht="14" x14ac:dyDescent="0.3">
      <c r="A27" s="151">
        <f>IF(C27&lt;&gt;"",COUNTA($C$12:C27),"")</f>
        <v>14</v>
      </c>
      <c r="B27" s="151"/>
      <c r="C27" s="409">
        <f t="shared" si="9"/>
        <v>1000</v>
      </c>
      <c r="D27" s="409">
        <f t="shared" si="18"/>
        <v>500000</v>
      </c>
      <c r="E27" s="372">
        <f t="shared" si="10"/>
        <v>21955.65</v>
      </c>
      <c r="F27" s="372">
        <f t="shared" si="11"/>
        <v>66300</v>
      </c>
      <c r="G27" s="372">
        <f t="shared" si="12"/>
        <v>88255.65</v>
      </c>
      <c r="H27" s="373"/>
      <c r="I27" s="372">
        <f t="shared" si="13"/>
        <v>22077.53</v>
      </c>
      <c r="J27" s="372">
        <f t="shared" si="14"/>
        <v>86325</v>
      </c>
      <c r="K27" s="372">
        <f t="shared" si="15"/>
        <v>108402.53</v>
      </c>
      <c r="L27" s="374"/>
      <c r="M27" s="375">
        <f t="shared" si="16"/>
        <v>20146.880000000005</v>
      </c>
      <c r="N27" s="376">
        <f t="shared" si="17"/>
        <v>0.22827864278377652</v>
      </c>
      <c r="O27" s="339"/>
      <c r="P27" s="339"/>
      <c r="Q27" s="339"/>
      <c r="R27" s="339"/>
      <c r="S27" s="339"/>
      <c r="T27" s="339"/>
      <c r="U27" s="322"/>
      <c r="V27" s="339"/>
      <c r="W27" s="339"/>
      <c r="X27" s="339"/>
      <c r="Y27" s="339"/>
      <c r="Z27" s="339"/>
      <c r="AA27" s="339"/>
      <c r="AB27" s="339"/>
    </row>
    <row r="28" spans="1:28" ht="14" x14ac:dyDescent="0.3">
      <c r="A28" s="151">
        <f>IF(C28&lt;&gt;"",COUNTA($C$12:C28),"")</f>
        <v>15</v>
      </c>
      <c r="B28" s="151"/>
      <c r="C28" s="409">
        <f t="shared" si="9"/>
        <v>2000</v>
      </c>
      <c r="D28" s="409">
        <f t="shared" si="18"/>
        <v>1000000</v>
      </c>
      <c r="E28" s="372">
        <f t="shared" si="10"/>
        <v>44615.65</v>
      </c>
      <c r="F28" s="372">
        <f t="shared" si="11"/>
        <v>132600</v>
      </c>
      <c r="G28" s="372">
        <f t="shared" si="12"/>
        <v>177215.65</v>
      </c>
      <c r="H28" s="373"/>
      <c r="I28" s="372">
        <f t="shared" si="13"/>
        <v>44852.53</v>
      </c>
      <c r="J28" s="372">
        <f t="shared" si="14"/>
        <v>172650</v>
      </c>
      <c r="K28" s="372">
        <f t="shared" si="15"/>
        <v>217502.53</v>
      </c>
      <c r="L28" s="374"/>
      <c r="M28" s="375">
        <f t="shared" si="16"/>
        <v>40286.880000000005</v>
      </c>
      <c r="N28" s="376">
        <f t="shared" si="17"/>
        <v>0.22733251831878282</v>
      </c>
      <c r="O28" s="339"/>
      <c r="P28" s="339"/>
      <c r="Q28" s="339"/>
      <c r="R28" s="339"/>
      <c r="S28" s="339"/>
      <c r="T28" s="339"/>
      <c r="U28" s="322"/>
      <c r="V28" s="339"/>
      <c r="W28" s="339"/>
      <c r="X28" s="339"/>
      <c r="Y28" s="339"/>
      <c r="Z28" s="339"/>
      <c r="AA28" s="339"/>
      <c r="AB28" s="339"/>
    </row>
    <row r="29" spans="1:28" ht="14" x14ac:dyDescent="0.3">
      <c r="A29" s="151">
        <f>IF(C29&lt;&gt;"",COUNTA($C$12:C29),"")</f>
        <v>16</v>
      </c>
      <c r="B29" s="151"/>
      <c r="C29" s="409">
        <f t="shared" si="9"/>
        <v>3000</v>
      </c>
      <c r="D29" s="409">
        <f t="shared" si="18"/>
        <v>1500000</v>
      </c>
      <c r="E29" s="372">
        <f t="shared" si="10"/>
        <v>67275.649999999994</v>
      </c>
      <c r="F29" s="372">
        <f t="shared" si="11"/>
        <v>198900</v>
      </c>
      <c r="G29" s="372">
        <f t="shared" si="12"/>
        <v>266175.65000000002</v>
      </c>
      <c r="H29" s="373"/>
      <c r="I29" s="372">
        <f t="shared" si="13"/>
        <v>67627.53</v>
      </c>
      <c r="J29" s="372">
        <f t="shared" si="14"/>
        <v>258975</v>
      </c>
      <c r="K29" s="372">
        <f t="shared" si="15"/>
        <v>326602.53000000003</v>
      </c>
      <c r="L29" s="374"/>
      <c r="M29" s="375">
        <f t="shared" si="16"/>
        <v>60426.880000000005</v>
      </c>
      <c r="N29" s="376">
        <f t="shared" si="17"/>
        <v>0.22701881257733381</v>
      </c>
      <c r="O29" s="339"/>
      <c r="P29" s="339"/>
      <c r="Q29" s="339"/>
      <c r="R29" s="339"/>
      <c r="S29" s="339"/>
      <c r="T29" s="339"/>
      <c r="U29" s="322"/>
      <c r="V29" s="339"/>
      <c r="W29" s="339"/>
      <c r="X29" s="339"/>
      <c r="Y29" s="339"/>
      <c r="Z29" s="339"/>
      <c r="AA29" s="339"/>
      <c r="AB29" s="339"/>
    </row>
    <row r="30" spans="1:28" ht="14" x14ac:dyDescent="0.3">
      <c r="A30" s="151">
        <f>IF(C30&lt;&gt;"",COUNTA($C$12:C30),"")</f>
        <v>17</v>
      </c>
      <c r="B30" s="151"/>
      <c r="C30" s="409">
        <f t="shared" si="9"/>
        <v>5000</v>
      </c>
      <c r="D30" s="409">
        <f>+C30*500</f>
        <v>2500000</v>
      </c>
      <c r="E30" s="372">
        <f t="shared" si="10"/>
        <v>112595.65</v>
      </c>
      <c r="F30" s="372">
        <f t="shared" si="11"/>
        <v>331500</v>
      </c>
      <c r="G30" s="372">
        <f t="shared" si="12"/>
        <v>444095.65</v>
      </c>
      <c r="H30" s="373"/>
      <c r="I30" s="372">
        <f t="shared" si="13"/>
        <v>113177.53</v>
      </c>
      <c r="J30" s="372">
        <f t="shared" si="14"/>
        <v>431625</v>
      </c>
      <c r="K30" s="372">
        <f t="shared" si="15"/>
        <v>544802.53</v>
      </c>
      <c r="L30" s="374"/>
      <c r="M30" s="375">
        <f t="shared" si="16"/>
        <v>100706.88</v>
      </c>
      <c r="N30" s="376">
        <f t="shared" si="17"/>
        <v>0.22676844504106267</v>
      </c>
      <c r="O30" s="339"/>
      <c r="P30" s="339"/>
      <c r="Q30" s="339"/>
      <c r="R30" s="339"/>
      <c r="S30" s="339"/>
      <c r="T30" s="339"/>
      <c r="U30" s="322"/>
      <c r="V30" s="339"/>
      <c r="W30" s="339"/>
      <c r="X30" s="339"/>
      <c r="Y30" s="339"/>
      <c r="Z30" s="339"/>
      <c r="AA30" s="339"/>
      <c r="AB30" s="339"/>
    </row>
    <row r="31" spans="1:28" ht="14" x14ac:dyDescent="0.3">
      <c r="A31" s="151">
        <f>IF(C31&lt;&gt;"",COUNTA($C$12:C31),"")</f>
        <v>18</v>
      </c>
      <c r="B31" s="151" t="s">
        <v>554</v>
      </c>
      <c r="C31" s="409">
        <v>1170</v>
      </c>
      <c r="D31" s="409">
        <f>+C31*500</f>
        <v>585000</v>
      </c>
      <c r="E31" s="372">
        <f t="shared" si="10"/>
        <v>25807.85</v>
      </c>
      <c r="F31" s="372">
        <f t="shared" si="11"/>
        <v>77571</v>
      </c>
      <c r="G31" s="372">
        <f t="shared" si="12"/>
        <v>103378.85</v>
      </c>
      <c r="H31" s="373"/>
      <c r="I31" s="372">
        <f t="shared" si="13"/>
        <v>25949.279999999999</v>
      </c>
      <c r="J31" s="372">
        <f t="shared" si="14"/>
        <v>101000.25</v>
      </c>
      <c r="K31" s="372">
        <f t="shared" si="15"/>
        <v>126949.53</v>
      </c>
      <c r="L31" s="374"/>
      <c r="M31" s="375">
        <f t="shared" si="16"/>
        <v>23570.679999999993</v>
      </c>
      <c r="N31" s="376">
        <f t="shared" si="17"/>
        <v>0.22800292322849394</v>
      </c>
      <c r="O31" s="339"/>
      <c r="P31" s="339"/>
      <c r="Q31" s="339"/>
      <c r="R31" s="339"/>
      <c r="S31" s="339"/>
      <c r="T31" s="339"/>
      <c r="U31" s="322"/>
      <c r="V31" s="339"/>
      <c r="W31" s="339"/>
      <c r="X31" s="339"/>
      <c r="Y31" s="339"/>
      <c r="Z31" s="339"/>
      <c r="AA31" s="339"/>
      <c r="AB31" s="339"/>
    </row>
    <row r="32" spans="1:28" ht="14" x14ac:dyDescent="0.3">
      <c r="A32" s="151" t="str">
        <f>IF(C32&lt;&gt;"",COUNTA($C$12:C32),"")</f>
        <v/>
      </c>
      <c r="B32" s="151"/>
      <c r="C32" s="493"/>
      <c r="D32" s="493"/>
      <c r="E32" s="489"/>
      <c r="F32" s="489"/>
      <c r="G32" s="489"/>
      <c r="H32" s="494"/>
      <c r="I32" s="489"/>
      <c r="J32" s="489"/>
      <c r="K32" s="489"/>
      <c r="L32" s="495"/>
      <c r="M32" s="497"/>
      <c r="O32" s="339"/>
      <c r="P32" s="339"/>
      <c r="Q32" s="339"/>
      <c r="R32" s="339"/>
      <c r="S32" s="339"/>
      <c r="T32" s="339"/>
      <c r="U32" s="322"/>
      <c r="V32" s="339"/>
      <c r="W32" s="339"/>
      <c r="X32" s="339"/>
      <c r="Y32" s="339"/>
      <c r="Z32" s="339"/>
      <c r="AA32" s="339"/>
      <c r="AB32" s="339"/>
    </row>
    <row r="33" spans="1:28" ht="14" x14ac:dyDescent="0.3">
      <c r="A33" s="151">
        <f>IF(C33&lt;&gt;"",COUNTA($C$12:C33),"")</f>
        <v>19</v>
      </c>
      <c r="B33" s="151"/>
      <c r="C33" s="496" t="s">
        <v>597</v>
      </c>
      <c r="D33" s="493"/>
      <c r="E33" s="489"/>
      <c r="F33" s="489"/>
      <c r="G33" s="489"/>
      <c r="H33" s="494"/>
      <c r="I33" s="489"/>
      <c r="J33" s="489"/>
      <c r="K33" s="489"/>
      <c r="L33" s="495"/>
      <c r="M33" s="497"/>
      <c r="O33" s="339"/>
      <c r="P33" s="339"/>
      <c r="Q33" s="339"/>
      <c r="R33" s="339"/>
      <c r="S33" s="339"/>
      <c r="T33" s="339"/>
      <c r="U33" s="322"/>
      <c r="V33" s="339"/>
      <c r="W33" s="339"/>
      <c r="X33" s="339"/>
      <c r="Y33" s="339"/>
      <c r="Z33" s="339"/>
      <c r="AA33" s="339"/>
      <c r="AB33" s="339"/>
    </row>
    <row r="34" spans="1:28" ht="14" x14ac:dyDescent="0.3">
      <c r="A34" s="151">
        <f>IF(C34&lt;&gt;"",COUNTA($C$12:C34),"")</f>
        <v>20</v>
      </c>
      <c r="B34" s="151"/>
      <c r="C34" s="409">
        <f t="shared" ref="C34:C39" si="19">+C25</f>
        <v>300</v>
      </c>
      <c r="D34" s="409">
        <f>+C34*600</f>
        <v>180000</v>
      </c>
      <c r="E34" s="372">
        <f t="shared" ref="E34:E40" si="20">ROUND($G$45+IF($C34&lt;=100,SUM($G$46,$G$48),($C34-100)*SUM($G$47,$G$49)+SUM($G$46,$G$48))+$D34*SUM($G$50:$G$65,$G$66:$G$68),2)</f>
        <v>6685.85</v>
      </c>
      <c r="F34" s="372">
        <f t="shared" ref="F34:F40" si="21">ROUND($G$69*$D34,2)</f>
        <v>23868</v>
      </c>
      <c r="G34" s="372">
        <f t="shared" ref="G34:G40" si="22">SUM(E34:F34)</f>
        <v>30553.85</v>
      </c>
      <c r="H34" s="373"/>
      <c r="I34" s="372">
        <f t="shared" ref="I34:I40" si="23">ROUND($I$45+IF($C34&lt;=100,SUM($I$46,$I$48),($C34-100)*SUM($I$47,$I$49)+SUM($I$46,$I$48))+$D34*SUM($I$50:$I$65,$I$66:$I$68),2)</f>
        <v>6742.53</v>
      </c>
      <c r="J34" s="372">
        <f t="shared" ref="J34:J40" si="24">ROUND($I$69*$D34,2)</f>
        <v>31077</v>
      </c>
      <c r="K34" s="372">
        <f t="shared" ref="K34:K40" si="25">SUM(I34:J34)</f>
        <v>37819.53</v>
      </c>
      <c r="L34" s="374"/>
      <c r="M34" s="375">
        <f t="shared" ref="M34:M40" si="26">+K34-G34</f>
        <v>7265.68</v>
      </c>
      <c r="N34" s="376">
        <f t="shared" ref="N34:N40" si="27">+M34/G34</f>
        <v>0.23779916442608709</v>
      </c>
      <c r="O34" s="339"/>
      <c r="P34" s="339"/>
      <c r="Q34" s="339"/>
      <c r="R34" s="339"/>
      <c r="S34" s="339"/>
      <c r="T34" s="339"/>
      <c r="U34" s="322"/>
      <c r="V34" s="339"/>
      <c r="W34" s="339"/>
      <c r="X34" s="339"/>
      <c r="Y34" s="339"/>
      <c r="Z34" s="339"/>
      <c r="AA34" s="339"/>
      <c r="AB34" s="339"/>
    </row>
    <row r="35" spans="1:28" ht="14" x14ac:dyDescent="0.3">
      <c r="A35" s="151">
        <f>IF(C35&lt;&gt;"",COUNTA($C$12:C35),"")</f>
        <v>21</v>
      </c>
      <c r="B35" s="151"/>
      <c r="C35" s="409">
        <f t="shared" si="19"/>
        <v>500</v>
      </c>
      <c r="D35" s="409">
        <f t="shared" ref="D35:D40" si="28">+C35*600</f>
        <v>300000</v>
      </c>
      <c r="E35" s="372">
        <f t="shared" si="20"/>
        <v>11612.65</v>
      </c>
      <c r="F35" s="372">
        <f t="shared" si="21"/>
        <v>39780</v>
      </c>
      <c r="G35" s="372">
        <f t="shared" si="22"/>
        <v>51392.65</v>
      </c>
      <c r="H35" s="373"/>
      <c r="I35" s="372">
        <f t="shared" si="23"/>
        <v>11702.53</v>
      </c>
      <c r="J35" s="372">
        <f t="shared" si="24"/>
        <v>51795</v>
      </c>
      <c r="K35" s="372">
        <f t="shared" si="25"/>
        <v>63497.53</v>
      </c>
      <c r="L35" s="374"/>
      <c r="M35" s="375">
        <f t="shared" si="26"/>
        <v>12104.879999999997</v>
      </c>
      <c r="N35" s="376">
        <f t="shared" si="27"/>
        <v>0.23553718284618513</v>
      </c>
      <c r="O35" s="339"/>
      <c r="P35" s="339"/>
      <c r="Q35" s="339"/>
      <c r="R35" s="339"/>
      <c r="S35" s="339"/>
      <c r="T35" s="339"/>
      <c r="U35" s="322"/>
      <c r="V35" s="339"/>
      <c r="W35" s="339"/>
      <c r="X35" s="339"/>
      <c r="Y35" s="339"/>
      <c r="Z35" s="339"/>
      <c r="AA35" s="339"/>
      <c r="AB35" s="339"/>
    </row>
    <row r="36" spans="1:28" ht="14" x14ac:dyDescent="0.3">
      <c r="A36" s="151">
        <f>IF(C36&lt;&gt;"",COUNTA($C$12:C36),"")</f>
        <v>22</v>
      </c>
      <c r="B36" s="151"/>
      <c r="C36" s="409">
        <f t="shared" si="19"/>
        <v>1000</v>
      </c>
      <c r="D36" s="409">
        <f t="shared" si="28"/>
        <v>600000</v>
      </c>
      <c r="E36" s="372">
        <f t="shared" si="20"/>
        <v>23929.65</v>
      </c>
      <c r="F36" s="372">
        <f t="shared" si="21"/>
        <v>79560</v>
      </c>
      <c r="G36" s="372">
        <f t="shared" si="22"/>
        <v>103489.65</v>
      </c>
      <c r="H36" s="373"/>
      <c r="I36" s="372">
        <f t="shared" si="23"/>
        <v>24102.53</v>
      </c>
      <c r="J36" s="372">
        <f t="shared" si="24"/>
        <v>103590</v>
      </c>
      <c r="K36" s="372">
        <f t="shared" si="25"/>
        <v>127692.53</v>
      </c>
      <c r="L36" s="374"/>
      <c r="M36" s="375">
        <f t="shared" si="26"/>
        <v>24202.880000000005</v>
      </c>
      <c r="N36" s="376">
        <f t="shared" si="27"/>
        <v>0.23386763797152668</v>
      </c>
      <c r="O36" s="339"/>
      <c r="P36" s="339"/>
      <c r="Q36" s="339"/>
      <c r="R36" s="339"/>
      <c r="S36" s="339"/>
      <c r="T36" s="339"/>
      <c r="U36" s="322"/>
      <c r="V36" s="339"/>
      <c r="W36" s="339"/>
      <c r="X36" s="339"/>
      <c r="Y36" s="339"/>
      <c r="Z36" s="339"/>
      <c r="AA36" s="339"/>
      <c r="AB36" s="339"/>
    </row>
    <row r="37" spans="1:28" ht="14" x14ac:dyDescent="0.3">
      <c r="A37" s="151">
        <f>IF(C37&lt;&gt;"",COUNTA($C$12:C37),"")</f>
        <v>23</v>
      </c>
      <c r="B37" s="151"/>
      <c r="C37" s="409">
        <f t="shared" si="19"/>
        <v>2000</v>
      </c>
      <c r="D37" s="409">
        <f t="shared" si="28"/>
        <v>1200000</v>
      </c>
      <c r="E37" s="372">
        <f t="shared" si="20"/>
        <v>48563.65</v>
      </c>
      <c r="F37" s="372">
        <f t="shared" si="21"/>
        <v>159120</v>
      </c>
      <c r="G37" s="372">
        <f t="shared" si="22"/>
        <v>207683.65</v>
      </c>
      <c r="H37" s="373"/>
      <c r="I37" s="372">
        <f t="shared" si="23"/>
        <v>48902.53</v>
      </c>
      <c r="J37" s="372">
        <f t="shared" si="24"/>
        <v>207180</v>
      </c>
      <c r="K37" s="372">
        <f t="shared" si="25"/>
        <v>256082.53</v>
      </c>
      <c r="L37" s="374"/>
      <c r="M37" s="375">
        <f t="shared" si="26"/>
        <v>48398.880000000005</v>
      </c>
      <c r="N37" s="376">
        <f t="shared" si="27"/>
        <v>0.23304135881664256</v>
      </c>
      <c r="O37" s="339"/>
      <c r="P37" s="339"/>
      <c r="Q37" s="339"/>
      <c r="R37" s="339"/>
      <c r="S37" s="339"/>
      <c r="T37" s="339"/>
      <c r="U37" s="322"/>
      <c r="V37" s="339"/>
      <c r="W37" s="339"/>
      <c r="X37" s="339"/>
      <c r="Y37" s="339"/>
      <c r="Z37" s="339"/>
      <c r="AA37" s="339"/>
      <c r="AB37" s="339"/>
    </row>
    <row r="38" spans="1:28" ht="14" x14ac:dyDescent="0.3">
      <c r="A38" s="151">
        <f>IF(C38&lt;&gt;"",COUNTA($C$12:C38),"")</f>
        <v>24</v>
      </c>
      <c r="B38" s="151"/>
      <c r="C38" s="409">
        <f t="shared" si="19"/>
        <v>3000</v>
      </c>
      <c r="D38" s="409">
        <f t="shared" si="28"/>
        <v>1800000</v>
      </c>
      <c r="E38" s="372">
        <f t="shared" si="20"/>
        <v>73197.649999999994</v>
      </c>
      <c r="F38" s="372">
        <f t="shared" si="21"/>
        <v>238680</v>
      </c>
      <c r="G38" s="372">
        <f t="shared" si="22"/>
        <v>311877.65000000002</v>
      </c>
      <c r="H38" s="373"/>
      <c r="I38" s="372">
        <f t="shared" si="23"/>
        <v>73702.53</v>
      </c>
      <c r="J38" s="372">
        <f t="shared" si="24"/>
        <v>310770</v>
      </c>
      <c r="K38" s="372">
        <f t="shared" si="25"/>
        <v>384472.53</v>
      </c>
      <c r="L38" s="374"/>
      <c r="M38" s="375">
        <f t="shared" si="26"/>
        <v>72594.880000000005</v>
      </c>
      <c r="N38" s="376">
        <f t="shared" si="27"/>
        <v>0.23276717648731801</v>
      </c>
      <c r="O38" s="339"/>
      <c r="P38" s="339"/>
      <c r="Q38" s="339"/>
      <c r="R38" s="339"/>
      <c r="S38" s="339"/>
      <c r="T38" s="339"/>
      <c r="U38" s="322"/>
      <c r="V38" s="339"/>
      <c r="W38" s="339"/>
      <c r="X38" s="339"/>
      <c r="Y38" s="339"/>
      <c r="Z38" s="339"/>
      <c r="AA38" s="339"/>
      <c r="AB38" s="339"/>
    </row>
    <row r="39" spans="1:28" ht="14" x14ac:dyDescent="0.3">
      <c r="A39" s="151">
        <f>IF(C39&lt;&gt;"",COUNTA($C$12:C39),"")</f>
        <v>25</v>
      </c>
      <c r="B39" s="151"/>
      <c r="C39" s="409">
        <f t="shared" si="19"/>
        <v>5000</v>
      </c>
      <c r="D39" s="409">
        <f t="shared" si="28"/>
        <v>3000000</v>
      </c>
      <c r="E39" s="372">
        <f t="shared" si="20"/>
        <v>122465.65</v>
      </c>
      <c r="F39" s="380">
        <f t="shared" si="21"/>
        <v>397800</v>
      </c>
      <c r="G39" s="380">
        <f t="shared" si="22"/>
        <v>520265.65</v>
      </c>
      <c r="H39" s="381"/>
      <c r="I39" s="372">
        <f t="shared" si="23"/>
        <v>123302.53</v>
      </c>
      <c r="J39" s="380">
        <f t="shared" si="24"/>
        <v>517950</v>
      </c>
      <c r="K39" s="380">
        <f t="shared" si="25"/>
        <v>641252.53</v>
      </c>
      <c r="L39" s="374"/>
      <c r="M39" s="375">
        <f t="shared" si="26"/>
        <v>120986.88</v>
      </c>
      <c r="N39" s="376">
        <f t="shared" si="27"/>
        <v>0.23254827605858661</v>
      </c>
      <c r="O39" s="339"/>
      <c r="P39" s="339"/>
      <c r="Q39" s="339"/>
      <c r="R39" s="339"/>
      <c r="S39" s="339"/>
      <c r="T39" s="339"/>
      <c r="U39" s="322"/>
      <c r="V39" s="339"/>
      <c r="W39" s="339"/>
      <c r="X39" s="339"/>
      <c r="Y39" s="339"/>
      <c r="Z39" s="339"/>
      <c r="AA39" s="339"/>
      <c r="AB39" s="339"/>
    </row>
    <row r="40" spans="1:28" ht="14" x14ac:dyDescent="0.3">
      <c r="A40" s="151">
        <f>IF(C40&lt;&gt;"",COUNTA($C$12:C40),"")</f>
        <v>26</v>
      </c>
      <c r="B40" s="151" t="s">
        <v>554</v>
      </c>
      <c r="C40" s="409">
        <v>1192</v>
      </c>
      <c r="D40" s="409">
        <f t="shared" si="28"/>
        <v>715200</v>
      </c>
      <c r="E40" s="372">
        <f t="shared" si="20"/>
        <v>28659.38</v>
      </c>
      <c r="F40" s="380">
        <f t="shared" si="21"/>
        <v>94835.520000000004</v>
      </c>
      <c r="G40" s="380">
        <f t="shared" si="22"/>
        <v>123494.90000000001</v>
      </c>
      <c r="H40" s="381"/>
      <c r="I40" s="372">
        <f t="shared" si="23"/>
        <v>28864.13</v>
      </c>
      <c r="J40" s="380">
        <f t="shared" si="24"/>
        <v>123479.28</v>
      </c>
      <c r="K40" s="380">
        <f t="shared" si="25"/>
        <v>152343.41</v>
      </c>
      <c r="L40" s="374"/>
      <c r="M40" s="375">
        <f t="shared" si="26"/>
        <v>28848.509999999995</v>
      </c>
      <c r="N40" s="376">
        <f t="shared" si="27"/>
        <v>0.23360082076263872</v>
      </c>
      <c r="O40" s="339"/>
      <c r="P40" s="339"/>
      <c r="Q40" s="339"/>
      <c r="R40" s="339"/>
      <c r="S40" s="339"/>
      <c r="T40" s="339"/>
      <c r="U40" s="322"/>
      <c r="V40" s="339"/>
      <c r="W40" s="339"/>
      <c r="X40" s="339"/>
      <c r="Y40" s="339"/>
      <c r="Z40" s="339"/>
      <c r="AA40" s="339"/>
      <c r="AB40" s="339"/>
    </row>
    <row r="41" spans="1:28" ht="14" x14ac:dyDescent="0.3">
      <c r="A41" s="151" t="str">
        <f>IF(C41&lt;&gt;"",COUNTA($C$12:C41),"")</f>
        <v/>
      </c>
      <c r="B41" s="151"/>
      <c r="C41" s="488"/>
      <c r="D41" s="488"/>
      <c r="E41" s="489"/>
      <c r="F41" s="489"/>
      <c r="G41" s="489"/>
      <c r="H41" s="494"/>
      <c r="I41" s="489"/>
      <c r="J41" s="489"/>
      <c r="K41" s="489"/>
      <c r="L41" s="495"/>
      <c r="M41" s="497"/>
      <c r="O41" s="339"/>
      <c r="P41" s="339"/>
      <c r="Q41" s="339"/>
      <c r="R41" s="339"/>
      <c r="S41" s="339"/>
      <c r="T41" s="339"/>
      <c r="U41" s="322"/>
      <c r="V41" s="339"/>
      <c r="W41" s="339"/>
      <c r="X41" s="339"/>
      <c r="Y41" s="339"/>
      <c r="Z41" s="339"/>
      <c r="AA41" s="339"/>
      <c r="AB41" s="339"/>
    </row>
    <row r="42" spans="1:28" ht="14" x14ac:dyDescent="0.3">
      <c r="A42" s="151" t="str">
        <f>IF(C42&lt;&gt;"",COUNTA($C$12:C42),"")</f>
        <v/>
      </c>
      <c r="B42" s="151"/>
      <c r="C42" s="488"/>
      <c r="D42" s="488"/>
      <c r="E42" s="489"/>
      <c r="F42" s="489"/>
      <c r="G42" s="489"/>
      <c r="H42" s="494"/>
      <c r="I42" s="489"/>
      <c r="J42" s="489"/>
      <c r="K42" s="489"/>
      <c r="L42" s="495"/>
      <c r="M42" s="497"/>
      <c r="O42" s="339"/>
      <c r="P42" s="339"/>
      <c r="Q42" s="339"/>
      <c r="R42" s="339"/>
      <c r="S42" s="339"/>
      <c r="T42" s="339"/>
      <c r="U42" s="322"/>
      <c r="V42" s="339"/>
      <c r="W42" s="339"/>
      <c r="X42" s="339"/>
      <c r="Y42" s="339"/>
      <c r="Z42" s="339"/>
      <c r="AA42" s="339"/>
      <c r="AB42" s="339"/>
    </row>
    <row r="43" spans="1:28" ht="14" x14ac:dyDescent="0.3">
      <c r="A43" s="151">
        <f>IF(C43&lt;&gt;"",COUNTA($C$12:C43),"")</f>
        <v>27</v>
      </c>
      <c r="B43" s="151"/>
      <c r="C43" s="293" t="s">
        <v>46</v>
      </c>
      <c r="D43" s="293"/>
      <c r="E43" s="448"/>
      <c r="F43" s="374"/>
      <c r="G43" s="480" t="str">
        <f>'Bill_Cam G2'!G46</f>
        <v>Current</v>
      </c>
      <c r="H43" s="480"/>
      <c r="I43" s="480" t="str">
        <f>'Bill_Cam G2'!I46</f>
        <v>Proposed</v>
      </c>
      <c r="J43" s="481"/>
      <c r="K43" s="502"/>
      <c r="L43" s="374"/>
      <c r="M43" s="374"/>
      <c r="O43" s="339"/>
      <c r="P43" s="339"/>
      <c r="Q43" s="339"/>
      <c r="R43" s="339"/>
      <c r="S43" s="339"/>
      <c r="T43" s="339"/>
      <c r="U43" s="322"/>
      <c r="V43" s="339"/>
      <c r="W43" s="339"/>
      <c r="X43" s="339"/>
      <c r="Y43" s="339"/>
      <c r="Z43" s="339"/>
      <c r="AA43" s="339"/>
      <c r="AB43" s="339"/>
    </row>
    <row r="44" spans="1:28" ht="17" x14ac:dyDescent="0.6">
      <c r="A44" s="151">
        <f>IF(C44&lt;&gt;"",COUNTA($C$12:C44),"")</f>
        <v>28</v>
      </c>
      <c r="B44" s="151"/>
      <c r="C44" s="274" t="s">
        <v>46</v>
      </c>
      <c r="D44" s="274"/>
      <c r="E44" s="448"/>
      <c r="F44" s="374"/>
      <c r="G44" s="482" t="str">
        <f>'Bill_Cam G2'!G47</f>
        <v>Rates</v>
      </c>
      <c r="H44" s="482"/>
      <c r="I44" s="482" t="str">
        <f>'Bill_Cam G2'!I47</f>
        <v>Rates</v>
      </c>
      <c r="J44" s="482" t="str">
        <f>'Bill_Cam G2'!J47</f>
        <v>Change</v>
      </c>
      <c r="K44" s="502"/>
      <c r="L44" s="374"/>
      <c r="M44" s="374"/>
    </row>
    <row r="45" spans="1:28" ht="14" x14ac:dyDescent="0.3">
      <c r="A45" s="151">
        <f>IF(C45&lt;&gt;"",COUNTA($C$12:C45),"")</f>
        <v>29</v>
      </c>
      <c r="B45" s="151"/>
      <c r="C45" s="293" t="str">
        <f>'Bill_Cam G2'!C48</f>
        <v>Customer Charge</v>
      </c>
      <c r="D45" s="293"/>
      <c r="E45" s="483"/>
      <c r="F45" s="374"/>
      <c r="G45" s="454">
        <v>97</v>
      </c>
      <c r="H45" s="454"/>
      <c r="I45" s="454">
        <f>G45</f>
        <v>97</v>
      </c>
      <c r="J45" s="421">
        <f>I45-G45</f>
        <v>0</v>
      </c>
      <c r="K45" s="502"/>
      <c r="L45" s="374"/>
      <c r="M45" s="374"/>
    </row>
    <row r="46" spans="1:28" ht="14" x14ac:dyDescent="0.3">
      <c r="A46" s="151">
        <f>IF(C46&lt;&gt;"",COUNTA($C$12:C46),"")</f>
        <v>30</v>
      </c>
      <c r="B46" s="151"/>
      <c r="C46" s="293" t="str">
        <f>'Bill_Cam G2'!C49</f>
        <v>Distribution Demand &lt;=100 kVA</v>
      </c>
      <c r="D46" s="293"/>
      <c r="E46" s="483"/>
      <c r="F46" s="374"/>
      <c r="G46" s="454">
        <v>0</v>
      </c>
      <c r="H46" s="454"/>
      <c r="I46" s="454">
        <v>0</v>
      </c>
      <c r="J46" s="421">
        <f t="shared" ref="J46:J69" si="29">I46-G46</f>
        <v>0</v>
      </c>
      <c r="K46" s="502"/>
      <c r="L46" s="374"/>
      <c r="M46" s="374"/>
    </row>
    <row r="47" spans="1:28" ht="14" x14ac:dyDescent="0.3">
      <c r="A47" s="151">
        <f>IF(C47&lt;&gt;"",COUNTA($C$12:C47),"")</f>
        <v>31</v>
      </c>
      <c r="B47" s="151"/>
      <c r="C47" s="293" t="str">
        <f>'Bill_Cam G2'!C50</f>
        <v>Distribution Demand &gt;100 kVA</v>
      </c>
      <c r="D47" s="293"/>
      <c r="E47" s="483"/>
      <c r="F47" s="374"/>
      <c r="G47" s="454">
        <v>4.3099999999999996</v>
      </c>
      <c r="H47" s="455"/>
      <c r="I47" s="454">
        <v>4.3</v>
      </c>
      <c r="J47" s="421">
        <f t="shared" si="29"/>
        <v>-9.9999999999997868E-3</v>
      </c>
      <c r="K47" s="502"/>
      <c r="L47" s="374"/>
      <c r="M47" s="374"/>
    </row>
    <row r="48" spans="1:28" ht="14" x14ac:dyDescent="0.3">
      <c r="A48" s="151">
        <f>IF(C48&lt;&gt;"",COUNTA($C$12:C48),"")</f>
        <v>32</v>
      </c>
      <c r="B48" s="151"/>
      <c r="C48" s="293" t="str">
        <f>'Bill_Cam G2'!C51</f>
        <v>Transmission Demand &lt;=100 kVA</v>
      </c>
      <c r="D48" s="293"/>
      <c r="E48" s="483"/>
      <c r="F48" s="374"/>
      <c r="G48" s="454">
        <v>477.65</v>
      </c>
      <c r="H48" s="448"/>
      <c r="I48" s="454">
        <v>470.53</v>
      </c>
      <c r="J48" s="421">
        <f>I48-G48</f>
        <v>-7.1200000000000045</v>
      </c>
      <c r="K48" s="502"/>
      <c r="L48" s="374"/>
      <c r="M48" s="374"/>
    </row>
    <row r="49" spans="1:13" ht="14" x14ac:dyDescent="0.3">
      <c r="A49" s="151">
        <f>IF(C49&lt;&gt;"",COUNTA($C$12:C49),"")</f>
        <v>33</v>
      </c>
      <c r="B49" s="151"/>
      <c r="C49" s="293" t="str">
        <f>'Bill_Cam G2'!C52</f>
        <v>Transmission Demand &gt;100 kVA</v>
      </c>
      <c r="D49" s="293"/>
      <c r="E49" s="483"/>
      <c r="F49" s="374"/>
      <c r="G49" s="454">
        <v>8.48</v>
      </c>
      <c r="H49" s="448"/>
      <c r="I49" s="454">
        <v>8.35</v>
      </c>
      <c r="J49" s="421">
        <f>I49-G49</f>
        <v>-0.13000000000000078</v>
      </c>
      <c r="K49" s="502"/>
      <c r="L49" s="374"/>
      <c r="M49" s="374"/>
    </row>
    <row r="50" spans="1:13" ht="14" x14ac:dyDescent="0.3">
      <c r="A50" s="151">
        <f>IF(C50&lt;&gt;"",COUNTA($C$12:C50),"")</f>
        <v>34</v>
      </c>
      <c r="B50" s="151"/>
      <c r="C50" s="293" t="str">
        <f>'Bill_Cam G2'!C53</f>
        <v>Distribution Energy</v>
      </c>
      <c r="D50" s="293"/>
      <c r="E50" s="483"/>
      <c r="F50" s="374"/>
      <c r="G50" s="308">
        <v>3.29E-3</v>
      </c>
      <c r="H50" s="484"/>
      <c r="I50" s="308">
        <v>3.6800000000000001E-3</v>
      </c>
      <c r="J50" s="354">
        <f t="shared" si="29"/>
        <v>3.9000000000000016E-4</v>
      </c>
      <c r="K50" s="502"/>
      <c r="L50" s="374"/>
      <c r="M50" s="374"/>
    </row>
    <row r="51" spans="1:13" ht="14" x14ac:dyDescent="0.3">
      <c r="A51" s="151">
        <f>IF(C51&lt;&gt;"",COUNTA($C$12:C51),"")</f>
        <v>35</v>
      </c>
      <c r="B51" s="151"/>
      <c r="C51" s="293" t="str">
        <f>'Bill_Cam G2'!C54</f>
        <v>Revenue Decoupling</v>
      </c>
      <c r="D51" s="293"/>
      <c r="E51" s="483"/>
      <c r="F51" s="374"/>
      <c r="G51" s="308">
        <v>0</v>
      </c>
      <c r="H51" s="400"/>
      <c r="I51" s="277">
        <v>-1.2E-4</v>
      </c>
      <c r="J51" s="354">
        <f t="shared" si="29"/>
        <v>-1.2E-4</v>
      </c>
      <c r="K51" s="502"/>
      <c r="L51" s="374"/>
      <c r="M51" s="374"/>
    </row>
    <row r="52" spans="1:13" ht="14" x14ac:dyDescent="0.3">
      <c r="A52" s="151">
        <f>IF(C52&lt;&gt;"",COUNTA($C$12:C52),"")</f>
        <v>36</v>
      </c>
      <c r="B52" s="151"/>
      <c r="C52" s="293" t="str">
        <f>'Bill_Cam G2'!C55</f>
        <v>Residential Assistance Adjustment Factor</v>
      </c>
      <c r="D52" s="293"/>
      <c r="E52" s="483"/>
      <c r="F52" s="374"/>
      <c r="G52" s="277">
        <v>7.9000000000000001E-4</v>
      </c>
      <c r="H52" s="400"/>
      <c r="I52" s="277">
        <v>1.0200000000000001E-3</v>
      </c>
      <c r="J52" s="354">
        <f t="shared" si="29"/>
        <v>2.3000000000000006E-4</v>
      </c>
      <c r="K52" s="502"/>
      <c r="L52" s="374"/>
      <c r="M52" s="374"/>
    </row>
    <row r="53" spans="1:13" ht="14" x14ac:dyDescent="0.3">
      <c r="A53" s="151">
        <f>IF(C53&lt;&gt;"",COUNTA($C$12:C53),"")</f>
        <v>37</v>
      </c>
      <c r="B53" s="151"/>
      <c r="C53" s="293" t="str">
        <f>'Bill_Cam G2'!C56</f>
        <v>Pension Adjustment Factor</v>
      </c>
      <c r="D53" s="293"/>
      <c r="E53" s="483"/>
      <c r="F53" s="374"/>
      <c r="G53" s="277">
        <v>-3.0000000000000001E-5</v>
      </c>
      <c r="H53" s="400"/>
      <c r="I53" s="277">
        <v>3.1E-4</v>
      </c>
      <c r="J53" s="354">
        <f t="shared" si="29"/>
        <v>3.4000000000000002E-4</v>
      </c>
      <c r="K53" s="502"/>
      <c r="L53" s="374"/>
      <c r="M53" s="374"/>
    </row>
    <row r="54" spans="1:13" ht="14" x14ac:dyDescent="0.3">
      <c r="A54" s="151">
        <f>IF(C54&lt;&gt;"",COUNTA($C$12:C54),"")</f>
        <v>38</v>
      </c>
      <c r="B54" s="151"/>
      <c r="C54" s="293" t="str">
        <f>'Bill_Cam G2'!C57</f>
        <v>Net Metering Recovery Surcharge</v>
      </c>
      <c r="D54" s="293"/>
      <c r="E54" s="483"/>
      <c r="F54" s="374"/>
      <c r="G54" s="277">
        <v>1.56E-3</v>
      </c>
      <c r="H54" s="400"/>
      <c r="I54" s="277">
        <v>1.33E-3</v>
      </c>
      <c r="J54" s="354">
        <f t="shared" si="29"/>
        <v>-2.2999999999999995E-4</v>
      </c>
      <c r="K54" s="502"/>
      <c r="L54" s="374"/>
      <c r="M54" s="374"/>
    </row>
    <row r="55" spans="1:13" ht="14" x14ac:dyDescent="0.3">
      <c r="A55" s="151">
        <f>IF(C55&lt;&gt;"",COUNTA($C$12:C55),"")</f>
        <v>39</v>
      </c>
      <c r="B55" s="151"/>
      <c r="C55" s="293" t="str">
        <f>'Bill_Cam G2'!C58</f>
        <v>Long Term Renewable Contract Adjustment</v>
      </c>
      <c r="D55" s="293"/>
      <c r="E55" s="483"/>
      <c r="F55" s="374"/>
      <c r="G55" s="277">
        <v>2.3600000000000001E-3</v>
      </c>
      <c r="H55" s="400"/>
      <c r="I55" s="277">
        <v>1.74E-3</v>
      </c>
      <c r="J55" s="354">
        <f t="shared" si="29"/>
        <v>-6.2000000000000011E-4</v>
      </c>
      <c r="K55" s="502"/>
      <c r="L55" s="374"/>
      <c r="M55" s="374"/>
    </row>
    <row r="56" spans="1:13" ht="14" x14ac:dyDescent="0.3">
      <c r="A56" s="151">
        <f>IF(C56&lt;&gt;"",COUNTA($C$12:C56),"")</f>
        <v>40</v>
      </c>
      <c r="B56" s="151"/>
      <c r="C56" s="293" t="str">
        <f>'Bill_Cam G2'!C59</f>
        <v>AG Consulting Expense</v>
      </c>
      <c r="D56" s="293"/>
      <c r="E56" s="483"/>
      <c r="F56" s="374"/>
      <c r="G56" s="277">
        <v>1.0000000000000001E-5</v>
      </c>
      <c r="H56" s="400"/>
      <c r="I56" s="277">
        <v>0</v>
      </c>
      <c r="J56" s="354">
        <f t="shared" si="29"/>
        <v>-1.0000000000000001E-5</v>
      </c>
      <c r="K56" s="502"/>
      <c r="L56" s="374"/>
      <c r="M56" s="374"/>
    </row>
    <row r="57" spans="1:13" ht="14" x14ac:dyDescent="0.3">
      <c r="A57" s="151">
        <f>IF(C57&lt;&gt;"",COUNTA($C$12:C57),"")</f>
        <v>41</v>
      </c>
      <c r="B57" s="151"/>
      <c r="C57" s="293" t="str">
        <f>'Bill_Cam G2'!C60</f>
        <v>Storm Cost Recovery Adjustment Factor</v>
      </c>
      <c r="D57" s="293"/>
      <c r="E57" s="483"/>
      <c r="F57" s="374"/>
      <c r="G57" s="277">
        <v>4.8999999999999998E-4</v>
      </c>
      <c r="H57" s="400"/>
      <c r="I57" s="277">
        <v>7.6999999999999996E-4</v>
      </c>
      <c r="J57" s="354">
        <f t="shared" si="29"/>
        <v>2.7999999999999998E-4</v>
      </c>
      <c r="K57" s="502"/>
      <c r="L57" s="374"/>
      <c r="M57" s="374"/>
    </row>
    <row r="58" spans="1:13" ht="14" x14ac:dyDescent="0.3">
      <c r="A58" s="151">
        <f>IF(C58&lt;&gt;"",COUNTA($C$12:C58),"")</f>
        <v>42</v>
      </c>
      <c r="B58" s="151"/>
      <c r="C58" s="293" t="str">
        <f>'Bill_Cam G2'!C61</f>
        <v>Storm Reserve Adjustment</v>
      </c>
      <c r="D58" s="293"/>
      <c r="E58" s="483"/>
      <c r="F58" s="374"/>
      <c r="G58" s="277">
        <v>0</v>
      </c>
      <c r="H58" s="400"/>
      <c r="I58" s="277">
        <v>0</v>
      </c>
      <c r="J58" s="354">
        <f t="shared" si="29"/>
        <v>0</v>
      </c>
      <c r="K58" s="502"/>
      <c r="L58" s="374"/>
      <c r="M58" s="374"/>
    </row>
    <row r="59" spans="1:13" ht="14" x14ac:dyDescent="0.3">
      <c r="A59" s="151">
        <f>IF(C59&lt;&gt;"",COUNTA($C$12:C59),"")</f>
        <v>43</v>
      </c>
      <c r="B59" s="151"/>
      <c r="C59" s="293" t="str">
        <f>'Bill_Cam G2'!C62</f>
        <v>Basic Service Cost True Up Factor</v>
      </c>
      <c r="D59" s="293"/>
      <c r="E59" s="483"/>
      <c r="F59" s="374"/>
      <c r="G59" s="277">
        <v>4.2000000000000002E-4</v>
      </c>
      <c r="H59" s="400"/>
      <c r="I59" s="277">
        <v>-5.0000000000000002E-5</v>
      </c>
      <c r="J59" s="354">
        <f t="shared" si="29"/>
        <v>-4.7000000000000004E-4</v>
      </c>
      <c r="K59" s="502"/>
      <c r="L59" s="374"/>
      <c r="M59" s="374"/>
    </row>
    <row r="60" spans="1:13" ht="14" x14ac:dyDescent="0.3">
      <c r="A60" s="151">
        <f>IF(C60&lt;&gt;"",COUNTA($C$12:C60),"")</f>
        <v>44</v>
      </c>
      <c r="B60" s="151"/>
      <c r="C60" s="293" t="str">
        <f>'Bill_Cam G2'!C63</f>
        <v>Solar Program Cost Adjustment Factor</v>
      </c>
      <c r="D60" s="293"/>
      <c r="E60" s="483"/>
      <c r="F60" s="374"/>
      <c r="G60" s="277">
        <v>0</v>
      </c>
      <c r="H60" s="400"/>
      <c r="I60" s="277">
        <v>1.0000000000000001E-5</v>
      </c>
      <c r="J60" s="354">
        <f t="shared" si="29"/>
        <v>1.0000000000000001E-5</v>
      </c>
      <c r="K60" s="502"/>
      <c r="L60" s="374"/>
      <c r="M60" s="374"/>
    </row>
    <row r="61" spans="1:13" ht="14" x14ac:dyDescent="0.3">
      <c r="A61" s="151">
        <f>IF(C61&lt;&gt;"",COUNTA($C$12:C61),"")</f>
        <v>45</v>
      </c>
      <c r="B61" s="151"/>
      <c r="C61" s="293" t="str">
        <f>'Bill_Cam G2'!C64</f>
        <v>Solar Expansion Cost Recovery Factor</v>
      </c>
      <c r="D61" s="293"/>
      <c r="E61" s="483"/>
      <c r="F61" s="374"/>
      <c r="G61" s="277">
        <v>0</v>
      </c>
      <c r="H61" s="400"/>
      <c r="I61" s="277">
        <v>1.6000000000000001E-4</v>
      </c>
      <c r="J61" s="354">
        <f t="shared" si="29"/>
        <v>1.6000000000000001E-4</v>
      </c>
      <c r="K61" s="502"/>
      <c r="L61" s="374"/>
      <c r="M61" s="374"/>
    </row>
    <row r="62" spans="1:13" ht="14" x14ac:dyDescent="0.3">
      <c r="A62" s="151">
        <f>IF(C62&lt;&gt;"",COUNTA($C$12:C62),"")</f>
        <v>46</v>
      </c>
      <c r="B62" s="151"/>
      <c r="C62" s="293" t="str">
        <f>'Bill_Cam G2'!C65</f>
        <v>Vegetation Management</v>
      </c>
      <c r="D62" s="293"/>
      <c r="E62" s="483"/>
      <c r="F62" s="374"/>
      <c r="G62" s="277">
        <v>0</v>
      </c>
      <c r="H62" s="400"/>
      <c r="I62" s="277">
        <v>5.5000000000000003E-4</v>
      </c>
      <c r="J62" s="354">
        <f t="shared" si="29"/>
        <v>5.5000000000000003E-4</v>
      </c>
      <c r="K62" s="502"/>
      <c r="L62" s="374"/>
      <c r="M62" s="374"/>
    </row>
    <row r="63" spans="1:13" ht="14" x14ac:dyDescent="0.3">
      <c r="A63" s="151">
        <f>IF(C63&lt;&gt;"",COUNTA($C$12:C63),"")</f>
        <v>47</v>
      </c>
      <c r="B63" s="151"/>
      <c r="C63" s="293" t="str">
        <f>'Bill_Cam G2'!C66</f>
        <v>Solar Massachusetts Renewable Target</v>
      </c>
      <c r="D63" s="339"/>
      <c r="E63" s="339"/>
      <c r="F63" s="277"/>
      <c r="G63" s="277">
        <v>0</v>
      </c>
      <c r="H63" s="277"/>
      <c r="I63" s="277">
        <v>1.9000000000000001E-4</v>
      </c>
      <c r="J63" s="354">
        <f t="shared" si="29"/>
        <v>1.9000000000000001E-4</v>
      </c>
      <c r="K63" s="339"/>
      <c r="L63" s="339"/>
    </row>
    <row r="64" spans="1:13" ht="14" x14ac:dyDescent="0.3">
      <c r="A64" s="151">
        <f>IF(C64&lt;&gt;"",COUNTA($C$12:C64),"")</f>
        <v>48</v>
      </c>
      <c r="B64" s="151"/>
      <c r="C64" s="293" t="str">
        <f>'Bill_Cam G2'!C67</f>
        <v>Tax Act Credit Factor</v>
      </c>
      <c r="D64" s="339"/>
      <c r="E64" s="339"/>
      <c r="F64" s="277"/>
      <c r="G64" s="277">
        <v>0</v>
      </c>
      <c r="H64" s="277"/>
      <c r="I64" s="277">
        <v>-2.7999999999999998E-4</v>
      </c>
      <c r="J64" s="354">
        <f t="shared" si="29"/>
        <v>-2.7999999999999998E-4</v>
      </c>
      <c r="K64" s="339"/>
      <c r="L64" s="339"/>
    </row>
    <row r="65" spans="1:13" ht="14" x14ac:dyDescent="0.3">
      <c r="A65" s="151">
        <f>IF(C65&lt;&gt;"",COUNTA($C$12:C65),"")</f>
        <v>49</v>
      </c>
      <c r="B65" s="151"/>
      <c r="C65" s="293" t="str">
        <f>'Bill_Cam G2'!C68</f>
        <v>Transition</v>
      </c>
      <c r="D65" s="293"/>
      <c r="E65" s="483"/>
      <c r="F65" s="374"/>
      <c r="G65" s="308">
        <v>-6.0999999999999997E-4</v>
      </c>
      <c r="H65" s="400"/>
      <c r="I65" s="277">
        <v>-5.1999999999999995E-4</v>
      </c>
      <c r="J65" s="354">
        <f t="shared" si="29"/>
        <v>9.0000000000000019E-5</v>
      </c>
      <c r="K65" s="502"/>
      <c r="L65" s="374"/>
      <c r="M65" s="374"/>
    </row>
    <row r="66" spans="1:13" ht="14" x14ac:dyDescent="0.3">
      <c r="A66" s="151">
        <f>IF(C66&lt;&gt;"",COUNTA($C$12:C66),"")</f>
        <v>50</v>
      </c>
      <c r="B66" s="151"/>
      <c r="C66" s="293" t="str">
        <f>'Bill_Cam G2'!C69</f>
        <v>Energy Efficiency Reconciliation Factor</v>
      </c>
      <c r="D66" s="293"/>
      <c r="E66" s="483"/>
      <c r="F66" s="374"/>
      <c r="G66" s="308">
        <v>8.4600000000000005E-3</v>
      </c>
      <c r="H66" s="400"/>
      <c r="I66" s="308">
        <v>8.4600000000000005E-3</v>
      </c>
      <c r="J66" s="354">
        <f t="shared" si="29"/>
        <v>0</v>
      </c>
      <c r="K66" s="502"/>
      <c r="L66" s="374"/>
      <c r="M66" s="374"/>
    </row>
    <row r="67" spans="1:13" ht="14" x14ac:dyDescent="0.3">
      <c r="A67" s="151">
        <f>IF(C67&lt;&gt;"",COUNTA($C$12:C67),"")</f>
        <v>51</v>
      </c>
      <c r="B67" s="151"/>
      <c r="C67" s="293" t="str">
        <f>'Bill_Cam G2'!C70</f>
        <v>System Benefits Charge</v>
      </c>
      <c r="D67" s="293"/>
      <c r="E67" s="483"/>
      <c r="F67" s="374"/>
      <c r="G67" s="308">
        <v>2.5000000000000001E-3</v>
      </c>
      <c r="H67" s="400"/>
      <c r="I67" s="308">
        <f>G67</f>
        <v>2.5000000000000001E-3</v>
      </c>
      <c r="J67" s="354">
        <f t="shared" si="29"/>
        <v>0</v>
      </c>
      <c r="K67" s="502"/>
      <c r="L67" s="374"/>
      <c r="M67" s="374"/>
    </row>
    <row r="68" spans="1:13" ht="14" x14ac:dyDescent="0.3">
      <c r="A68" s="151">
        <f>IF(C68&lt;&gt;"",COUNTA($C$12:C68),"")</f>
        <v>52</v>
      </c>
      <c r="B68" s="151"/>
      <c r="C68" s="293" t="str">
        <f>'Bill_Cam G2'!C71</f>
        <v>Renewable Energy Charge</v>
      </c>
      <c r="D68" s="293"/>
      <c r="E68" s="483"/>
      <c r="F68" s="374"/>
      <c r="G68" s="308">
        <v>5.0000000000000001E-4</v>
      </c>
      <c r="H68" s="400"/>
      <c r="I68" s="308">
        <f>G68</f>
        <v>5.0000000000000001E-4</v>
      </c>
      <c r="J68" s="354">
        <f t="shared" si="29"/>
        <v>0</v>
      </c>
      <c r="K68" s="502"/>
      <c r="L68" s="374"/>
      <c r="M68" s="374"/>
    </row>
    <row r="69" spans="1:13" ht="14" x14ac:dyDescent="0.3">
      <c r="A69" s="151">
        <f>IF(C69&lt;&gt;"",COUNTA($C$12:C69),"")</f>
        <v>53</v>
      </c>
      <c r="B69" s="151"/>
      <c r="C69" s="293" t="str">
        <f>'Bill_Cam G2'!C72</f>
        <v>Basic Service Charge</v>
      </c>
      <c r="D69" s="293"/>
      <c r="E69" s="483"/>
      <c r="F69" s="374"/>
      <c r="G69" s="308">
        <v>0.1326</v>
      </c>
      <c r="H69" s="400"/>
      <c r="I69" s="308">
        <v>0.17265000000000003</v>
      </c>
      <c r="J69" s="354">
        <f t="shared" si="29"/>
        <v>4.005000000000003E-2</v>
      </c>
      <c r="K69" s="502"/>
      <c r="L69" s="374"/>
      <c r="M69" s="374"/>
    </row>
    <row r="70" spans="1:13" ht="14" x14ac:dyDescent="0.3">
      <c r="A70" s="151"/>
      <c r="B70" s="151"/>
      <c r="E70" s="374"/>
      <c r="F70" s="374"/>
      <c r="G70" s="374"/>
      <c r="H70" s="374"/>
      <c r="I70" s="374"/>
      <c r="J70" s="502"/>
      <c r="K70" s="502"/>
      <c r="L70" s="374"/>
      <c r="M70" s="374"/>
    </row>
    <row r="71" spans="1:13" ht="14" x14ac:dyDescent="0.3">
      <c r="A71" s="151"/>
      <c r="B71" s="151"/>
      <c r="E71" s="374"/>
      <c r="F71" s="374"/>
      <c r="G71" s="374"/>
      <c r="H71" s="374"/>
      <c r="I71" s="502"/>
      <c r="J71" s="502"/>
      <c r="K71" s="502"/>
      <c r="L71" s="374"/>
      <c r="M71" s="374"/>
    </row>
    <row r="72" spans="1:13" ht="14" x14ac:dyDescent="0.3">
      <c r="A72" s="151"/>
      <c r="B72" s="151"/>
      <c r="C72" s="293" t="str">
        <f>'Bill_Cam G2'!C75</f>
        <v>Total Demand &lt;=100 kVA</v>
      </c>
      <c r="E72" s="374"/>
      <c r="F72" s="374"/>
      <c r="G72" s="374">
        <f>G46+G48</f>
        <v>477.65</v>
      </c>
      <c r="H72" s="374"/>
      <c r="I72" s="374">
        <f>I46+I48</f>
        <v>470.53</v>
      </c>
      <c r="J72" s="421">
        <f t="shared" ref="J72:J75" si="30">I72-G72</f>
        <v>-7.1200000000000045</v>
      </c>
      <c r="K72" s="502"/>
      <c r="L72" s="374"/>
      <c r="M72" s="374"/>
    </row>
    <row r="73" spans="1:13" ht="14" x14ac:dyDescent="0.3">
      <c r="A73" s="151"/>
      <c r="B73" s="151"/>
      <c r="C73" s="293" t="str">
        <f>'Bill_Cam G2'!C76</f>
        <v>Total Demand &gt;100 kVA</v>
      </c>
      <c r="E73" s="374"/>
      <c r="F73" s="374"/>
      <c r="G73" s="374">
        <f>G47+G49</f>
        <v>12.79</v>
      </c>
      <c r="H73" s="374"/>
      <c r="I73" s="374">
        <f>I47+I49</f>
        <v>12.649999999999999</v>
      </c>
      <c r="J73" s="421">
        <f t="shared" si="30"/>
        <v>-0.14000000000000057</v>
      </c>
      <c r="K73" s="502"/>
      <c r="L73" s="374"/>
      <c r="M73" s="374"/>
    </row>
    <row r="74" spans="1:13" ht="14" x14ac:dyDescent="0.3">
      <c r="C74" s="293" t="str">
        <f>'Bill_Cam G2'!C77</f>
        <v>Total Energy</v>
      </c>
      <c r="E74" s="374"/>
      <c r="F74" s="374"/>
      <c r="G74" s="403">
        <f>SUM(G50:G65,G66:G68)</f>
        <v>1.9740000000000004E-2</v>
      </c>
      <c r="H74" s="403"/>
      <c r="I74" s="403">
        <f>SUM(I50:I65,I66:I68)</f>
        <v>2.0250000000000001E-2</v>
      </c>
      <c r="J74" s="354">
        <f t="shared" si="30"/>
        <v>5.0999999999999657E-4</v>
      </c>
      <c r="K74" s="502"/>
      <c r="L74" s="374"/>
      <c r="M74" s="374"/>
    </row>
    <row r="75" spans="1:13" ht="14" x14ac:dyDescent="0.3">
      <c r="C75" s="293" t="str">
        <f>'Bill_Cam G2'!C78</f>
        <v>Total Basic Service</v>
      </c>
      <c r="E75" s="374"/>
      <c r="F75" s="374"/>
      <c r="G75" s="403">
        <f>G69</f>
        <v>0.1326</v>
      </c>
      <c r="H75" s="403"/>
      <c r="I75" s="403">
        <f>I69</f>
        <v>0.17265000000000003</v>
      </c>
      <c r="J75" s="354">
        <f t="shared" si="30"/>
        <v>4.005000000000003E-2</v>
      </c>
      <c r="K75" s="502"/>
      <c r="L75" s="374"/>
      <c r="M75" s="374"/>
    </row>
    <row r="76" spans="1:13" ht="14" x14ac:dyDescent="0.3">
      <c r="E76" s="374"/>
      <c r="F76" s="374"/>
      <c r="G76" s="374"/>
      <c r="H76" s="374"/>
      <c r="I76" s="502"/>
      <c r="J76" s="502"/>
      <c r="K76" s="502"/>
      <c r="L76" s="374"/>
      <c r="M76" s="374"/>
    </row>
    <row r="77" spans="1:13" ht="14" x14ac:dyDescent="0.3">
      <c r="E77" s="374"/>
      <c r="F77" s="374"/>
      <c r="G77" s="374"/>
      <c r="H77" s="374"/>
      <c r="I77" s="502"/>
      <c r="J77" s="502"/>
      <c r="K77" s="502"/>
      <c r="L77" s="374"/>
      <c r="M77" s="374"/>
    </row>
    <row r="78" spans="1:13" ht="14" x14ac:dyDescent="0.3">
      <c r="E78" s="374"/>
      <c r="F78" s="374"/>
      <c r="G78" s="374"/>
      <c r="H78" s="374"/>
      <c r="I78" s="502"/>
      <c r="J78" s="502"/>
      <c r="K78" s="502"/>
      <c r="L78" s="374"/>
      <c r="M78" s="374"/>
    </row>
    <row r="79" spans="1:13" ht="14" x14ac:dyDescent="0.3">
      <c r="E79" s="374"/>
      <c r="F79" s="374"/>
      <c r="G79" s="374"/>
      <c r="H79" s="374"/>
      <c r="I79" s="502"/>
      <c r="J79" s="502"/>
      <c r="K79" s="502"/>
      <c r="L79" s="374"/>
      <c r="M79" s="374"/>
    </row>
    <row r="80" spans="1:13" ht="14" x14ac:dyDescent="0.3">
      <c r="E80" s="374"/>
      <c r="F80" s="374"/>
      <c r="G80" s="374"/>
      <c r="H80" s="374"/>
      <c r="I80" s="502"/>
      <c r="J80" s="502"/>
      <c r="K80" s="502"/>
      <c r="L80" s="374"/>
      <c r="M80" s="374"/>
    </row>
    <row r="81" spans="5:13" ht="14" x14ac:dyDescent="0.3">
      <c r="E81" s="374"/>
      <c r="F81" s="374"/>
      <c r="G81" s="374"/>
      <c r="H81" s="374"/>
      <c r="I81" s="502"/>
      <c r="J81" s="502"/>
      <c r="K81" s="502"/>
      <c r="L81" s="374"/>
      <c r="M81" s="374"/>
    </row>
    <row r="82" spans="5:13" ht="14" x14ac:dyDescent="0.3">
      <c r="E82" s="374"/>
      <c r="F82" s="374"/>
      <c r="G82" s="374"/>
      <c r="H82" s="374"/>
      <c r="I82" s="502"/>
      <c r="J82" s="502"/>
      <c r="K82" s="502"/>
      <c r="L82" s="374"/>
      <c r="M82" s="374"/>
    </row>
    <row r="83" spans="5:13" ht="14" x14ac:dyDescent="0.3">
      <c r="E83" s="374"/>
      <c r="F83" s="374"/>
      <c r="G83" s="374"/>
      <c r="H83" s="374"/>
      <c r="I83" s="502"/>
      <c r="J83" s="502"/>
      <c r="K83" s="502"/>
      <c r="L83" s="374"/>
      <c r="M83" s="374"/>
    </row>
    <row r="84" spans="5:13" ht="14" x14ac:dyDescent="0.3">
      <c r="E84" s="374"/>
      <c r="F84" s="374"/>
      <c r="G84" s="374"/>
      <c r="H84" s="374"/>
      <c r="I84" s="502"/>
      <c r="J84" s="502"/>
      <c r="K84" s="502"/>
      <c r="L84" s="374"/>
      <c r="M84" s="374"/>
    </row>
    <row r="85" spans="5:13" ht="14" x14ac:dyDescent="0.3">
      <c r="E85" s="374"/>
      <c r="F85" s="374"/>
      <c r="G85" s="374"/>
      <c r="H85" s="374"/>
      <c r="I85" s="502"/>
      <c r="J85" s="502"/>
      <c r="K85" s="502"/>
      <c r="L85" s="374"/>
      <c r="M85" s="374"/>
    </row>
    <row r="86" spans="5:13" ht="14" x14ac:dyDescent="0.3">
      <c r="E86" s="374"/>
      <c r="F86" s="374"/>
      <c r="G86" s="374"/>
      <c r="H86" s="374"/>
      <c r="I86" s="502"/>
      <c r="J86" s="502"/>
      <c r="K86" s="502"/>
      <c r="L86" s="374"/>
      <c r="M86" s="374"/>
    </row>
    <row r="87" spans="5:13" ht="14" x14ac:dyDescent="0.3">
      <c r="E87" s="374"/>
      <c r="F87" s="374"/>
      <c r="G87" s="374"/>
      <c r="H87" s="374"/>
      <c r="I87" s="502"/>
      <c r="J87" s="502"/>
      <c r="K87" s="502"/>
      <c r="L87" s="374"/>
      <c r="M87" s="374"/>
    </row>
    <row r="88" spans="5:13" ht="14" x14ac:dyDescent="0.3">
      <c r="E88" s="374"/>
      <c r="F88" s="374"/>
      <c r="G88" s="374"/>
      <c r="H88" s="374"/>
      <c r="I88" s="502"/>
      <c r="J88" s="502"/>
      <c r="K88" s="502"/>
      <c r="L88" s="374"/>
      <c r="M88" s="374"/>
    </row>
    <row r="89" spans="5:13" ht="14" x14ac:dyDescent="0.3">
      <c r="E89" s="374"/>
      <c r="F89" s="374"/>
      <c r="G89" s="374"/>
      <c r="H89" s="374"/>
      <c r="I89" s="502"/>
      <c r="J89" s="502"/>
      <c r="K89" s="502"/>
      <c r="L89" s="374"/>
      <c r="M89" s="374"/>
    </row>
    <row r="90" spans="5:13" ht="14" x14ac:dyDescent="0.3">
      <c r="E90" s="374"/>
      <c r="F90" s="374"/>
      <c r="G90" s="374"/>
      <c r="H90" s="374"/>
      <c r="I90" s="502"/>
      <c r="J90" s="502"/>
      <c r="K90" s="502"/>
      <c r="L90" s="374"/>
      <c r="M90" s="374"/>
    </row>
    <row r="91" spans="5:13" ht="14" x14ac:dyDescent="0.3">
      <c r="E91" s="374"/>
      <c r="F91" s="374"/>
      <c r="G91" s="374"/>
      <c r="H91" s="374"/>
      <c r="I91" s="502"/>
      <c r="J91" s="502"/>
      <c r="K91" s="502"/>
      <c r="L91" s="374"/>
      <c r="M91" s="374"/>
    </row>
    <row r="92" spans="5:13" ht="14" x14ac:dyDescent="0.3">
      <c r="E92" s="374"/>
      <c r="F92" s="374"/>
      <c r="G92" s="374"/>
      <c r="H92" s="374"/>
      <c r="I92" s="502"/>
      <c r="J92" s="502"/>
      <c r="K92" s="502"/>
      <c r="L92" s="374"/>
      <c r="M92" s="374"/>
    </row>
    <row r="93" spans="5:13" ht="14" x14ac:dyDescent="0.3">
      <c r="E93" s="374"/>
      <c r="F93" s="374"/>
      <c r="G93" s="374"/>
      <c r="H93" s="374"/>
      <c r="I93" s="502"/>
      <c r="J93" s="502"/>
      <c r="K93" s="502"/>
      <c r="L93" s="374"/>
      <c r="M93" s="374"/>
    </row>
    <row r="94" spans="5:13" ht="14" x14ac:dyDescent="0.3">
      <c r="E94" s="374"/>
      <c r="F94" s="374"/>
      <c r="G94" s="374"/>
      <c r="H94" s="374"/>
      <c r="I94" s="502"/>
      <c r="J94" s="502"/>
      <c r="K94" s="502"/>
      <c r="L94" s="374"/>
      <c r="M94" s="374"/>
    </row>
    <row r="95" spans="5:13" ht="14" x14ac:dyDescent="0.3">
      <c r="E95" s="374"/>
      <c r="F95" s="374"/>
      <c r="G95" s="374"/>
      <c r="H95" s="374"/>
      <c r="I95" s="502"/>
      <c r="J95" s="502"/>
      <c r="K95" s="502"/>
      <c r="L95" s="374"/>
      <c r="M95" s="374"/>
    </row>
    <row r="96" spans="5:13" ht="14" x14ac:dyDescent="0.3">
      <c r="I96" s="447"/>
      <c r="J96" s="447"/>
      <c r="K96" s="447"/>
    </row>
    <row r="97" spans="9:11" ht="14" x14ac:dyDescent="0.3">
      <c r="I97" s="447"/>
      <c r="J97" s="447"/>
      <c r="K97" s="447"/>
    </row>
    <row r="98" spans="9:11" ht="14" x14ac:dyDescent="0.3">
      <c r="I98" s="447"/>
      <c r="J98" s="447"/>
      <c r="K98" s="447"/>
    </row>
    <row r="99" spans="9:11" ht="14" x14ac:dyDescent="0.3">
      <c r="I99" s="447"/>
      <c r="J99" s="447"/>
      <c r="K99" s="447"/>
    </row>
    <row r="100" spans="9:11" ht="14" x14ac:dyDescent="0.3">
      <c r="I100" s="447"/>
      <c r="J100" s="447"/>
      <c r="K100" s="447"/>
    </row>
    <row r="101" spans="9:11" ht="14" x14ac:dyDescent="0.3">
      <c r="I101" s="447"/>
      <c r="J101" s="447"/>
      <c r="K101" s="447"/>
    </row>
    <row r="102" spans="9:11" ht="14" x14ac:dyDescent="0.3">
      <c r="I102" s="447"/>
      <c r="J102" s="447"/>
      <c r="K102" s="447"/>
    </row>
    <row r="103" spans="9:11" ht="14" x14ac:dyDescent="0.3">
      <c r="I103" s="447"/>
      <c r="J103" s="447"/>
      <c r="K103" s="447"/>
    </row>
    <row r="104" spans="9:11" ht="14" x14ac:dyDescent="0.3">
      <c r="I104" s="447"/>
      <c r="J104" s="447"/>
      <c r="K104" s="447"/>
    </row>
    <row r="105" spans="9:11" ht="14" x14ac:dyDescent="0.3">
      <c r="I105" s="447"/>
      <c r="J105" s="447"/>
      <c r="K105" s="447"/>
    </row>
    <row r="106" spans="9:11" ht="14" x14ac:dyDescent="0.3">
      <c r="I106" s="447"/>
      <c r="J106" s="447"/>
      <c r="K106" s="447"/>
    </row>
    <row r="107" spans="9:11" ht="14" x14ac:dyDescent="0.3">
      <c r="I107" s="447"/>
      <c r="J107" s="447"/>
      <c r="K107" s="447"/>
    </row>
    <row r="108" spans="9:11" ht="14" x14ac:dyDescent="0.3">
      <c r="I108" s="447"/>
      <c r="J108" s="447"/>
      <c r="K108" s="447"/>
    </row>
    <row r="109" spans="9:11" ht="14" x14ac:dyDescent="0.3">
      <c r="I109" s="447"/>
      <c r="J109" s="447"/>
      <c r="K109" s="447"/>
    </row>
    <row r="110" spans="9:11" ht="14" x14ac:dyDescent="0.3">
      <c r="I110" s="447"/>
      <c r="J110" s="447"/>
      <c r="K110" s="447"/>
    </row>
    <row r="111" spans="9:11" ht="14" x14ac:dyDescent="0.3">
      <c r="I111" s="447"/>
      <c r="J111" s="447"/>
      <c r="K111" s="447"/>
    </row>
    <row r="112" spans="9:11" ht="14" x14ac:dyDescent="0.3">
      <c r="I112" s="447"/>
      <c r="J112" s="447"/>
      <c r="K112" s="447"/>
    </row>
    <row r="113" spans="9:11" ht="14" x14ac:dyDescent="0.3">
      <c r="I113" s="447"/>
      <c r="J113" s="447"/>
      <c r="K113" s="447"/>
    </row>
    <row r="114" spans="9:11" ht="14" x14ac:dyDescent="0.3">
      <c r="I114" s="447"/>
      <c r="J114" s="447"/>
      <c r="K114" s="447"/>
    </row>
    <row r="115" spans="9:11" ht="14" x14ac:dyDescent="0.3">
      <c r="I115" s="447"/>
      <c r="J115" s="447"/>
      <c r="K115" s="447"/>
    </row>
    <row r="116" spans="9:11" ht="14" x14ac:dyDescent="0.3">
      <c r="I116" s="447"/>
      <c r="J116" s="447"/>
      <c r="K116" s="447"/>
    </row>
    <row r="117" spans="9:11" ht="14" x14ac:dyDescent="0.3">
      <c r="I117" s="447"/>
      <c r="J117" s="447"/>
      <c r="K117" s="447"/>
    </row>
    <row r="118" spans="9:11" ht="14" x14ac:dyDescent="0.3">
      <c r="I118" s="447"/>
      <c r="J118" s="447"/>
      <c r="K118" s="447"/>
    </row>
    <row r="119" spans="9:11" ht="14" x14ac:dyDescent="0.3">
      <c r="I119" s="447"/>
      <c r="J119" s="447"/>
      <c r="K119" s="447"/>
    </row>
    <row r="120" spans="9:11" ht="14" x14ac:dyDescent="0.3">
      <c r="I120" s="447"/>
      <c r="J120" s="447"/>
      <c r="K120" s="447"/>
    </row>
    <row r="121" spans="9:11" ht="14" x14ac:dyDescent="0.3">
      <c r="I121" s="447"/>
      <c r="J121" s="447"/>
      <c r="K121" s="447"/>
    </row>
    <row r="122" spans="9:11" ht="14" x14ac:dyDescent="0.3">
      <c r="I122" s="447"/>
      <c r="J122" s="447"/>
      <c r="K122" s="447"/>
    </row>
    <row r="123" spans="9:11" ht="14" x14ac:dyDescent="0.3">
      <c r="I123" s="447"/>
      <c r="J123" s="447"/>
      <c r="K123" s="447"/>
    </row>
    <row r="124" spans="9:11" ht="14" x14ac:dyDescent="0.3">
      <c r="I124" s="447"/>
      <c r="J124" s="447"/>
      <c r="K124" s="447"/>
    </row>
    <row r="125" spans="9:11" ht="14" x14ac:dyDescent="0.3">
      <c r="I125" s="447"/>
      <c r="J125" s="447"/>
      <c r="K125" s="447"/>
    </row>
    <row r="126" spans="9:11" ht="14" x14ac:dyDescent="0.3">
      <c r="I126" s="447"/>
      <c r="J126" s="447"/>
      <c r="K126" s="447"/>
    </row>
  </sheetData>
  <mergeCells count="8">
    <mergeCell ref="E12:G12"/>
    <mergeCell ref="I12:K12"/>
    <mergeCell ref="M12:N12"/>
    <mergeCell ref="A4:N4"/>
    <mergeCell ref="A5:N5"/>
    <mergeCell ref="A6:N6"/>
    <mergeCell ref="A8:N8"/>
    <mergeCell ref="A9:N9"/>
  </mergeCells>
  <pageMargins left="0.7" right="0.7" top="0.75" bottom="0.75" header="0.3" footer="0.3"/>
  <pageSetup scale="63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342EE-7008-405A-9391-4F8CFD15D84F}">
  <sheetPr>
    <tabColor theme="3" tint="0.59999389629810485"/>
    <pageSetUpPr fitToPage="1"/>
  </sheetPr>
  <dimension ref="A4:Z116"/>
  <sheetViews>
    <sheetView zoomScaleNormal="100" workbookViewId="0"/>
  </sheetViews>
  <sheetFormatPr defaultRowHeight="12.5" x14ac:dyDescent="0.25"/>
  <cols>
    <col min="1" max="1" width="3.81640625" customWidth="1"/>
    <col min="2" max="2" width="4.453125" bestFit="1" customWidth="1"/>
    <col min="3" max="3" width="9.26953125" bestFit="1" customWidth="1"/>
    <col min="4" max="4" width="9.7265625" customWidth="1"/>
    <col min="5" max="7" width="14.7265625" customWidth="1"/>
    <col min="8" max="8" width="1.7265625" customWidth="1"/>
    <col min="9" max="11" width="14.7265625" customWidth="1"/>
    <col min="12" max="12" width="1.7265625" customWidth="1"/>
    <col min="13" max="14" width="11.7265625" customWidth="1"/>
    <col min="15" max="15" width="10.81640625" bestFit="1" customWidth="1"/>
    <col min="16" max="17" width="11.26953125" bestFit="1" customWidth="1"/>
    <col min="18" max="19" width="11.81640625" bestFit="1" customWidth="1"/>
    <col min="20" max="20" width="8.453125" bestFit="1" customWidth="1"/>
    <col min="21" max="21" width="10.81640625" bestFit="1" customWidth="1"/>
    <col min="22" max="22" width="10.1796875" bestFit="1" customWidth="1"/>
    <col min="23" max="23" width="10.81640625" bestFit="1" customWidth="1"/>
    <col min="24" max="25" width="11.81640625" bestFit="1" customWidth="1"/>
    <col min="26" max="26" width="8" bestFit="1" customWidth="1"/>
  </cols>
  <sheetData>
    <row r="4" spans="1:26" ht="14" x14ac:dyDescent="0.3">
      <c r="A4" s="765" t="str">
        <f>'Bill_Cam G3'!A4:M4</f>
        <v>Eastern Massachusetts</v>
      </c>
      <c r="B4" s="765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  <c r="N4" s="765"/>
    </row>
    <row r="5" spans="1:26" ht="14" x14ac:dyDescent="0.3">
      <c r="A5" s="765" t="str">
        <f>+'Bill_Cam G0'!A5</f>
        <v>Calculation of Monthly Typical Bill</v>
      </c>
      <c r="B5" s="765"/>
      <c r="C5" s="765"/>
      <c r="D5" s="765"/>
      <c r="E5" s="765"/>
      <c r="F5" s="765"/>
      <c r="G5" s="765"/>
      <c r="H5" s="765"/>
      <c r="I5" s="765"/>
      <c r="J5" s="765"/>
      <c r="K5" s="765"/>
      <c r="L5" s="765"/>
      <c r="M5" s="765"/>
      <c r="N5" s="765"/>
    </row>
    <row r="6" spans="1:26" ht="14" x14ac:dyDescent="0.3">
      <c r="A6" s="765" t="str">
        <f>+'Bill_Cam G0'!A6</f>
        <v>Proposed January 1, 2019</v>
      </c>
      <c r="B6" s="765"/>
      <c r="C6" s="765"/>
      <c r="D6" s="765"/>
      <c r="E6" s="765"/>
      <c r="F6" s="765"/>
      <c r="G6" s="765"/>
      <c r="H6" s="765"/>
      <c r="I6" s="765"/>
      <c r="J6" s="765"/>
      <c r="K6" s="765"/>
      <c r="L6" s="765"/>
      <c r="M6" s="765"/>
      <c r="N6" s="765"/>
    </row>
    <row r="7" spans="1:26" ht="14" x14ac:dyDescent="0.3">
      <c r="A7" s="503"/>
      <c r="B7" s="503"/>
      <c r="C7" s="369"/>
      <c r="D7" s="369"/>
      <c r="E7" s="369"/>
      <c r="F7" s="369"/>
      <c r="G7" s="429"/>
      <c r="H7" s="369"/>
      <c r="I7" s="369"/>
      <c r="J7" s="369"/>
      <c r="K7" s="369"/>
      <c r="L7" s="369"/>
      <c r="M7" s="369"/>
    </row>
    <row r="8" spans="1:26" ht="14" x14ac:dyDescent="0.3">
      <c r="A8" s="765" t="str">
        <f>+'Bill_Cam G0'!A8</f>
        <v>Cambridge Service Area</v>
      </c>
      <c r="B8" s="765"/>
      <c r="C8" s="765"/>
      <c r="D8" s="765"/>
      <c r="E8" s="765"/>
      <c r="F8" s="765"/>
      <c r="G8" s="765"/>
      <c r="H8" s="765"/>
      <c r="I8" s="765"/>
      <c r="J8" s="765"/>
      <c r="K8" s="765"/>
      <c r="L8" s="765"/>
      <c r="M8" s="765"/>
      <c r="N8" s="765"/>
    </row>
    <row r="9" spans="1:26" ht="14" x14ac:dyDescent="0.3">
      <c r="A9" s="765" t="s">
        <v>598</v>
      </c>
      <c r="B9" s="765"/>
      <c r="C9" s="765"/>
      <c r="D9" s="765"/>
      <c r="E9" s="765"/>
      <c r="F9" s="765"/>
      <c r="G9" s="765"/>
      <c r="H9" s="765"/>
      <c r="I9" s="765"/>
      <c r="J9" s="765"/>
      <c r="K9" s="765"/>
      <c r="L9" s="765"/>
      <c r="M9" s="765"/>
      <c r="N9" s="765"/>
    </row>
    <row r="10" spans="1:26" ht="14" x14ac:dyDescent="0.3">
      <c r="A10" s="369"/>
      <c r="B10" s="369"/>
      <c r="D10" s="293"/>
      <c r="E10" s="293"/>
      <c r="F10" s="293"/>
      <c r="G10" s="367"/>
      <c r="H10" s="293"/>
    </row>
    <row r="11" spans="1:26" ht="14" x14ac:dyDescent="0.3">
      <c r="A11" s="293"/>
      <c r="B11" s="293"/>
      <c r="C11" s="293"/>
      <c r="D11" s="293"/>
      <c r="E11" s="293"/>
      <c r="F11" s="293"/>
      <c r="G11" s="368"/>
      <c r="H11" s="293"/>
    </row>
    <row r="12" spans="1:26" ht="14" x14ac:dyDescent="0.3">
      <c r="A12" s="151">
        <f>IF(C12&lt;&gt;"",COUNTA($C$12:C12),"")</f>
        <v>1</v>
      </c>
      <c r="B12" s="151"/>
      <c r="C12" s="366" t="s">
        <v>528</v>
      </c>
      <c r="D12" s="366" t="s">
        <v>528</v>
      </c>
      <c r="E12" s="760" t="str">
        <f>+'Bill_Cam G0'!D12</f>
        <v>Current Monthly Bill</v>
      </c>
      <c r="F12" s="760"/>
      <c r="G12" s="760"/>
      <c r="H12" s="293"/>
      <c r="I12" s="760" t="str">
        <f>+'Bill_Cam G0'!H12</f>
        <v>Proposed Monthly Bill</v>
      </c>
      <c r="J12" s="760"/>
      <c r="K12" s="760"/>
      <c r="M12" s="760" t="s">
        <v>550</v>
      </c>
      <c r="N12" s="760"/>
      <c r="O12" s="369"/>
      <c r="P12" s="369"/>
      <c r="Q12" s="369"/>
      <c r="R12" s="369"/>
      <c r="S12" s="369"/>
      <c r="U12" s="369"/>
      <c r="V12" s="369"/>
      <c r="W12" s="369"/>
      <c r="X12" s="369"/>
      <c r="Y12" s="369"/>
      <c r="Z12" s="369"/>
    </row>
    <row r="13" spans="1:26" ht="14" x14ac:dyDescent="0.3">
      <c r="A13" s="151">
        <f>IF(C13&lt;&gt;"",COUNTA($C$12:C13),"")</f>
        <v>2</v>
      </c>
      <c r="B13" s="151"/>
      <c r="C13" s="370" t="s">
        <v>534</v>
      </c>
      <c r="D13" s="370" t="s">
        <v>551</v>
      </c>
      <c r="E13" s="370" t="s">
        <v>552</v>
      </c>
      <c r="F13" s="370" t="s">
        <v>553</v>
      </c>
      <c r="G13" s="370" t="s">
        <v>47</v>
      </c>
      <c r="H13" s="293"/>
      <c r="I13" s="370" t="s">
        <v>552</v>
      </c>
      <c r="J13" s="370" t="s">
        <v>553</v>
      </c>
      <c r="K13" s="370" t="s">
        <v>47</v>
      </c>
      <c r="M13" s="370" t="s">
        <v>65</v>
      </c>
      <c r="N13" s="370" t="s">
        <v>325</v>
      </c>
      <c r="U13" s="369"/>
      <c r="V13" s="369"/>
      <c r="W13" s="369"/>
      <c r="X13" s="369"/>
      <c r="Y13" s="369"/>
      <c r="Z13" s="369"/>
    </row>
    <row r="14" spans="1:26" ht="14" x14ac:dyDescent="0.3">
      <c r="A14" s="151" t="str">
        <f>IF(C14&lt;&gt;"",COUNTA($C$12:C14),"")</f>
        <v/>
      </c>
      <c r="B14" s="151"/>
      <c r="C14" s="370"/>
      <c r="D14" s="370"/>
      <c r="E14" s="370"/>
      <c r="F14" s="370"/>
      <c r="G14" s="370"/>
      <c r="H14" s="293"/>
      <c r="I14" s="370"/>
      <c r="J14" s="370"/>
      <c r="K14" s="370"/>
      <c r="M14" s="370"/>
      <c r="N14" s="376"/>
      <c r="U14" s="369"/>
      <c r="V14" s="369"/>
      <c r="W14" s="369"/>
      <c r="X14" s="369"/>
      <c r="Y14" s="369"/>
      <c r="Z14" s="369"/>
    </row>
    <row r="15" spans="1:26" ht="14" x14ac:dyDescent="0.3">
      <c r="A15" s="151">
        <f>IF(C15&lt;&gt;"",COUNTA($C$12:C15),"")</f>
        <v>3</v>
      </c>
      <c r="B15" s="151"/>
      <c r="C15" s="496" t="s">
        <v>575</v>
      </c>
      <c r="D15" s="370"/>
      <c r="E15" s="370"/>
      <c r="F15" s="370"/>
      <c r="G15" s="370"/>
      <c r="H15" s="293"/>
      <c r="I15" s="370"/>
      <c r="J15" s="370"/>
      <c r="K15" s="370"/>
      <c r="M15" s="370"/>
      <c r="N15" s="376"/>
      <c r="U15" s="369"/>
      <c r="V15" s="369"/>
      <c r="W15" s="369"/>
      <c r="X15" s="369"/>
      <c r="Y15" s="369"/>
      <c r="Z15" s="369"/>
    </row>
    <row r="16" spans="1:26" ht="14" x14ac:dyDescent="0.3">
      <c r="A16" s="151">
        <f>IF(C16&lt;&gt;"",COUNTA($C$12:C16),"")</f>
        <v>4</v>
      </c>
      <c r="B16" s="151"/>
      <c r="C16" s="366">
        <v>5</v>
      </c>
      <c r="D16" s="409">
        <f>+C16*400</f>
        <v>2000</v>
      </c>
      <c r="E16" s="372">
        <f t="shared" ref="E16:E21" si="0">ROUND($G$42+$C16*SUM($G$43,$G$44)+SUM($G$45:$G$60,$G$61:$G$63)*$D16,2)</f>
        <v>140.76</v>
      </c>
      <c r="F16" s="372">
        <f t="shared" ref="F16:F21" si="1">ROUND($G$64*$D16,2)</f>
        <v>228.06</v>
      </c>
      <c r="G16" s="372">
        <f t="shared" ref="G16:G21" si="2">SUM(E16:F16)</f>
        <v>368.82</v>
      </c>
      <c r="H16" s="373"/>
      <c r="I16" s="372">
        <f t="shared" ref="I16:I21" si="3">ROUND($I$42+$C16*SUM($I$43,$I$44)+SUM($I$45:$I$60,$I$61:$I$63)*$D16,2)</f>
        <v>132.72999999999999</v>
      </c>
      <c r="J16" s="372">
        <f t="shared" ref="J16:J21" si="4">ROUND($I$64*$D16,2)</f>
        <v>263.7</v>
      </c>
      <c r="K16" s="372">
        <f t="shared" ref="K16:K21" si="5">SUM(I16:J16)</f>
        <v>396.42999999999995</v>
      </c>
      <c r="L16" s="374"/>
      <c r="M16" s="375">
        <f t="shared" ref="M16:M21" si="6">+K16-G16</f>
        <v>27.609999999999957</v>
      </c>
      <c r="N16" s="376">
        <f t="shared" ref="N16:N21" si="7">+M16/G16</f>
        <v>7.4860365489940781E-2</v>
      </c>
      <c r="O16" s="374"/>
      <c r="P16" s="374"/>
      <c r="Q16" s="374"/>
      <c r="R16" s="374"/>
      <c r="S16" s="374"/>
      <c r="T16" s="374"/>
      <c r="U16" s="374"/>
      <c r="V16" s="374"/>
      <c r="W16" s="374"/>
      <c r="X16" s="374"/>
      <c r="Y16" s="374"/>
      <c r="Z16" s="374"/>
    </row>
    <row r="17" spans="1:26" ht="14" x14ac:dyDescent="0.3">
      <c r="A17" s="151">
        <f>IF(C17&lt;&gt;"",COUNTA($C$12:C17),"")</f>
        <v>5</v>
      </c>
      <c r="B17" s="151"/>
      <c r="C17" s="366">
        <v>15</v>
      </c>
      <c r="D17" s="409">
        <f t="shared" ref="D17:D21" si="8">+C17*400</f>
        <v>6000</v>
      </c>
      <c r="E17" s="372">
        <f t="shared" si="0"/>
        <v>398.28</v>
      </c>
      <c r="F17" s="372">
        <f t="shared" si="1"/>
        <v>684.18</v>
      </c>
      <c r="G17" s="372">
        <f t="shared" si="2"/>
        <v>1082.46</v>
      </c>
      <c r="H17" s="373"/>
      <c r="I17" s="372">
        <f t="shared" si="3"/>
        <v>374.19</v>
      </c>
      <c r="J17" s="372">
        <f t="shared" si="4"/>
        <v>791.1</v>
      </c>
      <c r="K17" s="372">
        <f t="shared" si="5"/>
        <v>1165.29</v>
      </c>
      <c r="L17" s="374"/>
      <c r="M17" s="375">
        <f t="shared" si="6"/>
        <v>82.829999999999927</v>
      </c>
      <c r="N17" s="376">
        <f t="shared" si="7"/>
        <v>7.6520148550523734E-2</v>
      </c>
      <c r="O17" s="374"/>
      <c r="P17" s="374"/>
      <c r="Q17" s="374"/>
      <c r="R17" s="374"/>
      <c r="S17" s="374"/>
      <c r="T17" s="374"/>
      <c r="U17" s="374"/>
      <c r="V17" s="374"/>
      <c r="W17" s="374"/>
      <c r="X17" s="374"/>
      <c r="Y17" s="374"/>
      <c r="Z17" s="374"/>
    </row>
    <row r="18" spans="1:26" ht="14" x14ac:dyDescent="0.3">
      <c r="A18" s="151">
        <f>IF(C18&lt;&gt;"",COUNTA($C$12:C18),"")</f>
        <v>6</v>
      </c>
      <c r="B18" s="151"/>
      <c r="C18" s="366">
        <v>25</v>
      </c>
      <c r="D18" s="409">
        <f t="shared" si="8"/>
        <v>10000</v>
      </c>
      <c r="E18" s="372">
        <f t="shared" si="0"/>
        <v>655.8</v>
      </c>
      <c r="F18" s="372">
        <f t="shared" si="1"/>
        <v>1140.3</v>
      </c>
      <c r="G18" s="372">
        <f t="shared" si="2"/>
        <v>1796.1</v>
      </c>
      <c r="H18" s="373"/>
      <c r="I18" s="372">
        <f t="shared" si="3"/>
        <v>615.65</v>
      </c>
      <c r="J18" s="372">
        <f t="shared" si="4"/>
        <v>1318.5</v>
      </c>
      <c r="K18" s="372">
        <f t="shared" si="5"/>
        <v>1934.15</v>
      </c>
      <c r="L18" s="374"/>
      <c r="M18" s="375">
        <f t="shared" si="6"/>
        <v>138.05000000000018</v>
      </c>
      <c r="N18" s="376">
        <f t="shared" si="7"/>
        <v>7.6860976560325256E-2</v>
      </c>
      <c r="O18" s="374"/>
      <c r="P18" s="374"/>
      <c r="Q18" s="374"/>
      <c r="R18" s="374"/>
      <c r="S18" s="374"/>
      <c r="T18" s="374"/>
      <c r="U18" s="374"/>
      <c r="V18" s="374"/>
      <c r="W18" s="374"/>
      <c r="X18" s="374"/>
      <c r="Y18" s="374"/>
      <c r="Z18" s="374"/>
    </row>
    <row r="19" spans="1:26" ht="14" x14ac:dyDescent="0.3">
      <c r="A19" s="151">
        <f>IF(C19&lt;&gt;"",COUNTA($C$12:C19),"")</f>
        <v>7</v>
      </c>
      <c r="B19" s="151"/>
      <c r="C19" s="366">
        <v>50</v>
      </c>
      <c r="D19" s="409">
        <f t="shared" si="8"/>
        <v>20000</v>
      </c>
      <c r="E19" s="372">
        <f t="shared" si="0"/>
        <v>1299.5999999999999</v>
      </c>
      <c r="F19" s="372">
        <f t="shared" si="1"/>
        <v>2280.6</v>
      </c>
      <c r="G19" s="372">
        <f t="shared" si="2"/>
        <v>3580.2</v>
      </c>
      <c r="H19" s="373"/>
      <c r="I19" s="372">
        <f t="shared" si="3"/>
        <v>1219.3</v>
      </c>
      <c r="J19" s="372">
        <f t="shared" si="4"/>
        <v>2637</v>
      </c>
      <c r="K19" s="372">
        <f t="shared" si="5"/>
        <v>3856.3</v>
      </c>
      <c r="L19" s="374"/>
      <c r="M19" s="375">
        <f t="shared" si="6"/>
        <v>276.10000000000036</v>
      </c>
      <c r="N19" s="376">
        <f t="shared" si="7"/>
        <v>7.7118596726439975E-2</v>
      </c>
      <c r="O19" s="374"/>
      <c r="P19" s="374"/>
      <c r="Q19" s="374"/>
      <c r="R19" s="374"/>
      <c r="S19" s="374"/>
      <c r="T19" s="374"/>
      <c r="U19" s="374"/>
      <c r="V19" s="374"/>
      <c r="W19" s="374"/>
      <c r="X19" s="374"/>
      <c r="Y19" s="374"/>
      <c r="Z19" s="374"/>
    </row>
    <row r="20" spans="1:26" ht="14" x14ac:dyDescent="0.3">
      <c r="A20" s="151">
        <f>IF(C20&lt;&gt;"",COUNTA($C$12:C20),"")</f>
        <v>8</v>
      </c>
      <c r="B20" s="151"/>
      <c r="C20" s="366">
        <v>75</v>
      </c>
      <c r="D20" s="409">
        <f t="shared" si="8"/>
        <v>30000</v>
      </c>
      <c r="E20" s="372">
        <f t="shared" si="0"/>
        <v>1943.4</v>
      </c>
      <c r="F20" s="372">
        <f t="shared" si="1"/>
        <v>3420.9</v>
      </c>
      <c r="G20" s="372">
        <f t="shared" si="2"/>
        <v>5364.3</v>
      </c>
      <c r="H20" s="373"/>
      <c r="I20" s="372">
        <f t="shared" si="3"/>
        <v>1822.95</v>
      </c>
      <c r="J20" s="372">
        <f t="shared" si="4"/>
        <v>3955.5</v>
      </c>
      <c r="K20" s="372">
        <f t="shared" si="5"/>
        <v>5778.45</v>
      </c>
      <c r="L20" s="374"/>
      <c r="M20" s="375">
        <f t="shared" si="6"/>
        <v>414.14999999999964</v>
      </c>
      <c r="N20" s="376">
        <f t="shared" si="7"/>
        <v>7.7204854314635571E-2</v>
      </c>
      <c r="O20" s="374"/>
      <c r="P20" s="374"/>
      <c r="Q20" s="374"/>
      <c r="R20" s="374"/>
      <c r="S20" s="374"/>
      <c r="T20" s="374"/>
      <c r="U20" s="374"/>
      <c r="V20" s="374"/>
      <c r="W20" s="374"/>
      <c r="X20" s="374"/>
      <c r="Y20" s="374"/>
      <c r="Z20" s="374"/>
    </row>
    <row r="21" spans="1:26" ht="14" x14ac:dyDescent="0.3">
      <c r="A21" s="151">
        <f>IF(C21&lt;&gt;"",COUNTA($C$12:C21),"")</f>
        <v>9</v>
      </c>
      <c r="B21" s="151" t="s">
        <v>554</v>
      </c>
      <c r="C21" s="366">
        <v>36</v>
      </c>
      <c r="D21" s="409">
        <f t="shared" si="8"/>
        <v>14400</v>
      </c>
      <c r="E21" s="372">
        <f t="shared" si="0"/>
        <v>939.07</v>
      </c>
      <c r="F21" s="372">
        <f t="shared" si="1"/>
        <v>1642.03</v>
      </c>
      <c r="G21" s="372">
        <f t="shared" si="2"/>
        <v>2581.1</v>
      </c>
      <c r="H21" s="373"/>
      <c r="I21" s="372">
        <f t="shared" si="3"/>
        <v>881.26</v>
      </c>
      <c r="J21" s="372">
        <f t="shared" si="4"/>
        <v>1898.64</v>
      </c>
      <c r="K21" s="372">
        <f t="shared" si="5"/>
        <v>2779.9</v>
      </c>
      <c r="L21" s="374"/>
      <c r="M21" s="375">
        <f t="shared" si="6"/>
        <v>198.80000000000018</v>
      </c>
      <c r="N21" s="376">
        <f t="shared" si="7"/>
        <v>7.7021424973848437E-2</v>
      </c>
      <c r="O21" s="374"/>
      <c r="P21" s="374"/>
      <c r="Q21" s="374"/>
      <c r="R21" s="374"/>
      <c r="S21" s="374"/>
      <c r="T21" s="374"/>
      <c r="U21" s="374"/>
      <c r="V21" s="374"/>
      <c r="W21" s="374"/>
      <c r="X21" s="374"/>
      <c r="Y21" s="374"/>
      <c r="Z21" s="374"/>
    </row>
    <row r="22" spans="1:26" ht="14" x14ac:dyDescent="0.3">
      <c r="A22" s="151" t="str">
        <f>IF(C22&lt;&gt;"",COUNTA($C$12:C22),"")</f>
        <v/>
      </c>
      <c r="B22" s="151"/>
      <c r="C22" s="365"/>
      <c r="D22" s="493"/>
      <c r="E22" s="489"/>
      <c r="F22" s="489"/>
      <c r="G22" s="489"/>
      <c r="H22" s="494"/>
      <c r="I22" s="489"/>
      <c r="J22" s="489"/>
      <c r="K22" s="489"/>
      <c r="L22" s="495"/>
      <c r="M22" s="497"/>
    </row>
    <row r="23" spans="1:26" ht="14" x14ac:dyDescent="0.3">
      <c r="A23" s="151">
        <f>IF(C23&lt;&gt;"",COUNTA($C$12:C23),"")</f>
        <v>10</v>
      </c>
      <c r="B23" s="151"/>
      <c r="C23" s="496" t="s">
        <v>591</v>
      </c>
      <c r="D23" s="493"/>
      <c r="E23" s="489"/>
      <c r="F23" s="489"/>
      <c r="G23" s="489"/>
      <c r="H23" s="494"/>
      <c r="I23" s="489"/>
      <c r="J23" s="489"/>
      <c r="K23" s="489"/>
      <c r="L23" s="495"/>
      <c r="M23" s="497"/>
    </row>
    <row r="24" spans="1:26" ht="14" x14ac:dyDescent="0.3">
      <c r="A24" s="151">
        <f>IF(C24&lt;&gt;"",COUNTA($C$12:C24),"")</f>
        <v>11</v>
      </c>
      <c r="B24" s="151"/>
      <c r="C24" s="366">
        <f>+C16</f>
        <v>5</v>
      </c>
      <c r="D24" s="409">
        <f>+C24*500</f>
        <v>2500</v>
      </c>
      <c r="E24" s="372">
        <f t="shared" ref="E24:E29" si="9">ROUND($G$42+$C24*SUM($G$43,$G$44)+SUM($G$45:$G$60,$G$61:$G$63)*$D24,2)</f>
        <v>155.30000000000001</v>
      </c>
      <c r="F24" s="372">
        <f t="shared" ref="F24:F29" si="10">ROUND($G$64*$D24,2)</f>
        <v>285.08</v>
      </c>
      <c r="G24" s="372">
        <f t="shared" ref="G24:G29" si="11">SUM(E24:F24)</f>
        <v>440.38</v>
      </c>
      <c r="H24" s="373"/>
      <c r="I24" s="372">
        <f t="shared" ref="I24:I29" si="12">ROUND($I$42+$C24*SUM($I$43,$I$44)+SUM($I$45:$I$60,$I$61:$I$63)*$D24,2)</f>
        <v>148.05000000000001</v>
      </c>
      <c r="J24" s="372">
        <f t="shared" ref="J24:J29" si="13">ROUND($I$64*$D24,2)</f>
        <v>329.63</v>
      </c>
      <c r="K24" s="372">
        <f t="shared" ref="K24:K29" si="14">SUM(I24:J24)</f>
        <v>477.68</v>
      </c>
      <c r="L24" s="374"/>
      <c r="M24" s="375">
        <f t="shared" ref="M24:M29" si="15">+K24-G24</f>
        <v>37.300000000000011</v>
      </c>
      <c r="N24" s="376">
        <f t="shared" ref="N24:N29" si="16">+M24/G24</f>
        <v>8.4699577637494916E-2</v>
      </c>
      <c r="O24" s="374"/>
      <c r="P24" s="374"/>
      <c r="Q24" s="374"/>
      <c r="R24" s="374"/>
      <c r="S24" s="374"/>
      <c r="T24" s="374"/>
      <c r="U24" s="374"/>
      <c r="V24" s="374"/>
      <c r="W24" s="374"/>
      <c r="X24" s="374"/>
      <c r="Y24" s="374"/>
      <c r="Z24" s="374"/>
    </row>
    <row r="25" spans="1:26" ht="14" x14ac:dyDescent="0.3">
      <c r="A25" s="151">
        <f>IF(C25&lt;&gt;"",COUNTA($C$12:C25),"")</f>
        <v>12</v>
      </c>
      <c r="B25" s="151"/>
      <c r="C25" s="366">
        <f>+C17</f>
        <v>15</v>
      </c>
      <c r="D25" s="409">
        <f t="shared" ref="D25:D29" si="17">+C25*500</f>
        <v>7500</v>
      </c>
      <c r="E25" s="372">
        <f t="shared" si="9"/>
        <v>441.9</v>
      </c>
      <c r="F25" s="372">
        <f t="shared" si="10"/>
        <v>855.23</v>
      </c>
      <c r="G25" s="372">
        <f t="shared" si="11"/>
        <v>1297.1300000000001</v>
      </c>
      <c r="H25" s="373"/>
      <c r="I25" s="372">
        <f t="shared" si="12"/>
        <v>420.15</v>
      </c>
      <c r="J25" s="372">
        <f t="shared" si="13"/>
        <v>988.88</v>
      </c>
      <c r="K25" s="372">
        <f t="shared" si="14"/>
        <v>1409.03</v>
      </c>
      <c r="L25" s="374"/>
      <c r="M25" s="375">
        <f t="shared" si="15"/>
        <v>111.89999999999986</v>
      </c>
      <c r="N25" s="376">
        <f t="shared" si="16"/>
        <v>8.6267374896887628E-2</v>
      </c>
      <c r="O25" s="374"/>
      <c r="P25" s="374"/>
      <c r="Q25" s="374"/>
      <c r="R25" s="374"/>
      <c r="S25" s="374"/>
      <c r="T25" s="374"/>
      <c r="U25" s="374"/>
      <c r="V25" s="374"/>
      <c r="W25" s="374"/>
      <c r="X25" s="374"/>
      <c r="Y25" s="374"/>
      <c r="Z25" s="374"/>
    </row>
    <row r="26" spans="1:26" ht="14" x14ac:dyDescent="0.3">
      <c r="A26" s="151">
        <f>IF(C26&lt;&gt;"",COUNTA($C$12:C26),"")</f>
        <v>13</v>
      </c>
      <c r="B26" s="151"/>
      <c r="C26" s="366">
        <f>+C18</f>
        <v>25</v>
      </c>
      <c r="D26" s="409">
        <f t="shared" si="17"/>
        <v>12500</v>
      </c>
      <c r="E26" s="372">
        <f t="shared" si="9"/>
        <v>728.5</v>
      </c>
      <c r="F26" s="372">
        <f t="shared" si="10"/>
        <v>1425.38</v>
      </c>
      <c r="G26" s="372">
        <f t="shared" si="11"/>
        <v>2153.88</v>
      </c>
      <c r="H26" s="373"/>
      <c r="I26" s="372">
        <f t="shared" si="12"/>
        <v>692.25</v>
      </c>
      <c r="J26" s="372">
        <f t="shared" si="13"/>
        <v>1648.13</v>
      </c>
      <c r="K26" s="372">
        <f t="shared" si="14"/>
        <v>2340.38</v>
      </c>
      <c r="L26" s="374"/>
      <c r="M26" s="375">
        <f t="shared" si="15"/>
        <v>186.5</v>
      </c>
      <c r="N26" s="376">
        <f t="shared" si="16"/>
        <v>8.6587925046892111E-2</v>
      </c>
      <c r="O26" s="374"/>
      <c r="P26" s="374"/>
      <c r="Q26" s="374"/>
      <c r="R26" s="374"/>
      <c r="S26" s="374"/>
      <c r="T26" s="374"/>
      <c r="U26" s="374"/>
      <c r="V26" s="374"/>
      <c r="W26" s="374"/>
      <c r="X26" s="374"/>
      <c r="Y26" s="374"/>
      <c r="Z26" s="374"/>
    </row>
    <row r="27" spans="1:26" ht="14" x14ac:dyDescent="0.3">
      <c r="A27" s="151">
        <f>IF(C27&lt;&gt;"",COUNTA($C$12:C27),"")</f>
        <v>14</v>
      </c>
      <c r="B27" s="151"/>
      <c r="C27" s="366">
        <f>+C19</f>
        <v>50</v>
      </c>
      <c r="D27" s="409">
        <f t="shared" si="17"/>
        <v>25000</v>
      </c>
      <c r="E27" s="372">
        <f t="shared" si="9"/>
        <v>1445</v>
      </c>
      <c r="F27" s="372">
        <f t="shared" si="10"/>
        <v>2850.75</v>
      </c>
      <c r="G27" s="372">
        <f t="shared" si="11"/>
        <v>4295.75</v>
      </c>
      <c r="H27" s="373"/>
      <c r="I27" s="372">
        <f t="shared" si="12"/>
        <v>1372.5</v>
      </c>
      <c r="J27" s="372">
        <f t="shared" si="13"/>
        <v>3296.25</v>
      </c>
      <c r="K27" s="372">
        <f t="shared" si="14"/>
        <v>4668.75</v>
      </c>
      <c r="L27" s="374"/>
      <c r="M27" s="375">
        <f t="shared" si="15"/>
        <v>373</v>
      </c>
      <c r="N27" s="376">
        <f t="shared" si="16"/>
        <v>8.6830006401676069E-2</v>
      </c>
      <c r="O27" s="374"/>
      <c r="P27" s="374"/>
      <c r="Q27" s="374"/>
      <c r="R27" s="374"/>
      <c r="S27" s="374"/>
      <c r="T27" s="374"/>
      <c r="U27" s="374"/>
      <c r="V27" s="374"/>
      <c r="W27" s="374"/>
      <c r="X27" s="374"/>
      <c r="Y27" s="374"/>
      <c r="Z27" s="374"/>
    </row>
    <row r="28" spans="1:26" ht="14" x14ac:dyDescent="0.3">
      <c r="A28" s="151">
        <f>IF(C28&lt;&gt;"",COUNTA($C$12:C28),"")</f>
        <v>15</v>
      </c>
      <c r="B28" s="151"/>
      <c r="C28" s="366">
        <f>+C20</f>
        <v>75</v>
      </c>
      <c r="D28" s="409">
        <f t="shared" si="17"/>
        <v>37500</v>
      </c>
      <c r="E28" s="372">
        <f t="shared" si="9"/>
        <v>2161.5</v>
      </c>
      <c r="F28" s="372">
        <f t="shared" si="10"/>
        <v>4276.13</v>
      </c>
      <c r="G28" s="372">
        <f t="shared" si="11"/>
        <v>6437.63</v>
      </c>
      <c r="H28" s="373"/>
      <c r="I28" s="372">
        <f t="shared" si="12"/>
        <v>2052.75</v>
      </c>
      <c r="J28" s="372">
        <f t="shared" si="13"/>
        <v>4944.38</v>
      </c>
      <c r="K28" s="372">
        <f t="shared" si="14"/>
        <v>6997.13</v>
      </c>
      <c r="L28" s="374"/>
      <c r="M28" s="375">
        <f t="shared" si="15"/>
        <v>559.5</v>
      </c>
      <c r="N28" s="376">
        <f t="shared" si="16"/>
        <v>8.6910866266001613E-2</v>
      </c>
      <c r="O28" s="374"/>
      <c r="P28" s="374"/>
      <c r="Q28" s="374"/>
      <c r="R28" s="374"/>
      <c r="S28" s="374"/>
      <c r="T28" s="374"/>
      <c r="U28" s="374"/>
      <c r="V28" s="374"/>
      <c r="W28" s="374"/>
      <c r="X28" s="374"/>
      <c r="Y28" s="374"/>
      <c r="Z28" s="374"/>
    </row>
    <row r="29" spans="1:26" ht="14" x14ac:dyDescent="0.3">
      <c r="A29" s="151">
        <f>IF(C29&lt;&gt;"",COUNTA($C$12:C29),"")</f>
        <v>16</v>
      </c>
      <c r="B29" s="151" t="s">
        <v>554</v>
      </c>
      <c r="C29" s="366">
        <v>38</v>
      </c>
      <c r="D29" s="409">
        <f t="shared" si="17"/>
        <v>19000</v>
      </c>
      <c r="E29" s="372">
        <f t="shared" si="9"/>
        <v>1101.08</v>
      </c>
      <c r="F29" s="372">
        <f t="shared" si="10"/>
        <v>2166.5700000000002</v>
      </c>
      <c r="G29" s="372">
        <f t="shared" si="11"/>
        <v>3267.65</v>
      </c>
      <c r="H29" s="373"/>
      <c r="I29" s="372">
        <f t="shared" si="12"/>
        <v>1045.98</v>
      </c>
      <c r="J29" s="372">
        <f t="shared" si="13"/>
        <v>2505.15</v>
      </c>
      <c r="K29" s="372">
        <f t="shared" si="14"/>
        <v>3551.13</v>
      </c>
      <c r="L29" s="374"/>
      <c r="M29" s="375">
        <f t="shared" si="15"/>
        <v>283.48</v>
      </c>
      <c r="N29" s="376">
        <f t="shared" si="16"/>
        <v>8.6753477269597423E-2</v>
      </c>
      <c r="O29" s="374"/>
      <c r="P29" s="374"/>
      <c r="Q29" s="374"/>
      <c r="R29" s="374"/>
      <c r="S29" s="374"/>
      <c r="T29" s="374"/>
      <c r="U29" s="374"/>
      <c r="V29" s="374"/>
      <c r="W29" s="374"/>
      <c r="X29" s="374"/>
      <c r="Y29" s="374"/>
      <c r="Z29" s="374"/>
    </row>
    <row r="30" spans="1:26" ht="14" x14ac:dyDescent="0.3">
      <c r="A30" s="151" t="str">
        <f>IF(C30&lt;&gt;"",COUNTA($C$12:C30),"")</f>
        <v/>
      </c>
      <c r="B30" s="151"/>
      <c r="C30" s="365"/>
      <c r="D30" s="493"/>
      <c r="E30" s="489"/>
      <c r="F30" s="489"/>
      <c r="G30" s="489"/>
      <c r="H30" s="494"/>
      <c r="I30" s="489"/>
      <c r="J30" s="489"/>
      <c r="K30" s="489"/>
      <c r="L30" s="495"/>
      <c r="M30" s="497"/>
    </row>
    <row r="31" spans="1:26" ht="14" x14ac:dyDescent="0.3">
      <c r="A31" s="151">
        <f>IF(C31&lt;&gt;"",COUNTA($C$12:C31),"")</f>
        <v>17</v>
      </c>
      <c r="B31" s="151"/>
      <c r="C31" s="496" t="s">
        <v>597</v>
      </c>
      <c r="D31" s="493"/>
      <c r="E31" s="489"/>
      <c r="F31" s="489"/>
      <c r="G31" s="489"/>
      <c r="H31" s="494"/>
      <c r="I31" s="489"/>
      <c r="J31" s="489"/>
      <c r="K31" s="489"/>
      <c r="L31" s="495"/>
      <c r="M31" s="497"/>
    </row>
    <row r="32" spans="1:26" ht="14" x14ac:dyDescent="0.3">
      <c r="A32" s="151">
        <f>IF(C32&lt;&gt;"",COUNTA($C$12:C32),"")</f>
        <v>18</v>
      </c>
      <c r="B32" s="151"/>
      <c r="C32" s="366">
        <f>+C24</f>
        <v>5</v>
      </c>
      <c r="D32" s="409">
        <f>+C32*600</f>
        <v>3000</v>
      </c>
      <c r="E32" s="372">
        <f t="shared" ref="E32:E37" si="18">ROUND($G$42+$C32*SUM($G$43,$G$44)+SUM($G$45:$G$60,$G$61:$G$63)*$D32,2)</f>
        <v>169.84</v>
      </c>
      <c r="F32" s="372">
        <f t="shared" ref="F32:F37" si="19">ROUND($G$64*$D32,2)</f>
        <v>342.09</v>
      </c>
      <c r="G32" s="372">
        <f t="shared" ref="G32:G37" si="20">SUM(E32:F32)</f>
        <v>511.92999999999995</v>
      </c>
      <c r="H32" s="373"/>
      <c r="I32" s="372">
        <f t="shared" ref="I32:I37" si="21">ROUND($I$42+$C32*SUM($I$43,$I$44)+SUM($I$45:$I$60,$I$61:$I$63)*$D32,2)</f>
        <v>163.37</v>
      </c>
      <c r="J32" s="372">
        <f t="shared" ref="J32:J37" si="22">ROUND($I$64*$D32,2)</f>
        <v>395.55</v>
      </c>
      <c r="K32" s="372">
        <f t="shared" ref="K32:K37" si="23">SUM(I32:J32)</f>
        <v>558.92000000000007</v>
      </c>
      <c r="L32" s="374"/>
      <c r="M32" s="375">
        <f t="shared" ref="M32:M37" si="24">+K32-G32</f>
        <v>46.990000000000123</v>
      </c>
      <c r="N32" s="376">
        <f t="shared" ref="N32:N37" si="25">+M32/G32</f>
        <v>9.178989314945428E-2</v>
      </c>
      <c r="O32" s="374"/>
      <c r="P32" s="374"/>
      <c r="Q32" s="374"/>
      <c r="R32" s="374"/>
      <c r="S32" s="374"/>
      <c r="T32" s="374"/>
      <c r="U32" s="374"/>
      <c r="V32" s="374"/>
      <c r="W32" s="374"/>
      <c r="X32" s="374"/>
      <c r="Y32" s="374"/>
      <c r="Z32" s="374"/>
    </row>
    <row r="33" spans="1:26" ht="14" x14ac:dyDescent="0.3">
      <c r="A33" s="151">
        <f>IF(C33&lt;&gt;"",COUNTA($C$12:C33),"")</f>
        <v>19</v>
      </c>
      <c r="B33" s="151"/>
      <c r="C33" s="366">
        <f>+C25</f>
        <v>15</v>
      </c>
      <c r="D33" s="409">
        <f t="shared" ref="D33:D37" si="26">+C33*600</f>
        <v>9000</v>
      </c>
      <c r="E33" s="372">
        <f t="shared" si="18"/>
        <v>485.52</v>
      </c>
      <c r="F33" s="372">
        <f t="shared" si="19"/>
        <v>1026.27</v>
      </c>
      <c r="G33" s="372">
        <f t="shared" si="20"/>
        <v>1511.79</v>
      </c>
      <c r="H33" s="373"/>
      <c r="I33" s="372">
        <f t="shared" si="21"/>
        <v>466.11</v>
      </c>
      <c r="J33" s="372">
        <f t="shared" si="22"/>
        <v>1186.6500000000001</v>
      </c>
      <c r="K33" s="372">
        <f t="shared" si="23"/>
        <v>1652.7600000000002</v>
      </c>
      <c r="L33" s="374"/>
      <c r="M33" s="375">
        <f t="shared" si="24"/>
        <v>140.97000000000025</v>
      </c>
      <c r="N33" s="376">
        <f t="shared" si="25"/>
        <v>9.3247077967178155E-2</v>
      </c>
      <c r="O33" s="374"/>
      <c r="P33" s="374"/>
      <c r="Q33" s="374"/>
      <c r="R33" s="374"/>
      <c r="S33" s="374"/>
      <c r="T33" s="374"/>
      <c r="U33" s="374"/>
      <c r="V33" s="374"/>
      <c r="W33" s="374"/>
      <c r="X33" s="374"/>
      <c r="Y33" s="374"/>
      <c r="Z33" s="374"/>
    </row>
    <row r="34" spans="1:26" ht="14" x14ac:dyDescent="0.3">
      <c r="A34" s="151">
        <f>IF(C34&lt;&gt;"",COUNTA($C$12:C34),"")</f>
        <v>20</v>
      </c>
      <c r="B34" s="151"/>
      <c r="C34" s="366">
        <f>+C26</f>
        <v>25</v>
      </c>
      <c r="D34" s="409">
        <f t="shared" si="26"/>
        <v>15000</v>
      </c>
      <c r="E34" s="372">
        <f t="shared" si="18"/>
        <v>801.2</v>
      </c>
      <c r="F34" s="372">
        <f t="shared" si="19"/>
        <v>1710.45</v>
      </c>
      <c r="G34" s="372">
        <f t="shared" si="20"/>
        <v>2511.65</v>
      </c>
      <c r="H34" s="373"/>
      <c r="I34" s="372">
        <f t="shared" si="21"/>
        <v>768.85</v>
      </c>
      <c r="J34" s="372">
        <f t="shared" si="22"/>
        <v>1977.75</v>
      </c>
      <c r="K34" s="372">
        <f t="shared" si="23"/>
        <v>2746.6</v>
      </c>
      <c r="L34" s="374"/>
      <c r="M34" s="375">
        <f t="shared" si="24"/>
        <v>234.94999999999982</v>
      </c>
      <c r="N34" s="376">
        <f t="shared" si="25"/>
        <v>9.3544084565922725E-2</v>
      </c>
      <c r="O34" s="374"/>
      <c r="P34" s="374"/>
      <c r="Q34" s="374"/>
      <c r="R34" s="374"/>
      <c r="S34" s="374"/>
      <c r="T34" s="374"/>
      <c r="U34" s="374"/>
      <c r="V34" s="374"/>
      <c r="W34" s="374"/>
      <c r="X34" s="374"/>
      <c r="Y34" s="374"/>
      <c r="Z34" s="374"/>
    </row>
    <row r="35" spans="1:26" ht="14" x14ac:dyDescent="0.3">
      <c r="A35" s="151">
        <f>IF(C35&lt;&gt;"",COUNTA($C$12:C35),"")</f>
        <v>21</v>
      </c>
      <c r="B35" s="151"/>
      <c r="C35" s="366">
        <f>+C27</f>
        <v>50</v>
      </c>
      <c r="D35" s="409">
        <f t="shared" si="26"/>
        <v>30000</v>
      </c>
      <c r="E35" s="372">
        <f t="shared" si="18"/>
        <v>1590.4</v>
      </c>
      <c r="F35" s="380">
        <f t="shared" si="19"/>
        <v>3420.9</v>
      </c>
      <c r="G35" s="380">
        <f t="shared" si="20"/>
        <v>5011.3</v>
      </c>
      <c r="H35" s="381"/>
      <c r="I35" s="372">
        <f t="shared" si="21"/>
        <v>1525.7</v>
      </c>
      <c r="J35" s="380">
        <f t="shared" si="22"/>
        <v>3955.5</v>
      </c>
      <c r="K35" s="380">
        <f t="shared" si="23"/>
        <v>5481.2</v>
      </c>
      <c r="L35" s="374"/>
      <c r="M35" s="375">
        <f t="shared" si="24"/>
        <v>469.89999999999964</v>
      </c>
      <c r="N35" s="376">
        <f t="shared" si="25"/>
        <v>9.3768084129866425E-2</v>
      </c>
      <c r="O35" s="374"/>
      <c r="P35" s="374"/>
      <c r="Q35" s="374"/>
      <c r="R35" s="374"/>
      <c r="S35" s="374"/>
      <c r="T35" s="374"/>
      <c r="U35" s="374"/>
      <c r="V35" s="374"/>
      <c r="W35" s="374"/>
      <c r="X35" s="374"/>
      <c r="Y35" s="374"/>
      <c r="Z35" s="374"/>
    </row>
    <row r="36" spans="1:26" ht="14" x14ac:dyDescent="0.3">
      <c r="A36" s="151">
        <f>IF(C36&lt;&gt;"",COUNTA($C$12:C36),"")</f>
        <v>22</v>
      </c>
      <c r="B36" s="151"/>
      <c r="C36" s="366">
        <f>+C28</f>
        <v>75</v>
      </c>
      <c r="D36" s="409">
        <f t="shared" si="26"/>
        <v>45000</v>
      </c>
      <c r="E36" s="372">
        <f t="shared" si="18"/>
        <v>2379.6</v>
      </c>
      <c r="F36" s="372">
        <f t="shared" si="19"/>
        <v>5131.3500000000004</v>
      </c>
      <c r="G36" s="372">
        <f t="shared" si="20"/>
        <v>7510.9500000000007</v>
      </c>
      <c r="H36" s="373"/>
      <c r="I36" s="372">
        <f t="shared" si="21"/>
        <v>2282.5500000000002</v>
      </c>
      <c r="J36" s="372">
        <f t="shared" si="22"/>
        <v>5933.25</v>
      </c>
      <c r="K36" s="372">
        <f t="shared" si="23"/>
        <v>8215.7999999999993</v>
      </c>
      <c r="L36" s="374"/>
      <c r="M36" s="375">
        <f t="shared" si="24"/>
        <v>704.84999999999854</v>
      </c>
      <c r="N36" s="376">
        <f t="shared" si="25"/>
        <v>9.3842989235715657E-2</v>
      </c>
      <c r="O36" s="374"/>
      <c r="P36" s="374"/>
      <c r="Q36" s="374"/>
      <c r="R36" s="374"/>
      <c r="S36" s="374"/>
      <c r="T36" s="374"/>
      <c r="U36" s="374"/>
      <c r="V36" s="374"/>
      <c r="W36" s="374"/>
      <c r="X36" s="374"/>
      <c r="Y36" s="374"/>
      <c r="Z36" s="374"/>
    </row>
    <row r="37" spans="1:26" ht="14" x14ac:dyDescent="0.3">
      <c r="A37" s="151">
        <f>IF(C37&lt;&gt;"",COUNTA($C$12:C37),"")</f>
        <v>23</v>
      </c>
      <c r="B37" s="151" t="s">
        <v>554</v>
      </c>
      <c r="C37" s="366">
        <v>35</v>
      </c>
      <c r="D37" s="409">
        <f t="shared" si="26"/>
        <v>21000</v>
      </c>
      <c r="E37" s="372">
        <f t="shared" si="18"/>
        <v>1116.8800000000001</v>
      </c>
      <c r="F37" s="380">
        <f t="shared" si="19"/>
        <v>2394.63</v>
      </c>
      <c r="G37" s="380">
        <f t="shared" si="20"/>
        <v>3511.51</v>
      </c>
      <c r="H37" s="381"/>
      <c r="I37" s="372">
        <f t="shared" si="21"/>
        <v>1071.5899999999999</v>
      </c>
      <c r="J37" s="380">
        <f t="shared" si="22"/>
        <v>2768.85</v>
      </c>
      <c r="K37" s="380">
        <f t="shared" si="23"/>
        <v>3840.4399999999996</v>
      </c>
      <c r="L37" s="374"/>
      <c r="M37" s="375">
        <f t="shared" si="24"/>
        <v>328.92999999999938</v>
      </c>
      <c r="N37" s="376">
        <f t="shared" si="25"/>
        <v>9.3671953091404941E-2</v>
      </c>
      <c r="O37" s="374"/>
      <c r="P37" s="374"/>
      <c r="Q37" s="374"/>
      <c r="R37" s="374"/>
      <c r="S37" s="374"/>
      <c r="T37" s="374"/>
      <c r="U37" s="374"/>
      <c r="V37" s="374"/>
      <c r="W37" s="374"/>
      <c r="X37" s="374"/>
      <c r="Y37" s="374"/>
      <c r="Z37" s="374"/>
    </row>
    <row r="38" spans="1:26" ht="14" x14ac:dyDescent="0.3">
      <c r="A38" s="151" t="str">
        <f>IF(C38&lt;&gt;"",COUNTA($C$12:C38),"")</f>
        <v/>
      </c>
      <c r="B38" s="151"/>
      <c r="C38" s="501"/>
      <c r="D38" s="488"/>
      <c r="E38" s="489"/>
      <c r="F38" s="489"/>
      <c r="G38" s="489"/>
      <c r="H38" s="494"/>
      <c r="I38" s="489"/>
      <c r="J38" s="489"/>
      <c r="K38" s="489"/>
      <c r="L38" s="495"/>
      <c r="M38" s="497"/>
    </row>
    <row r="39" spans="1:26" ht="14" x14ac:dyDescent="0.3">
      <c r="A39" s="151" t="str">
        <f>IF(C39&lt;&gt;"",COUNTA($C$12:C39),"")</f>
        <v/>
      </c>
      <c r="B39" s="151"/>
      <c r="C39" s="501"/>
      <c r="D39" s="488"/>
      <c r="E39" s="489"/>
      <c r="F39" s="489"/>
      <c r="G39" s="489"/>
      <c r="H39" s="494"/>
      <c r="I39" s="489"/>
      <c r="J39" s="489"/>
      <c r="K39" s="489"/>
      <c r="L39" s="495"/>
      <c r="M39" s="497"/>
    </row>
    <row r="40" spans="1:26" ht="14" x14ac:dyDescent="0.3">
      <c r="A40" s="151">
        <f>IF(C40&lt;&gt;"",COUNTA($C$12:C40),"")</f>
        <v>24</v>
      </c>
      <c r="B40" s="151"/>
      <c r="C40" s="293" t="s">
        <v>46</v>
      </c>
      <c r="D40" s="293"/>
      <c r="E40" s="448"/>
      <c r="F40" s="374"/>
      <c r="G40" s="480" t="str">
        <f>'Bill_Cam G3'!G43</f>
        <v>Current</v>
      </c>
      <c r="H40" s="480"/>
      <c r="I40" s="480" t="str">
        <f>'Bill_Cam G3'!I43</f>
        <v>Proposed</v>
      </c>
      <c r="J40" s="481"/>
      <c r="K40" s="374"/>
      <c r="L40" s="374"/>
      <c r="M40" s="374"/>
    </row>
    <row r="41" spans="1:26" ht="17" x14ac:dyDescent="0.6">
      <c r="A41" s="151">
        <f>IF(C41&lt;&gt;"",COUNTA($C$12:C41),"")</f>
        <v>25</v>
      </c>
      <c r="B41" s="151"/>
      <c r="C41" s="274" t="s">
        <v>46</v>
      </c>
      <c r="D41" s="274"/>
      <c r="E41" s="448"/>
      <c r="F41" s="374"/>
      <c r="G41" s="482" t="str">
        <f>'Bill_Cam G3'!G44</f>
        <v>Rates</v>
      </c>
      <c r="H41" s="482"/>
      <c r="I41" s="482" t="str">
        <f>'Bill_Cam G3'!I44</f>
        <v>Rates</v>
      </c>
      <c r="J41" s="482" t="str">
        <f>'Bill_Cam G3'!J44</f>
        <v>Change</v>
      </c>
      <c r="K41" s="374"/>
      <c r="L41" s="374"/>
      <c r="M41" s="374"/>
    </row>
    <row r="42" spans="1:26" ht="14" x14ac:dyDescent="0.3">
      <c r="A42" s="151">
        <f>IF(C42&lt;&gt;"",COUNTA($C$12:C42),"")</f>
        <v>26</v>
      </c>
      <c r="B42" s="151"/>
      <c r="C42" s="293" t="s">
        <v>296</v>
      </c>
      <c r="D42" s="293"/>
      <c r="E42" s="483"/>
      <c r="F42" s="374"/>
      <c r="G42" s="454">
        <v>12</v>
      </c>
      <c r="H42" s="455" t="s">
        <v>46</v>
      </c>
      <c r="I42" s="454">
        <f>G42</f>
        <v>12</v>
      </c>
      <c r="J42" s="421">
        <f>I42-G42</f>
        <v>0</v>
      </c>
      <c r="K42" s="374"/>
      <c r="L42" s="374"/>
      <c r="M42" s="374"/>
    </row>
    <row r="43" spans="1:26" ht="14" x14ac:dyDescent="0.3">
      <c r="A43" s="151">
        <f>IF(C43&lt;&gt;"",COUNTA($C$12:C43),"")</f>
        <v>27</v>
      </c>
      <c r="B43" s="151"/>
      <c r="C43" s="293" t="s">
        <v>422</v>
      </c>
      <c r="D43" s="293"/>
      <c r="E43" s="483"/>
      <c r="F43" s="374"/>
      <c r="G43" s="454">
        <v>4.1399999999999997</v>
      </c>
      <c r="H43" s="455"/>
      <c r="I43" s="454">
        <v>4.28</v>
      </c>
      <c r="J43" s="421">
        <f t="shared" ref="J43:J64" si="27">I43-G43</f>
        <v>0.14000000000000057</v>
      </c>
      <c r="K43" s="374"/>
      <c r="L43" s="374"/>
      <c r="M43" s="374"/>
    </row>
    <row r="44" spans="1:26" ht="14" x14ac:dyDescent="0.3">
      <c r="A44" s="151">
        <f>IF(C44&lt;&gt;"",COUNTA($C$12:C44),"")</f>
        <v>28</v>
      </c>
      <c r="B44" s="151"/>
      <c r="C44" s="293" t="str">
        <f>'Bill_Cam G1'!C54</f>
        <v>Transmission Demand</v>
      </c>
      <c r="D44" s="293"/>
      <c r="E44" s="483"/>
      <c r="F44" s="374"/>
      <c r="G44" s="454">
        <v>9.98</v>
      </c>
      <c r="H44" s="448"/>
      <c r="I44" s="454">
        <v>7.61</v>
      </c>
      <c r="J44" s="421">
        <f>I44-G44</f>
        <v>-2.37</v>
      </c>
      <c r="K44" s="374"/>
      <c r="L44" s="374"/>
      <c r="M44" s="374"/>
    </row>
    <row r="45" spans="1:26" ht="14" x14ac:dyDescent="0.3">
      <c r="A45" s="151">
        <f>IF(C45&lt;&gt;"",COUNTA($C$12:C45),"")</f>
        <v>29</v>
      </c>
      <c r="B45" s="151"/>
      <c r="C45" s="293" t="s">
        <v>298</v>
      </c>
      <c r="D45" s="293"/>
      <c r="E45" s="483"/>
      <c r="F45" s="374"/>
      <c r="G45" s="308">
        <v>1.038E-2</v>
      </c>
      <c r="H45" s="484"/>
      <c r="I45" s="308">
        <v>1.0749999999999999E-2</v>
      </c>
      <c r="J45" s="354">
        <f t="shared" si="27"/>
        <v>3.699999999999988E-4</v>
      </c>
      <c r="K45" s="374"/>
      <c r="L45" s="374"/>
      <c r="M45" s="374"/>
    </row>
    <row r="46" spans="1:26" ht="14" x14ac:dyDescent="0.3">
      <c r="A46" s="151">
        <f>IF(C46&lt;&gt;"",COUNTA($C$12:C46),"")</f>
        <v>30</v>
      </c>
      <c r="B46" s="151"/>
      <c r="C46" s="293" t="str">
        <f>'Bill_Cam G1'!C56</f>
        <v>Revenue Decoupling</v>
      </c>
      <c r="D46" s="506"/>
      <c r="E46" s="483"/>
      <c r="F46" s="374"/>
      <c r="G46" s="308">
        <v>0</v>
      </c>
      <c r="H46" s="400"/>
      <c r="I46" s="277">
        <v>-2.1000000000000001E-4</v>
      </c>
      <c r="J46" s="354">
        <f t="shared" si="27"/>
        <v>-2.1000000000000001E-4</v>
      </c>
      <c r="K46" s="374"/>
      <c r="L46" s="374"/>
      <c r="M46" s="374"/>
    </row>
    <row r="47" spans="1:26" ht="14" x14ac:dyDescent="0.3">
      <c r="A47" s="151">
        <f>IF(C47&lt;&gt;"",COUNTA($C$12:C47),"")</f>
        <v>31</v>
      </c>
      <c r="B47" s="151"/>
      <c r="C47" s="293" t="str">
        <f>'Bill_Cam G1'!C57</f>
        <v>Residential Assistance Adjustment Factor</v>
      </c>
      <c r="D47" s="293"/>
      <c r="E47" s="483"/>
      <c r="F47" s="374"/>
      <c r="G47" s="277">
        <v>1.3500000000000001E-3</v>
      </c>
      <c r="H47" s="400"/>
      <c r="I47" s="277">
        <v>1.74E-3</v>
      </c>
      <c r="J47" s="354">
        <f t="shared" si="27"/>
        <v>3.8999999999999994E-4</v>
      </c>
      <c r="K47" s="374"/>
      <c r="L47" s="374"/>
      <c r="M47" s="374"/>
    </row>
    <row r="48" spans="1:26" ht="14" x14ac:dyDescent="0.3">
      <c r="A48" s="151">
        <f>IF(C48&lt;&gt;"",COUNTA($C$12:C48),"")</f>
        <v>32</v>
      </c>
      <c r="B48" s="151"/>
      <c r="C48" s="293" t="str">
        <f>'Bill_Cam G1'!C58</f>
        <v>Pension Adjustment Factor</v>
      </c>
      <c r="D48" s="293"/>
      <c r="E48" s="483"/>
      <c r="F48" s="374"/>
      <c r="G48" s="277">
        <v>-8.0000000000000007E-5</v>
      </c>
      <c r="H48" s="400"/>
      <c r="I48" s="277">
        <v>7.2999999999999996E-4</v>
      </c>
      <c r="J48" s="354">
        <f t="shared" si="27"/>
        <v>8.0999999999999996E-4</v>
      </c>
      <c r="K48" s="374"/>
      <c r="L48" s="374"/>
      <c r="M48" s="374"/>
    </row>
    <row r="49" spans="1:13" ht="14" x14ac:dyDescent="0.3">
      <c r="A49" s="151">
        <f>IF(C49&lt;&gt;"",COUNTA($C$12:C49),"")</f>
        <v>33</v>
      </c>
      <c r="B49" s="151"/>
      <c r="C49" s="293" t="str">
        <f>'Bill_Cam G1'!C59</f>
        <v>Net Metering Recovery Surcharge</v>
      </c>
      <c r="D49" s="293"/>
      <c r="E49" s="483"/>
      <c r="F49" s="374"/>
      <c r="G49" s="277">
        <v>2.66E-3</v>
      </c>
      <c r="H49" s="400"/>
      <c r="I49" s="277">
        <v>2.2699999999999999E-3</v>
      </c>
      <c r="J49" s="354">
        <f t="shared" si="27"/>
        <v>-3.9000000000000016E-4</v>
      </c>
      <c r="K49" s="374"/>
      <c r="L49" s="374"/>
      <c r="M49" s="374"/>
    </row>
    <row r="50" spans="1:13" ht="14" x14ac:dyDescent="0.3">
      <c r="A50" s="151">
        <f>IF(C50&lt;&gt;"",COUNTA($C$12:C50),"")</f>
        <v>34</v>
      </c>
      <c r="B50" s="151"/>
      <c r="C50" s="293" t="str">
        <f>'Bill_Cam G1'!C60</f>
        <v>Long Term Renewable Contract Adjustment</v>
      </c>
      <c r="D50" s="293"/>
      <c r="E50" s="483"/>
      <c r="F50" s="374"/>
      <c r="G50" s="277">
        <v>2.3600000000000001E-3</v>
      </c>
      <c r="H50" s="400"/>
      <c r="I50" s="277">
        <v>1.74E-3</v>
      </c>
      <c r="J50" s="354">
        <f t="shared" si="27"/>
        <v>-6.2000000000000011E-4</v>
      </c>
      <c r="K50" s="374"/>
      <c r="L50" s="374"/>
      <c r="M50" s="374"/>
    </row>
    <row r="51" spans="1:13" ht="14" x14ac:dyDescent="0.3">
      <c r="A51" s="151">
        <f>IF(C51&lt;&gt;"",COUNTA($C$12:C51),"")</f>
        <v>35</v>
      </c>
      <c r="B51" s="151"/>
      <c r="C51" s="293" t="str">
        <f>'Bill_Cam G1'!C61</f>
        <v>AG Consulting Expense</v>
      </c>
      <c r="D51" s="293"/>
      <c r="E51" s="483"/>
      <c r="F51" s="374"/>
      <c r="G51" s="277">
        <v>1.0000000000000001E-5</v>
      </c>
      <c r="H51" s="400"/>
      <c r="I51" s="277">
        <v>0</v>
      </c>
      <c r="J51" s="354">
        <f t="shared" si="27"/>
        <v>-1.0000000000000001E-5</v>
      </c>
      <c r="K51" s="374"/>
      <c r="L51" s="374"/>
      <c r="M51" s="374"/>
    </row>
    <row r="52" spans="1:13" ht="14" x14ac:dyDescent="0.3">
      <c r="A52" s="151">
        <f>IF(C52&lt;&gt;"",COUNTA($C$12:C52),"")</f>
        <v>36</v>
      </c>
      <c r="B52" s="151"/>
      <c r="C52" s="293" t="str">
        <f>'Bill_Cam G1'!C62</f>
        <v>Storm Cost Recovery Adjustment Factor</v>
      </c>
      <c r="D52" s="293"/>
      <c r="E52" s="483"/>
      <c r="F52" s="374"/>
      <c r="G52" s="277">
        <v>8.3000000000000001E-4</v>
      </c>
      <c r="H52" s="400"/>
      <c r="I52" s="277">
        <v>1.33E-3</v>
      </c>
      <c r="J52" s="354">
        <f t="shared" si="27"/>
        <v>5.0000000000000001E-4</v>
      </c>
      <c r="K52" s="374"/>
      <c r="L52" s="374"/>
      <c r="M52" s="374"/>
    </row>
    <row r="53" spans="1:13" ht="14" x14ac:dyDescent="0.3">
      <c r="A53" s="151">
        <f>IF(C53&lt;&gt;"",COUNTA($C$12:C53),"")</f>
        <v>37</v>
      </c>
      <c r="B53" s="151"/>
      <c r="C53" s="293" t="str">
        <f>'Bill_Cam G1'!C63</f>
        <v>Storm Reserve Adjustment</v>
      </c>
      <c r="D53" s="293"/>
      <c r="E53" s="483"/>
      <c r="F53" s="374"/>
      <c r="G53" s="277">
        <v>0</v>
      </c>
      <c r="H53" s="400"/>
      <c r="I53" s="277">
        <v>0</v>
      </c>
      <c r="J53" s="354">
        <f t="shared" si="27"/>
        <v>0</v>
      </c>
      <c r="K53" s="374"/>
      <c r="L53" s="374"/>
      <c r="M53" s="374"/>
    </row>
    <row r="54" spans="1:13" ht="14" x14ac:dyDescent="0.3">
      <c r="A54" s="151">
        <f>IF(C54&lt;&gt;"",COUNTA($C$12:C54),"")</f>
        <v>38</v>
      </c>
      <c r="B54" s="151"/>
      <c r="C54" s="293" t="str">
        <f>'Bill_Cam G1'!C64</f>
        <v>Basic Service Cost True Up Factor</v>
      </c>
      <c r="E54" s="374"/>
      <c r="F54" s="374"/>
      <c r="G54" s="277">
        <v>7.2000000000000005E-4</v>
      </c>
      <c r="H54" s="400"/>
      <c r="I54" s="277">
        <v>-9.0000000000000006E-5</v>
      </c>
      <c r="J54" s="354">
        <f t="shared" si="27"/>
        <v>-8.1000000000000006E-4</v>
      </c>
      <c r="K54" s="374"/>
      <c r="L54" s="374"/>
      <c r="M54" s="374"/>
    </row>
    <row r="55" spans="1:13" ht="14" x14ac:dyDescent="0.3">
      <c r="A55" s="151">
        <f>IF(C55&lt;&gt;"",COUNTA($C$12:C55),"")</f>
        <v>39</v>
      </c>
      <c r="B55" s="151"/>
      <c r="C55" s="293" t="str">
        <f>'Bill_Cam G1'!C65</f>
        <v>Solar Program Cost Adjustment Factor</v>
      </c>
      <c r="D55" s="232"/>
      <c r="E55" s="483"/>
      <c r="F55" s="374"/>
      <c r="G55" s="277">
        <v>0</v>
      </c>
      <c r="H55" s="400"/>
      <c r="I55" s="277">
        <v>2.0000000000000002E-5</v>
      </c>
      <c r="J55" s="354">
        <f t="shared" si="27"/>
        <v>2.0000000000000002E-5</v>
      </c>
      <c r="K55" s="374"/>
      <c r="L55" s="374"/>
      <c r="M55" s="374"/>
    </row>
    <row r="56" spans="1:13" ht="14" x14ac:dyDescent="0.3">
      <c r="A56" s="151">
        <f>IF(C56&lt;&gt;"",COUNTA($C$12:C56),"")</f>
        <v>40</v>
      </c>
      <c r="B56" s="151"/>
      <c r="C56" s="293" t="str">
        <f>'Bill_Cam G1'!C66</f>
        <v>Solar Expansion Cost Recovery Factor</v>
      </c>
      <c r="D56" s="232"/>
      <c r="E56" s="483"/>
      <c r="F56" s="374"/>
      <c r="G56" s="277">
        <v>0</v>
      </c>
      <c r="H56" s="400"/>
      <c r="I56" s="277">
        <v>2.7E-4</v>
      </c>
      <c r="J56" s="354">
        <f t="shared" si="27"/>
        <v>2.7E-4</v>
      </c>
      <c r="K56" s="374"/>
      <c r="L56" s="374"/>
      <c r="M56" s="374"/>
    </row>
    <row r="57" spans="1:13" ht="14" x14ac:dyDescent="0.3">
      <c r="A57" s="151">
        <f>IF(C57&lt;&gt;"",COUNTA($C$12:C57),"")</f>
        <v>41</v>
      </c>
      <c r="B57" s="151"/>
      <c r="C57" s="293" t="str">
        <f>'Bill_Cam G1'!C67</f>
        <v>Vegetation Management</v>
      </c>
      <c r="D57" s="232"/>
      <c r="E57" s="483"/>
      <c r="F57" s="374"/>
      <c r="G57" s="277">
        <v>0</v>
      </c>
      <c r="H57" s="400"/>
      <c r="I57" s="277">
        <v>1.31E-3</v>
      </c>
      <c r="J57" s="354">
        <f t="shared" si="27"/>
        <v>1.31E-3</v>
      </c>
      <c r="K57" s="374"/>
      <c r="L57" s="374"/>
      <c r="M57" s="374"/>
    </row>
    <row r="58" spans="1:13" ht="14" x14ac:dyDescent="0.3">
      <c r="A58" s="151">
        <f>IF(C58&lt;&gt;"",COUNTA($C$12:C58),"")</f>
        <v>42</v>
      </c>
      <c r="B58" s="151"/>
      <c r="C58" s="293" t="str">
        <f>'Bill_Cam G1'!C68</f>
        <v>Solar Massachusetts Renewable Target</v>
      </c>
      <c r="D58" s="339"/>
      <c r="E58" s="339"/>
      <c r="F58" s="277"/>
      <c r="G58" s="277">
        <v>0</v>
      </c>
      <c r="H58" s="277"/>
      <c r="I58" s="277">
        <v>3.2000000000000003E-4</v>
      </c>
      <c r="J58" s="354">
        <f t="shared" si="27"/>
        <v>3.2000000000000003E-4</v>
      </c>
      <c r="K58" s="339"/>
      <c r="L58" s="339"/>
    </row>
    <row r="59" spans="1:13" ht="14" x14ac:dyDescent="0.3">
      <c r="A59" s="151">
        <f>IF(C59&lt;&gt;"",COUNTA($C$12:C59),"")</f>
        <v>43</v>
      </c>
      <c r="B59" s="151"/>
      <c r="C59" s="293" t="str">
        <f>'Bill_Cam G1'!C69</f>
        <v>Tax Act Credit Factor</v>
      </c>
      <c r="D59" s="339"/>
      <c r="E59" s="339"/>
      <c r="F59" s="277"/>
      <c r="G59" s="277">
        <v>0</v>
      </c>
      <c r="H59" s="277"/>
      <c r="I59" s="277">
        <v>-4.8000000000000001E-4</v>
      </c>
      <c r="J59" s="354">
        <f t="shared" si="27"/>
        <v>-4.8000000000000001E-4</v>
      </c>
      <c r="K59" s="339"/>
      <c r="L59" s="339"/>
    </row>
    <row r="60" spans="1:13" ht="14" x14ac:dyDescent="0.3">
      <c r="A60" s="151">
        <f>IF(C60&lt;&gt;"",COUNTA($C$12:C60),"")</f>
        <v>44</v>
      </c>
      <c r="B60" s="151"/>
      <c r="C60" s="293" t="str">
        <f>'Bill_Cam G1'!C70</f>
        <v>Transition</v>
      </c>
      <c r="D60" s="293"/>
      <c r="E60" s="483"/>
      <c r="F60" s="374"/>
      <c r="G60" s="308">
        <v>-6.0999999999999997E-4</v>
      </c>
      <c r="H60" s="400"/>
      <c r="I60" s="277">
        <v>-5.1999999999999995E-4</v>
      </c>
      <c r="J60" s="354">
        <f t="shared" si="27"/>
        <v>9.0000000000000019E-5</v>
      </c>
      <c r="K60" s="374"/>
      <c r="L60" s="374"/>
      <c r="M60" s="374"/>
    </row>
    <row r="61" spans="1:13" ht="14" x14ac:dyDescent="0.3">
      <c r="A61" s="151">
        <f>IF(C61&lt;&gt;"",COUNTA($C$12:C61),"")</f>
        <v>45</v>
      </c>
      <c r="B61" s="151"/>
      <c r="C61" s="293" t="str">
        <f>'Bill_Cam G1'!C71</f>
        <v>Energy Efficiency Reconciliation Factor</v>
      </c>
      <c r="D61" s="293"/>
      <c r="E61" s="483"/>
      <c r="F61" s="374"/>
      <c r="G61" s="308">
        <v>8.4600000000000005E-3</v>
      </c>
      <c r="H61" s="400"/>
      <c r="I61" s="308">
        <v>8.4600000000000005E-3</v>
      </c>
      <c r="J61" s="354">
        <f t="shared" si="27"/>
        <v>0</v>
      </c>
      <c r="K61" s="374"/>
      <c r="L61" s="374"/>
      <c r="M61" s="374"/>
    </row>
    <row r="62" spans="1:13" ht="14" x14ac:dyDescent="0.3">
      <c r="A62" s="151">
        <f>IF(C62&lt;&gt;"",COUNTA($C$12:C62),"")</f>
        <v>46</v>
      </c>
      <c r="B62" s="151"/>
      <c r="C62" s="293" t="str">
        <f>'Bill_Cam G1'!C72</f>
        <v>System Benefits Charge</v>
      </c>
      <c r="D62" s="232"/>
      <c r="E62" s="483"/>
      <c r="F62" s="374"/>
      <c r="G62" s="308">
        <v>2.5000000000000001E-3</v>
      </c>
      <c r="H62" s="400"/>
      <c r="I62" s="308">
        <f>G62</f>
        <v>2.5000000000000001E-3</v>
      </c>
      <c r="J62" s="354">
        <f t="shared" si="27"/>
        <v>0</v>
      </c>
      <c r="K62" s="374"/>
      <c r="L62" s="374"/>
      <c r="M62" s="374"/>
    </row>
    <row r="63" spans="1:13" ht="14" x14ac:dyDescent="0.3">
      <c r="A63" s="151">
        <f>IF(C63&lt;&gt;"",COUNTA($C$12:C63),"")</f>
        <v>47</v>
      </c>
      <c r="B63" s="151"/>
      <c r="C63" s="293" t="str">
        <f>'Bill_Cam G1'!C73</f>
        <v>Renewable Energy Charge</v>
      </c>
      <c r="D63" s="232"/>
      <c r="E63" s="483"/>
      <c r="F63" s="374"/>
      <c r="G63" s="308">
        <v>5.0000000000000001E-4</v>
      </c>
      <c r="H63" s="400"/>
      <c r="I63" s="308">
        <f>G63</f>
        <v>5.0000000000000001E-4</v>
      </c>
      <c r="J63" s="354">
        <f t="shared" si="27"/>
        <v>0</v>
      </c>
      <c r="K63" s="374"/>
      <c r="L63" s="374"/>
      <c r="M63" s="374"/>
    </row>
    <row r="64" spans="1:13" ht="14" x14ac:dyDescent="0.3">
      <c r="A64" s="151">
        <f>IF(C64&lt;&gt;"",COUNTA($C$12:C64),"")</f>
        <v>48</v>
      </c>
      <c r="B64" s="151"/>
      <c r="C64" s="293" t="str">
        <f>'Bill_Cam G1'!C74</f>
        <v>Basic Service Charge</v>
      </c>
      <c r="D64" s="293"/>
      <c r="E64" s="483"/>
      <c r="F64" s="374"/>
      <c r="G64" s="308">
        <v>0.11403000000000001</v>
      </c>
      <c r="H64" s="400"/>
      <c r="I64" s="308">
        <v>0.13185000000000002</v>
      </c>
      <c r="J64" s="354">
        <f t="shared" si="27"/>
        <v>1.7820000000000016E-2</v>
      </c>
      <c r="K64" s="374"/>
      <c r="L64" s="374"/>
      <c r="M64" s="374"/>
    </row>
    <row r="65" spans="1:13" ht="14" x14ac:dyDescent="0.3">
      <c r="A65" s="151" t="str">
        <f>IF(C65&lt;&gt;"",COUNTA($C$12:C65),"")</f>
        <v/>
      </c>
      <c r="B65" s="151"/>
      <c r="E65" s="374"/>
      <c r="F65" s="374"/>
      <c r="G65" s="374"/>
      <c r="H65" s="374"/>
      <c r="I65" s="502"/>
      <c r="J65" s="502"/>
      <c r="K65" s="374"/>
      <c r="L65" s="374"/>
      <c r="M65" s="374"/>
    </row>
    <row r="66" spans="1:13" ht="14" x14ac:dyDescent="0.3">
      <c r="A66" s="151" t="str">
        <f>IF(C66&lt;&gt;"",COUNTA($C$12:C66),"")</f>
        <v/>
      </c>
      <c r="B66" s="151"/>
      <c r="E66" s="374"/>
      <c r="F66" s="374"/>
      <c r="G66" s="374"/>
      <c r="H66" s="374"/>
      <c r="I66" s="502"/>
      <c r="J66" s="502"/>
      <c r="K66" s="374"/>
      <c r="L66" s="374"/>
      <c r="M66" s="374"/>
    </row>
    <row r="67" spans="1:13" ht="14" x14ac:dyDescent="0.3">
      <c r="C67" s="293" t="s">
        <v>599</v>
      </c>
      <c r="E67" s="374"/>
      <c r="F67" s="374"/>
      <c r="G67" s="374">
        <f>G43+G44</f>
        <v>14.120000000000001</v>
      </c>
      <c r="H67" s="374"/>
      <c r="I67" s="374">
        <f>I43+I44</f>
        <v>11.89</v>
      </c>
      <c r="J67" s="421">
        <f t="shared" ref="J67:J69" si="28">I67-G67</f>
        <v>-2.2300000000000004</v>
      </c>
      <c r="K67" s="374"/>
      <c r="L67" s="374"/>
      <c r="M67" s="374"/>
    </row>
    <row r="68" spans="1:13" ht="14" x14ac:dyDescent="0.3">
      <c r="C68" s="293" t="str">
        <f>'Bill_Cam G1'!C79</f>
        <v>Total Energy</v>
      </c>
      <c r="E68" s="374"/>
      <c r="F68" s="374"/>
      <c r="G68" s="403">
        <f>SUM(G45:G60,G61:G63)</f>
        <v>2.9079999999999998E-2</v>
      </c>
      <c r="H68" s="403"/>
      <c r="I68" s="403">
        <f>SUM(I45:I60,I61:I63)</f>
        <v>3.0639999999999997E-2</v>
      </c>
      <c r="J68" s="354">
        <f t="shared" si="28"/>
        <v>1.5599999999999989E-3</v>
      </c>
      <c r="K68" s="374"/>
      <c r="L68" s="374"/>
      <c r="M68" s="374"/>
    </row>
    <row r="69" spans="1:13" ht="14" x14ac:dyDescent="0.3">
      <c r="C69" s="293" t="str">
        <f>'Bill_Cam G1'!C80</f>
        <v>Total Basic Service</v>
      </c>
      <c r="E69" s="374"/>
      <c r="F69" s="374"/>
      <c r="G69" s="403">
        <f>G64</f>
        <v>0.11403000000000001</v>
      </c>
      <c r="H69" s="403"/>
      <c r="I69" s="403">
        <f>I64</f>
        <v>0.13185000000000002</v>
      </c>
      <c r="J69" s="354">
        <f t="shared" si="28"/>
        <v>1.7820000000000016E-2</v>
      </c>
      <c r="K69" s="374"/>
      <c r="L69" s="374"/>
      <c r="M69" s="374"/>
    </row>
    <row r="70" spans="1:13" ht="14" x14ac:dyDescent="0.3">
      <c r="E70" s="374"/>
      <c r="F70" s="374"/>
      <c r="G70" s="374"/>
      <c r="H70" s="374"/>
      <c r="I70" s="502"/>
      <c r="J70" s="502"/>
      <c r="K70" s="374"/>
      <c r="L70" s="374"/>
      <c r="M70" s="374"/>
    </row>
    <row r="71" spans="1:13" ht="14" x14ac:dyDescent="0.3">
      <c r="E71" s="374"/>
      <c r="F71" s="374"/>
      <c r="G71" s="374"/>
      <c r="H71" s="374"/>
      <c r="I71" s="502"/>
      <c r="J71" s="502"/>
      <c r="K71" s="374"/>
      <c r="L71" s="374"/>
      <c r="M71" s="374"/>
    </row>
    <row r="72" spans="1:13" ht="14" x14ac:dyDescent="0.3">
      <c r="E72" s="374"/>
      <c r="F72" s="374"/>
      <c r="G72" s="374"/>
      <c r="H72" s="374"/>
      <c r="I72" s="502"/>
      <c r="J72" s="502"/>
      <c r="K72" s="374"/>
      <c r="L72" s="374"/>
      <c r="M72" s="374"/>
    </row>
    <row r="73" spans="1:13" ht="14" x14ac:dyDescent="0.3">
      <c r="E73" s="374"/>
      <c r="F73" s="374"/>
      <c r="G73" s="374"/>
      <c r="H73" s="374"/>
      <c r="I73" s="502"/>
      <c r="J73" s="502"/>
      <c r="K73" s="374"/>
      <c r="L73" s="374"/>
      <c r="M73" s="374"/>
    </row>
    <row r="74" spans="1:13" ht="14" x14ac:dyDescent="0.3">
      <c r="E74" s="374"/>
      <c r="F74" s="374"/>
      <c r="G74" s="374"/>
      <c r="H74" s="374"/>
      <c r="I74" s="502"/>
      <c r="J74" s="502"/>
      <c r="K74" s="374"/>
      <c r="L74" s="374"/>
      <c r="M74" s="374"/>
    </row>
    <row r="75" spans="1:13" ht="14" x14ac:dyDescent="0.3">
      <c r="E75" s="374"/>
      <c r="F75" s="374"/>
      <c r="G75" s="374"/>
      <c r="H75" s="374"/>
      <c r="I75" s="502"/>
      <c r="J75" s="502"/>
      <c r="K75" s="374"/>
      <c r="L75" s="374"/>
      <c r="M75" s="374"/>
    </row>
    <row r="76" spans="1:13" ht="14" x14ac:dyDescent="0.3">
      <c r="E76" s="374"/>
      <c r="F76" s="374"/>
      <c r="G76" s="374"/>
      <c r="H76" s="374"/>
      <c r="I76" s="502"/>
      <c r="J76" s="502"/>
      <c r="K76" s="374"/>
      <c r="L76" s="374"/>
      <c r="M76" s="374"/>
    </row>
    <row r="77" spans="1:13" ht="14" x14ac:dyDescent="0.3">
      <c r="E77" s="374"/>
      <c r="F77" s="374"/>
      <c r="G77" s="374"/>
      <c r="H77" s="374"/>
      <c r="I77" s="502"/>
      <c r="J77" s="502"/>
      <c r="K77" s="374"/>
      <c r="L77" s="374"/>
      <c r="M77" s="374"/>
    </row>
    <row r="78" spans="1:13" ht="14" x14ac:dyDescent="0.3">
      <c r="E78" s="374"/>
      <c r="F78" s="374"/>
      <c r="G78" s="374"/>
      <c r="H78" s="374"/>
      <c r="I78" s="502"/>
      <c r="J78" s="502"/>
      <c r="K78" s="374"/>
      <c r="L78" s="374"/>
      <c r="M78" s="374"/>
    </row>
    <row r="79" spans="1:13" ht="14" x14ac:dyDescent="0.3">
      <c r="E79" s="374"/>
      <c r="F79" s="374"/>
      <c r="G79" s="374"/>
      <c r="H79" s="374"/>
      <c r="I79" s="502"/>
      <c r="J79" s="502"/>
      <c r="K79" s="374"/>
      <c r="L79" s="374"/>
      <c r="M79" s="374"/>
    </row>
    <row r="80" spans="1:13" ht="14" x14ac:dyDescent="0.3">
      <c r="E80" s="374"/>
      <c r="F80" s="374"/>
      <c r="G80" s="374"/>
      <c r="H80" s="374"/>
      <c r="I80" s="502"/>
      <c r="J80" s="502"/>
      <c r="K80" s="374"/>
      <c r="L80" s="374"/>
      <c r="M80" s="374"/>
    </row>
    <row r="81" spans="5:13" ht="14" x14ac:dyDescent="0.3">
      <c r="E81" s="374"/>
      <c r="F81" s="374"/>
      <c r="G81" s="374"/>
      <c r="H81" s="374"/>
      <c r="I81" s="502"/>
      <c r="J81" s="502"/>
      <c r="K81" s="374"/>
      <c r="L81" s="374"/>
      <c r="M81" s="374"/>
    </row>
    <row r="82" spans="5:13" ht="14" x14ac:dyDescent="0.3">
      <c r="E82" s="374"/>
      <c r="F82" s="374"/>
      <c r="G82" s="374"/>
      <c r="H82" s="374"/>
      <c r="I82" s="502"/>
      <c r="J82" s="502"/>
      <c r="K82" s="374"/>
      <c r="L82" s="374"/>
      <c r="M82" s="374"/>
    </row>
    <row r="83" spans="5:13" ht="14" x14ac:dyDescent="0.3">
      <c r="E83" s="374"/>
      <c r="F83" s="374"/>
      <c r="G83" s="374"/>
      <c r="H83" s="374"/>
      <c r="I83" s="502"/>
      <c r="J83" s="502"/>
      <c r="K83" s="374"/>
      <c r="L83" s="374"/>
      <c r="M83" s="374"/>
    </row>
    <row r="84" spans="5:13" ht="14" x14ac:dyDescent="0.3">
      <c r="E84" s="374"/>
      <c r="F84" s="374"/>
      <c r="G84" s="374"/>
      <c r="H84" s="374"/>
      <c r="I84" s="502"/>
      <c r="J84" s="502"/>
      <c r="K84" s="374"/>
      <c r="L84" s="374"/>
      <c r="M84" s="374"/>
    </row>
    <row r="85" spans="5:13" ht="14" x14ac:dyDescent="0.3">
      <c r="E85" s="374"/>
      <c r="F85" s="374"/>
      <c r="G85" s="374"/>
      <c r="H85" s="374"/>
      <c r="I85" s="502"/>
      <c r="J85" s="502"/>
      <c r="K85" s="374"/>
      <c r="L85" s="374"/>
      <c r="M85" s="374"/>
    </row>
    <row r="86" spans="5:13" ht="14" x14ac:dyDescent="0.3">
      <c r="E86" s="374"/>
      <c r="F86" s="374"/>
      <c r="G86" s="374"/>
      <c r="H86" s="374"/>
      <c r="I86" s="502"/>
      <c r="J86" s="502"/>
      <c r="K86" s="374"/>
      <c r="L86" s="374"/>
      <c r="M86" s="374"/>
    </row>
    <row r="87" spans="5:13" ht="14" x14ac:dyDescent="0.3">
      <c r="E87" s="374"/>
      <c r="F87" s="374"/>
      <c r="G87" s="374"/>
      <c r="H87" s="374"/>
      <c r="I87" s="502"/>
      <c r="J87" s="502"/>
      <c r="K87" s="374"/>
      <c r="L87" s="374"/>
      <c r="M87" s="374"/>
    </row>
    <row r="88" spans="5:13" ht="14" x14ac:dyDescent="0.3">
      <c r="E88" s="374"/>
      <c r="F88" s="374"/>
      <c r="G88" s="374"/>
      <c r="H88" s="374"/>
      <c r="I88" s="502"/>
      <c r="J88" s="502"/>
      <c r="K88" s="374"/>
      <c r="L88" s="374"/>
      <c r="M88" s="374"/>
    </row>
    <row r="89" spans="5:13" ht="14" x14ac:dyDescent="0.3">
      <c r="E89" s="374"/>
      <c r="F89" s="374"/>
      <c r="G89" s="374"/>
      <c r="H89" s="374"/>
      <c r="I89" s="502"/>
      <c r="J89" s="502"/>
      <c r="K89" s="374"/>
      <c r="L89" s="374"/>
      <c r="M89" s="374"/>
    </row>
    <row r="90" spans="5:13" ht="14" x14ac:dyDescent="0.3">
      <c r="E90" s="374"/>
      <c r="F90" s="374"/>
      <c r="G90" s="374"/>
      <c r="H90" s="374"/>
      <c r="I90" s="502"/>
      <c r="J90" s="502"/>
      <c r="K90" s="374"/>
      <c r="L90" s="374"/>
      <c r="M90" s="374"/>
    </row>
    <row r="91" spans="5:13" ht="14" x14ac:dyDescent="0.3">
      <c r="E91" s="374"/>
      <c r="F91" s="374"/>
      <c r="G91" s="374"/>
      <c r="H91" s="374"/>
      <c r="I91" s="502"/>
      <c r="J91" s="502"/>
      <c r="K91" s="374"/>
      <c r="L91" s="374"/>
      <c r="M91" s="374"/>
    </row>
    <row r="92" spans="5:13" ht="14" x14ac:dyDescent="0.3">
      <c r="E92" s="374"/>
      <c r="F92" s="374"/>
      <c r="G92" s="374"/>
      <c r="H92" s="374"/>
      <c r="I92" s="502"/>
      <c r="J92" s="502"/>
      <c r="K92" s="374"/>
      <c r="L92" s="374"/>
      <c r="M92" s="374"/>
    </row>
    <row r="93" spans="5:13" ht="14" x14ac:dyDescent="0.3">
      <c r="E93" s="374"/>
      <c r="F93" s="374"/>
      <c r="G93" s="374"/>
      <c r="H93" s="374"/>
      <c r="I93" s="502"/>
      <c r="J93" s="502"/>
      <c r="K93" s="374"/>
      <c r="L93" s="374"/>
      <c r="M93" s="374"/>
    </row>
    <row r="94" spans="5:13" ht="14" x14ac:dyDescent="0.3">
      <c r="E94" s="374"/>
      <c r="F94" s="374"/>
      <c r="G94" s="374"/>
      <c r="H94" s="374"/>
      <c r="I94" s="502"/>
      <c r="J94" s="502"/>
      <c r="K94" s="374"/>
      <c r="L94" s="374"/>
      <c r="M94" s="374"/>
    </row>
    <row r="95" spans="5:13" ht="14" x14ac:dyDescent="0.3">
      <c r="E95" s="374"/>
      <c r="F95" s="374"/>
      <c r="G95" s="374"/>
      <c r="H95" s="374"/>
      <c r="I95" s="502"/>
      <c r="J95" s="502"/>
      <c r="K95" s="374"/>
      <c r="L95" s="374"/>
      <c r="M95" s="374"/>
    </row>
    <row r="96" spans="5:13" ht="14" x14ac:dyDescent="0.3">
      <c r="I96" s="447"/>
      <c r="J96" s="447"/>
    </row>
    <row r="97" spans="9:10" ht="14" x14ac:dyDescent="0.3">
      <c r="I97" s="447"/>
      <c r="J97" s="447"/>
    </row>
    <row r="98" spans="9:10" ht="14" x14ac:dyDescent="0.3">
      <c r="I98" s="447"/>
      <c r="J98" s="447"/>
    </row>
    <row r="99" spans="9:10" ht="14" x14ac:dyDescent="0.3">
      <c r="I99" s="447"/>
      <c r="J99" s="447"/>
    </row>
    <row r="100" spans="9:10" ht="14" x14ac:dyDescent="0.3">
      <c r="I100" s="447"/>
      <c r="J100" s="447"/>
    </row>
    <row r="101" spans="9:10" ht="14" x14ac:dyDescent="0.3">
      <c r="I101" s="447"/>
      <c r="J101" s="447"/>
    </row>
    <row r="102" spans="9:10" ht="14" x14ac:dyDescent="0.3">
      <c r="I102" s="447"/>
      <c r="J102" s="447"/>
    </row>
    <row r="103" spans="9:10" ht="14" x14ac:dyDescent="0.3">
      <c r="I103" s="447"/>
      <c r="J103" s="447"/>
    </row>
    <row r="104" spans="9:10" ht="14" x14ac:dyDescent="0.3">
      <c r="I104" s="447"/>
      <c r="J104" s="447"/>
    </row>
    <row r="105" spans="9:10" ht="14" x14ac:dyDescent="0.3">
      <c r="I105" s="447"/>
      <c r="J105" s="447"/>
    </row>
    <row r="106" spans="9:10" ht="14" x14ac:dyDescent="0.3">
      <c r="I106" s="447"/>
      <c r="J106" s="447"/>
    </row>
    <row r="107" spans="9:10" ht="14" x14ac:dyDescent="0.3">
      <c r="I107" s="447"/>
      <c r="J107" s="447"/>
    </row>
    <row r="108" spans="9:10" ht="14" x14ac:dyDescent="0.3">
      <c r="I108" s="447"/>
      <c r="J108" s="447"/>
    </row>
    <row r="109" spans="9:10" ht="14" x14ac:dyDescent="0.3">
      <c r="I109" s="447"/>
      <c r="J109" s="447"/>
    </row>
    <row r="110" spans="9:10" ht="14" x14ac:dyDescent="0.3">
      <c r="I110" s="447"/>
      <c r="J110" s="447"/>
    </row>
    <row r="111" spans="9:10" ht="14" x14ac:dyDescent="0.3">
      <c r="I111" s="447"/>
      <c r="J111" s="447"/>
    </row>
    <row r="112" spans="9:10" ht="14" x14ac:dyDescent="0.3">
      <c r="I112" s="447"/>
      <c r="J112" s="447"/>
    </row>
    <row r="113" spans="9:10" ht="14" x14ac:dyDescent="0.3">
      <c r="I113" s="447"/>
      <c r="J113" s="447"/>
    </row>
    <row r="114" spans="9:10" ht="14" x14ac:dyDescent="0.3">
      <c r="I114" s="447"/>
      <c r="J114" s="447"/>
    </row>
    <row r="115" spans="9:10" ht="14" x14ac:dyDescent="0.3">
      <c r="I115" s="447"/>
      <c r="J115" s="447"/>
    </row>
    <row r="116" spans="9:10" ht="14" x14ac:dyDescent="0.3">
      <c r="I116" s="447"/>
      <c r="J116" s="447"/>
    </row>
  </sheetData>
  <mergeCells count="8">
    <mergeCell ref="E12:G12"/>
    <mergeCell ref="I12:K12"/>
    <mergeCell ref="M12:N12"/>
    <mergeCell ref="A4:N4"/>
    <mergeCell ref="A5:N5"/>
    <mergeCell ref="A6:N6"/>
    <mergeCell ref="A8:N8"/>
    <mergeCell ref="A9:N9"/>
  </mergeCells>
  <pageMargins left="0.7" right="0.7" top="0.75" bottom="0.75" header="0.3" footer="0.3"/>
  <pageSetup scale="64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7BFC3-C8BD-42C9-89AC-5C62FF089616}">
  <sheetPr>
    <tabColor theme="3" tint="0.59999389629810485"/>
    <pageSetUpPr fitToPage="1"/>
  </sheetPr>
  <dimension ref="A4:AB95"/>
  <sheetViews>
    <sheetView zoomScaleNormal="100" workbookViewId="0"/>
  </sheetViews>
  <sheetFormatPr defaultRowHeight="12.5" x14ac:dyDescent="0.25"/>
  <cols>
    <col min="1" max="1" width="4" customWidth="1"/>
    <col min="2" max="2" width="4.453125" bestFit="1" customWidth="1"/>
    <col min="3" max="3" width="9.7265625" customWidth="1"/>
    <col min="4" max="6" width="14.7265625" customWidth="1"/>
    <col min="7" max="7" width="1.7265625" customWidth="1"/>
    <col min="8" max="10" width="14.7265625" customWidth="1"/>
    <col min="11" max="11" width="1.7265625" customWidth="1"/>
    <col min="12" max="13" width="11.1796875" customWidth="1"/>
    <col min="15" max="15" width="10.81640625" bestFit="1" customWidth="1"/>
    <col min="16" max="16" width="10.1796875" bestFit="1" customWidth="1"/>
    <col min="17" max="17" width="11.26953125" bestFit="1" customWidth="1"/>
    <col min="18" max="18" width="10.1796875" bestFit="1" customWidth="1"/>
    <col min="19" max="19" width="11.26953125" bestFit="1" customWidth="1"/>
    <col min="20" max="20" width="11.81640625" bestFit="1" customWidth="1"/>
    <col min="21" max="21" width="8.453125" bestFit="1" customWidth="1"/>
    <col min="22" max="22" width="10.81640625" bestFit="1" customWidth="1"/>
    <col min="23" max="23" width="10.1796875" bestFit="1" customWidth="1"/>
    <col min="24" max="24" width="11.26953125" bestFit="1" customWidth="1"/>
    <col min="25" max="25" width="10.1796875" bestFit="1" customWidth="1"/>
    <col min="26" max="26" width="11.26953125" bestFit="1" customWidth="1"/>
    <col min="27" max="27" width="11.81640625" bestFit="1" customWidth="1"/>
    <col min="28" max="28" width="8.453125" bestFit="1" customWidth="1"/>
  </cols>
  <sheetData>
    <row r="4" spans="1:28" ht="14" x14ac:dyDescent="0.3">
      <c r="A4" s="765" t="str">
        <f>'Bill_Cam G4'!A4:M4</f>
        <v>Eastern Massachusetts</v>
      </c>
      <c r="B4" s="765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</row>
    <row r="5" spans="1:28" ht="14" x14ac:dyDescent="0.3">
      <c r="A5" s="765" t="str">
        <f>+'Bill_Cam G0'!A5</f>
        <v>Calculation of Monthly Typical Bill</v>
      </c>
      <c r="B5" s="765"/>
      <c r="C5" s="765"/>
      <c r="D5" s="765"/>
      <c r="E5" s="765"/>
      <c r="F5" s="765"/>
      <c r="G5" s="765"/>
      <c r="H5" s="765"/>
      <c r="I5" s="765"/>
      <c r="J5" s="765"/>
      <c r="K5" s="765"/>
      <c r="L5" s="765"/>
      <c r="M5" s="765"/>
    </row>
    <row r="6" spans="1:28" ht="14" x14ac:dyDescent="0.3">
      <c r="A6" s="765" t="str">
        <f>+'Bill_Cam G0'!A6</f>
        <v>Proposed January 1, 2019</v>
      </c>
      <c r="B6" s="765"/>
      <c r="C6" s="765"/>
      <c r="D6" s="765"/>
      <c r="E6" s="765"/>
      <c r="F6" s="765"/>
      <c r="G6" s="765"/>
      <c r="H6" s="765"/>
      <c r="I6" s="765"/>
      <c r="J6" s="765"/>
      <c r="K6" s="765"/>
      <c r="L6" s="765"/>
      <c r="M6" s="765"/>
    </row>
    <row r="7" spans="1:28" ht="14" x14ac:dyDescent="0.3">
      <c r="A7" s="503"/>
      <c r="B7" s="503"/>
      <c r="C7" s="293"/>
      <c r="D7" s="468"/>
      <c r="E7" s="293"/>
      <c r="F7" s="429"/>
      <c r="G7" s="293"/>
      <c r="H7" s="369"/>
      <c r="I7" s="369"/>
      <c r="J7" s="369"/>
      <c r="K7" s="369"/>
      <c r="L7" s="369"/>
      <c r="M7" s="369"/>
    </row>
    <row r="8" spans="1:28" ht="14" x14ac:dyDescent="0.3">
      <c r="A8" s="765" t="str">
        <f>+'Bill_Cam G0'!A8</f>
        <v>Cambridge Service Area</v>
      </c>
      <c r="B8" s="765"/>
      <c r="C8" s="765"/>
      <c r="D8" s="765"/>
      <c r="E8" s="765"/>
      <c r="F8" s="765"/>
      <c r="G8" s="765"/>
      <c r="H8" s="765"/>
      <c r="I8" s="765"/>
      <c r="J8" s="765"/>
      <c r="K8" s="765"/>
      <c r="L8" s="765"/>
      <c r="M8" s="765"/>
    </row>
    <row r="9" spans="1:28" ht="14" x14ac:dyDescent="0.3">
      <c r="A9" s="765" t="s">
        <v>440</v>
      </c>
      <c r="B9" s="765"/>
      <c r="C9" s="765"/>
      <c r="D9" s="765"/>
      <c r="E9" s="765"/>
      <c r="F9" s="765"/>
      <c r="G9" s="765"/>
      <c r="H9" s="765"/>
      <c r="I9" s="765"/>
      <c r="J9" s="765"/>
      <c r="K9" s="765"/>
      <c r="L9" s="765"/>
      <c r="M9" s="765"/>
    </row>
    <row r="10" spans="1:28" ht="14" x14ac:dyDescent="0.3">
      <c r="A10" s="369"/>
      <c r="B10" s="369"/>
      <c r="C10" s="293"/>
      <c r="D10" s="293"/>
      <c r="E10" s="293"/>
      <c r="F10" s="367"/>
      <c r="G10" s="293"/>
    </row>
    <row r="11" spans="1:28" ht="14" x14ac:dyDescent="0.3">
      <c r="A11" s="293"/>
      <c r="B11" s="293"/>
      <c r="C11" s="293"/>
      <c r="D11" s="293"/>
      <c r="E11" s="293"/>
      <c r="F11" s="368"/>
      <c r="G11" s="293"/>
    </row>
    <row r="12" spans="1:28" ht="14" x14ac:dyDescent="0.3">
      <c r="A12" s="151">
        <f>IF(C12&lt;&gt;"",COUNTA($C12:C$12),"")</f>
        <v>1</v>
      </c>
      <c r="B12" s="151"/>
      <c r="C12" s="366" t="s">
        <v>528</v>
      </c>
      <c r="D12" s="760" t="str">
        <f>+'Bill_Cam G0'!D12</f>
        <v>Current Monthly Bill</v>
      </c>
      <c r="E12" s="760"/>
      <c r="F12" s="760"/>
      <c r="G12" s="293"/>
      <c r="H12" s="760" t="str">
        <f>+'Bill_Cam G0'!H12</f>
        <v>Proposed Monthly Bill</v>
      </c>
      <c r="I12" s="760"/>
      <c r="J12" s="760"/>
      <c r="L12" s="760" t="s">
        <v>550</v>
      </c>
      <c r="M12" s="760"/>
      <c r="O12" s="369"/>
      <c r="P12" s="369"/>
      <c r="Q12" s="369"/>
      <c r="R12" s="369"/>
      <c r="S12" s="369"/>
      <c r="T12" s="369"/>
      <c r="V12" s="369"/>
      <c r="W12" s="369"/>
      <c r="X12" s="369"/>
      <c r="Y12" s="369"/>
      <c r="Z12" s="369"/>
      <c r="AA12" s="369"/>
      <c r="AB12" s="369"/>
    </row>
    <row r="13" spans="1:28" ht="14" x14ac:dyDescent="0.3">
      <c r="A13" s="151">
        <f>IF(C13&lt;&gt;"",COUNTA($C$12:C13),"")</f>
        <v>2</v>
      </c>
      <c r="B13" s="151"/>
      <c r="C13" s="370" t="s">
        <v>551</v>
      </c>
      <c r="D13" s="370" t="s">
        <v>552</v>
      </c>
      <c r="E13" s="370" t="s">
        <v>553</v>
      </c>
      <c r="F13" s="370" t="s">
        <v>47</v>
      </c>
      <c r="G13" s="293"/>
      <c r="H13" s="370" t="s">
        <v>552</v>
      </c>
      <c r="I13" s="370" t="s">
        <v>553</v>
      </c>
      <c r="J13" s="370" t="s">
        <v>47</v>
      </c>
      <c r="L13" s="370" t="s">
        <v>65</v>
      </c>
      <c r="M13" s="370" t="s">
        <v>325</v>
      </c>
      <c r="V13" s="369"/>
      <c r="W13" s="369"/>
      <c r="X13" s="369"/>
      <c r="Y13" s="369"/>
      <c r="Z13" s="369"/>
      <c r="AA13" s="369"/>
      <c r="AB13" s="369"/>
    </row>
    <row r="14" spans="1:28" ht="14" x14ac:dyDescent="0.3">
      <c r="A14" s="151">
        <f>IF(C14&lt;&gt;"",COUNTA($C$12:C14),"")</f>
        <v>3</v>
      </c>
      <c r="B14" s="151"/>
      <c r="C14" s="371">
        <v>500</v>
      </c>
      <c r="D14" s="372">
        <f t="shared" ref="D14:D24" si="0">ROUND($F$29+IF($C14&lt;5000,(($F$30+$F$47)*$C14),5000*($F$30+$F$47)+(($C14-5000)*($F$31+$F$48)))+SUM($F$32:$F$46,$F$49:$F$51)*$C14,2)</f>
        <v>38.28</v>
      </c>
      <c r="E14" s="372">
        <f t="shared" ref="E14:E24" si="1">ROUND(F$52*C14,2)</f>
        <v>57.02</v>
      </c>
      <c r="F14" s="372">
        <f t="shared" ref="F14:F24" si="2">SUM(D14:E14)</f>
        <v>95.300000000000011</v>
      </c>
      <c r="G14" s="373"/>
      <c r="H14" s="372">
        <f t="shared" ref="H14:H24" si="3">ROUND($H$29+IF($C14&lt;5000,(($H$30+$H$47)*$C14),5000*($H$30+$H$47)+(($C14-5000)*($H$31+$H$48)))+SUM($H$32:$H$46,$H$49:$H$51)*$C14,2)</f>
        <v>38.07</v>
      </c>
      <c r="I14" s="372">
        <f t="shared" ref="I14:I24" si="4">ROUND(H$52*C14,2)</f>
        <v>65.930000000000007</v>
      </c>
      <c r="J14" s="372">
        <f t="shared" ref="J14:J24" si="5">SUM(H14:I14)</f>
        <v>104</v>
      </c>
      <c r="K14" s="374"/>
      <c r="L14" s="375">
        <f t="shared" ref="L14:L24" si="6">+J14-F14</f>
        <v>8.6999999999999886</v>
      </c>
      <c r="M14" s="376">
        <f t="shared" ref="M14:M24" si="7">+L14/F14</f>
        <v>9.1290661070304174E-2</v>
      </c>
      <c r="O14" s="374"/>
      <c r="P14" s="374"/>
      <c r="Q14" s="374"/>
      <c r="R14" s="374"/>
      <c r="S14" s="374"/>
      <c r="T14" s="374"/>
      <c r="U14" s="374"/>
      <c r="V14" s="374"/>
      <c r="W14" s="374"/>
      <c r="X14" s="374"/>
      <c r="Y14" s="374"/>
      <c r="Z14" s="374"/>
      <c r="AA14" s="374"/>
      <c r="AB14" s="374"/>
    </row>
    <row r="15" spans="1:28" ht="14" x14ac:dyDescent="0.3">
      <c r="A15" s="151">
        <f>IF(C15&lt;&gt;"",COUNTA($C$12:C15),"")</f>
        <v>4</v>
      </c>
      <c r="B15" s="151"/>
      <c r="C15" s="371">
        <v>750</v>
      </c>
      <c r="D15" s="372">
        <f t="shared" si="0"/>
        <v>53.42</v>
      </c>
      <c r="E15" s="372">
        <f t="shared" si="1"/>
        <v>85.52</v>
      </c>
      <c r="F15" s="372">
        <f t="shared" si="2"/>
        <v>138.94</v>
      </c>
      <c r="G15" s="373"/>
      <c r="H15" s="372">
        <f t="shared" si="3"/>
        <v>53.1</v>
      </c>
      <c r="I15" s="372">
        <f t="shared" si="4"/>
        <v>98.89</v>
      </c>
      <c r="J15" s="372">
        <f t="shared" si="5"/>
        <v>151.99</v>
      </c>
      <c r="K15" s="374"/>
      <c r="L15" s="375">
        <f t="shared" si="6"/>
        <v>13.050000000000011</v>
      </c>
      <c r="M15" s="376">
        <f t="shared" si="7"/>
        <v>9.3925435439758259E-2</v>
      </c>
      <c r="O15" s="374"/>
      <c r="P15" s="374"/>
      <c r="Q15" s="374"/>
      <c r="R15" s="374"/>
      <c r="S15" s="374"/>
      <c r="T15" s="374"/>
      <c r="U15" s="374"/>
      <c r="V15" s="374"/>
      <c r="W15" s="374"/>
      <c r="X15" s="374"/>
      <c r="Y15" s="374"/>
      <c r="Z15" s="374"/>
      <c r="AA15" s="374"/>
      <c r="AB15" s="374"/>
    </row>
    <row r="16" spans="1:28" ht="14" x14ac:dyDescent="0.3">
      <c r="A16" s="151">
        <f>IF(C16&lt;&gt;"",COUNTA($C$12:C16),"")</f>
        <v>5</v>
      </c>
      <c r="B16" s="151"/>
      <c r="C16" s="371">
        <v>1000</v>
      </c>
      <c r="D16" s="372">
        <f t="shared" si="0"/>
        <v>68.56</v>
      </c>
      <c r="E16" s="372">
        <f t="shared" si="1"/>
        <v>114.03</v>
      </c>
      <c r="F16" s="372">
        <f t="shared" si="2"/>
        <v>182.59</v>
      </c>
      <c r="G16" s="373"/>
      <c r="H16" s="372">
        <f t="shared" si="3"/>
        <v>68.13</v>
      </c>
      <c r="I16" s="372">
        <f t="shared" si="4"/>
        <v>131.85</v>
      </c>
      <c r="J16" s="372">
        <f t="shared" si="5"/>
        <v>199.98</v>
      </c>
      <c r="K16" s="374"/>
      <c r="L16" s="375">
        <f t="shared" si="6"/>
        <v>17.389999999999986</v>
      </c>
      <c r="M16" s="376">
        <f t="shared" si="7"/>
        <v>9.5240703214852868E-2</v>
      </c>
      <c r="O16" s="374"/>
      <c r="P16" s="374"/>
      <c r="Q16" s="374"/>
      <c r="R16" s="374"/>
      <c r="S16" s="374"/>
      <c r="T16" s="374"/>
      <c r="U16" s="374"/>
      <c r="V16" s="374"/>
      <c r="W16" s="374"/>
      <c r="X16" s="374"/>
      <c r="Y16" s="374"/>
      <c r="Z16" s="374"/>
      <c r="AA16" s="374"/>
      <c r="AB16" s="374"/>
    </row>
    <row r="17" spans="1:28" ht="14" x14ac:dyDescent="0.3">
      <c r="A17" s="151">
        <f>IF(C17&lt;&gt;"",COUNTA($C$12:C17),"")</f>
        <v>6</v>
      </c>
      <c r="B17" s="151"/>
      <c r="C17" s="371">
        <v>1500</v>
      </c>
      <c r="D17" s="372">
        <f t="shared" si="0"/>
        <v>98.84</v>
      </c>
      <c r="E17" s="372">
        <f t="shared" si="1"/>
        <v>171.05</v>
      </c>
      <c r="F17" s="372">
        <f t="shared" si="2"/>
        <v>269.89</v>
      </c>
      <c r="G17" s="373"/>
      <c r="H17" s="372">
        <f t="shared" si="3"/>
        <v>98.2</v>
      </c>
      <c r="I17" s="372">
        <f t="shared" si="4"/>
        <v>197.78</v>
      </c>
      <c r="J17" s="372">
        <f t="shared" si="5"/>
        <v>295.98</v>
      </c>
      <c r="K17" s="374"/>
      <c r="L17" s="375">
        <f t="shared" si="6"/>
        <v>26.090000000000032</v>
      </c>
      <c r="M17" s="376">
        <f t="shared" si="7"/>
        <v>9.6669013301715637E-2</v>
      </c>
      <c r="O17" s="374"/>
      <c r="P17" s="374"/>
      <c r="Q17" s="374"/>
      <c r="R17" s="374"/>
      <c r="S17" s="374"/>
      <c r="T17" s="374"/>
      <c r="U17" s="374"/>
      <c r="V17" s="374"/>
      <c r="W17" s="374"/>
      <c r="X17" s="374"/>
      <c r="Y17" s="374"/>
      <c r="Z17" s="374"/>
      <c r="AA17" s="374"/>
      <c r="AB17" s="374"/>
    </row>
    <row r="18" spans="1:28" ht="14" x14ac:dyDescent="0.3">
      <c r="A18" s="151">
        <f>IF(C18&lt;&gt;"",COUNTA($C$12:C18),"")</f>
        <v>7</v>
      </c>
      <c r="B18" s="151"/>
      <c r="C18" s="379">
        <v>2000</v>
      </c>
      <c r="D18" s="380">
        <f t="shared" si="0"/>
        <v>129.12</v>
      </c>
      <c r="E18" s="380">
        <f t="shared" si="1"/>
        <v>228.06</v>
      </c>
      <c r="F18" s="380">
        <f t="shared" si="2"/>
        <v>357.18</v>
      </c>
      <c r="G18" s="381"/>
      <c r="H18" s="372">
        <f t="shared" si="3"/>
        <v>128.26</v>
      </c>
      <c r="I18" s="380">
        <f t="shared" si="4"/>
        <v>263.7</v>
      </c>
      <c r="J18" s="380">
        <f t="shared" si="5"/>
        <v>391.96</v>
      </c>
      <c r="K18" s="382"/>
      <c r="L18" s="383">
        <f t="shared" si="6"/>
        <v>34.779999999999973</v>
      </c>
      <c r="M18" s="376">
        <f t="shared" si="7"/>
        <v>9.7373873117195739E-2</v>
      </c>
      <c r="O18" s="374"/>
      <c r="P18" s="374"/>
      <c r="Q18" s="374"/>
      <c r="R18" s="374"/>
      <c r="S18" s="374"/>
      <c r="T18" s="374"/>
      <c r="U18" s="374"/>
      <c r="V18" s="374"/>
      <c r="W18" s="374"/>
      <c r="X18" s="374"/>
      <c r="Y18" s="374"/>
      <c r="Z18" s="374"/>
      <c r="AA18" s="374"/>
      <c r="AB18" s="374"/>
    </row>
    <row r="19" spans="1:28" ht="14" x14ac:dyDescent="0.3">
      <c r="A19" s="151">
        <f>IF(C19&lt;&gt;"",COUNTA($C$12:C19),"")</f>
        <v>8</v>
      </c>
      <c r="B19" s="151"/>
      <c r="C19" s="379">
        <v>2500</v>
      </c>
      <c r="D19" s="380">
        <f t="shared" si="0"/>
        <v>159.4</v>
      </c>
      <c r="E19" s="380">
        <f t="shared" si="1"/>
        <v>285.08</v>
      </c>
      <c r="F19" s="380">
        <f t="shared" si="2"/>
        <v>444.48</v>
      </c>
      <c r="G19" s="381"/>
      <c r="H19" s="372">
        <f t="shared" si="3"/>
        <v>158.33000000000001</v>
      </c>
      <c r="I19" s="380">
        <f t="shared" si="4"/>
        <v>329.63</v>
      </c>
      <c r="J19" s="380">
        <f t="shared" si="5"/>
        <v>487.96000000000004</v>
      </c>
      <c r="K19" s="382"/>
      <c r="L19" s="383">
        <f t="shared" si="6"/>
        <v>43.480000000000018</v>
      </c>
      <c r="M19" s="376">
        <f t="shared" si="7"/>
        <v>9.7822174226061959E-2</v>
      </c>
      <c r="O19" s="374"/>
      <c r="P19" s="374"/>
      <c r="Q19" s="374"/>
      <c r="R19" s="374"/>
      <c r="S19" s="374"/>
      <c r="T19" s="374"/>
      <c r="U19" s="374"/>
      <c r="V19" s="374"/>
      <c r="W19" s="374"/>
      <c r="X19" s="374"/>
      <c r="Y19" s="374"/>
      <c r="Z19" s="374"/>
      <c r="AA19" s="374"/>
      <c r="AB19" s="374"/>
    </row>
    <row r="20" spans="1:28" ht="14" x14ac:dyDescent="0.3">
      <c r="A20" s="151">
        <f>IF(C20&lt;&gt;"",COUNTA($C$12:C20),"")</f>
        <v>9</v>
      </c>
      <c r="B20" s="151"/>
      <c r="C20" s="379">
        <v>3000</v>
      </c>
      <c r="D20" s="380">
        <f t="shared" si="0"/>
        <v>189.68</v>
      </c>
      <c r="E20" s="380">
        <f t="shared" si="1"/>
        <v>342.09</v>
      </c>
      <c r="F20" s="380">
        <f t="shared" si="2"/>
        <v>531.77</v>
      </c>
      <c r="G20" s="381"/>
      <c r="H20" s="372">
        <f t="shared" si="3"/>
        <v>188.39</v>
      </c>
      <c r="I20" s="380">
        <f t="shared" si="4"/>
        <v>395.55</v>
      </c>
      <c r="J20" s="380">
        <f t="shared" si="5"/>
        <v>583.94000000000005</v>
      </c>
      <c r="K20" s="382"/>
      <c r="L20" s="383">
        <f t="shared" si="6"/>
        <v>52.170000000000073</v>
      </c>
      <c r="M20" s="376">
        <f t="shared" si="7"/>
        <v>9.8106324162702055E-2</v>
      </c>
      <c r="O20" s="374"/>
      <c r="P20" s="374"/>
      <c r="Q20" s="374"/>
      <c r="R20" s="374"/>
      <c r="S20" s="374"/>
      <c r="T20" s="374"/>
      <c r="U20" s="374"/>
      <c r="V20" s="374"/>
      <c r="W20" s="374"/>
      <c r="X20" s="374"/>
      <c r="Y20" s="374"/>
      <c r="Z20" s="374"/>
      <c r="AA20" s="374"/>
      <c r="AB20" s="374"/>
    </row>
    <row r="21" spans="1:28" ht="14" x14ac:dyDescent="0.3">
      <c r="A21" s="151">
        <f>IF(C21&lt;&gt;"",COUNTA($C$12:C21),"")</f>
        <v>10</v>
      </c>
      <c r="B21" s="151"/>
      <c r="C21" s="379">
        <v>5000</v>
      </c>
      <c r="D21" s="380">
        <f t="shared" si="0"/>
        <v>310.8</v>
      </c>
      <c r="E21" s="380">
        <f t="shared" si="1"/>
        <v>570.15</v>
      </c>
      <c r="F21" s="380">
        <f t="shared" si="2"/>
        <v>880.95</v>
      </c>
      <c r="G21" s="381"/>
      <c r="H21" s="372">
        <f t="shared" si="3"/>
        <v>308.64999999999998</v>
      </c>
      <c r="I21" s="380">
        <f t="shared" si="4"/>
        <v>659.25</v>
      </c>
      <c r="J21" s="380">
        <f t="shared" si="5"/>
        <v>967.9</v>
      </c>
      <c r="K21" s="382"/>
      <c r="L21" s="383">
        <f t="shared" si="6"/>
        <v>86.949999999999932</v>
      </c>
      <c r="M21" s="376">
        <f t="shared" si="7"/>
        <v>9.8700266757477645E-2</v>
      </c>
      <c r="O21" s="374"/>
      <c r="P21" s="374"/>
      <c r="Q21" s="374"/>
      <c r="R21" s="374"/>
      <c r="S21" s="374"/>
      <c r="T21" s="374"/>
      <c r="U21" s="374"/>
      <c r="V21" s="374"/>
      <c r="W21" s="374"/>
      <c r="X21" s="374"/>
      <c r="Y21" s="374"/>
      <c r="Z21" s="374"/>
      <c r="AA21" s="374"/>
      <c r="AB21" s="374"/>
    </row>
    <row r="22" spans="1:28" ht="14" x14ac:dyDescent="0.3">
      <c r="A22" s="151">
        <f>IF(C22&lt;&gt;"",COUNTA($C$12:C22),"")</f>
        <v>11</v>
      </c>
      <c r="B22" s="151"/>
      <c r="C22" s="379">
        <v>10000</v>
      </c>
      <c r="D22" s="380">
        <f t="shared" si="0"/>
        <v>692.3</v>
      </c>
      <c r="E22" s="380">
        <f t="shared" si="1"/>
        <v>1140.3</v>
      </c>
      <c r="F22" s="380">
        <f t="shared" si="2"/>
        <v>1832.6</v>
      </c>
      <c r="G22" s="381"/>
      <c r="H22" s="372">
        <f t="shared" si="3"/>
        <v>676.65</v>
      </c>
      <c r="I22" s="380">
        <f t="shared" si="4"/>
        <v>1318.5</v>
      </c>
      <c r="J22" s="380">
        <f t="shared" si="5"/>
        <v>1995.15</v>
      </c>
      <c r="K22" s="382"/>
      <c r="L22" s="383">
        <f t="shared" si="6"/>
        <v>162.55000000000018</v>
      </c>
      <c r="M22" s="376">
        <f t="shared" si="7"/>
        <v>8.8699116010040477E-2</v>
      </c>
      <c r="O22" s="374"/>
      <c r="P22" s="374"/>
      <c r="Q22" s="374"/>
      <c r="R22" s="374"/>
      <c r="S22" s="374"/>
      <c r="T22" s="374"/>
      <c r="U22" s="374"/>
      <c r="V22" s="374"/>
      <c r="W22" s="374"/>
      <c r="X22" s="374"/>
      <c r="Y22" s="374"/>
      <c r="Z22" s="374"/>
      <c r="AA22" s="374"/>
      <c r="AB22" s="374"/>
    </row>
    <row r="23" spans="1:28" ht="14" x14ac:dyDescent="0.3">
      <c r="A23" s="151">
        <f>IF(C23&lt;&gt;"",COUNTA($C$12:C23),"")</f>
        <v>12</v>
      </c>
      <c r="B23" s="151"/>
      <c r="C23" s="379">
        <v>35000</v>
      </c>
      <c r="D23" s="380">
        <f t="shared" si="0"/>
        <v>2599.8000000000002</v>
      </c>
      <c r="E23" s="380">
        <f t="shared" si="1"/>
        <v>3991.05</v>
      </c>
      <c r="F23" s="380">
        <f t="shared" si="2"/>
        <v>6590.85</v>
      </c>
      <c r="G23" s="381"/>
      <c r="H23" s="372">
        <f t="shared" si="3"/>
        <v>2516.65</v>
      </c>
      <c r="I23" s="380">
        <f t="shared" si="4"/>
        <v>4614.75</v>
      </c>
      <c r="J23" s="380">
        <f t="shared" si="5"/>
        <v>7131.4</v>
      </c>
      <c r="K23" s="382"/>
      <c r="L23" s="383">
        <f t="shared" si="6"/>
        <v>540.54999999999927</v>
      </c>
      <c r="M23" s="376">
        <f t="shared" si="7"/>
        <v>8.2015218067472209E-2</v>
      </c>
      <c r="O23" s="374"/>
      <c r="P23" s="374"/>
      <c r="Q23" s="374"/>
      <c r="R23" s="374"/>
      <c r="S23" s="374"/>
      <c r="T23" s="374"/>
      <c r="U23" s="374"/>
      <c r="V23" s="374"/>
      <c r="W23" s="374"/>
      <c r="X23" s="374"/>
      <c r="Y23" s="374"/>
      <c r="Z23" s="374"/>
      <c r="AA23" s="374"/>
      <c r="AB23" s="374"/>
    </row>
    <row r="24" spans="1:28" ht="14" x14ac:dyDescent="0.3">
      <c r="A24" s="151">
        <f>IF(C24&lt;&gt;"",COUNTA($C$12:C24),"")</f>
        <v>13</v>
      </c>
      <c r="B24" s="151" t="s">
        <v>554</v>
      </c>
      <c r="C24" s="379">
        <v>4756</v>
      </c>
      <c r="D24" s="380">
        <f t="shared" si="0"/>
        <v>296.02</v>
      </c>
      <c r="E24" s="380">
        <f t="shared" si="1"/>
        <v>542.33000000000004</v>
      </c>
      <c r="F24" s="380">
        <f t="shared" si="2"/>
        <v>838.35</v>
      </c>
      <c r="G24" s="381"/>
      <c r="H24" s="372">
        <f t="shared" si="3"/>
        <v>293.98</v>
      </c>
      <c r="I24" s="380">
        <f t="shared" si="4"/>
        <v>627.08000000000004</v>
      </c>
      <c r="J24" s="380">
        <f t="shared" si="5"/>
        <v>921.06000000000006</v>
      </c>
      <c r="K24" s="382"/>
      <c r="L24" s="383">
        <f t="shared" si="6"/>
        <v>82.710000000000036</v>
      </c>
      <c r="M24" s="376">
        <f t="shared" si="7"/>
        <v>9.8658078368223337E-2</v>
      </c>
      <c r="O24" s="374"/>
      <c r="P24" s="374"/>
      <c r="Q24" s="374"/>
      <c r="R24" s="374"/>
      <c r="S24" s="374"/>
      <c r="T24" s="374"/>
      <c r="U24" s="374"/>
      <c r="V24" s="374"/>
      <c r="W24" s="374"/>
      <c r="X24" s="374"/>
      <c r="Y24" s="374"/>
      <c r="Z24" s="374"/>
      <c r="AA24" s="374"/>
      <c r="AB24" s="374"/>
    </row>
    <row r="25" spans="1:28" ht="14" x14ac:dyDescent="0.3">
      <c r="A25" s="151" t="str">
        <f>IF(C25&lt;&gt;"",COUNTA($C$12:C25),"")</f>
        <v/>
      </c>
      <c r="B25" s="151"/>
      <c r="C25" s="507"/>
      <c r="D25" s="412"/>
      <c r="E25" s="412"/>
      <c r="F25" s="412"/>
      <c r="G25" s="500"/>
      <c r="H25" s="412"/>
      <c r="I25" s="412"/>
      <c r="J25" s="413"/>
      <c r="K25" s="413"/>
      <c r="L25" s="413"/>
      <c r="M25" s="495"/>
    </row>
    <row r="26" spans="1:28" ht="14" x14ac:dyDescent="0.3">
      <c r="A26" s="151" t="str">
        <f>IF(C26&lt;&gt;"",COUNTA($C$12:C26),"")</f>
        <v/>
      </c>
      <c r="B26" s="151"/>
      <c r="C26" s="379"/>
      <c r="D26" s="380"/>
      <c r="E26" s="380"/>
      <c r="F26" s="380"/>
      <c r="G26" s="381"/>
      <c r="H26" s="382"/>
      <c r="I26" s="382"/>
      <c r="J26" s="382"/>
      <c r="K26" s="382"/>
      <c r="L26" s="382"/>
      <c r="M26" s="374"/>
    </row>
    <row r="27" spans="1:28" ht="14" x14ac:dyDescent="0.3">
      <c r="A27" s="151">
        <f>IF(C27&lt;&gt;"",COUNTA($C$12:C27),"")</f>
        <v>14</v>
      </c>
      <c r="B27" s="151"/>
      <c r="C27" s="433" t="s">
        <v>46</v>
      </c>
      <c r="D27" s="385"/>
      <c r="E27" s="374"/>
      <c r="F27" s="508" t="str">
        <f>+'Bill_Cam G4'!G40</f>
        <v>Current</v>
      </c>
      <c r="G27" s="508"/>
      <c r="H27" s="508" t="str">
        <f>+'Bill_Cam G4'!I40</f>
        <v>Proposed</v>
      </c>
      <c r="I27" s="509"/>
      <c r="J27" s="382"/>
      <c r="K27" s="382"/>
      <c r="L27" s="382"/>
      <c r="M27" s="374"/>
    </row>
    <row r="28" spans="1:28" ht="17" x14ac:dyDescent="0.6">
      <c r="A28" s="151">
        <f>IF(C28&lt;&gt;"",COUNTA($C$12:C28),"")</f>
        <v>15</v>
      </c>
      <c r="B28" s="151"/>
      <c r="C28" s="293" t="s">
        <v>46</v>
      </c>
      <c r="E28" s="374"/>
      <c r="F28" s="510" t="str">
        <f>+'Bill_Cam G4'!G41</f>
        <v>Rates</v>
      </c>
      <c r="G28" s="510"/>
      <c r="H28" s="510" t="str">
        <f>+'Bill_Cam G4'!I41</f>
        <v>Rates</v>
      </c>
      <c r="I28" s="510" t="str">
        <f>+'Bill_Cam G4'!J41</f>
        <v>Change</v>
      </c>
      <c r="J28" s="374"/>
      <c r="K28" s="374"/>
      <c r="L28" s="374"/>
      <c r="M28" s="374"/>
    </row>
    <row r="29" spans="1:28" ht="14" x14ac:dyDescent="0.3">
      <c r="A29" s="151">
        <f>IF(C29&lt;&gt;"",COUNTA($C$12:C29),"")</f>
        <v>16</v>
      </c>
      <c r="B29" s="151"/>
      <c r="C29" s="293" t="s">
        <v>296</v>
      </c>
      <c r="D29" s="274"/>
      <c r="E29" s="374"/>
      <c r="F29" s="454">
        <v>8</v>
      </c>
      <c r="G29" s="455" t="s">
        <v>46</v>
      </c>
      <c r="H29" s="454">
        <f>F29</f>
        <v>8</v>
      </c>
      <c r="I29" s="354">
        <f>H29-F29</f>
        <v>0</v>
      </c>
      <c r="J29" s="374"/>
      <c r="K29" s="374"/>
      <c r="L29" s="374"/>
      <c r="M29" s="374"/>
    </row>
    <row r="30" spans="1:28" ht="14" x14ac:dyDescent="0.3">
      <c r="A30" s="151">
        <f>IF(C30&lt;&gt;"",COUNTA($C$12:C30),"")</f>
        <v>17</v>
      </c>
      <c r="B30" s="151"/>
      <c r="C30" s="293" t="s">
        <v>600</v>
      </c>
      <c r="D30" s="274"/>
      <c r="E30" s="374"/>
      <c r="F30" s="308">
        <v>1.77E-2</v>
      </c>
      <c r="G30" s="400"/>
      <c r="H30" s="308">
        <v>1.831E-2</v>
      </c>
      <c r="I30" s="354">
        <f t="shared" ref="I30:I52" si="8">H30-F30</f>
        <v>6.0999999999999943E-4</v>
      </c>
      <c r="J30" s="374"/>
      <c r="K30" s="374"/>
      <c r="L30" s="374"/>
      <c r="M30" s="374"/>
    </row>
    <row r="31" spans="1:28" ht="14" x14ac:dyDescent="0.3">
      <c r="A31" s="151">
        <f>IF(C31&lt;&gt;"",COUNTA($C$12:C31),"")</f>
        <v>18</v>
      </c>
      <c r="B31" s="151"/>
      <c r="C31" s="293" t="s">
        <v>601</v>
      </c>
      <c r="D31" s="274"/>
      <c r="E31" s="374"/>
      <c r="F31" s="308">
        <v>2.3259999999999999E-2</v>
      </c>
      <c r="G31" s="400"/>
      <c r="H31" s="308">
        <v>2.4070000000000001E-2</v>
      </c>
      <c r="I31" s="354">
        <f t="shared" si="8"/>
        <v>8.1000000000000169E-4</v>
      </c>
      <c r="J31" s="374"/>
      <c r="K31" s="374"/>
      <c r="L31" s="374"/>
      <c r="M31" s="374"/>
    </row>
    <row r="32" spans="1:28" ht="14" x14ac:dyDescent="0.3">
      <c r="A32" s="151">
        <f>IF(C32&lt;&gt;"",COUNTA($C$12:C32),"")</f>
        <v>19</v>
      </c>
      <c r="B32" s="151"/>
      <c r="C32" s="293" t="str">
        <f>+'Bill_Cam G4'!C46</f>
        <v>Revenue Decoupling</v>
      </c>
      <c r="E32" s="374"/>
      <c r="F32" s="308">
        <v>0</v>
      </c>
      <c r="G32" s="400"/>
      <c r="H32" s="277">
        <v>-2.4000000000000001E-4</v>
      </c>
      <c r="I32" s="354">
        <f t="shared" si="8"/>
        <v>-2.4000000000000001E-4</v>
      </c>
      <c r="J32" s="374"/>
      <c r="K32" s="374"/>
      <c r="L32" s="374"/>
      <c r="M32" s="374"/>
    </row>
    <row r="33" spans="1:13" ht="14" x14ac:dyDescent="0.3">
      <c r="A33" s="151">
        <f>IF(C33&lt;&gt;"",COUNTA($C$12:C33),"")</f>
        <v>20</v>
      </c>
      <c r="B33" s="151"/>
      <c r="C33" s="293" t="str">
        <f>+'Bill_Cam G4'!C47</f>
        <v>Residential Assistance Adjustment Factor</v>
      </c>
      <c r="D33" s="274"/>
      <c r="E33" s="374"/>
      <c r="F33" s="277">
        <v>1.41E-3</v>
      </c>
      <c r="G33" s="400"/>
      <c r="H33" s="277">
        <v>2.0100000000000001E-3</v>
      </c>
      <c r="I33" s="354">
        <f t="shared" si="8"/>
        <v>6.0000000000000006E-4</v>
      </c>
      <c r="J33" s="374"/>
      <c r="K33" s="374"/>
      <c r="L33" s="374"/>
      <c r="M33" s="374"/>
    </row>
    <row r="34" spans="1:13" ht="14" x14ac:dyDescent="0.3">
      <c r="A34" s="151">
        <f>IF(C34&lt;&gt;"",COUNTA($C$12:C34),"")</f>
        <v>21</v>
      </c>
      <c r="B34" s="151"/>
      <c r="C34" s="293" t="str">
        <f>+'Bill_Cam G4'!C48</f>
        <v>Pension Adjustment Factor</v>
      </c>
      <c r="D34" s="274"/>
      <c r="E34" s="374"/>
      <c r="F34" s="277">
        <v>-9.0000000000000006E-5</v>
      </c>
      <c r="G34" s="400"/>
      <c r="H34" s="277">
        <v>8.8000000000000003E-4</v>
      </c>
      <c r="I34" s="354">
        <f t="shared" si="8"/>
        <v>9.7000000000000005E-4</v>
      </c>
      <c r="J34" s="374"/>
      <c r="K34" s="374"/>
      <c r="L34" s="374"/>
      <c r="M34" s="374"/>
    </row>
    <row r="35" spans="1:13" ht="14" x14ac:dyDescent="0.3">
      <c r="A35" s="151">
        <f>IF(C35&lt;&gt;"",COUNTA($C$12:C35),"")</f>
        <v>22</v>
      </c>
      <c r="B35" s="151"/>
      <c r="C35" s="293" t="str">
        <f>+'Bill_Cam G4'!C49</f>
        <v>Net Metering Recovery Surcharge</v>
      </c>
      <c r="D35" s="274"/>
      <c r="E35" s="374"/>
      <c r="F35" s="277">
        <v>2.7899999999999999E-3</v>
      </c>
      <c r="G35" s="400"/>
      <c r="H35" s="277">
        <v>2.6199999999999999E-3</v>
      </c>
      <c r="I35" s="354">
        <f t="shared" si="8"/>
        <v>-1.7000000000000001E-4</v>
      </c>
      <c r="J35" s="374"/>
      <c r="K35" s="374"/>
      <c r="L35" s="374"/>
      <c r="M35" s="374"/>
    </row>
    <row r="36" spans="1:13" ht="14" x14ac:dyDescent="0.3">
      <c r="A36" s="151">
        <f>IF(C36&lt;&gt;"",COUNTA($C$12:C36),"")</f>
        <v>23</v>
      </c>
      <c r="B36" s="151"/>
      <c r="C36" s="293" t="str">
        <f>+'Bill_Cam G4'!C50</f>
        <v>Long Term Renewable Contract Adjustment</v>
      </c>
      <c r="D36" s="274"/>
      <c r="E36" s="374"/>
      <c r="F36" s="277">
        <v>2.3600000000000001E-3</v>
      </c>
      <c r="G36" s="400"/>
      <c r="H36" s="277">
        <v>1.74E-3</v>
      </c>
      <c r="I36" s="354">
        <f t="shared" si="8"/>
        <v>-6.2000000000000011E-4</v>
      </c>
      <c r="J36" s="374"/>
      <c r="K36" s="374"/>
      <c r="L36" s="374"/>
      <c r="M36" s="374"/>
    </row>
    <row r="37" spans="1:13" ht="14" x14ac:dyDescent="0.3">
      <c r="A37" s="151">
        <f>IF(C37&lt;&gt;"",COUNTA($C$12:C37),"")</f>
        <v>24</v>
      </c>
      <c r="B37" s="151"/>
      <c r="C37" s="293" t="str">
        <f>+'Bill_Cam G4'!C51</f>
        <v>AG Consulting Expense</v>
      </c>
      <c r="D37" s="274"/>
      <c r="E37" s="374"/>
      <c r="F37" s="277">
        <v>2.0000000000000002E-5</v>
      </c>
      <c r="G37" s="400"/>
      <c r="H37" s="277">
        <v>0</v>
      </c>
      <c r="I37" s="354">
        <f t="shared" si="8"/>
        <v>-2.0000000000000002E-5</v>
      </c>
      <c r="J37" s="374"/>
      <c r="K37" s="374"/>
      <c r="L37" s="374"/>
      <c r="M37" s="374"/>
    </row>
    <row r="38" spans="1:13" ht="14" x14ac:dyDescent="0.3">
      <c r="A38" s="151">
        <f>IF(C38&lt;&gt;"",COUNTA($C$12:C38),"")</f>
        <v>25</v>
      </c>
      <c r="B38" s="151"/>
      <c r="C38" s="293" t="str">
        <f>+'Bill_Cam G4'!C52</f>
        <v>Storm Cost Recovery Adjustment Factor</v>
      </c>
      <c r="D38" s="274"/>
      <c r="E38" s="374"/>
      <c r="F38" s="277">
        <v>8.7000000000000001E-4</v>
      </c>
      <c r="G38" s="400"/>
      <c r="H38" s="277">
        <v>1.49E-3</v>
      </c>
      <c r="I38" s="354">
        <f t="shared" si="8"/>
        <v>6.2E-4</v>
      </c>
      <c r="J38" s="374"/>
      <c r="K38" s="374"/>
      <c r="L38" s="374"/>
      <c r="M38" s="374"/>
    </row>
    <row r="39" spans="1:13" ht="14" x14ac:dyDescent="0.3">
      <c r="A39" s="151">
        <f>IF(C39&lt;&gt;"",COUNTA($C$12:C39),"")</f>
        <v>26</v>
      </c>
      <c r="B39" s="151"/>
      <c r="C39" s="293" t="str">
        <f>+'Bill_Cam G4'!C53</f>
        <v>Storm Reserve Adjustment</v>
      </c>
      <c r="D39" s="274"/>
      <c r="E39" s="374"/>
      <c r="F39" s="277">
        <v>0</v>
      </c>
      <c r="G39" s="400"/>
      <c r="H39" s="277">
        <v>0</v>
      </c>
      <c r="I39" s="354">
        <f t="shared" si="8"/>
        <v>0</v>
      </c>
      <c r="J39" s="374"/>
      <c r="K39" s="374"/>
      <c r="L39" s="374"/>
      <c r="M39" s="374"/>
    </row>
    <row r="40" spans="1:13" ht="14" x14ac:dyDescent="0.3">
      <c r="A40" s="151">
        <f>IF(C40&lt;&gt;"",COUNTA($C$12:C40),"")</f>
        <v>27</v>
      </c>
      <c r="B40" s="151"/>
      <c r="C40" s="293" t="str">
        <f>+'Bill_Cam G4'!C54</f>
        <v>Basic Service Cost True Up Factor</v>
      </c>
      <c r="E40" s="374"/>
      <c r="F40" s="277">
        <v>7.5000000000000002E-4</v>
      </c>
      <c r="G40" s="400"/>
      <c r="H40" s="277">
        <v>-1E-4</v>
      </c>
      <c r="I40" s="354">
        <f t="shared" si="8"/>
        <v>-8.5000000000000006E-4</v>
      </c>
      <c r="J40" s="374"/>
      <c r="K40" s="374"/>
      <c r="L40" s="374"/>
      <c r="M40" s="374"/>
    </row>
    <row r="41" spans="1:13" ht="14" x14ac:dyDescent="0.3">
      <c r="A41" s="151">
        <f>IF(C41&lt;&gt;"",COUNTA($C$12:C41),"")</f>
        <v>28</v>
      </c>
      <c r="B41" s="151"/>
      <c r="C41" s="293" t="str">
        <f>+'Bill_Cam G4'!C55</f>
        <v>Solar Program Cost Adjustment Factor</v>
      </c>
      <c r="D41" s="274"/>
      <c r="E41" s="374"/>
      <c r="F41" s="277">
        <v>0</v>
      </c>
      <c r="G41" s="400"/>
      <c r="H41" s="277">
        <v>2.0000000000000002E-5</v>
      </c>
      <c r="I41" s="354">
        <f t="shared" si="8"/>
        <v>2.0000000000000002E-5</v>
      </c>
      <c r="J41" s="374"/>
      <c r="K41" s="374"/>
      <c r="L41" s="374"/>
      <c r="M41" s="374"/>
    </row>
    <row r="42" spans="1:13" ht="14" x14ac:dyDescent="0.3">
      <c r="A42" s="151">
        <f>IF(C42&lt;&gt;"",COUNTA($C$12:C42),"")</f>
        <v>29</v>
      </c>
      <c r="B42" s="151"/>
      <c r="C42" s="293" t="str">
        <f>+'Bill_Cam G4'!C56</f>
        <v>Solar Expansion Cost Recovery Factor</v>
      </c>
      <c r="D42" s="274"/>
      <c r="E42" s="374"/>
      <c r="F42" s="277">
        <v>0</v>
      </c>
      <c r="G42" s="400"/>
      <c r="H42" s="277">
        <v>3.1E-4</v>
      </c>
      <c r="I42" s="354">
        <f t="shared" si="8"/>
        <v>3.1E-4</v>
      </c>
      <c r="J42" s="374"/>
      <c r="K42" s="374"/>
      <c r="L42" s="374"/>
      <c r="M42" s="374"/>
    </row>
    <row r="43" spans="1:13" ht="14" x14ac:dyDescent="0.3">
      <c r="A43" s="151">
        <f>IF(C43&lt;&gt;"",COUNTA($C$12:C43),"")</f>
        <v>30</v>
      </c>
      <c r="B43" s="151"/>
      <c r="C43" s="293" t="str">
        <f>+'Bill_Cam G4'!C57</f>
        <v>Vegetation Management</v>
      </c>
      <c r="D43" s="274"/>
      <c r="E43" s="374"/>
      <c r="F43" s="277">
        <v>0</v>
      </c>
      <c r="G43" s="400"/>
      <c r="H43" s="277">
        <v>1.58E-3</v>
      </c>
      <c r="I43" s="354">
        <f t="shared" si="8"/>
        <v>1.58E-3</v>
      </c>
      <c r="J43" s="374"/>
      <c r="K43" s="374"/>
      <c r="L43" s="374"/>
      <c r="M43" s="374"/>
    </row>
    <row r="44" spans="1:13" ht="14" x14ac:dyDescent="0.3">
      <c r="A44" s="151">
        <f>IF(C44&lt;&gt;"",COUNTA($C$12:C44),"")</f>
        <v>31</v>
      </c>
      <c r="B44" s="151"/>
      <c r="C44" s="293" t="str">
        <f>+'Bill_Cam G4'!C58</f>
        <v>Solar Massachusetts Renewable Target</v>
      </c>
      <c r="D44" s="339"/>
      <c r="E44" s="339"/>
      <c r="F44" s="277">
        <v>0</v>
      </c>
      <c r="G44" s="277"/>
      <c r="H44" s="277">
        <v>3.6999999999999999E-4</v>
      </c>
      <c r="I44" s="354">
        <f t="shared" si="8"/>
        <v>3.6999999999999999E-4</v>
      </c>
      <c r="J44" s="339"/>
      <c r="K44" s="339"/>
      <c r="L44" s="339"/>
    </row>
    <row r="45" spans="1:13" ht="14" x14ac:dyDescent="0.3">
      <c r="A45" s="151">
        <f>IF(C45&lt;&gt;"",COUNTA($C$12:C45),"")</f>
        <v>32</v>
      </c>
      <c r="B45" s="151"/>
      <c r="C45" s="293" t="str">
        <f>+'Bill_Cam G4'!C59</f>
        <v>Tax Act Credit Factor</v>
      </c>
      <c r="D45" s="339"/>
      <c r="E45" s="339"/>
      <c r="F45" s="277">
        <v>0</v>
      </c>
      <c r="G45" s="277"/>
      <c r="H45" s="277">
        <v>-5.5999999999999995E-4</v>
      </c>
      <c r="I45" s="354">
        <f t="shared" si="8"/>
        <v>-5.5999999999999995E-4</v>
      </c>
      <c r="J45" s="339"/>
      <c r="K45" s="339"/>
      <c r="L45" s="339"/>
    </row>
    <row r="46" spans="1:13" ht="14" x14ac:dyDescent="0.3">
      <c r="A46" s="151">
        <f>IF(C46&lt;&gt;"",COUNTA($C$12:C46),"")</f>
        <v>33</v>
      </c>
      <c r="B46" s="151"/>
      <c r="C46" s="293" t="str">
        <f>+'Bill_Cam G4'!C60</f>
        <v>Transition</v>
      </c>
      <c r="D46" s="274"/>
      <c r="E46" s="374"/>
      <c r="F46" s="308">
        <v>-6.0999999999999997E-4</v>
      </c>
      <c r="G46" s="400"/>
      <c r="H46" s="277">
        <v>-5.1999999999999995E-4</v>
      </c>
      <c r="I46" s="354">
        <f t="shared" si="8"/>
        <v>9.0000000000000019E-5</v>
      </c>
      <c r="J46" s="374"/>
      <c r="K46" s="374"/>
      <c r="L46" s="374"/>
      <c r="M46" s="374"/>
    </row>
    <row r="47" spans="1:13" ht="14" x14ac:dyDescent="0.3">
      <c r="A47" s="151">
        <f>IF(C47&lt;&gt;"",COUNTA($C$12:C47),"")</f>
        <v>34</v>
      </c>
      <c r="B47" s="151"/>
      <c r="C47" s="293" t="s">
        <v>445</v>
      </c>
      <c r="D47" s="274"/>
      <c r="E47" s="374"/>
      <c r="F47" s="308">
        <v>2.3900000000000001E-2</v>
      </c>
      <c r="G47" s="400"/>
      <c r="H47" s="308">
        <v>2.0760000000000001E-2</v>
      </c>
      <c r="I47" s="354">
        <f t="shared" si="8"/>
        <v>-3.1400000000000004E-3</v>
      </c>
      <c r="J47" s="374"/>
      <c r="K47" s="374"/>
      <c r="L47" s="374"/>
      <c r="M47" s="374"/>
    </row>
    <row r="48" spans="1:13" ht="14" x14ac:dyDescent="0.3">
      <c r="A48" s="151">
        <f>IF(C48&lt;&gt;"",COUNTA($C$12:C48),"")</f>
        <v>35</v>
      </c>
      <c r="B48" s="151"/>
      <c r="C48" s="293" t="s">
        <v>446</v>
      </c>
      <c r="D48" s="274"/>
      <c r="E48" s="374"/>
      <c r="F48" s="308">
        <v>3.4079999999999999E-2</v>
      </c>
      <c r="G48" s="400"/>
      <c r="H48" s="308">
        <v>2.8469999999999999E-2</v>
      </c>
      <c r="I48" s="354">
        <f t="shared" si="8"/>
        <v>-5.6100000000000004E-3</v>
      </c>
      <c r="J48" s="374"/>
      <c r="K48" s="374"/>
      <c r="L48" s="374"/>
      <c r="M48" s="374"/>
    </row>
    <row r="49" spans="1:13" ht="14" x14ac:dyDescent="0.3">
      <c r="A49" s="151">
        <f>IF(C49&lt;&gt;"",COUNTA($C$12:C49),"")</f>
        <v>36</v>
      </c>
      <c r="B49" s="151"/>
      <c r="C49" s="293" t="str">
        <f>+'Bill_Cam G4'!C61</f>
        <v>Energy Efficiency Reconciliation Factor</v>
      </c>
      <c r="D49" s="274"/>
      <c r="E49" s="374"/>
      <c r="F49" s="308">
        <v>8.4600000000000005E-3</v>
      </c>
      <c r="G49" s="400"/>
      <c r="H49" s="308">
        <v>8.4600000000000005E-3</v>
      </c>
      <c r="I49" s="354">
        <f t="shared" si="8"/>
        <v>0</v>
      </c>
      <c r="J49" s="374"/>
      <c r="K49" s="374"/>
      <c r="L49" s="374"/>
      <c r="M49" s="374"/>
    </row>
    <row r="50" spans="1:13" ht="14" x14ac:dyDescent="0.3">
      <c r="A50" s="151">
        <f>IF(C50&lt;&gt;"",COUNTA($C$12:C50),"")</f>
        <v>37</v>
      </c>
      <c r="B50" s="151"/>
      <c r="C50" s="293" t="str">
        <f>+'Bill_Cam G4'!C62</f>
        <v>System Benefits Charge</v>
      </c>
      <c r="D50" s="274"/>
      <c r="E50" s="374"/>
      <c r="F50" s="308">
        <v>2.5000000000000001E-3</v>
      </c>
      <c r="G50" s="400"/>
      <c r="H50" s="308">
        <f>F50</f>
        <v>2.5000000000000001E-3</v>
      </c>
      <c r="I50" s="354">
        <f t="shared" si="8"/>
        <v>0</v>
      </c>
      <c r="J50" s="374"/>
      <c r="K50" s="374"/>
      <c r="L50" s="374"/>
      <c r="M50" s="374"/>
    </row>
    <row r="51" spans="1:13" ht="14" x14ac:dyDescent="0.3">
      <c r="A51" s="151">
        <f>IF(C51&lt;&gt;"",COUNTA($C$12:C51),"")</f>
        <v>38</v>
      </c>
      <c r="B51" s="151"/>
      <c r="C51" s="293" t="str">
        <f>+'Bill_Cam G4'!C63</f>
        <v>Renewable Energy Charge</v>
      </c>
      <c r="D51" s="274"/>
      <c r="E51" s="374"/>
      <c r="F51" s="308">
        <v>5.0000000000000001E-4</v>
      </c>
      <c r="G51" s="400"/>
      <c r="H51" s="308">
        <f>F51</f>
        <v>5.0000000000000001E-4</v>
      </c>
      <c r="I51" s="354">
        <f t="shared" si="8"/>
        <v>0</v>
      </c>
      <c r="J51" s="374"/>
      <c r="K51" s="374"/>
      <c r="L51" s="374"/>
      <c r="M51" s="374"/>
    </row>
    <row r="52" spans="1:13" ht="14" x14ac:dyDescent="0.3">
      <c r="A52" s="151">
        <f>IF(C52&lt;&gt;"",COUNTA($C$12:C52),"")</f>
        <v>39</v>
      </c>
      <c r="B52" s="151"/>
      <c r="C52" s="293" t="str">
        <f>+'Bill_Cam G4'!C64</f>
        <v>Basic Service Charge</v>
      </c>
      <c r="D52" s="274"/>
      <c r="E52" s="374"/>
      <c r="F52" s="308">
        <v>0.11403000000000001</v>
      </c>
      <c r="G52" s="400"/>
      <c r="H52" s="308">
        <v>0.13185000000000002</v>
      </c>
      <c r="I52" s="354">
        <f t="shared" si="8"/>
        <v>1.7820000000000016E-2</v>
      </c>
      <c r="J52" s="374"/>
      <c r="K52" s="374"/>
      <c r="L52" s="374"/>
      <c r="M52" s="374"/>
    </row>
    <row r="53" spans="1:13" ht="14" x14ac:dyDescent="0.3">
      <c r="A53" s="151"/>
      <c r="B53" s="151"/>
      <c r="E53" s="448"/>
      <c r="F53" s="448"/>
      <c r="G53" s="374"/>
      <c r="H53" s="502"/>
      <c r="I53" s="354"/>
      <c r="J53" s="374"/>
      <c r="K53" s="374"/>
      <c r="L53" s="374"/>
      <c r="M53" s="374"/>
    </row>
    <row r="54" spans="1:13" ht="14" x14ac:dyDescent="0.3">
      <c r="A54" s="151"/>
      <c r="B54" s="151"/>
      <c r="E54" s="448"/>
      <c r="F54" s="448"/>
      <c r="G54" s="374"/>
      <c r="H54" s="502"/>
      <c r="I54" s="354"/>
      <c r="J54" s="374"/>
      <c r="K54" s="374"/>
      <c r="L54" s="374"/>
      <c r="M54" s="374"/>
    </row>
    <row r="55" spans="1:13" ht="14" x14ac:dyDescent="0.3">
      <c r="A55" s="151"/>
      <c r="B55" s="151"/>
      <c r="C55" s="293" t="s">
        <v>602</v>
      </c>
      <c r="E55" s="374"/>
      <c r="F55" s="403">
        <f>SUM(F30,F$32:F$46,F47,F$49:F$51)</f>
        <v>6.056000000000001E-2</v>
      </c>
      <c r="G55" s="403"/>
      <c r="H55" s="403">
        <f>SUM(H30,H$32:H$46,H47,H$49:H$51)</f>
        <v>6.013000000000001E-2</v>
      </c>
      <c r="I55" s="354">
        <f t="shared" ref="I55:I57" si="9">H55-F55</f>
        <v>-4.2999999999999983E-4</v>
      </c>
      <c r="J55" s="374"/>
      <c r="K55" s="374"/>
      <c r="L55" s="374"/>
      <c r="M55" s="374"/>
    </row>
    <row r="56" spans="1:13" ht="14" x14ac:dyDescent="0.3">
      <c r="A56" s="151"/>
      <c r="B56" s="151"/>
      <c r="C56" s="293" t="s">
        <v>603</v>
      </c>
      <c r="E56" s="374"/>
      <c r="F56" s="403">
        <f>SUM(F31,F$32:F$46,F48,F$49:F$51)</f>
        <v>7.6300000000000007E-2</v>
      </c>
      <c r="G56" s="403"/>
      <c r="H56" s="403">
        <f>SUM(H31,H$32:H$46,H48,H$49:H$51)</f>
        <v>7.3599999999999999E-2</v>
      </c>
      <c r="I56" s="354">
        <f t="shared" si="9"/>
        <v>-2.7000000000000079E-3</v>
      </c>
      <c r="J56" s="374"/>
      <c r="K56" s="374"/>
      <c r="L56" s="374"/>
      <c r="M56" s="374"/>
    </row>
    <row r="57" spans="1:13" ht="14" x14ac:dyDescent="0.3">
      <c r="A57" s="151"/>
      <c r="B57" s="151"/>
      <c r="C57" s="369" t="str">
        <f>'Bill_Cam G4'!C69</f>
        <v>Total Basic Service</v>
      </c>
      <c r="E57" s="374"/>
      <c r="F57" s="403">
        <f>F52</f>
        <v>0.11403000000000001</v>
      </c>
      <c r="G57" s="403"/>
      <c r="H57" s="403">
        <f>H52</f>
        <v>0.13185000000000002</v>
      </c>
      <c r="I57" s="354">
        <f t="shared" si="9"/>
        <v>1.7820000000000016E-2</v>
      </c>
      <c r="J57" s="374"/>
      <c r="K57" s="374"/>
      <c r="L57" s="374"/>
      <c r="M57" s="374"/>
    </row>
    <row r="58" spans="1:13" ht="14" x14ac:dyDescent="0.3">
      <c r="A58" s="151"/>
      <c r="B58" s="151"/>
      <c r="E58" s="374"/>
      <c r="F58" s="374"/>
      <c r="G58" s="374"/>
      <c r="H58" s="374"/>
      <c r="I58" s="374"/>
      <c r="J58" s="374"/>
      <c r="K58" s="374"/>
      <c r="L58" s="374"/>
      <c r="M58" s="374"/>
    </row>
    <row r="59" spans="1:13" ht="14" x14ac:dyDescent="0.3">
      <c r="A59" s="151"/>
      <c r="B59" s="151"/>
      <c r="E59" s="374"/>
      <c r="F59" s="374"/>
      <c r="G59" s="374"/>
      <c r="H59" s="374"/>
      <c r="I59" s="374"/>
      <c r="J59" s="374"/>
      <c r="K59" s="374"/>
      <c r="L59" s="374"/>
      <c r="M59" s="374"/>
    </row>
    <row r="60" spans="1:13" ht="14" x14ac:dyDescent="0.3">
      <c r="A60" s="151"/>
      <c r="B60" s="151"/>
      <c r="E60" s="374"/>
      <c r="F60" s="374"/>
      <c r="G60" s="374"/>
      <c r="H60" s="374"/>
      <c r="I60" s="374"/>
      <c r="J60" s="374"/>
      <c r="K60" s="374"/>
      <c r="L60" s="374"/>
      <c r="M60" s="374"/>
    </row>
    <row r="61" spans="1:13" ht="14" x14ac:dyDescent="0.3">
      <c r="A61" s="151"/>
      <c r="B61" s="151"/>
      <c r="E61" s="374"/>
      <c r="F61" s="374"/>
      <c r="G61" s="374"/>
      <c r="H61" s="374"/>
      <c r="I61" s="374"/>
      <c r="J61" s="374"/>
      <c r="K61" s="374"/>
      <c r="L61" s="374"/>
      <c r="M61" s="374"/>
    </row>
    <row r="62" spans="1:13" ht="14" x14ac:dyDescent="0.3">
      <c r="A62" s="151"/>
      <c r="B62" s="151"/>
      <c r="E62" s="374"/>
      <c r="F62" s="374"/>
      <c r="G62" s="374"/>
      <c r="H62" s="374"/>
      <c r="I62" s="374"/>
      <c r="J62" s="374"/>
      <c r="K62" s="374"/>
      <c r="L62" s="374"/>
      <c r="M62" s="374"/>
    </row>
    <row r="63" spans="1:13" ht="14" x14ac:dyDescent="0.3">
      <c r="A63" s="151"/>
      <c r="B63" s="151"/>
      <c r="E63" s="374"/>
      <c r="F63" s="374"/>
      <c r="G63" s="374"/>
      <c r="H63" s="374"/>
      <c r="I63" s="374"/>
      <c r="J63" s="374"/>
      <c r="K63" s="374"/>
      <c r="L63" s="374"/>
      <c r="M63" s="374"/>
    </row>
    <row r="64" spans="1:13" ht="14" x14ac:dyDescent="0.3">
      <c r="A64" s="151"/>
      <c r="B64" s="151"/>
      <c r="E64" s="374"/>
      <c r="F64" s="374"/>
      <c r="G64" s="374"/>
      <c r="H64" s="374"/>
      <c r="I64" s="374"/>
      <c r="J64" s="374"/>
      <c r="K64" s="374"/>
      <c r="L64" s="374"/>
      <c r="M64" s="374"/>
    </row>
    <row r="65" spans="1:13" ht="14" x14ac:dyDescent="0.3">
      <c r="A65" s="151"/>
      <c r="B65" s="151"/>
      <c r="E65" s="374"/>
      <c r="F65" s="374"/>
      <c r="G65" s="374"/>
      <c r="H65" s="374"/>
      <c r="I65" s="374"/>
      <c r="J65" s="374"/>
      <c r="K65" s="374"/>
      <c r="L65" s="374"/>
      <c r="M65" s="374"/>
    </row>
    <row r="66" spans="1:13" ht="14" x14ac:dyDescent="0.3">
      <c r="A66" s="151"/>
      <c r="B66" s="151"/>
      <c r="E66" s="374"/>
      <c r="F66" s="374"/>
      <c r="G66" s="374"/>
      <c r="H66" s="374"/>
      <c r="I66" s="374"/>
      <c r="J66" s="374"/>
      <c r="K66" s="374"/>
      <c r="L66" s="374"/>
      <c r="M66" s="374"/>
    </row>
    <row r="67" spans="1:13" ht="14" x14ac:dyDescent="0.3">
      <c r="A67" s="151"/>
      <c r="B67" s="151"/>
      <c r="E67" s="374"/>
      <c r="F67" s="374"/>
      <c r="G67" s="374"/>
      <c r="H67" s="374"/>
      <c r="I67" s="374"/>
      <c r="J67" s="374"/>
      <c r="K67" s="374"/>
      <c r="L67" s="374"/>
      <c r="M67" s="374"/>
    </row>
    <row r="68" spans="1:13" ht="14" x14ac:dyDescent="0.3">
      <c r="A68" s="151"/>
      <c r="B68" s="151"/>
      <c r="E68" s="374"/>
      <c r="F68" s="374"/>
      <c r="G68" s="374"/>
      <c r="H68" s="374"/>
      <c r="I68" s="374"/>
      <c r="J68" s="374"/>
      <c r="K68" s="374"/>
      <c r="L68" s="374"/>
      <c r="M68" s="374"/>
    </row>
    <row r="69" spans="1:13" ht="14" x14ac:dyDescent="0.3">
      <c r="A69" s="151"/>
      <c r="B69" s="151"/>
      <c r="E69" s="374"/>
      <c r="F69" s="374"/>
      <c r="G69" s="374"/>
      <c r="H69" s="374"/>
      <c r="I69" s="374"/>
      <c r="J69" s="374"/>
      <c r="K69" s="374"/>
      <c r="L69" s="374"/>
      <c r="M69" s="374"/>
    </row>
    <row r="70" spans="1:13" ht="14" x14ac:dyDescent="0.3">
      <c r="A70" s="151"/>
      <c r="B70" s="151"/>
      <c r="E70" s="374"/>
      <c r="F70" s="374"/>
      <c r="G70" s="374"/>
      <c r="H70" s="374"/>
      <c r="I70" s="374"/>
      <c r="J70" s="374"/>
      <c r="K70" s="374"/>
      <c r="L70" s="374"/>
      <c r="M70" s="374"/>
    </row>
    <row r="71" spans="1:13" ht="14" x14ac:dyDescent="0.3">
      <c r="A71" s="151"/>
      <c r="B71" s="151"/>
      <c r="E71" s="374"/>
      <c r="F71" s="374"/>
      <c r="G71" s="374"/>
      <c r="H71" s="374"/>
      <c r="I71" s="374"/>
      <c r="J71" s="374"/>
      <c r="K71" s="374"/>
      <c r="L71" s="374"/>
      <c r="M71" s="374"/>
    </row>
    <row r="72" spans="1:13" ht="14" x14ac:dyDescent="0.3">
      <c r="A72" s="151"/>
      <c r="B72" s="151"/>
      <c r="E72" s="374"/>
      <c r="F72" s="374"/>
      <c r="G72" s="374"/>
      <c r="H72" s="374"/>
      <c r="I72" s="374"/>
      <c r="J72" s="374"/>
      <c r="K72" s="374"/>
      <c r="L72" s="374"/>
      <c r="M72" s="374"/>
    </row>
    <row r="73" spans="1:13" ht="14" x14ac:dyDescent="0.3">
      <c r="A73" s="151"/>
      <c r="B73" s="151"/>
      <c r="E73" s="374"/>
      <c r="F73" s="374"/>
      <c r="G73" s="374"/>
      <c r="H73" s="374"/>
      <c r="I73" s="374"/>
      <c r="J73" s="374"/>
      <c r="K73" s="374"/>
      <c r="L73" s="374"/>
      <c r="M73" s="374"/>
    </row>
    <row r="74" spans="1:13" ht="14" x14ac:dyDescent="0.3">
      <c r="A74" s="151"/>
      <c r="B74" s="151"/>
      <c r="E74" s="374"/>
      <c r="F74" s="374"/>
      <c r="G74" s="374"/>
      <c r="H74" s="374"/>
      <c r="I74" s="374"/>
      <c r="J74" s="374"/>
      <c r="K74" s="374"/>
      <c r="L74" s="374"/>
      <c r="M74" s="374"/>
    </row>
    <row r="75" spans="1:13" ht="14" x14ac:dyDescent="0.3">
      <c r="A75" s="151"/>
      <c r="B75" s="151"/>
      <c r="E75" s="374"/>
      <c r="F75" s="374"/>
      <c r="G75" s="374"/>
      <c r="H75" s="374"/>
      <c r="I75" s="374"/>
      <c r="J75" s="374"/>
      <c r="K75" s="374"/>
      <c r="L75" s="374"/>
      <c r="M75" s="374"/>
    </row>
    <row r="76" spans="1:13" ht="14" x14ac:dyDescent="0.3">
      <c r="A76" s="151"/>
      <c r="B76" s="151"/>
      <c r="E76" s="374"/>
      <c r="F76" s="374"/>
      <c r="G76" s="374"/>
      <c r="H76" s="374"/>
      <c r="I76" s="374"/>
      <c r="J76" s="374"/>
      <c r="K76" s="374"/>
      <c r="L76" s="374"/>
      <c r="M76" s="374"/>
    </row>
    <row r="77" spans="1:13" ht="14" x14ac:dyDescent="0.3">
      <c r="A77" s="151"/>
      <c r="B77" s="151"/>
      <c r="E77" s="374"/>
      <c r="F77" s="374"/>
      <c r="G77" s="374"/>
      <c r="H77" s="374"/>
      <c r="I77" s="374"/>
      <c r="J77" s="374"/>
      <c r="K77" s="374"/>
      <c r="L77" s="374"/>
      <c r="M77" s="374"/>
    </row>
    <row r="78" spans="1:13" ht="14" x14ac:dyDescent="0.3">
      <c r="A78" s="151"/>
      <c r="B78" s="151"/>
      <c r="E78" s="374"/>
      <c r="F78" s="374"/>
      <c r="G78" s="374"/>
      <c r="H78" s="374"/>
      <c r="I78" s="374"/>
      <c r="J78" s="374"/>
      <c r="K78" s="374"/>
      <c r="L78" s="374"/>
      <c r="M78" s="374"/>
    </row>
    <row r="79" spans="1:13" ht="14" x14ac:dyDescent="0.3">
      <c r="A79" s="151"/>
      <c r="B79" s="151"/>
      <c r="E79" s="374"/>
      <c r="F79" s="374"/>
      <c r="G79" s="374"/>
      <c r="H79" s="374"/>
      <c r="I79" s="374"/>
      <c r="J79" s="374"/>
      <c r="K79" s="374"/>
      <c r="L79" s="374"/>
      <c r="M79" s="374"/>
    </row>
    <row r="80" spans="1:13" ht="14" x14ac:dyDescent="0.3">
      <c r="A80" s="151"/>
      <c r="B80" s="151"/>
      <c r="E80" s="374"/>
      <c r="F80" s="374"/>
      <c r="G80" s="374"/>
      <c r="H80" s="374"/>
      <c r="I80" s="374"/>
      <c r="J80" s="374"/>
      <c r="K80" s="374"/>
      <c r="L80" s="374"/>
      <c r="M80" s="374"/>
    </row>
    <row r="81" spans="1:13" ht="14" x14ac:dyDescent="0.3">
      <c r="A81" s="151"/>
      <c r="B81" s="151"/>
      <c r="E81" s="374"/>
      <c r="F81" s="374"/>
      <c r="G81" s="374"/>
      <c r="H81" s="374"/>
      <c r="I81" s="374"/>
      <c r="J81" s="374"/>
      <c r="K81" s="374"/>
      <c r="L81" s="374"/>
      <c r="M81" s="374"/>
    </row>
    <row r="82" spans="1:13" ht="14" x14ac:dyDescent="0.3">
      <c r="A82" s="151"/>
      <c r="B82" s="151"/>
      <c r="E82" s="374"/>
      <c r="F82" s="374"/>
      <c r="G82" s="374"/>
      <c r="H82" s="374"/>
      <c r="I82" s="374"/>
      <c r="J82" s="374"/>
      <c r="K82" s="374"/>
      <c r="L82" s="374"/>
      <c r="M82" s="374"/>
    </row>
    <row r="83" spans="1:13" ht="14" x14ac:dyDescent="0.3">
      <c r="A83" s="151"/>
      <c r="B83" s="151"/>
      <c r="E83" s="374"/>
      <c r="F83" s="374"/>
      <c r="G83" s="374"/>
      <c r="H83" s="374"/>
      <c r="I83" s="374"/>
      <c r="J83" s="374"/>
      <c r="K83" s="374"/>
      <c r="L83" s="374"/>
      <c r="M83" s="374"/>
    </row>
    <row r="84" spans="1:13" ht="14" x14ac:dyDescent="0.3">
      <c r="A84" s="151"/>
      <c r="B84" s="151"/>
      <c r="E84" s="374"/>
      <c r="F84" s="374"/>
      <c r="G84" s="374"/>
      <c r="H84" s="374"/>
      <c r="I84" s="374"/>
      <c r="J84" s="374"/>
      <c r="K84" s="374"/>
      <c r="L84" s="374"/>
      <c r="M84" s="374"/>
    </row>
    <row r="85" spans="1:13" ht="14" x14ac:dyDescent="0.3">
      <c r="A85" s="151"/>
      <c r="B85" s="151"/>
      <c r="E85" s="374"/>
      <c r="F85" s="374"/>
      <c r="G85" s="374"/>
      <c r="H85" s="374"/>
      <c r="I85" s="374"/>
      <c r="J85" s="374"/>
      <c r="K85" s="374"/>
      <c r="L85" s="374"/>
      <c r="M85" s="374"/>
    </row>
    <row r="86" spans="1:13" ht="14" x14ac:dyDescent="0.3">
      <c r="A86" s="151"/>
      <c r="B86" s="151"/>
      <c r="E86" s="374"/>
      <c r="F86" s="374"/>
      <c r="G86" s="374"/>
      <c r="H86" s="374"/>
      <c r="I86" s="374"/>
      <c r="J86" s="374"/>
      <c r="K86" s="374"/>
      <c r="L86" s="374"/>
      <c r="M86" s="374"/>
    </row>
    <row r="87" spans="1:13" ht="14" x14ac:dyDescent="0.3">
      <c r="E87" s="374"/>
      <c r="F87" s="374"/>
      <c r="G87" s="374"/>
      <c r="H87" s="374"/>
      <c r="I87" s="374"/>
      <c r="J87" s="374"/>
      <c r="K87" s="374"/>
      <c r="L87" s="374"/>
      <c r="M87" s="374"/>
    </row>
    <row r="88" spans="1:13" ht="14" x14ac:dyDescent="0.3">
      <c r="E88" s="374"/>
      <c r="F88" s="374"/>
      <c r="G88" s="374"/>
      <c r="H88" s="374"/>
      <c r="I88" s="374"/>
      <c r="J88" s="374"/>
      <c r="K88" s="374"/>
      <c r="L88" s="374"/>
      <c r="M88" s="374"/>
    </row>
    <row r="89" spans="1:13" ht="14" x14ac:dyDescent="0.3">
      <c r="E89" s="374"/>
      <c r="F89" s="374"/>
      <c r="G89" s="374"/>
      <c r="H89" s="374"/>
      <c r="I89" s="374"/>
      <c r="J89" s="374"/>
      <c r="K89" s="374"/>
      <c r="L89" s="374"/>
      <c r="M89" s="374"/>
    </row>
    <row r="90" spans="1:13" ht="14" x14ac:dyDescent="0.3">
      <c r="E90" s="374"/>
      <c r="F90" s="374"/>
      <c r="G90" s="374"/>
      <c r="H90" s="374"/>
      <c r="I90" s="374"/>
      <c r="J90" s="374"/>
      <c r="K90" s="374"/>
      <c r="L90" s="374"/>
      <c r="M90" s="374"/>
    </row>
    <row r="91" spans="1:13" ht="14" x14ac:dyDescent="0.3">
      <c r="E91" s="374"/>
      <c r="F91" s="374"/>
      <c r="G91" s="374"/>
      <c r="H91" s="374"/>
      <c r="I91" s="374"/>
      <c r="J91" s="374"/>
      <c r="K91" s="374"/>
      <c r="L91" s="374"/>
      <c r="M91" s="374"/>
    </row>
    <row r="92" spans="1:13" ht="14" x14ac:dyDescent="0.3">
      <c r="E92" s="374"/>
      <c r="F92" s="374"/>
      <c r="G92" s="374"/>
      <c r="H92" s="374"/>
      <c r="I92" s="374"/>
      <c r="J92" s="374"/>
      <c r="K92" s="374"/>
      <c r="L92" s="374"/>
      <c r="M92" s="374"/>
    </row>
    <row r="93" spans="1:13" ht="14" x14ac:dyDescent="0.3">
      <c r="E93" s="374"/>
      <c r="F93" s="374"/>
      <c r="G93" s="374"/>
      <c r="H93" s="374"/>
      <c r="I93" s="374"/>
      <c r="J93" s="374"/>
      <c r="K93" s="374"/>
      <c r="L93" s="374"/>
      <c r="M93" s="374"/>
    </row>
    <row r="94" spans="1:13" ht="14" x14ac:dyDescent="0.3">
      <c r="E94" s="374"/>
      <c r="F94" s="374"/>
      <c r="G94" s="374"/>
      <c r="H94" s="374"/>
      <c r="I94" s="374"/>
      <c r="J94" s="374"/>
      <c r="K94" s="374"/>
      <c r="L94" s="374"/>
      <c r="M94" s="374"/>
    </row>
    <row r="95" spans="1:13" ht="14" x14ac:dyDescent="0.3">
      <c r="E95" s="374"/>
      <c r="F95" s="374"/>
      <c r="G95" s="374"/>
      <c r="H95" s="374"/>
      <c r="I95" s="374"/>
      <c r="J95" s="374"/>
      <c r="K95" s="374"/>
      <c r="L95" s="374"/>
      <c r="M95" s="374"/>
    </row>
  </sheetData>
  <mergeCells count="8">
    <mergeCell ref="D12:F12"/>
    <mergeCell ref="H12:J12"/>
    <mergeCell ref="L12:M12"/>
    <mergeCell ref="A4:M4"/>
    <mergeCell ref="A5:M5"/>
    <mergeCell ref="A6:M6"/>
    <mergeCell ref="A8:M8"/>
    <mergeCell ref="A9:M9"/>
  </mergeCells>
  <pageMargins left="0.7" right="0.7" top="0.75" bottom="0.75" header="0.3" footer="0.3"/>
  <pageSetup scale="69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43722-A696-42A5-BCAD-1F1BFC563585}">
  <sheetPr>
    <tabColor theme="3" tint="0.59999389629810485"/>
    <pageSetUpPr fitToPage="1"/>
  </sheetPr>
  <dimension ref="A4:AB95"/>
  <sheetViews>
    <sheetView zoomScaleNormal="100" workbookViewId="0"/>
  </sheetViews>
  <sheetFormatPr defaultRowHeight="12.5" x14ac:dyDescent="0.25"/>
  <cols>
    <col min="1" max="1" width="4" customWidth="1"/>
    <col min="2" max="2" width="4.453125" bestFit="1" customWidth="1"/>
    <col min="3" max="3" width="9.7265625" customWidth="1"/>
    <col min="4" max="6" width="14.7265625" customWidth="1"/>
    <col min="7" max="7" width="1.7265625" customWidth="1"/>
    <col min="8" max="10" width="14.7265625" customWidth="1"/>
    <col min="11" max="11" width="1.7265625" customWidth="1"/>
    <col min="12" max="13" width="11.1796875" customWidth="1"/>
  </cols>
  <sheetData>
    <row r="4" spans="1:28" ht="14" x14ac:dyDescent="0.3">
      <c r="A4" s="765" t="str">
        <f>'Bill_Cam G5'!A4:M4</f>
        <v>Eastern Massachusetts</v>
      </c>
      <c r="B4" s="765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</row>
    <row r="5" spans="1:28" ht="14" x14ac:dyDescent="0.3">
      <c r="A5" s="765" t="str">
        <f>+'Bill_Cam G0'!A5</f>
        <v>Calculation of Monthly Typical Bill</v>
      </c>
      <c r="B5" s="765"/>
      <c r="C5" s="765"/>
      <c r="D5" s="765"/>
      <c r="E5" s="765"/>
      <c r="F5" s="765"/>
      <c r="G5" s="765"/>
      <c r="H5" s="765"/>
      <c r="I5" s="765"/>
      <c r="J5" s="765"/>
      <c r="K5" s="765"/>
      <c r="L5" s="765"/>
      <c r="M5" s="765"/>
    </row>
    <row r="6" spans="1:28" ht="14" x14ac:dyDescent="0.3">
      <c r="A6" s="765" t="str">
        <f>+'Bill_Cam G0'!A6</f>
        <v>Proposed January 1, 2019</v>
      </c>
      <c r="B6" s="765"/>
      <c r="C6" s="765"/>
      <c r="D6" s="765"/>
      <c r="E6" s="765"/>
      <c r="F6" s="765"/>
      <c r="G6" s="765"/>
      <c r="H6" s="765"/>
      <c r="I6" s="765"/>
      <c r="J6" s="765"/>
      <c r="K6" s="765"/>
      <c r="L6" s="765"/>
      <c r="M6" s="765"/>
    </row>
    <row r="7" spans="1:28" ht="14" x14ac:dyDescent="0.3">
      <c r="A7" s="503"/>
      <c r="B7" s="503"/>
      <c r="C7" s="293"/>
      <c r="D7" s="468"/>
      <c r="E7" s="293"/>
      <c r="F7" s="429"/>
      <c r="G7" s="293"/>
      <c r="H7" s="369"/>
      <c r="I7" s="369"/>
      <c r="J7" s="369"/>
      <c r="K7" s="369"/>
      <c r="L7" s="369"/>
      <c r="M7" s="369"/>
    </row>
    <row r="8" spans="1:28" ht="14" x14ac:dyDescent="0.3">
      <c r="A8" s="765" t="str">
        <f>+'Bill_Cam G0'!A8</f>
        <v>Cambridge Service Area</v>
      </c>
      <c r="B8" s="765"/>
      <c r="C8" s="765"/>
      <c r="D8" s="765"/>
      <c r="E8" s="765"/>
      <c r="F8" s="765"/>
      <c r="G8" s="765"/>
      <c r="H8" s="765"/>
      <c r="I8" s="765"/>
      <c r="J8" s="765"/>
      <c r="K8" s="765"/>
      <c r="L8" s="765"/>
      <c r="M8" s="765"/>
    </row>
    <row r="9" spans="1:28" ht="14" x14ac:dyDescent="0.3">
      <c r="A9" s="765" t="s">
        <v>604</v>
      </c>
      <c r="B9" s="765"/>
      <c r="C9" s="765"/>
      <c r="D9" s="765"/>
      <c r="E9" s="765"/>
      <c r="F9" s="765"/>
      <c r="G9" s="765"/>
      <c r="H9" s="765"/>
      <c r="I9" s="765"/>
      <c r="J9" s="765"/>
      <c r="K9" s="765"/>
      <c r="L9" s="765"/>
      <c r="M9" s="765"/>
    </row>
    <row r="10" spans="1:28" ht="14" x14ac:dyDescent="0.3">
      <c r="A10" s="369"/>
      <c r="B10" s="369"/>
      <c r="C10" s="293"/>
      <c r="D10" s="293"/>
      <c r="E10" s="293"/>
      <c r="F10" s="367"/>
      <c r="G10" s="293"/>
    </row>
    <row r="11" spans="1:28" ht="14" x14ac:dyDescent="0.3">
      <c r="A11" s="293"/>
      <c r="B11" s="293"/>
      <c r="C11" s="293"/>
      <c r="D11" s="293"/>
      <c r="E11" s="293"/>
      <c r="F11" s="368"/>
      <c r="G11" s="293"/>
    </row>
    <row r="12" spans="1:28" ht="14" x14ac:dyDescent="0.3">
      <c r="A12" s="151">
        <f>IF(C12&lt;&gt;"",COUNTA($C12:C$12),"")</f>
        <v>1</v>
      </c>
      <c r="B12" s="151"/>
      <c r="C12" s="366" t="s">
        <v>528</v>
      </c>
      <c r="D12" s="760" t="str">
        <f>+'Bill_Cam G0'!D12</f>
        <v>Current Monthly Bill</v>
      </c>
      <c r="E12" s="760"/>
      <c r="F12" s="760"/>
      <c r="G12" s="293"/>
      <c r="H12" s="760" t="str">
        <f>+'Bill_Cam G0'!H12</f>
        <v>Proposed Monthly Bill</v>
      </c>
      <c r="I12" s="760"/>
      <c r="J12" s="760"/>
      <c r="L12" s="760" t="s">
        <v>550</v>
      </c>
      <c r="M12" s="760"/>
      <c r="O12" s="369"/>
      <c r="P12" s="369"/>
      <c r="Q12" s="369"/>
      <c r="R12" s="369"/>
      <c r="S12" s="369"/>
      <c r="T12" s="369"/>
      <c r="U12" s="369"/>
      <c r="V12" s="369"/>
      <c r="W12" s="369"/>
      <c r="X12" s="369"/>
      <c r="Y12" s="369"/>
      <c r="Z12" s="369"/>
      <c r="AA12" s="369"/>
      <c r="AB12" s="369"/>
    </row>
    <row r="13" spans="1:28" ht="14" x14ac:dyDescent="0.3">
      <c r="A13" s="151">
        <f>IF(C13&lt;&gt;"",COUNTA($C$12:C13),"")</f>
        <v>2</v>
      </c>
      <c r="B13" s="151"/>
      <c r="C13" s="370" t="s">
        <v>551</v>
      </c>
      <c r="D13" s="370" t="s">
        <v>552</v>
      </c>
      <c r="E13" s="370" t="s">
        <v>553</v>
      </c>
      <c r="F13" s="370" t="s">
        <v>47</v>
      </c>
      <c r="G13" s="293"/>
      <c r="H13" s="370" t="s">
        <v>552</v>
      </c>
      <c r="I13" s="370" t="s">
        <v>553</v>
      </c>
      <c r="J13" s="370" t="s">
        <v>47</v>
      </c>
      <c r="L13" s="370" t="s">
        <v>65</v>
      </c>
      <c r="M13" s="370" t="s">
        <v>325</v>
      </c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  <c r="AA13" s="369"/>
      <c r="AB13" s="369"/>
    </row>
    <row r="14" spans="1:28" ht="14" x14ac:dyDescent="0.3">
      <c r="A14" s="151">
        <f>IF(C14&lt;&gt;"",COUNTA($C$12:C14),"")</f>
        <v>3</v>
      </c>
      <c r="B14" s="151"/>
      <c r="C14" s="409">
        <f>+'Bill_Cam G0'!C14</f>
        <v>25</v>
      </c>
      <c r="D14" s="372">
        <f>ROUND($F$29+(($F$30+$F$47)*$C14*$E$54)+(($F$31+$F$48)*$C14*$E$55)+SUM($F$32:$F$46,$F$49:$F$51)*$C14,2)</f>
        <v>9.75</v>
      </c>
      <c r="E14" s="372">
        <f>ROUND($F$52*$C14,2)</f>
        <v>2.85</v>
      </c>
      <c r="F14" s="372">
        <f t="shared" ref="F14:F23" si="0">SUM(D14:E14)</f>
        <v>12.6</v>
      </c>
      <c r="G14" s="373"/>
      <c r="H14" s="372">
        <f t="shared" ref="H14:H24" si="1">ROUND($H$29+(($H$30+$H$47)*$C14*$E$54)+(($H$31+$H$48)*$C14*$E$55)+SUM($H$32:$H$46,$H$49:$H$51)*$C14,2)</f>
        <v>10.02</v>
      </c>
      <c r="I14" s="372">
        <f t="shared" ref="I14:I24" si="2">ROUND($H$52*$C14,2)</f>
        <v>3.3</v>
      </c>
      <c r="J14" s="372">
        <f t="shared" ref="J14:J23" si="3">SUM(H14:I14)</f>
        <v>13.32</v>
      </c>
      <c r="K14" s="374"/>
      <c r="L14" s="375">
        <f t="shared" ref="L14:L24" si="4">+J14-F14</f>
        <v>0.72000000000000064</v>
      </c>
      <c r="M14" s="376">
        <f t="shared" ref="M14:M24" si="5">+L14/F14</f>
        <v>5.7142857142857197E-2</v>
      </c>
      <c r="O14" s="374"/>
      <c r="P14" s="374"/>
      <c r="Q14" s="374"/>
      <c r="R14" s="374"/>
      <c r="S14" s="374"/>
      <c r="T14" s="374"/>
      <c r="U14" s="374"/>
      <c r="V14" s="374"/>
      <c r="W14" s="374"/>
      <c r="X14" s="374"/>
      <c r="Y14" s="374"/>
      <c r="Z14" s="374"/>
      <c r="AA14" s="374"/>
      <c r="AB14" s="374"/>
    </row>
    <row r="15" spans="1:28" ht="14" x14ac:dyDescent="0.3">
      <c r="A15" s="151">
        <f>IF(C15&lt;&gt;"",COUNTA($C$12:C15),"")</f>
        <v>4</v>
      </c>
      <c r="B15" s="151"/>
      <c r="C15" s="409">
        <f>+'Bill_Cam G0'!C15</f>
        <v>50</v>
      </c>
      <c r="D15" s="372">
        <f t="shared" ref="D15:D24" si="6">ROUND($F$29+(($F$30+$F$47)*$C15*$E$54)+(($F$31+$F$48)*$C15*$E$55)+SUM($F$32:$F$46,$F$49:$F$51)*$C15,2)</f>
        <v>11.28</v>
      </c>
      <c r="E15" s="372">
        <f t="shared" ref="E15:E24" si="7">ROUND(F$52*C15,2)</f>
        <v>5.7</v>
      </c>
      <c r="F15" s="372">
        <f t="shared" si="0"/>
        <v>16.98</v>
      </c>
      <c r="G15" s="373"/>
      <c r="H15" s="372">
        <f t="shared" si="1"/>
        <v>11.54</v>
      </c>
      <c r="I15" s="372">
        <f t="shared" si="2"/>
        <v>6.59</v>
      </c>
      <c r="J15" s="372">
        <f t="shared" si="3"/>
        <v>18.13</v>
      </c>
      <c r="K15" s="374"/>
      <c r="L15" s="375">
        <f t="shared" si="4"/>
        <v>1.1499999999999986</v>
      </c>
      <c r="M15" s="376">
        <f t="shared" si="5"/>
        <v>6.7726737338044671E-2</v>
      </c>
      <c r="O15" s="374"/>
      <c r="P15" s="374"/>
      <c r="Q15" s="374"/>
      <c r="R15" s="374"/>
      <c r="S15" s="374"/>
      <c r="T15" s="374"/>
      <c r="U15" s="374"/>
      <c r="V15" s="374"/>
      <c r="W15" s="374"/>
      <c r="X15" s="374"/>
      <c r="Y15" s="374"/>
      <c r="Z15" s="374"/>
      <c r="AA15" s="374"/>
      <c r="AB15" s="374"/>
    </row>
    <row r="16" spans="1:28" ht="14" x14ac:dyDescent="0.3">
      <c r="A16" s="151">
        <f>IF(C16&lt;&gt;"",COUNTA($C$12:C16),"")</f>
        <v>5</v>
      </c>
      <c r="B16" s="151"/>
      <c r="C16" s="409">
        <f>+'Bill_Cam G0'!C16</f>
        <v>100</v>
      </c>
      <c r="D16" s="372">
        <f t="shared" si="6"/>
        <v>14.35</v>
      </c>
      <c r="E16" s="372">
        <f t="shared" si="7"/>
        <v>11.4</v>
      </c>
      <c r="F16" s="372">
        <f t="shared" si="0"/>
        <v>25.75</v>
      </c>
      <c r="G16" s="373"/>
      <c r="H16" s="372">
        <f t="shared" si="1"/>
        <v>14.59</v>
      </c>
      <c r="I16" s="372">
        <f t="shared" si="2"/>
        <v>13.19</v>
      </c>
      <c r="J16" s="372">
        <f t="shared" si="3"/>
        <v>27.78</v>
      </c>
      <c r="K16" s="374"/>
      <c r="L16" s="375">
        <f t="shared" si="4"/>
        <v>2.0300000000000011</v>
      </c>
      <c r="M16" s="376">
        <f t="shared" si="5"/>
        <v>7.8834951456310726E-2</v>
      </c>
      <c r="O16" s="374"/>
      <c r="P16" s="374"/>
      <c r="Q16" s="374"/>
      <c r="R16" s="374"/>
      <c r="S16" s="374"/>
      <c r="T16" s="374"/>
      <c r="U16" s="374"/>
      <c r="V16" s="374"/>
      <c r="W16" s="374"/>
      <c r="X16" s="374"/>
      <c r="Y16" s="374"/>
      <c r="Z16" s="374"/>
      <c r="AA16" s="374"/>
      <c r="AB16" s="374"/>
    </row>
    <row r="17" spans="1:28" ht="14" x14ac:dyDescent="0.3">
      <c r="A17" s="151">
        <f>IF(C17&lt;&gt;"",COUNTA($C$12:C17),"")</f>
        <v>6</v>
      </c>
      <c r="B17" s="151"/>
      <c r="C17" s="409">
        <f>+'Bill_Cam G0'!C17</f>
        <v>150</v>
      </c>
      <c r="D17" s="372">
        <f t="shared" si="6"/>
        <v>17.41</v>
      </c>
      <c r="E17" s="372">
        <f t="shared" si="7"/>
        <v>17.100000000000001</v>
      </c>
      <c r="F17" s="372">
        <f t="shared" si="0"/>
        <v>34.510000000000005</v>
      </c>
      <c r="G17" s="373"/>
      <c r="H17" s="372">
        <f t="shared" si="1"/>
        <v>17.63</v>
      </c>
      <c r="I17" s="372">
        <f t="shared" si="2"/>
        <v>19.78</v>
      </c>
      <c r="J17" s="372">
        <f t="shared" si="3"/>
        <v>37.409999999999997</v>
      </c>
      <c r="K17" s="374"/>
      <c r="L17" s="375">
        <f t="shared" si="4"/>
        <v>2.8999999999999915</v>
      </c>
      <c r="M17" s="376">
        <f t="shared" si="5"/>
        <v>8.4033613445377894E-2</v>
      </c>
      <c r="O17" s="374"/>
      <c r="P17" s="374"/>
      <c r="Q17" s="374"/>
      <c r="R17" s="374"/>
      <c r="S17" s="374"/>
      <c r="T17" s="374"/>
      <c r="U17" s="374"/>
      <c r="V17" s="374"/>
      <c r="W17" s="374"/>
      <c r="X17" s="374"/>
      <c r="Y17" s="374"/>
      <c r="Z17" s="374"/>
      <c r="AA17" s="374"/>
      <c r="AB17" s="374"/>
    </row>
    <row r="18" spans="1:28" ht="14" x14ac:dyDescent="0.3">
      <c r="A18" s="151">
        <f>IF(C18&lt;&gt;"",COUNTA($C$12:C18),"")</f>
        <v>7</v>
      </c>
      <c r="B18" s="151"/>
      <c r="C18" s="409">
        <f>+'Bill_Cam G0'!C18</f>
        <v>250</v>
      </c>
      <c r="D18" s="372">
        <f t="shared" si="6"/>
        <v>23.54</v>
      </c>
      <c r="E18" s="372">
        <f t="shared" si="7"/>
        <v>28.51</v>
      </c>
      <c r="F18" s="372">
        <f t="shared" si="0"/>
        <v>52.05</v>
      </c>
      <c r="G18" s="373"/>
      <c r="H18" s="372">
        <f t="shared" si="1"/>
        <v>23.72</v>
      </c>
      <c r="I18" s="372">
        <f t="shared" si="2"/>
        <v>32.96</v>
      </c>
      <c r="J18" s="372">
        <f t="shared" si="3"/>
        <v>56.68</v>
      </c>
      <c r="K18" s="374"/>
      <c r="L18" s="375">
        <f t="shared" si="4"/>
        <v>4.6300000000000026</v>
      </c>
      <c r="M18" s="376">
        <f t="shared" si="5"/>
        <v>8.8952929875120129E-2</v>
      </c>
      <c r="O18" s="374"/>
      <c r="P18" s="374"/>
      <c r="Q18" s="374"/>
      <c r="R18" s="374"/>
      <c r="S18" s="374"/>
      <c r="T18" s="374"/>
      <c r="U18" s="374"/>
      <c r="V18" s="374"/>
      <c r="W18" s="374"/>
      <c r="X18" s="374"/>
      <c r="Y18" s="374"/>
      <c r="Z18" s="374"/>
      <c r="AA18" s="374"/>
      <c r="AB18" s="374"/>
    </row>
    <row r="19" spans="1:28" ht="14" x14ac:dyDescent="0.3">
      <c r="A19" s="151">
        <f>IF(C19&lt;&gt;"",COUNTA($C$12:C19),"")</f>
        <v>8</v>
      </c>
      <c r="B19" s="151"/>
      <c r="C19" s="409">
        <f>+'Bill_Cam G0'!C19</f>
        <v>400</v>
      </c>
      <c r="D19" s="380">
        <f t="shared" si="6"/>
        <v>32.729999999999997</v>
      </c>
      <c r="E19" s="380">
        <f t="shared" si="7"/>
        <v>45.61</v>
      </c>
      <c r="F19" s="380">
        <f t="shared" si="0"/>
        <v>78.34</v>
      </c>
      <c r="G19" s="381"/>
      <c r="H19" s="372">
        <f t="shared" si="1"/>
        <v>32.85</v>
      </c>
      <c r="I19" s="380">
        <f t="shared" si="2"/>
        <v>52.74</v>
      </c>
      <c r="J19" s="380">
        <f t="shared" si="3"/>
        <v>85.59</v>
      </c>
      <c r="K19" s="374"/>
      <c r="L19" s="375">
        <f t="shared" si="4"/>
        <v>7.25</v>
      </c>
      <c r="M19" s="376">
        <f t="shared" si="5"/>
        <v>9.254531529231555E-2</v>
      </c>
      <c r="O19" s="374"/>
      <c r="P19" s="374"/>
      <c r="Q19" s="374"/>
      <c r="R19" s="374"/>
      <c r="S19" s="374"/>
      <c r="T19" s="374"/>
      <c r="U19" s="374"/>
      <c r="V19" s="374"/>
      <c r="W19" s="374"/>
      <c r="X19" s="374"/>
      <c r="Y19" s="374"/>
      <c r="Z19" s="374"/>
      <c r="AA19" s="374"/>
      <c r="AB19" s="374"/>
    </row>
    <row r="20" spans="1:28" ht="14" x14ac:dyDescent="0.3">
      <c r="A20" s="151">
        <f>IF(C20&lt;&gt;"",COUNTA($C$12:C20),"")</f>
        <v>9</v>
      </c>
      <c r="B20" s="151"/>
      <c r="C20" s="409">
        <f>+'Bill_Cam G0'!C20</f>
        <v>600</v>
      </c>
      <c r="D20" s="372">
        <f t="shared" si="6"/>
        <v>44.99</v>
      </c>
      <c r="E20" s="372">
        <f t="shared" si="7"/>
        <v>68.42</v>
      </c>
      <c r="F20" s="372">
        <f t="shared" si="0"/>
        <v>113.41</v>
      </c>
      <c r="G20" s="373"/>
      <c r="H20" s="372">
        <f t="shared" si="1"/>
        <v>45.03</v>
      </c>
      <c r="I20" s="372">
        <f t="shared" si="2"/>
        <v>79.11</v>
      </c>
      <c r="J20" s="372">
        <f t="shared" si="3"/>
        <v>124.14</v>
      </c>
      <c r="K20" s="374"/>
      <c r="L20" s="375">
        <f t="shared" si="4"/>
        <v>10.730000000000004</v>
      </c>
      <c r="M20" s="376">
        <f t="shared" si="5"/>
        <v>9.4612468036328404E-2</v>
      </c>
      <c r="O20" s="374"/>
      <c r="P20" s="374"/>
      <c r="Q20" s="374"/>
      <c r="R20" s="374"/>
      <c r="S20" s="374"/>
      <c r="T20" s="374"/>
      <c r="U20" s="374"/>
      <c r="V20" s="374"/>
      <c r="W20" s="374"/>
      <c r="X20" s="374"/>
      <c r="Y20" s="374"/>
      <c r="Z20" s="374"/>
      <c r="AA20" s="374"/>
      <c r="AB20" s="374"/>
    </row>
    <row r="21" spans="1:28" ht="14" x14ac:dyDescent="0.3">
      <c r="A21" s="151">
        <f>IF(C21&lt;&gt;"",COUNTA($C$12:C21),"")</f>
        <v>10</v>
      </c>
      <c r="B21" s="151"/>
      <c r="C21" s="409">
        <f>+'Bill_Cam G0'!C21</f>
        <v>900</v>
      </c>
      <c r="D21" s="372">
        <f t="shared" si="6"/>
        <v>63.37</v>
      </c>
      <c r="E21" s="372">
        <f t="shared" si="7"/>
        <v>102.63</v>
      </c>
      <c r="F21" s="372">
        <f t="shared" si="0"/>
        <v>166</v>
      </c>
      <c r="G21" s="373"/>
      <c r="H21" s="372">
        <f t="shared" si="1"/>
        <v>63.3</v>
      </c>
      <c r="I21" s="372">
        <f t="shared" si="2"/>
        <v>118.67</v>
      </c>
      <c r="J21" s="372">
        <f t="shared" si="3"/>
        <v>181.97</v>
      </c>
      <c r="K21" s="374"/>
      <c r="L21" s="375">
        <f t="shared" si="4"/>
        <v>15.969999999999999</v>
      </c>
      <c r="M21" s="376">
        <f t="shared" si="5"/>
        <v>9.620481927710843E-2</v>
      </c>
      <c r="O21" s="374"/>
      <c r="P21" s="374"/>
      <c r="Q21" s="374"/>
      <c r="R21" s="374"/>
      <c r="S21" s="374"/>
      <c r="T21" s="374"/>
      <c r="U21" s="374"/>
      <c r="V21" s="374"/>
      <c r="W21" s="374"/>
      <c r="X21" s="374"/>
      <c r="Y21" s="374"/>
      <c r="Z21" s="374"/>
      <c r="AA21" s="374"/>
      <c r="AB21" s="374"/>
    </row>
    <row r="22" spans="1:28" ht="14" x14ac:dyDescent="0.3">
      <c r="A22" s="151">
        <f>IF(C22&lt;&gt;"",COUNTA($C$12:C22),"")</f>
        <v>11</v>
      </c>
      <c r="B22" s="151"/>
      <c r="C22" s="409">
        <f>+'Bill_Cam G0'!C22</f>
        <v>1500</v>
      </c>
      <c r="D22" s="372">
        <f t="shared" si="6"/>
        <v>100.13</v>
      </c>
      <c r="E22" s="372">
        <f t="shared" si="7"/>
        <v>171.05</v>
      </c>
      <c r="F22" s="372">
        <f t="shared" si="0"/>
        <v>271.18</v>
      </c>
      <c r="G22" s="373"/>
      <c r="H22" s="372">
        <f t="shared" si="1"/>
        <v>99.83</v>
      </c>
      <c r="I22" s="372">
        <f t="shared" si="2"/>
        <v>197.78</v>
      </c>
      <c r="J22" s="372">
        <f t="shared" si="3"/>
        <v>297.61</v>
      </c>
      <c r="K22" s="374"/>
      <c r="L22" s="375">
        <f t="shared" si="4"/>
        <v>26.430000000000007</v>
      </c>
      <c r="M22" s="376">
        <f t="shared" si="5"/>
        <v>9.7462939744818969E-2</v>
      </c>
      <c r="O22" s="374"/>
      <c r="P22" s="374"/>
      <c r="Q22" s="374"/>
      <c r="R22" s="374"/>
      <c r="S22" s="374"/>
      <c r="T22" s="374"/>
      <c r="U22" s="374"/>
      <c r="V22" s="374"/>
      <c r="W22" s="374"/>
      <c r="X22" s="374"/>
      <c r="Y22" s="374"/>
      <c r="Z22" s="374"/>
      <c r="AA22" s="374"/>
      <c r="AB22" s="374"/>
    </row>
    <row r="23" spans="1:28" ht="14" x14ac:dyDescent="0.3">
      <c r="A23" s="151">
        <f>IF(C23&lt;&gt;"",COUNTA($C$12:C23),"")</f>
        <v>12</v>
      </c>
      <c r="B23" s="151"/>
      <c r="C23" s="409">
        <f>+'Bill_Cam G0'!C23</f>
        <v>2500</v>
      </c>
      <c r="D23" s="372">
        <f t="shared" si="6"/>
        <v>161.41</v>
      </c>
      <c r="E23" s="372">
        <f t="shared" si="7"/>
        <v>285.08</v>
      </c>
      <c r="F23" s="372">
        <f t="shared" si="0"/>
        <v>446.49</v>
      </c>
      <c r="G23" s="373"/>
      <c r="H23" s="372">
        <f t="shared" si="1"/>
        <v>160.72</v>
      </c>
      <c r="I23" s="372">
        <f t="shared" si="2"/>
        <v>329.63</v>
      </c>
      <c r="J23" s="372">
        <f t="shared" si="3"/>
        <v>490.35</v>
      </c>
      <c r="K23" s="374"/>
      <c r="L23" s="375">
        <f t="shared" si="4"/>
        <v>43.860000000000014</v>
      </c>
      <c r="M23" s="376">
        <f t="shared" si="5"/>
        <v>9.8232883155277867E-2</v>
      </c>
      <c r="O23" s="374"/>
      <c r="P23" s="374"/>
      <c r="Q23" s="374"/>
      <c r="R23" s="374"/>
      <c r="S23" s="374"/>
      <c r="T23" s="374"/>
      <c r="U23" s="374"/>
      <c r="V23" s="374"/>
      <c r="W23" s="374"/>
      <c r="X23" s="374"/>
      <c r="Y23" s="374"/>
      <c r="Z23" s="374"/>
      <c r="AA23" s="374"/>
      <c r="AB23" s="374"/>
    </row>
    <row r="24" spans="1:28" ht="14" x14ac:dyDescent="0.3">
      <c r="A24" s="151">
        <f>IF(C24&lt;&gt;"",COUNTA($C$12:C24),"")</f>
        <v>13</v>
      </c>
      <c r="B24" s="151" t="s">
        <v>554</v>
      </c>
      <c r="C24" s="409">
        <f>+'Bill_Cam G0'!C24</f>
        <v>593</v>
      </c>
      <c r="D24" s="372">
        <f t="shared" si="6"/>
        <v>44.56</v>
      </c>
      <c r="E24" s="372">
        <f t="shared" si="7"/>
        <v>67.62</v>
      </c>
      <c r="F24" s="372">
        <f t="shared" ref="F24" si="8">SUM(D24:E24)</f>
        <v>112.18</v>
      </c>
      <c r="G24" s="373"/>
      <c r="H24" s="372">
        <f t="shared" si="1"/>
        <v>44.61</v>
      </c>
      <c r="I24" s="372">
        <f t="shared" si="2"/>
        <v>78.19</v>
      </c>
      <c r="J24" s="372">
        <f t="shared" ref="J24" si="9">SUM(H24:I24)</f>
        <v>122.8</v>
      </c>
      <c r="K24" s="374"/>
      <c r="L24" s="375">
        <f t="shared" si="4"/>
        <v>10.61999999999999</v>
      </c>
      <c r="M24" s="376">
        <f t="shared" si="5"/>
        <v>9.4669281511855857E-2</v>
      </c>
      <c r="O24" s="374"/>
      <c r="P24" s="374"/>
      <c r="Q24" s="374"/>
      <c r="R24" s="374"/>
      <c r="S24" s="374"/>
      <c r="T24" s="374"/>
      <c r="U24" s="374"/>
      <c r="V24" s="374"/>
      <c r="W24" s="374"/>
      <c r="X24" s="374"/>
      <c r="Y24" s="374"/>
      <c r="Z24" s="374"/>
      <c r="AA24" s="374"/>
      <c r="AB24" s="374"/>
    </row>
    <row r="25" spans="1:28" ht="14" x14ac:dyDescent="0.3">
      <c r="A25" s="151" t="str">
        <f>IF(C25&lt;&gt;"",COUNTA($C$12:C25),"")</f>
        <v/>
      </c>
      <c r="B25" s="151"/>
      <c r="C25" s="488"/>
      <c r="D25" s="489"/>
      <c r="E25" s="489"/>
      <c r="F25" s="489"/>
      <c r="G25" s="494"/>
      <c r="H25" s="489"/>
      <c r="I25" s="489"/>
      <c r="J25" s="489"/>
      <c r="K25" s="495"/>
      <c r="L25" s="495"/>
      <c r="M25" s="495"/>
    </row>
    <row r="26" spans="1:28" ht="14" x14ac:dyDescent="0.3">
      <c r="A26" s="151" t="str">
        <f>IF(C26&lt;&gt;"",COUNTA($C$12:C26),"")</f>
        <v/>
      </c>
      <c r="B26" s="151"/>
      <c r="C26" s="371"/>
      <c r="D26" s="372"/>
      <c r="E26" s="372"/>
      <c r="F26" s="372"/>
      <c r="G26" s="373"/>
      <c r="H26" s="374"/>
      <c r="I26" s="374"/>
      <c r="J26" s="374"/>
      <c r="K26" s="374"/>
      <c r="L26" s="374"/>
      <c r="M26" s="374"/>
    </row>
    <row r="27" spans="1:28" ht="14" x14ac:dyDescent="0.3">
      <c r="A27" s="151">
        <f>IF(C27&lt;&gt;"",COUNTA($C$12:C27),"")</f>
        <v>14</v>
      </c>
      <c r="B27" s="151"/>
      <c r="C27" s="293" t="s">
        <v>46</v>
      </c>
      <c r="E27" s="374"/>
      <c r="F27" s="480" t="str">
        <f>+'Bill_Cam G4'!G40</f>
        <v>Current</v>
      </c>
      <c r="G27" s="480"/>
      <c r="H27" s="480" t="str">
        <f>+'Bill_Cam G4'!I40</f>
        <v>Proposed</v>
      </c>
      <c r="I27" s="481"/>
      <c r="J27" s="374"/>
      <c r="K27" s="374"/>
      <c r="L27" s="374"/>
      <c r="M27" s="374"/>
    </row>
    <row r="28" spans="1:28" ht="17" x14ac:dyDescent="0.6">
      <c r="A28" s="151">
        <f>IF(C28&lt;&gt;"",COUNTA($C$12:C28),"")</f>
        <v>15</v>
      </c>
      <c r="B28" s="151"/>
      <c r="C28" s="293" t="s">
        <v>46</v>
      </c>
      <c r="E28" s="374"/>
      <c r="F28" s="482" t="str">
        <f>+'Bill_Cam G4'!G41</f>
        <v>Rates</v>
      </c>
      <c r="G28" s="482"/>
      <c r="H28" s="482" t="str">
        <f>+'Bill_Cam G4'!I41</f>
        <v>Rates</v>
      </c>
      <c r="I28" s="482" t="str">
        <f>+'Bill_Cam G4'!J41</f>
        <v>Change</v>
      </c>
      <c r="J28" s="374"/>
      <c r="K28" s="374"/>
      <c r="L28" s="374"/>
      <c r="M28" s="374"/>
    </row>
    <row r="29" spans="1:28" ht="14" x14ac:dyDescent="0.3">
      <c r="A29" s="151">
        <f>IF(C29&lt;&gt;"",COUNTA($C$12:C29),"")</f>
        <v>16</v>
      </c>
      <c r="B29" s="151"/>
      <c r="C29" s="293" t="s">
        <v>296</v>
      </c>
      <c r="E29" s="374"/>
      <c r="F29" s="454">
        <v>8.2200000000000006</v>
      </c>
      <c r="G29" s="455" t="s">
        <v>46</v>
      </c>
      <c r="H29" s="511">
        <v>8.4994685535392271</v>
      </c>
      <c r="I29" s="351">
        <f>H29-F29</f>
        <v>0.27946855353922651</v>
      </c>
      <c r="J29" s="374"/>
      <c r="K29" s="374"/>
      <c r="L29" s="374"/>
      <c r="M29" s="374"/>
    </row>
    <row r="30" spans="1:28" ht="14" x14ac:dyDescent="0.3">
      <c r="A30" s="151">
        <f>IF(C30&lt;&gt;"",COUNTA($C$12:C30),"")</f>
        <v>17</v>
      </c>
      <c r="B30" s="151"/>
      <c r="C30" s="293" t="s">
        <v>449</v>
      </c>
      <c r="E30" s="374"/>
      <c r="F30" s="308">
        <v>6.3460000000000003E-2</v>
      </c>
      <c r="G30" s="400"/>
      <c r="H30" s="308">
        <v>6.3460000000000003E-2</v>
      </c>
      <c r="I30" s="354">
        <f t="shared" ref="I30:I52" si="10">H30-F30</f>
        <v>0</v>
      </c>
      <c r="J30" s="374"/>
      <c r="K30" s="374"/>
      <c r="L30" s="374"/>
      <c r="M30" s="374"/>
    </row>
    <row r="31" spans="1:28" ht="14" x14ac:dyDescent="0.3">
      <c r="A31" s="151">
        <f>IF(C31&lt;&gt;"",COUNTA($C$12:C31),"")</f>
        <v>18</v>
      </c>
      <c r="B31" s="151"/>
      <c r="C31" s="293" t="s">
        <v>450</v>
      </c>
      <c r="E31" s="374"/>
      <c r="F31" s="308">
        <v>2.3380000000000001E-2</v>
      </c>
      <c r="G31" s="400"/>
      <c r="H31" s="308">
        <v>2.3380000000000001E-2</v>
      </c>
      <c r="I31" s="354">
        <f t="shared" si="10"/>
        <v>0</v>
      </c>
      <c r="J31" s="374"/>
      <c r="K31" s="374"/>
      <c r="L31" s="374"/>
      <c r="M31" s="374"/>
    </row>
    <row r="32" spans="1:28" ht="14" x14ac:dyDescent="0.3">
      <c r="A32" s="151">
        <f>IF(C32&lt;&gt;"",COUNTA($C$12:C32),"")</f>
        <v>19</v>
      </c>
      <c r="B32" s="151"/>
      <c r="C32" s="293" t="str">
        <f>+'Bill_Cam G5'!C32</f>
        <v>Revenue Decoupling</v>
      </c>
      <c r="E32" s="374"/>
      <c r="F32" s="308">
        <v>0</v>
      </c>
      <c r="G32" s="400"/>
      <c r="H32" s="277">
        <v>-3.2000000000000003E-4</v>
      </c>
      <c r="I32" s="354">
        <f t="shared" si="10"/>
        <v>-3.2000000000000003E-4</v>
      </c>
      <c r="J32" s="374"/>
      <c r="K32" s="374"/>
      <c r="L32" s="374"/>
      <c r="M32" s="374"/>
    </row>
    <row r="33" spans="1:13" ht="14" x14ac:dyDescent="0.3">
      <c r="A33" s="151">
        <f>IF(C33&lt;&gt;"",COUNTA($C$12:C33),"")</f>
        <v>20</v>
      </c>
      <c r="B33" s="151"/>
      <c r="C33" s="293" t="str">
        <f>+'Bill_Cam G5'!C33</f>
        <v>Residential Assistance Adjustment Factor</v>
      </c>
      <c r="E33" s="374"/>
      <c r="F33" s="277">
        <v>2.0899999999999998E-3</v>
      </c>
      <c r="G33" s="400"/>
      <c r="H33" s="277">
        <v>2.7299999999999998E-3</v>
      </c>
      <c r="I33" s="354">
        <f t="shared" si="10"/>
        <v>6.3999999999999994E-4</v>
      </c>
      <c r="J33" s="374"/>
      <c r="K33" s="374"/>
      <c r="L33" s="374"/>
      <c r="M33" s="374"/>
    </row>
    <row r="34" spans="1:13" ht="14" x14ac:dyDescent="0.3">
      <c r="A34" s="151">
        <f>IF(C34&lt;&gt;"",COUNTA($C$12:C34),"")</f>
        <v>21</v>
      </c>
      <c r="B34" s="151"/>
      <c r="C34" s="293" t="str">
        <f>+'Bill_Cam G5'!C34</f>
        <v>Pension Adjustment Factor</v>
      </c>
      <c r="E34" s="374"/>
      <c r="F34" s="277">
        <v>-6.0000000000000002E-5</v>
      </c>
      <c r="G34" s="400"/>
      <c r="H34" s="277">
        <v>5.4000000000000001E-4</v>
      </c>
      <c r="I34" s="354">
        <f t="shared" si="10"/>
        <v>6.0000000000000006E-4</v>
      </c>
      <c r="J34" s="374"/>
      <c r="K34" s="374"/>
      <c r="L34" s="374"/>
      <c r="M34" s="374"/>
    </row>
    <row r="35" spans="1:13" ht="14" x14ac:dyDescent="0.3">
      <c r="A35" s="151">
        <f>IF(C35&lt;&gt;"",COUNTA($C$12:C35),"")</f>
        <v>22</v>
      </c>
      <c r="B35" s="151"/>
      <c r="C35" s="293" t="str">
        <f>+'Bill_Cam G5'!C35</f>
        <v>Net Metering Recovery Surcharge</v>
      </c>
      <c r="E35" s="374"/>
      <c r="F35" s="277">
        <v>4.1099999999999999E-3</v>
      </c>
      <c r="G35" s="400"/>
      <c r="H35" s="277">
        <v>3.5599999999999998E-3</v>
      </c>
      <c r="I35" s="354">
        <f t="shared" si="10"/>
        <v>-5.5000000000000014E-4</v>
      </c>
      <c r="J35" s="374"/>
      <c r="K35" s="374"/>
      <c r="L35" s="374"/>
      <c r="M35" s="374"/>
    </row>
    <row r="36" spans="1:13" ht="14" x14ac:dyDescent="0.3">
      <c r="A36" s="151">
        <f>IF(C36&lt;&gt;"",COUNTA($C$12:C36),"")</f>
        <v>23</v>
      </c>
      <c r="B36" s="151"/>
      <c r="C36" s="293" t="str">
        <f>+'Bill_Cam G5'!C36</f>
        <v>Long Term Renewable Contract Adjustment</v>
      </c>
      <c r="E36" s="374"/>
      <c r="F36" s="277">
        <v>2.3600000000000001E-3</v>
      </c>
      <c r="G36" s="400"/>
      <c r="H36" s="277">
        <v>1.74E-3</v>
      </c>
      <c r="I36" s="354">
        <f t="shared" si="10"/>
        <v>-6.2000000000000011E-4</v>
      </c>
      <c r="J36" s="374"/>
      <c r="K36" s="374"/>
      <c r="L36" s="374"/>
      <c r="M36" s="374"/>
    </row>
    <row r="37" spans="1:13" ht="14" x14ac:dyDescent="0.3">
      <c r="A37" s="151">
        <f>IF(C37&lt;&gt;"",COUNTA($C$12:C37),"")</f>
        <v>24</v>
      </c>
      <c r="B37" s="151"/>
      <c r="C37" s="293" t="str">
        <f>+'Bill_Cam G5'!C37</f>
        <v>AG Consulting Expense</v>
      </c>
      <c r="E37" s="374"/>
      <c r="F37" s="277">
        <v>2.0000000000000002E-5</v>
      </c>
      <c r="G37" s="400"/>
      <c r="H37" s="277">
        <v>1.0000000000000001E-5</v>
      </c>
      <c r="I37" s="354">
        <f t="shared" si="10"/>
        <v>-1.0000000000000001E-5</v>
      </c>
      <c r="J37" s="374"/>
      <c r="K37" s="374"/>
      <c r="L37" s="374"/>
      <c r="M37" s="374"/>
    </row>
    <row r="38" spans="1:13" ht="14" x14ac:dyDescent="0.3">
      <c r="A38" s="151">
        <f>IF(C38&lt;&gt;"",COUNTA($C$12:C38),"")</f>
        <v>25</v>
      </c>
      <c r="B38" s="151"/>
      <c r="C38" s="293" t="str">
        <f>+'Bill_Cam G5'!C38</f>
        <v>Storm Cost Recovery Adjustment Factor</v>
      </c>
      <c r="E38" s="374"/>
      <c r="F38" s="277">
        <v>1.2899999999999999E-3</v>
      </c>
      <c r="G38" s="400"/>
      <c r="H38" s="277">
        <v>2.0699999999999998E-3</v>
      </c>
      <c r="I38" s="354">
        <f t="shared" si="10"/>
        <v>7.7999999999999988E-4</v>
      </c>
      <c r="J38" s="374"/>
      <c r="K38" s="374"/>
      <c r="L38" s="374"/>
      <c r="M38" s="374"/>
    </row>
    <row r="39" spans="1:13" ht="14" x14ac:dyDescent="0.3">
      <c r="A39" s="151">
        <f>IF(C39&lt;&gt;"",COUNTA($C$12:C39),"")</f>
        <v>26</v>
      </c>
      <c r="B39" s="151"/>
      <c r="C39" s="293" t="str">
        <f>+'Bill_Cam G5'!C39</f>
        <v>Storm Reserve Adjustment</v>
      </c>
      <c r="E39" s="374"/>
      <c r="F39" s="277">
        <v>0</v>
      </c>
      <c r="G39" s="400"/>
      <c r="H39" s="277">
        <v>0</v>
      </c>
      <c r="I39" s="354">
        <f t="shared" si="10"/>
        <v>0</v>
      </c>
      <c r="J39" s="374"/>
      <c r="K39" s="374"/>
      <c r="L39" s="374"/>
      <c r="M39" s="374"/>
    </row>
    <row r="40" spans="1:13" ht="14" x14ac:dyDescent="0.3">
      <c r="A40" s="151">
        <f>IF(C40&lt;&gt;"",COUNTA($C$12:C40),"")</f>
        <v>27</v>
      </c>
      <c r="B40" s="151"/>
      <c r="C40" s="293" t="str">
        <f>+'Bill_Cam G5'!C40</f>
        <v>Basic Service Cost True Up Factor</v>
      </c>
      <c r="E40" s="374"/>
      <c r="F40" s="277">
        <v>1.1100000000000001E-3</v>
      </c>
      <c r="G40" s="400"/>
      <c r="H40" s="277">
        <v>-1.3999999999999999E-4</v>
      </c>
      <c r="I40" s="354">
        <f t="shared" si="10"/>
        <v>-1.25E-3</v>
      </c>
      <c r="J40" s="374"/>
      <c r="K40" s="374"/>
      <c r="L40" s="374"/>
      <c r="M40" s="374"/>
    </row>
    <row r="41" spans="1:13" ht="14" x14ac:dyDescent="0.3">
      <c r="A41" s="151">
        <f>IF(C41&lt;&gt;"",COUNTA($C$12:C41),"")</f>
        <v>28</v>
      </c>
      <c r="B41" s="151"/>
      <c r="C41" s="293" t="str">
        <f>+'Bill_Cam G5'!C41</f>
        <v>Solar Program Cost Adjustment Factor</v>
      </c>
      <c r="E41" s="374"/>
      <c r="F41" s="277">
        <v>0</v>
      </c>
      <c r="G41" s="400"/>
      <c r="H41" s="277">
        <v>2.0000000000000002E-5</v>
      </c>
      <c r="I41" s="354">
        <f t="shared" si="10"/>
        <v>2.0000000000000002E-5</v>
      </c>
      <c r="J41" s="374"/>
      <c r="K41" s="374"/>
      <c r="L41" s="374"/>
      <c r="M41" s="374"/>
    </row>
    <row r="42" spans="1:13" ht="14" x14ac:dyDescent="0.3">
      <c r="A42" s="151">
        <f>IF(C42&lt;&gt;"",COUNTA($C$12:C42),"")</f>
        <v>29</v>
      </c>
      <c r="B42" s="151"/>
      <c r="C42" s="293" t="str">
        <f>+'Bill_Cam G5'!C42</f>
        <v>Solar Expansion Cost Recovery Factor</v>
      </c>
      <c r="E42" s="374"/>
      <c r="F42" s="277">
        <v>0</v>
      </c>
      <c r="G42" s="400"/>
      <c r="H42" s="277">
        <v>4.2999999999999999E-4</v>
      </c>
      <c r="I42" s="354">
        <f t="shared" si="10"/>
        <v>4.2999999999999999E-4</v>
      </c>
      <c r="J42" s="374"/>
      <c r="K42" s="374"/>
      <c r="L42" s="374"/>
      <c r="M42" s="374"/>
    </row>
    <row r="43" spans="1:13" ht="14" x14ac:dyDescent="0.3">
      <c r="A43" s="151">
        <f>IF(C43&lt;&gt;"",COUNTA($C$12:C43),"")</f>
        <v>30</v>
      </c>
      <c r="B43" s="151"/>
      <c r="C43" s="293" t="str">
        <f>+'Bill_Cam G5'!C43</f>
        <v>Vegetation Management</v>
      </c>
      <c r="E43" s="374"/>
      <c r="F43" s="277">
        <v>0</v>
      </c>
      <c r="G43" s="400"/>
      <c r="H43" s="277">
        <v>9.7000000000000005E-4</v>
      </c>
      <c r="I43" s="354">
        <f t="shared" si="10"/>
        <v>9.7000000000000005E-4</v>
      </c>
      <c r="J43" s="374"/>
      <c r="K43" s="374"/>
      <c r="L43" s="374"/>
      <c r="M43" s="374"/>
    </row>
    <row r="44" spans="1:13" ht="14" x14ac:dyDescent="0.3">
      <c r="A44" s="151">
        <f>IF(C44&lt;&gt;"",COUNTA($C$12:C44),"")</f>
        <v>31</v>
      </c>
      <c r="B44" s="151"/>
      <c r="C44" s="293" t="str">
        <f>+'Bill_Cam G5'!C44</f>
        <v>Solar Massachusetts Renewable Target</v>
      </c>
      <c r="D44" s="339"/>
      <c r="E44" s="339"/>
      <c r="F44" s="277">
        <v>0</v>
      </c>
      <c r="G44" s="277"/>
      <c r="H44" s="277">
        <v>5.0000000000000001E-4</v>
      </c>
      <c r="I44" s="354">
        <f t="shared" si="10"/>
        <v>5.0000000000000001E-4</v>
      </c>
      <c r="J44" s="339"/>
      <c r="K44" s="339"/>
      <c r="L44" s="339"/>
    </row>
    <row r="45" spans="1:13" ht="14" x14ac:dyDescent="0.3">
      <c r="A45" s="151">
        <f>IF(C45&lt;&gt;"",COUNTA($C$12:C45),"")</f>
        <v>32</v>
      </c>
      <c r="B45" s="151"/>
      <c r="C45" s="293" t="str">
        <f>+'Bill_Cam G5'!C45</f>
        <v>Tax Act Credit Factor</v>
      </c>
      <c r="D45" s="339"/>
      <c r="E45" s="339"/>
      <c r="F45" s="277">
        <v>0</v>
      </c>
      <c r="G45" s="277"/>
      <c r="H45" s="277">
        <v>-7.5000000000000002E-4</v>
      </c>
      <c r="I45" s="354">
        <f t="shared" si="10"/>
        <v>-7.5000000000000002E-4</v>
      </c>
      <c r="J45" s="339"/>
      <c r="K45" s="339"/>
      <c r="L45" s="339"/>
    </row>
    <row r="46" spans="1:13" ht="14" x14ac:dyDescent="0.3">
      <c r="A46" s="151">
        <f>IF(C46&lt;&gt;"",COUNTA($C$12:C46),"")</f>
        <v>33</v>
      </c>
      <c r="B46" s="151"/>
      <c r="C46" s="293" t="str">
        <f>+'Bill_Cam G5'!C46</f>
        <v>Transition</v>
      </c>
      <c r="E46" s="374"/>
      <c r="F46" s="308">
        <v>-6.0999999999999997E-4</v>
      </c>
      <c r="G46" s="400"/>
      <c r="H46" s="277">
        <v>-5.1999999999999995E-4</v>
      </c>
      <c r="I46" s="354">
        <f t="shared" si="10"/>
        <v>9.0000000000000019E-5</v>
      </c>
      <c r="J46" s="374"/>
      <c r="K46" s="374"/>
      <c r="L46" s="374"/>
      <c r="M46" s="374"/>
    </row>
    <row r="47" spans="1:13" ht="14" x14ac:dyDescent="0.3">
      <c r="A47" s="151">
        <f>IF(C47&lt;&gt;"",COUNTA($C$12:C47),"")</f>
        <v>34</v>
      </c>
      <c r="B47" s="151"/>
      <c r="C47" s="293" t="s">
        <v>451</v>
      </c>
      <c r="E47" s="374"/>
      <c r="F47" s="308">
        <v>2.7109999999999999E-2</v>
      </c>
      <c r="G47" s="400"/>
      <c r="H47" s="308">
        <v>2.3279999999999999E-2</v>
      </c>
      <c r="I47" s="354">
        <f t="shared" si="10"/>
        <v>-3.8300000000000001E-3</v>
      </c>
      <c r="J47" s="374"/>
      <c r="K47" s="374"/>
      <c r="L47" s="374"/>
      <c r="M47" s="374"/>
    </row>
    <row r="48" spans="1:13" ht="14" x14ac:dyDescent="0.3">
      <c r="A48" s="151">
        <f>IF(C48&lt;&gt;"",COUNTA($C$12:C48),"")</f>
        <v>35</v>
      </c>
      <c r="B48" s="151"/>
      <c r="C48" s="293" t="s">
        <v>452</v>
      </c>
      <c r="E48" s="374"/>
      <c r="F48" s="308">
        <v>0</v>
      </c>
      <c r="G48" s="400"/>
      <c r="H48" s="308">
        <v>0</v>
      </c>
      <c r="I48" s="354">
        <f t="shared" si="10"/>
        <v>0</v>
      </c>
      <c r="J48" s="374"/>
      <c r="K48" s="374"/>
      <c r="L48" s="374"/>
      <c r="M48" s="374"/>
    </row>
    <row r="49" spans="1:13" ht="14" x14ac:dyDescent="0.3">
      <c r="A49" s="151">
        <f>IF(C49&lt;&gt;"",COUNTA($C$12:C49),"")</f>
        <v>36</v>
      </c>
      <c r="B49" s="151"/>
      <c r="C49" s="293" t="str">
        <f>+'Bill_Cam G5'!C49</f>
        <v>Energy Efficiency Reconciliation Factor</v>
      </c>
      <c r="E49" s="374"/>
      <c r="F49" s="308">
        <v>8.4600000000000005E-3</v>
      </c>
      <c r="G49" s="400"/>
      <c r="H49" s="308">
        <v>8.4600000000000005E-3</v>
      </c>
      <c r="I49" s="354">
        <f t="shared" si="10"/>
        <v>0</v>
      </c>
      <c r="J49" s="374"/>
      <c r="K49" s="374"/>
      <c r="L49" s="374"/>
      <c r="M49" s="374"/>
    </row>
    <row r="50" spans="1:13" ht="14" x14ac:dyDescent="0.3">
      <c r="A50" s="151">
        <f>IF(C50&lt;&gt;"",COUNTA($C$12:C50),"")</f>
        <v>37</v>
      </c>
      <c r="B50" s="151"/>
      <c r="C50" s="293" t="str">
        <f>+'Bill_Cam G5'!C50</f>
        <v>System Benefits Charge</v>
      </c>
      <c r="E50" s="374"/>
      <c r="F50" s="308">
        <v>2.5000000000000001E-3</v>
      </c>
      <c r="G50" s="400"/>
      <c r="H50" s="308">
        <f>F50</f>
        <v>2.5000000000000001E-3</v>
      </c>
      <c r="I50" s="354">
        <f t="shared" si="10"/>
        <v>0</v>
      </c>
      <c r="J50" s="374"/>
      <c r="K50" s="374"/>
      <c r="L50" s="374"/>
      <c r="M50" s="374"/>
    </row>
    <row r="51" spans="1:13" ht="14" x14ac:dyDescent="0.3">
      <c r="A51" s="151">
        <f>IF(C51&lt;&gt;"",COUNTA($C$12:C51),"")</f>
        <v>38</v>
      </c>
      <c r="B51" s="151"/>
      <c r="C51" s="293" t="str">
        <f>+'Bill_Cam G5'!C51</f>
        <v>Renewable Energy Charge</v>
      </c>
      <c r="E51" s="374"/>
      <c r="F51" s="308">
        <v>5.0000000000000001E-4</v>
      </c>
      <c r="G51" s="400"/>
      <c r="H51" s="308">
        <f>F51</f>
        <v>5.0000000000000001E-4</v>
      </c>
      <c r="I51" s="354">
        <f t="shared" si="10"/>
        <v>0</v>
      </c>
      <c r="J51" s="374"/>
      <c r="K51" s="374"/>
      <c r="L51" s="374"/>
      <c r="M51" s="374"/>
    </row>
    <row r="52" spans="1:13" ht="14" x14ac:dyDescent="0.3">
      <c r="A52" s="151">
        <f>IF(C52&lt;&gt;"",COUNTA($C$12:C52),"")</f>
        <v>39</v>
      </c>
      <c r="B52" s="151"/>
      <c r="C52" s="293" t="str">
        <f>+'Bill_Cam G5'!C52</f>
        <v>Basic Service Charge</v>
      </c>
      <c r="E52" s="374"/>
      <c r="F52" s="308">
        <v>0.11403000000000001</v>
      </c>
      <c r="G52" s="400"/>
      <c r="H52" s="308">
        <v>0.13185000000000002</v>
      </c>
      <c r="I52" s="354">
        <f t="shared" si="10"/>
        <v>1.7820000000000016E-2</v>
      </c>
      <c r="J52" s="512"/>
      <c r="K52" s="374"/>
      <c r="L52" s="374"/>
      <c r="M52" s="374"/>
    </row>
    <row r="53" spans="1:13" ht="14" x14ac:dyDescent="0.3">
      <c r="A53" s="151" t="str">
        <f>IF(C53&lt;&gt;"",COUNTA($C$12:C53),"")</f>
        <v/>
      </c>
      <c r="B53" s="151"/>
      <c r="E53" s="448"/>
      <c r="F53" s="448"/>
      <c r="G53" s="374"/>
      <c r="H53" s="502"/>
      <c r="I53" s="354"/>
      <c r="J53" s="502"/>
      <c r="K53" s="374"/>
      <c r="L53" s="374"/>
      <c r="M53" s="374"/>
    </row>
    <row r="54" spans="1:13" ht="14" x14ac:dyDescent="0.3">
      <c r="A54" s="151">
        <f>IF(C54&lt;&gt;"",COUNTA($C$12:C54),"")</f>
        <v>40</v>
      </c>
      <c r="B54" s="151"/>
      <c r="C54" s="475" t="s">
        <v>585</v>
      </c>
      <c r="E54" s="513">
        <v>0.24</v>
      </c>
      <c r="F54" s="514"/>
      <c r="G54" s="374"/>
      <c r="H54" s="515"/>
      <c r="I54" s="354"/>
      <c r="J54" s="516"/>
      <c r="K54" s="374"/>
      <c r="L54" s="374"/>
      <c r="M54" s="374"/>
    </row>
    <row r="55" spans="1:13" ht="14" x14ac:dyDescent="0.3">
      <c r="A55" s="151">
        <f>IF(C55&lt;&gt;"",COUNTA($C$12:C55),"")</f>
        <v>41</v>
      </c>
      <c r="B55" s="151"/>
      <c r="C55" s="475" t="s">
        <v>586</v>
      </c>
      <c r="E55" s="513">
        <v>0.76</v>
      </c>
      <c r="F55" s="514"/>
      <c r="G55" s="374"/>
      <c r="H55" s="515"/>
      <c r="I55" s="354"/>
      <c r="J55" s="516"/>
      <c r="K55" s="374"/>
      <c r="L55" s="374"/>
      <c r="M55" s="374"/>
    </row>
    <row r="56" spans="1:13" ht="14" x14ac:dyDescent="0.3">
      <c r="A56" s="151"/>
      <c r="B56" s="151"/>
      <c r="E56" s="374"/>
      <c r="F56" s="374"/>
      <c r="G56" s="374"/>
      <c r="H56" s="502"/>
      <c r="I56" s="354"/>
      <c r="J56" s="517"/>
      <c r="K56" s="374"/>
      <c r="L56" s="374"/>
      <c r="M56" s="374"/>
    </row>
    <row r="57" spans="1:13" ht="14" x14ac:dyDescent="0.3">
      <c r="A57" s="151"/>
      <c r="B57" s="151"/>
      <c r="E57" s="374"/>
      <c r="F57" s="374"/>
      <c r="G57" s="374"/>
      <c r="H57" s="502"/>
      <c r="I57" s="354"/>
      <c r="J57" s="502"/>
      <c r="K57" s="374"/>
      <c r="L57" s="374"/>
      <c r="M57" s="374"/>
    </row>
    <row r="58" spans="1:13" ht="14" x14ac:dyDescent="0.3">
      <c r="A58" s="151"/>
      <c r="B58" s="151"/>
      <c r="C58" s="369" t="s">
        <v>587</v>
      </c>
      <c r="E58" s="374"/>
      <c r="F58" s="403">
        <f>SUM(F30,F$32:F$46,F47,F$49:F$51)</f>
        <v>0.11234</v>
      </c>
      <c r="G58" s="403"/>
      <c r="H58" s="403">
        <f>SUM(H30,H$32:H$46,H47,H$49:H$51)</f>
        <v>0.10903999999999998</v>
      </c>
      <c r="I58" s="354">
        <f t="shared" ref="I58:I60" si="11">H58-F58</f>
        <v>-3.3000000000000113E-3</v>
      </c>
      <c r="J58" s="374"/>
      <c r="K58" s="374"/>
      <c r="L58" s="374"/>
      <c r="M58" s="374"/>
    </row>
    <row r="59" spans="1:13" ht="14" x14ac:dyDescent="0.3">
      <c r="A59" s="151"/>
      <c r="B59" s="151"/>
      <c r="C59" s="369" t="s">
        <v>605</v>
      </c>
      <c r="E59" s="374"/>
      <c r="F59" s="403">
        <f>SUM(F31,F$32:F$46,F48,F$49:F$51)</f>
        <v>4.5150000000000003E-2</v>
      </c>
      <c r="G59" s="403"/>
      <c r="H59" s="403">
        <f>SUM(H31,H$32:H$46,H48,H$49:H$51)</f>
        <v>4.5680000000000005E-2</v>
      </c>
      <c r="I59" s="354">
        <f t="shared" si="11"/>
        <v>5.3000000000000269E-4</v>
      </c>
      <c r="J59" s="374"/>
      <c r="K59" s="374"/>
      <c r="L59" s="374"/>
      <c r="M59" s="374"/>
    </row>
    <row r="60" spans="1:13" ht="14" x14ac:dyDescent="0.3">
      <c r="A60" s="151"/>
      <c r="B60" s="151"/>
      <c r="C60" s="369" t="str">
        <f>'Bill_Cam G5'!C57</f>
        <v>Total Basic Service</v>
      </c>
      <c r="E60" s="374"/>
      <c r="F60" s="403">
        <f>F52</f>
        <v>0.11403000000000001</v>
      </c>
      <c r="G60" s="403"/>
      <c r="H60" s="403">
        <f>H52</f>
        <v>0.13185000000000002</v>
      </c>
      <c r="I60" s="354">
        <f t="shared" si="11"/>
        <v>1.7820000000000016E-2</v>
      </c>
      <c r="J60" s="374"/>
      <c r="K60" s="374"/>
      <c r="L60" s="374"/>
      <c r="M60" s="374"/>
    </row>
    <row r="61" spans="1:13" ht="14" x14ac:dyDescent="0.3">
      <c r="A61" s="151"/>
      <c r="B61" s="151"/>
      <c r="E61" s="374"/>
      <c r="F61" s="374"/>
      <c r="G61" s="374"/>
      <c r="H61" s="374"/>
      <c r="I61" s="354"/>
      <c r="J61" s="374"/>
      <c r="K61" s="374"/>
      <c r="L61" s="374"/>
      <c r="M61" s="374"/>
    </row>
    <row r="62" spans="1:13" ht="14" x14ac:dyDescent="0.3">
      <c r="A62" s="151"/>
      <c r="B62" s="151"/>
      <c r="E62" s="374"/>
      <c r="F62" s="374"/>
      <c r="G62" s="374"/>
      <c r="H62" s="374"/>
      <c r="I62" s="374"/>
      <c r="J62" s="374"/>
      <c r="K62" s="374"/>
      <c r="L62" s="374"/>
      <c r="M62" s="374"/>
    </row>
    <row r="63" spans="1:13" ht="14" x14ac:dyDescent="0.3">
      <c r="A63" s="151"/>
      <c r="B63" s="151"/>
      <c r="E63" s="374"/>
      <c r="F63" s="374"/>
      <c r="G63" s="374"/>
      <c r="H63" s="374"/>
      <c r="I63" s="374"/>
      <c r="J63" s="374"/>
      <c r="K63" s="374"/>
      <c r="L63" s="374"/>
      <c r="M63" s="374"/>
    </row>
    <row r="64" spans="1:13" ht="14" x14ac:dyDescent="0.3">
      <c r="A64" s="151"/>
      <c r="B64" s="151"/>
      <c r="E64" s="374"/>
      <c r="F64" s="374"/>
      <c r="G64" s="374"/>
      <c r="H64" s="374"/>
      <c r="I64" s="374"/>
      <c r="J64" s="374"/>
      <c r="K64" s="374"/>
      <c r="L64" s="374"/>
      <c r="M64" s="374"/>
    </row>
    <row r="65" spans="1:13" ht="14" x14ac:dyDescent="0.3">
      <c r="A65" s="151"/>
      <c r="B65" s="151"/>
      <c r="E65" s="374"/>
      <c r="F65" s="374"/>
      <c r="G65" s="374"/>
      <c r="H65" s="374"/>
      <c r="I65" s="374"/>
      <c r="J65" s="374"/>
      <c r="K65" s="374"/>
      <c r="L65" s="374"/>
      <c r="M65" s="374"/>
    </row>
    <row r="66" spans="1:13" ht="14" x14ac:dyDescent="0.3">
      <c r="A66" s="151"/>
      <c r="B66" s="151"/>
      <c r="E66" s="374"/>
      <c r="F66" s="374"/>
      <c r="G66" s="374"/>
      <c r="H66" s="374"/>
      <c r="I66" s="374"/>
      <c r="J66" s="374"/>
      <c r="K66" s="374"/>
      <c r="L66" s="374"/>
      <c r="M66" s="374"/>
    </row>
    <row r="67" spans="1:13" ht="14" x14ac:dyDescent="0.3">
      <c r="A67" s="151"/>
      <c r="B67" s="151"/>
      <c r="E67" s="374"/>
      <c r="F67" s="374"/>
      <c r="G67" s="374"/>
      <c r="H67" s="374"/>
      <c r="I67" s="374"/>
      <c r="J67" s="374"/>
      <c r="K67" s="374"/>
      <c r="L67" s="374"/>
      <c r="M67" s="374"/>
    </row>
    <row r="68" spans="1:13" ht="14" x14ac:dyDescent="0.3">
      <c r="A68" s="151"/>
      <c r="B68" s="151"/>
      <c r="E68" s="374"/>
      <c r="F68" s="374"/>
      <c r="G68" s="374"/>
      <c r="H68" s="374"/>
      <c r="I68" s="374"/>
      <c r="J68" s="374"/>
      <c r="K68" s="374"/>
      <c r="L68" s="374"/>
      <c r="M68" s="374"/>
    </row>
    <row r="69" spans="1:13" ht="14" x14ac:dyDescent="0.3">
      <c r="A69" s="151"/>
      <c r="B69" s="151"/>
      <c r="E69" s="374"/>
      <c r="F69" s="374"/>
      <c r="G69" s="374"/>
      <c r="H69" s="374"/>
      <c r="I69" s="374"/>
      <c r="J69" s="374"/>
      <c r="K69" s="374"/>
      <c r="L69" s="374"/>
      <c r="M69" s="374"/>
    </row>
    <row r="70" spans="1:13" ht="14" x14ac:dyDescent="0.3">
      <c r="A70" s="151"/>
      <c r="B70" s="151"/>
      <c r="E70" s="374"/>
      <c r="F70" s="374"/>
      <c r="G70" s="374"/>
      <c r="H70" s="374"/>
      <c r="I70" s="374"/>
      <c r="J70" s="374"/>
      <c r="K70" s="374"/>
      <c r="L70" s="374"/>
      <c r="M70" s="374"/>
    </row>
    <row r="71" spans="1:13" ht="14" x14ac:dyDescent="0.3">
      <c r="A71" s="151"/>
      <c r="B71" s="151"/>
      <c r="E71" s="374"/>
      <c r="F71" s="374"/>
      <c r="G71" s="374"/>
      <c r="H71" s="374"/>
      <c r="I71" s="374"/>
      <c r="J71" s="374"/>
      <c r="K71" s="374"/>
      <c r="L71" s="374"/>
      <c r="M71" s="374"/>
    </row>
    <row r="72" spans="1:13" ht="14" x14ac:dyDescent="0.3">
      <c r="A72" s="151"/>
      <c r="B72" s="151"/>
      <c r="E72" s="374"/>
      <c r="F72" s="374"/>
      <c r="G72" s="374"/>
      <c r="H72" s="374"/>
      <c r="I72" s="374"/>
      <c r="J72" s="374"/>
      <c r="K72" s="374"/>
      <c r="L72" s="374"/>
      <c r="M72" s="374"/>
    </row>
    <row r="73" spans="1:13" ht="14" x14ac:dyDescent="0.3">
      <c r="A73" s="151"/>
      <c r="B73" s="151"/>
      <c r="E73" s="374"/>
      <c r="F73" s="374"/>
      <c r="G73" s="374"/>
      <c r="H73" s="374"/>
      <c r="I73" s="374"/>
      <c r="J73" s="374"/>
      <c r="K73" s="374"/>
      <c r="L73" s="374"/>
      <c r="M73" s="374"/>
    </row>
    <row r="74" spans="1:13" ht="14" x14ac:dyDescent="0.3">
      <c r="A74" s="151"/>
      <c r="B74" s="151"/>
      <c r="E74" s="374"/>
      <c r="F74" s="374"/>
      <c r="G74" s="374"/>
      <c r="H74" s="374"/>
      <c r="I74" s="374"/>
      <c r="J74" s="374"/>
      <c r="K74" s="374"/>
      <c r="L74" s="374"/>
      <c r="M74" s="374"/>
    </row>
    <row r="75" spans="1:13" ht="14" x14ac:dyDescent="0.3">
      <c r="A75" s="151"/>
      <c r="B75" s="151"/>
      <c r="E75" s="374"/>
      <c r="F75" s="374"/>
      <c r="G75" s="374"/>
      <c r="H75" s="374"/>
      <c r="I75" s="374"/>
      <c r="J75" s="374"/>
      <c r="K75" s="374"/>
      <c r="L75" s="374"/>
      <c r="M75" s="374"/>
    </row>
    <row r="76" spans="1:13" ht="14" x14ac:dyDescent="0.3">
      <c r="A76" s="151"/>
      <c r="B76" s="151"/>
      <c r="E76" s="374"/>
      <c r="F76" s="374"/>
      <c r="G76" s="374"/>
      <c r="H76" s="374"/>
      <c r="I76" s="374"/>
      <c r="J76" s="374"/>
      <c r="K76" s="374"/>
      <c r="L76" s="374"/>
      <c r="M76" s="374"/>
    </row>
    <row r="77" spans="1:13" ht="14" x14ac:dyDescent="0.3">
      <c r="A77" s="151"/>
      <c r="B77" s="151"/>
      <c r="E77" s="374"/>
      <c r="F77" s="374"/>
      <c r="G77" s="374"/>
      <c r="H77" s="374"/>
      <c r="I77" s="374"/>
      <c r="J77" s="374"/>
      <c r="K77" s="374"/>
      <c r="L77" s="374"/>
      <c r="M77" s="374"/>
    </row>
    <row r="78" spans="1:13" ht="14" x14ac:dyDescent="0.3">
      <c r="A78" s="151"/>
      <c r="B78" s="151"/>
      <c r="E78" s="374"/>
      <c r="F78" s="374"/>
      <c r="G78" s="374"/>
      <c r="H78" s="374"/>
      <c r="I78" s="374"/>
      <c r="J78" s="374"/>
      <c r="K78" s="374"/>
      <c r="L78" s="374"/>
      <c r="M78" s="374"/>
    </row>
    <row r="79" spans="1:13" ht="14" x14ac:dyDescent="0.3">
      <c r="A79" s="151"/>
      <c r="B79" s="151"/>
      <c r="E79" s="374"/>
      <c r="F79" s="374"/>
      <c r="G79" s="374"/>
      <c r="H79" s="374"/>
      <c r="I79" s="374"/>
      <c r="J79" s="374"/>
      <c r="K79" s="374"/>
      <c r="L79" s="374"/>
      <c r="M79" s="374"/>
    </row>
    <row r="80" spans="1:13" ht="14" x14ac:dyDescent="0.3">
      <c r="A80" s="151"/>
      <c r="B80" s="151"/>
      <c r="E80" s="374"/>
      <c r="F80" s="374"/>
      <c r="G80" s="374"/>
      <c r="H80" s="374"/>
      <c r="I80" s="374"/>
      <c r="J80" s="374"/>
      <c r="K80" s="374"/>
      <c r="L80" s="374"/>
      <c r="M80" s="374"/>
    </row>
    <row r="81" spans="1:13" ht="14" x14ac:dyDescent="0.3">
      <c r="A81" s="151"/>
      <c r="B81" s="151"/>
      <c r="E81" s="374"/>
      <c r="F81" s="374"/>
      <c r="G81" s="374"/>
      <c r="H81" s="374"/>
      <c r="I81" s="374"/>
      <c r="J81" s="374"/>
      <c r="K81" s="374"/>
      <c r="L81" s="374"/>
      <c r="M81" s="374"/>
    </row>
    <row r="82" spans="1:13" ht="14" x14ac:dyDescent="0.3">
      <c r="A82" s="151"/>
      <c r="B82" s="151"/>
      <c r="E82" s="374"/>
      <c r="F82" s="374"/>
      <c r="G82" s="374"/>
      <c r="H82" s="374"/>
      <c r="I82" s="374"/>
      <c r="J82" s="374"/>
      <c r="K82" s="374"/>
      <c r="L82" s="374"/>
      <c r="M82" s="374"/>
    </row>
    <row r="83" spans="1:13" ht="14" x14ac:dyDescent="0.3">
      <c r="A83" s="151"/>
      <c r="B83" s="151"/>
      <c r="E83" s="374"/>
      <c r="F83" s="374"/>
      <c r="G83" s="374"/>
      <c r="H83" s="374"/>
      <c r="I83" s="374"/>
      <c r="J83" s="374"/>
      <c r="K83" s="374"/>
      <c r="L83" s="374"/>
      <c r="M83" s="374"/>
    </row>
    <row r="84" spans="1:13" ht="14" x14ac:dyDescent="0.3">
      <c r="A84" s="151"/>
      <c r="B84" s="151"/>
      <c r="E84" s="374"/>
      <c r="F84" s="374"/>
      <c r="G84" s="374"/>
      <c r="H84" s="374"/>
      <c r="I84" s="374"/>
      <c r="J84" s="374"/>
      <c r="K84" s="374"/>
      <c r="L84" s="374"/>
      <c r="M84" s="374"/>
    </row>
    <row r="85" spans="1:13" ht="14" x14ac:dyDescent="0.3">
      <c r="A85" s="151"/>
      <c r="B85" s="151"/>
      <c r="E85" s="374"/>
      <c r="F85" s="374"/>
      <c r="G85" s="374"/>
      <c r="H85" s="374"/>
      <c r="I85" s="374"/>
      <c r="J85" s="374"/>
      <c r="K85" s="374"/>
      <c r="L85" s="374"/>
      <c r="M85" s="374"/>
    </row>
    <row r="86" spans="1:13" ht="14" x14ac:dyDescent="0.3">
      <c r="A86" s="151"/>
      <c r="B86" s="151"/>
      <c r="E86" s="374"/>
      <c r="F86" s="374"/>
      <c r="G86" s="374"/>
      <c r="H86" s="374"/>
      <c r="I86" s="374"/>
      <c r="J86" s="374"/>
      <c r="K86" s="374"/>
      <c r="L86" s="374"/>
      <c r="M86" s="374"/>
    </row>
    <row r="87" spans="1:13" ht="14" x14ac:dyDescent="0.3">
      <c r="E87" s="374"/>
      <c r="F87" s="374"/>
      <c r="G87" s="374"/>
      <c r="H87" s="374"/>
      <c r="I87" s="374"/>
      <c r="J87" s="374"/>
      <c r="K87" s="374"/>
      <c r="L87" s="374"/>
      <c r="M87" s="374"/>
    </row>
    <row r="88" spans="1:13" ht="14" x14ac:dyDescent="0.3">
      <c r="E88" s="374"/>
      <c r="F88" s="374"/>
      <c r="G88" s="374"/>
      <c r="H88" s="374"/>
      <c r="I88" s="374"/>
      <c r="J88" s="374"/>
      <c r="K88" s="374"/>
      <c r="L88" s="374"/>
      <c r="M88" s="374"/>
    </row>
    <row r="89" spans="1:13" ht="14" x14ac:dyDescent="0.3">
      <c r="E89" s="374"/>
      <c r="F89" s="374"/>
      <c r="G89" s="374"/>
      <c r="H89" s="374"/>
      <c r="I89" s="374"/>
      <c r="J89" s="374"/>
      <c r="K89" s="374"/>
      <c r="L89" s="374"/>
      <c r="M89" s="374"/>
    </row>
    <row r="90" spans="1:13" ht="14" x14ac:dyDescent="0.3">
      <c r="E90" s="374"/>
      <c r="F90" s="374"/>
      <c r="G90" s="374"/>
      <c r="H90" s="374"/>
      <c r="I90" s="374"/>
      <c r="J90" s="374"/>
      <c r="K90" s="374"/>
      <c r="L90" s="374"/>
      <c r="M90" s="374"/>
    </row>
    <row r="91" spans="1:13" ht="14" x14ac:dyDescent="0.3">
      <c r="E91" s="374"/>
      <c r="F91" s="374"/>
      <c r="G91" s="374"/>
      <c r="H91" s="374"/>
      <c r="I91" s="374"/>
      <c r="J91" s="374"/>
      <c r="K91" s="374"/>
      <c r="L91" s="374"/>
      <c r="M91" s="374"/>
    </row>
    <row r="92" spans="1:13" ht="14" x14ac:dyDescent="0.3">
      <c r="E92" s="374"/>
      <c r="F92" s="374"/>
      <c r="G92" s="374"/>
      <c r="H92" s="374"/>
      <c r="I92" s="374"/>
      <c r="J92" s="374"/>
      <c r="K92" s="374"/>
      <c r="L92" s="374"/>
      <c r="M92" s="374"/>
    </row>
    <row r="93" spans="1:13" ht="14" x14ac:dyDescent="0.3">
      <c r="E93" s="374"/>
      <c r="F93" s="374"/>
      <c r="G93" s="374"/>
      <c r="H93" s="374"/>
      <c r="I93" s="374"/>
      <c r="J93" s="374"/>
      <c r="K93" s="374"/>
      <c r="L93" s="374"/>
      <c r="M93" s="374"/>
    </row>
    <row r="94" spans="1:13" ht="14" x14ac:dyDescent="0.3">
      <c r="E94" s="374"/>
      <c r="F94" s="374"/>
      <c r="G94" s="374"/>
      <c r="H94" s="374"/>
      <c r="I94" s="374"/>
      <c r="J94" s="374"/>
      <c r="K94" s="374"/>
      <c r="L94" s="374"/>
      <c r="M94" s="374"/>
    </row>
    <row r="95" spans="1:13" ht="14" x14ac:dyDescent="0.3">
      <c r="E95" s="374"/>
      <c r="F95" s="374"/>
      <c r="G95" s="374"/>
      <c r="H95" s="374"/>
      <c r="I95" s="374"/>
      <c r="J95" s="374"/>
      <c r="K95" s="374"/>
      <c r="L95" s="374"/>
      <c r="M95" s="374"/>
    </row>
  </sheetData>
  <mergeCells count="8">
    <mergeCell ref="D12:F12"/>
    <mergeCell ref="H12:J12"/>
    <mergeCell ref="L12:M12"/>
    <mergeCell ref="A4:M4"/>
    <mergeCell ref="A5:M5"/>
    <mergeCell ref="A6:M6"/>
    <mergeCell ref="A8:M8"/>
    <mergeCell ref="A9:M9"/>
  </mergeCells>
  <pageMargins left="0.7" right="0.7" top="0.75" bottom="0.75" header="0.3" footer="0.3"/>
  <pageSetup scale="69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612C6-B452-43C9-B6F0-93CFC0A3A78A}">
  <sheetPr>
    <tabColor theme="3" tint="0.59999389629810485"/>
    <pageSetUpPr fitToPage="1"/>
  </sheetPr>
  <dimension ref="A4:AD145"/>
  <sheetViews>
    <sheetView zoomScaleNormal="100" workbookViewId="0"/>
  </sheetViews>
  <sheetFormatPr defaultRowHeight="12.5" x14ac:dyDescent="0.25"/>
  <cols>
    <col min="1" max="1" width="4" customWidth="1"/>
    <col min="2" max="2" width="4.453125" bestFit="1" customWidth="1"/>
    <col min="3" max="3" width="9.26953125" customWidth="1"/>
    <col min="4" max="4" width="9.7265625" customWidth="1"/>
    <col min="5" max="7" width="14.7265625" customWidth="1"/>
    <col min="8" max="8" width="1.7265625" customWidth="1"/>
    <col min="9" max="11" width="14.7265625" customWidth="1"/>
    <col min="12" max="12" width="1.7265625" customWidth="1"/>
    <col min="13" max="14" width="11.7265625" customWidth="1"/>
    <col min="15" max="15" width="10.81640625" bestFit="1" customWidth="1"/>
    <col min="16" max="16" width="11.54296875" bestFit="1" customWidth="1"/>
    <col min="17" max="17" width="9.453125" bestFit="1" customWidth="1"/>
    <col min="18" max="18" width="10.1796875" bestFit="1" customWidth="1"/>
    <col min="19" max="19" width="11.26953125" bestFit="1" customWidth="1"/>
    <col min="20" max="21" width="11.81640625" bestFit="1" customWidth="1"/>
    <col min="22" max="22" width="8.453125" bestFit="1" customWidth="1"/>
    <col min="23" max="23" width="10.81640625" bestFit="1" customWidth="1"/>
    <col min="24" max="24" width="11.54296875" bestFit="1" customWidth="1"/>
    <col min="25" max="25" width="9.453125" bestFit="1" customWidth="1"/>
    <col min="26" max="26" width="10.1796875" bestFit="1" customWidth="1"/>
    <col min="27" max="27" width="11.26953125" bestFit="1" customWidth="1"/>
    <col min="28" max="29" width="11.81640625" bestFit="1" customWidth="1"/>
  </cols>
  <sheetData>
    <row r="4" spans="1:30" ht="14" x14ac:dyDescent="0.3">
      <c r="A4" s="757" t="str">
        <f>'Bill_Cam G6'!A4:M4</f>
        <v>Eastern Massachusetts</v>
      </c>
      <c r="B4" s="757"/>
      <c r="C4" s="757"/>
      <c r="D4" s="757"/>
      <c r="E4" s="757"/>
      <c r="F4" s="757"/>
      <c r="G4" s="757"/>
      <c r="H4" s="757"/>
      <c r="I4" s="757"/>
      <c r="J4" s="757"/>
      <c r="K4" s="757"/>
      <c r="L4" s="757"/>
      <c r="M4" s="757"/>
      <c r="N4" s="757"/>
    </row>
    <row r="5" spans="1:30" ht="14" x14ac:dyDescent="0.3">
      <c r="A5" s="757" t="str">
        <f>+'Bill_Cam G0'!A5</f>
        <v>Calculation of Monthly Typical Bill</v>
      </c>
      <c r="B5" s="757"/>
      <c r="C5" s="757"/>
      <c r="D5" s="757"/>
      <c r="E5" s="757"/>
      <c r="F5" s="757"/>
      <c r="G5" s="757"/>
      <c r="H5" s="757"/>
      <c r="I5" s="757"/>
      <c r="J5" s="757"/>
      <c r="K5" s="757"/>
      <c r="L5" s="757"/>
      <c r="M5" s="757"/>
      <c r="N5" s="757"/>
    </row>
    <row r="6" spans="1:30" ht="14" x14ac:dyDescent="0.3">
      <c r="A6" s="757" t="str">
        <f>+'Bill_Cam G0'!A6</f>
        <v>Proposed January 1, 2019</v>
      </c>
      <c r="B6" s="757"/>
      <c r="C6" s="757"/>
      <c r="D6" s="757"/>
      <c r="E6" s="757"/>
      <c r="F6" s="757"/>
      <c r="G6" s="757"/>
      <c r="H6" s="757"/>
      <c r="I6" s="757"/>
      <c r="J6" s="757"/>
      <c r="K6" s="757"/>
      <c r="L6" s="757"/>
      <c r="M6" s="757"/>
      <c r="N6" s="757"/>
    </row>
    <row r="7" spans="1:30" ht="14" x14ac:dyDescent="0.3">
      <c r="A7" s="518"/>
      <c r="B7" s="518"/>
      <c r="C7" s="293"/>
      <c r="D7" s="468"/>
      <c r="E7" s="243"/>
      <c r="F7" s="469"/>
      <c r="G7" s="293"/>
      <c r="H7" s="369"/>
      <c r="I7" s="369"/>
      <c r="J7" s="369"/>
      <c r="K7" s="369"/>
      <c r="L7" s="369"/>
      <c r="M7" s="369"/>
      <c r="N7" s="369"/>
    </row>
    <row r="8" spans="1:30" ht="14" x14ac:dyDescent="0.3">
      <c r="A8" s="757" t="s">
        <v>476</v>
      </c>
      <c r="B8" s="757"/>
      <c r="C8" s="757"/>
      <c r="D8" s="757"/>
      <c r="E8" s="757"/>
      <c r="F8" s="757"/>
      <c r="G8" s="757"/>
      <c r="H8" s="757"/>
      <c r="I8" s="757"/>
      <c r="J8" s="757"/>
      <c r="K8" s="757"/>
      <c r="L8" s="757"/>
      <c r="M8" s="757"/>
      <c r="N8" s="757"/>
    </row>
    <row r="9" spans="1:30" ht="14" x14ac:dyDescent="0.3">
      <c r="A9" s="757" t="s">
        <v>477</v>
      </c>
      <c r="B9" s="757"/>
      <c r="C9" s="757"/>
      <c r="D9" s="757"/>
      <c r="E9" s="757"/>
      <c r="F9" s="757"/>
      <c r="G9" s="757"/>
      <c r="H9" s="757"/>
      <c r="I9" s="757"/>
      <c r="J9" s="757"/>
      <c r="K9" s="757"/>
      <c r="L9" s="757"/>
      <c r="M9" s="757"/>
      <c r="N9" s="757"/>
    </row>
    <row r="10" spans="1:30" ht="14" x14ac:dyDescent="0.3">
      <c r="A10" s="366"/>
      <c r="B10" s="366"/>
      <c r="C10" s="293"/>
      <c r="D10" s="293"/>
      <c r="E10" s="293"/>
      <c r="F10" s="368"/>
      <c r="G10" s="293"/>
    </row>
    <row r="11" spans="1:30" ht="14" x14ac:dyDescent="0.3">
      <c r="A11" s="151"/>
      <c r="B11" s="151"/>
      <c r="D11" s="293"/>
      <c r="E11" s="293"/>
      <c r="F11" s="368"/>
      <c r="G11" s="293"/>
    </row>
    <row r="12" spans="1:30" ht="14" x14ac:dyDescent="0.3">
      <c r="A12" s="151">
        <f>IF(C12&lt;&gt;"",COUNTA($C$12:C12),"")</f>
        <v>1</v>
      </c>
      <c r="B12" s="151"/>
      <c r="C12" s="366" t="s">
        <v>528</v>
      </c>
      <c r="D12" s="366" t="s">
        <v>528</v>
      </c>
      <c r="E12" s="760" t="str">
        <f>+'Bill_Cam G0'!D12</f>
        <v>Current Monthly Bill</v>
      </c>
      <c r="F12" s="760"/>
      <c r="G12" s="760"/>
      <c r="H12" s="293"/>
      <c r="I12" s="760" t="str">
        <f>+'Bill_Cam G0'!H12</f>
        <v>Proposed Monthly Bill</v>
      </c>
      <c r="J12" s="760"/>
      <c r="K12" s="760"/>
      <c r="M12" s="760" t="s">
        <v>550</v>
      </c>
      <c r="N12" s="760"/>
      <c r="O12" s="369"/>
      <c r="P12" s="369"/>
      <c r="Q12" s="369"/>
      <c r="R12" s="369"/>
      <c r="S12" s="369"/>
      <c r="T12" s="369"/>
      <c r="U12" s="369"/>
      <c r="W12" s="369"/>
      <c r="X12" s="369"/>
      <c r="Y12" s="369"/>
      <c r="Z12" s="369"/>
      <c r="AA12" s="369"/>
      <c r="AB12" s="369"/>
      <c r="AC12" s="369"/>
      <c r="AD12" s="369"/>
    </row>
    <row r="13" spans="1:30" ht="14" x14ac:dyDescent="0.3">
      <c r="A13" s="151">
        <f>IF(C13&lt;&gt;"",COUNTA($C$12:C13),"")</f>
        <v>2</v>
      </c>
      <c r="B13" s="151"/>
      <c r="C13" s="370" t="s">
        <v>534</v>
      </c>
      <c r="D13" s="370" t="s">
        <v>551</v>
      </c>
      <c r="E13" s="370" t="s">
        <v>552</v>
      </c>
      <c r="F13" s="370" t="s">
        <v>553</v>
      </c>
      <c r="G13" s="370" t="s">
        <v>47</v>
      </c>
      <c r="H13" s="293"/>
      <c r="I13" s="370" t="s">
        <v>552</v>
      </c>
      <c r="J13" s="370" t="s">
        <v>553</v>
      </c>
      <c r="K13" s="370" t="s">
        <v>47</v>
      </c>
      <c r="M13" s="370" t="s">
        <v>65</v>
      </c>
      <c r="N13" s="370" t="s">
        <v>325</v>
      </c>
      <c r="W13" s="369"/>
      <c r="X13" s="369"/>
      <c r="Y13" s="369"/>
      <c r="Z13" s="369"/>
      <c r="AA13" s="369"/>
      <c r="AB13" s="369"/>
      <c r="AC13" s="369"/>
      <c r="AD13" s="369"/>
    </row>
    <row r="14" spans="1:30" ht="14" x14ac:dyDescent="0.3">
      <c r="A14" s="151"/>
      <c r="B14" s="151"/>
      <c r="C14" s="366"/>
      <c r="D14" s="366"/>
      <c r="E14" s="366"/>
      <c r="F14" s="366"/>
      <c r="G14" s="366"/>
      <c r="H14" s="293"/>
      <c r="I14" s="366"/>
      <c r="J14" s="366"/>
      <c r="K14" s="366"/>
      <c r="M14" s="366"/>
      <c r="N14" s="366"/>
      <c r="W14" s="369"/>
      <c r="X14" s="369"/>
      <c r="Y14" s="369"/>
      <c r="Z14" s="369"/>
      <c r="AA14" s="369"/>
      <c r="AB14" s="369"/>
      <c r="AC14" s="369"/>
      <c r="AD14" s="369"/>
    </row>
    <row r="15" spans="1:30" ht="14" x14ac:dyDescent="0.3">
      <c r="A15" s="151">
        <f>IF(C15&lt;&gt;"",COUNTA($C$12:C15),"")</f>
        <v>3</v>
      </c>
      <c r="B15" s="151"/>
      <c r="C15" s="293" t="s">
        <v>576</v>
      </c>
      <c r="D15" s="370"/>
      <c r="E15" s="370"/>
      <c r="F15" s="370"/>
      <c r="G15" s="370"/>
      <c r="H15" s="293"/>
      <c r="I15" s="370"/>
      <c r="J15" s="370"/>
      <c r="K15" s="370"/>
      <c r="M15" s="370"/>
      <c r="N15" s="370"/>
      <c r="W15" s="369"/>
      <c r="X15" s="369"/>
      <c r="Y15" s="369"/>
      <c r="Z15" s="369"/>
      <c r="AA15" s="369"/>
      <c r="AB15" s="369"/>
      <c r="AC15" s="369"/>
      <c r="AD15" s="369"/>
    </row>
    <row r="16" spans="1:30" ht="14" x14ac:dyDescent="0.3">
      <c r="A16" s="151">
        <f>IF(C16&lt;&gt;"",COUNTA($C$12:C16),"")</f>
        <v>4</v>
      </c>
      <c r="B16" s="151"/>
      <c r="C16" s="371">
        <v>5</v>
      </c>
      <c r="D16" s="409">
        <f>+C16*200</f>
        <v>1000</v>
      </c>
      <c r="E16" s="372">
        <f t="shared" ref="E16:E22" si="0">ROUND($G$45+IF($C16&lt;10,$C16*$G$46,(10*$G$46+($C16-10)*$G$47))+IF($D16&lt;2300,$D16*$G$48,2300*$G$48+($D16-2300)*$G$49)+SUM($G$50:$G$68)*$D16,2)</f>
        <v>95.66</v>
      </c>
      <c r="F16" s="372">
        <f t="shared" ref="F16:F22" si="1">ROUND($G$69*$D16,2)</f>
        <v>114.03</v>
      </c>
      <c r="G16" s="372">
        <f t="shared" ref="G16:G22" si="2">SUM(E16:F16)</f>
        <v>209.69</v>
      </c>
      <c r="H16" s="373"/>
      <c r="I16" s="372">
        <f t="shared" ref="I16:I22" si="3">ROUND($I$45+IF($C16&lt;10,$C16*$I$46,(10*$I$46+($C16-10)*$I$47))+IF($D16&lt;2300,$D16*$I$48,2300*$I$48+($D16-2300)*$I$49)+SUM($I$50:$I$68)*$D16,2)</f>
        <v>94.58</v>
      </c>
      <c r="J16" s="372">
        <f t="shared" ref="J16:J22" si="4">ROUND($I$69*$D16,2)</f>
        <v>131.85</v>
      </c>
      <c r="K16" s="372">
        <f t="shared" ref="K16:K22" si="5">SUM(I16:J16)</f>
        <v>226.43</v>
      </c>
      <c r="L16" s="374"/>
      <c r="M16" s="375">
        <f t="shared" ref="M16:M22" si="6">+K16-G16</f>
        <v>16.740000000000009</v>
      </c>
      <c r="N16" s="376">
        <f t="shared" ref="N16:N22" si="7">+M16/G16</f>
        <v>7.9832133148934184E-2</v>
      </c>
      <c r="O16" s="374"/>
      <c r="P16" s="374"/>
      <c r="Q16" s="374"/>
      <c r="R16" s="374"/>
      <c r="S16" s="374"/>
      <c r="T16" s="374"/>
      <c r="U16" s="374"/>
      <c r="V16" s="374"/>
      <c r="W16" s="374"/>
      <c r="X16" s="374"/>
      <c r="Y16" s="374"/>
      <c r="Z16" s="374"/>
      <c r="AA16" s="374"/>
      <c r="AB16" s="374"/>
      <c r="AC16" s="374"/>
      <c r="AD16" s="374"/>
    </row>
    <row r="17" spans="1:30" ht="14" x14ac:dyDescent="0.3">
      <c r="A17" s="151">
        <f>IF(C17&lt;&gt;"",COUNTA($C$12:C17),"")</f>
        <v>5</v>
      </c>
      <c r="B17" s="151"/>
      <c r="C17" s="371">
        <v>10</v>
      </c>
      <c r="D17" s="409">
        <f t="shared" ref="D17:D22" si="8">+C17*200</f>
        <v>2000</v>
      </c>
      <c r="E17" s="372">
        <f t="shared" si="0"/>
        <v>185.32</v>
      </c>
      <c r="F17" s="372">
        <f t="shared" si="1"/>
        <v>228.06</v>
      </c>
      <c r="G17" s="372">
        <f t="shared" si="2"/>
        <v>413.38</v>
      </c>
      <c r="H17" s="373"/>
      <c r="I17" s="372">
        <f t="shared" si="3"/>
        <v>183.16</v>
      </c>
      <c r="J17" s="372">
        <f t="shared" si="4"/>
        <v>263.7</v>
      </c>
      <c r="K17" s="372">
        <f t="shared" si="5"/>
        <v>446.86</v>
      </c>
      <c r="L17" s="374"/>
      <c r="M17" s="375">
        <f t="shared" si="6"/>
        <v>33.480000000000018</v>
      </c>
      <c r="N17" s="376">
        <f t="shared" si="7"/>
        <v>8.0990855871111378E-2</v>
      </c>
      <c r="O17" s="374"/>
      <c r="P17" s="374"/>
      <c r="Q17" s="374"/>
      <c r="R17" s="374"/>
      <c r="S17" s="374"/>
      <c r="T17" s="374"/>
      <c r="U17" s="374"/>
      <c r="V17" s="374"/>
      <c r="W17" s="374"/>
      <c r="X17" s="374"/>
      <c r="Y17" s="374"/>
      <c r="Z17" s="374"/>
      <c r="AA17" s="374"/>
      <c r="AB17" s="374"/>
      <c r="AC17" s="374"/>
      <c r="AD17" s="374"/>
    </row>
    <row r="18" spans="1:30" ht="14" x14ac:dyDescent="0.3">
      <c r="A18" s="151">
        <f>IF(C18&lt;&gt;"",COUNTA($C$12:C18),"")</f>
        <v>6</v>
      </c>
      <c r="B18" s="151"/>
      <c r="C18" s="371">
        <v>15</v>
      </c>
      <c r="D18" s="409">
        <f t="shared" si="8"/>
        <v>3000</v>
      </c>
      <c r="E18" s="372">
        <f t="shared" si="0"/>
        <v>278.48</v>
      </c>
      <c r="F18" s="372">
        <f t="shared" si="1"/>
        <v>342.09</v>
      </c>
      <c r="G18" s="372">
        <f t="shared" si="2"/>
        <v>620.56999999999994</v>
      </c>
      <c r="H18" s="373"/>
      <c r="I18" s="372">
        <f t="shared" si="3"/>
        <v>275.37</v>
      </c>
      <c r="J18" s="372">
        <f t="shared" si="4"/>
        <v>395.55</v>
      </c>
      <c r="K18" s="372">
        <f t="shared" si="5"/>
        <v>670.92000000000007</v>
      </c>
      <c r="L18" s="374"/>
      <c r="M18" s="375">
        <f t="shared" si="6"/>
        <v>50.350000000000136</v>
      </c>
      <c r="N18" s="376">
        <f t="shared" si="7"/>
        <v>8.1135085485924463E-2</v>
      </c>
      <c r="O18" s="374"/>
      <c r="P18" s="374"/>
      <c r="Q18" s="374"/>
      <c r="R18" s="374"/>
      <c r="S18" s="374"/>
      <c r="T18" s="374"/>
      <c r="U18" s="374"/>
      <c r="V18" s="374"/>
      <c r="W18" s="374"/>
      <c r="X18" s="374"/>
      <c r="Y18" s="374"/>
      <c r="Z18" s="374"/>
      <c r="AA18" s="374"/>
      <c r="AB18" s="374"/>
      <c r="AC18" s="374"/>
      <c r="AD18" s="374"/>
    </row>
    <row r="19" spans="1:30" ht="14" x14ac:dyDescent="0.3">
      <c r="A19" s="151">
        <f>IF(C19&lt;&gt;"",COUNTA($C$12:C19),"")</f>
        <v>7</v>
      </c>
      <c r="B19" s="151"/>
      <c r="C19" s="371">
        <v>25</v>
      </c>
      <c r="D19" s="409">
        <f t="shared" si="8"/>
        <v>5000</v>
      </c>
      <c r="E19" s="372">
        <f t="shared" si="0"/>
        <v>447</v>
      </c>
      <c r="F19" s="372">
        <f t="shared" si="1"/>
        <v>570.15</v>
      </c>
      <c r="G19" s="372">
        <f t="shared" si="2"/>
        <v>1017.15</v>
      </c>
      <c r="H19" s="373"/>
      <c r="I19" s="372">
        <f t="shared" si="3"/>
        <v>441.35</v>
      </c>
      <c r="J19" s="372">
        <f t="shared" si="4"/>
        <v>659.25</v>
      </c>
      <c r="K19" s="372">
        <f t="shared" si="5"/>
        <v>1100.5999999999999</v>
      </c>
      <c r="L19" s="374"/>
      <c r="M19" s="375">
        <f t="shared" si="6"/>
        <v>83.449999999999932</v>
      </c>
      <c r="N19" s="376">
        <f t="shared" si="7"/>
        <v>8.2042963181438264E-2</v>
      </c>
      <c r="O19" s="374"/>
      <c r="P19" s="374"/>
      <c r="Q19" s="374"/>
      <c r="R19" s="374"/>
      <c r="S19" s="374"/>
      <c r="T19" s="374"/>
      <c r="U19" s="374"/>
      <c r="V19" s="374"/>
      <c r="W19" s="374"/>
      <c r="X19" s="374"/>
      <c r="Y19" s="374"/>
      <c r="Z19" s="374"/>
      <c r="AA19" s="374"/>
      <c r="AB19" s="374"/>
      <c r="AC19" s="374"/>
      <c r="AD19" s="374"/>
    </row>
    <row r="20" spans="1:30" ht="14" x14ac:dyDescent="0.3">
      <c r="A20" s="151">
        <f>IF(C20&lt;&gt;"",COUNTA($C$12:C20),"")</f>
        <v>8</v>
      </c>
      <c r="B20" s="151"/>
      <c r="C20" s="371">
        <v>50</v>
      </c>
      <c r="D20" s="409">
        <f t="shared" si="8"/>
        <v>10000</v>
      </c>
      <c r="E20" s="372">
        <f t="shared" si="0"/>
        <v>868.3</v>
      </c>
      <c r="F20" s="372">
        <f t="shared" si="1"/>
        <v>1140.3</v>
      </c>
      <c r="G20" s="372">
        <f t="shared" si="2"/>
        <v>2008.6</v>
      </c>
      <c r="H20" s="373"/>
      <c r="I20" s="372">
        <f t="shared" si="3"/>
        <v>856.3</v>
      </c>
      <c r="J20" s="372">
        <f t="shared" si="4"/>
        <v>1318.5</v>
      </c>
      <c r="K20" s="372">
        <f t="shared" si="5"/>
        <v>2174.8000000000002</v>
      </c>
      <c r="L20" s="374"/>
      <c r="M20" s="375">
        <f t="shared" si="6"/>
        <v>166.20000000000027</v>
      </c>
      <c r="N20" s="376">
        <f t="shared" si="7"/>
        <v>8.2744199940257029E-2</v>
      </c>
      <c r="O20" s="374"/>
      <c r="P20" s="374"/>
      <c r="Q20" s="374"/>
      <c r="R20" s="374"/>
      <c r="S20" s="374"/>
      <c r="T20" s="374"/>
      <c r="U20" s="374"/>
      <c r="V20" s="374"/>
      <c r="W20" s="374"/>
      <c r="X20" s="374"/>
      <c r="Y20" s="374"/>
      <c r="Z20" s="374"/>
      <c r="AA20" s="374"/>
      <c r="AB20" s="374"/>
      <c r="AC20" s="374"/>
      <c r="AD20" s="374"/>
    </row>
    <row r="21" spans="1:30" ht="14" x14ac:dyDescent="0.3">
      <c r="A21" s="151">
        <f>IF(C21&lt;&gt;"",COUNTA($C$12:C21),"")</f>
        <v>9</v>
      </c>
      <c r="B21" s="151"/>
      <c r="C21" s="409">
        <v>100</v>
      </c>
      <c r="D21" s="409">
        <f t="shared" si="8"/>
        <v>20000</v>
      </c>
      <c r="E21" s="372">
        <f t="shared" si="0"/>
        <v>1710.9</v>
      </c>
      <c r="F21" s="372">
        <f t="shared" si="1"/>
        <v>2280.6</v>
      </c>
      <c r="G21" s="372">
        <f t="shared" si="2"/>
        <v>3991.5</v>
      </c>
      <c r="H21" s="373"/>
      <c r="I21" s="372">
        <f t="shared" si="3"/>
        <v>1686.2</v>
      </c>
      <c r="J21" s="372">
        <f t="shared" si="4"/>
        <v>2637</v>
      </c>
      <c r="K21" s="372">
        <f t="shared" si="5"/>
        <v>4323.2</v>
      </c>
      <c r="L21" s="374"/>
      <c r="M21" s="375">
        <f t="shared" si="6"/>
        <v>331.69999999999982</v>
      </c>
      <c r="N21" s="376">
        <f t="shared" si="7"/>
        <v>8.3101590880621273E-2</v>
      </c>
      <c r="O21" s="374"/>
      <c r="P21" s="374"/>
      <c r="Q21" s="374"/>
      <c r="R21" s="374"/>
      <c r="S21" s="374"/>
      <c r="T21" s="374"/>
      <c r="U21" s="374"/>
      <c r="V21" s="374"/>
      <c r="W21" s="374"/>
      <c r="X21" s="374"/>
      <c r="Y21" s="374"/>
      <c r="Z21" s="374"/>
      <c r="AA21" s="374"/>
      <c r="AB21" s="374"/>
      <c r="AC21" s="374"/>
      <c r="AD21" s="374"/>
    </row>
    <row r="22" spans="1:30" ht="14" x14ac:dyDescent="0.3">
      <c r="A22" s="151">
        <f>IF(C22&lt;&gt;"",COUNTA($C$12:C22),"")</f>
        <v>10</v>
      </c>
      <c r="B22" s="151" t="s">
        <v>554</v>
      </c>
      <c r="C22" s="409">
        <v>2</v>
      </c>
      <c r="D22" s="409">
        <f t="shared" si="8"/>
        <v>400</v>
      </c>
      <c r="E22" s="372">
        <f t="shared" si="0"/>
        <v>41.86</v>
      </c>
      <c r="F22" s="372">
        <f t="shared" si="1"/>
        <v>45.61</v>
      </c>
      <c r="G22" s="372">
        <f t="shared" si="2"/>
        <v>87.47</v>
      </c>
      <c r="H22" s="373"/>
      <c r="I22" s="372">
        <f t="shared" si="3"/>
        <v>41.43</v>
      </c>
      <c r="J22" s="372">
        <f t="shared" si="4"/>
        <v>52.74</v>
      </c>
      <c r="K22" s="372">
        <f t="shared" si="5"/>
        <v>94.17</v>
      </c>
      <c r="L22" s="374"/>
      <c r="M22" s="375">
        <f t="shared" si="6"/>
        <v>6.7000000000000028</v>
      </c>
      <c r="N22" s="376">
        <f t="shared" si="7"/>
        <v>7.6597690636789784E-2</v>
      </c>
      <c r="O22" s="374"/>
      <c r="P22" s="374"/>
      <c r="Q22" s="374"/>
      <c r="R22" s="374"/>
      <c r="S22" s="374"/>
      <c r="T22" s="374"/>
      <c r="U22" s="374"/>
      <c r="V22" s="374"/>
      <c r="W22" s="374"/>
      <c r="X22" s="374"/>
      <c r="Y22" s="374"/>
      <c r="Z22" s="374"/>
      <c r="AA22" s="374"/>
      <c r="AB22" s="374"/>
      <c r="AC22" s="374"/>
      <c r="AD22" s="374"/>
    </row>
    <row r="23" spans="1:30" ht="14" x14ac:dyDescent="0.3">
      <c r="A23" s="151" t="str">
        <f>IF(C23&lt;&gt;"",COUNTA($C$12:C23),"")</f>
        <v/>
      </c>
      <c r="B23" s="151"/>
      <c r="C23" s="493"/>
      <c r="D23" s="493"/>
      <c r="E23" s="489"/>
      <c r="F23" s="489"/>
      <c r="G23" s="489"/>
      <c r="H23" s="494"/>
      <c r="I23" s="489"/>
      <c r="J23" s="489"/>
      <c r="K23" s="489"/>
      <c r="L23" s="495"/>
      <c r="M23" s="497"/>
      <c r="N23" s="519"/>
    </row>
    <row r="24" spans="1:30" ht="14" x14ac:dyDescent="0.3">
      <c r="A24" s="151">
        <f>IF(C24&lt;&gt;"",COUNTA($C$12:C24),"")</f>
        <v>11</v>
      </c>
      <c r="B24" s="151"/>
      <c r="C24" s="293" t="s">
        <v>577</v>
      </c>
      <c r="D24" s="293"/>
      <c r="E24" s="448"/>
      <c r="F24" s="448"/>
      <c r="G24" s="448"/>
      <c r="H24" s="374"/>
      <c r="I24" s="374"/>
      <c r="J24" s="374"/>
      <c r="K24" s="374"/>
      <c r="L24" s="374"/>
      <c r="M24" s="374"/>
      <c r="N24" s="369"/>
    </row>
    <row r="25" spans="1:30" ht="14" x14ac:dyDescent="0.3">
      <c r="A25" s="151">
        <f>IF(C25&lt;&gt;"",COUNTA($C$12:C25),"")</f>
        <v>12</v>
      </c>
      <c r="B25" s="151"/>
      <c r="C25" s="409">
        <f t="shared" ref="C25:C30" si="9">+C16</f>
        <v>5</v>
      </c>
      <c r="D25" s="409">
        <f>+C25*300</f>
        <v>1500</v>
      </c>
      <c r="E25" s="372">
        <f t="shared" ref="E25:E31" si="10">ROUND($G$45+IF($C25&lt;10,$C25*$G$46,(10*$G$46+($C25-10)*$G$47))+IF($D25&lt;2300,$D25*$G$48,2300*$G$48+($D25-2300)*$G$49)+SUM($G$50:$G$68)*$D25,2)</f>
        <v>140.49</v>
      </c>
      <c r="F25" s="372">
        <f t="shared" ref="F25:F31" si="11">ROUND($G$69*$D25,2)</f>
        <v>171.05</v>
      </c>
      <c r="G25" s="372">
        <f t="shared" ref="G25:G30" si="12">SUM(E25:F25)</f>
        <v>311.54000000000002</v>
      </c>
      <c r="H25" s="373"/>
      <c r="I25" s="372">
        <f t="shared" ref="I25:I31" si="13">ROUND($I$45+IF($C25&lt;10,$C25*$I$46,(10*$I$46+($C25-10)*$I$47))+IF($D25&lt;2300,$D25*$I$48,2300*$I$48+($D25-2300)*$I$49)+SUM($I$50:$I$68)*$D25,2)</f>
        <v>138.87</v>
      </c>
      <c r="J25" s="372">
        <f t="shared" ref="J25:J31" si="14">ROUND($I$69*$D25,2)</f>
        <v>197.78</v>
      </c>
      <c r="K25" s="372">
        <f t="shared" ref="K25:K30" si="15">SUM(I25:J25)</f>
        <v>336.65</v>
      </c>
      <c r="L25" s="374"/>
      <c r="M25" s="375">
        <f t="shared" ref="M25:M31" si="16">+K25-G25</f>
        <v>25.109999999999957</v>
      </c>
      <c r="N25" s="376">
        <f t="shared" ref="N25:N31" si="17">+M25/G25</f>
        <v>8.0599601977274046E-2</v>
      </c>
      <c r="O25" s="374"/>
      <c r="P25" s="374"/>
      <c r="Q25" s="374"/>
      <c r="R25" s="374"/>
      <c r="S25" s="374"/>
      <c r="T25" s="374"/>
      <c r="U25" s="374"/>
      <c r="V25" s="374"/>
      <c r="W25" s="374"/>
      <c r="X25" s="374"/>
      <c r="Y25" s="374"/>
      <c r="Z25" s="374"/>
      <c r="AA25" s="374"/>
      <c r="AB25" s="374"/>
      <c r="AC25" s="374"/>
      <c r="AD25" s="374"/>
    </row>
    <row r="26" spans="1:30" ht="14" x14ac:dyDescent="0.3">
      <c r="A26" s="151">
        <f>IF(C26&lt;&gt;"",COUNTA($C$12:C26),"")</f>
        <v>13</v>
      </c>
      <c r="B26" s="151"/>
      <c r="C26" s="409">
        <f t="shared" si="9"/>
        <v>10</v>
      </c>
      <c r="D26" s="409">
        <f t="shared" ref="D26:D31" si="18">+C26*300</f>
        <v>3000</v>
      </c>
      <c r="E26" s="372">
        <f t="shared" si="10"/>
        <v>254.23</v>
      </c>
      <c r="F26" s="372">
        <f t="shared" si="11"/>
        <v>342.09</v>
      </c>
      <c r="G26" s="372">
        <f t="shared" si="12"/>
        <v>596.31999999999994</v>
      </c>
      <c r="H26" s="373"/>
      <c r="I26" s="372">
        <f t="shared" si="13"/>
        <v>250.22</v>
      </c>
      <c r="J26" s="372">
        <f t="shared" si="14"/>
        <v>395.55</v>
      </c>
      <c r="K26" s="372">
        <f t="shared" si="15"/>
        <v>645.77</v>
      </c>
      <c r="L26" s="374"/>
      <c r="M26" s="375">
        <f t="shared" si="16"/>
        <v>49.450000000000045</v>
      </c>
      <c r="N26" s="376">
        <f t="shared" si="17"/>
        <v>8.2925275020123507E-2</v>
      </c>
      <c r="O26" s="374"/>
      <c r="P26" s="374"/>
      <c r="Q26" s="374"/>
      <c r="R26" s="374"/>
      <c r="S26" s="374"/>
      <c r="T26" s="374"/>
      <c r="U26" s="374"/>
      <c r="V26" s="374"/>
      <c r="W26" s="374"/>
      <c r="X26" s="374"/>
      <c r="Y26" s="374"/>
      <c r="Z26" s="374"/>
      <c r="AA26" s="374"/>
      <c r="AB26" s="374"/>
      <c r="AC26" s="374"/>
      <c r="AD26" s="374"/>
    </row>
    <row r="27" spans="1:30" ht="14" x14ac:dyDescent="0.3">
      <c r="A27" s="151">
        <f>IF(C27&lt;&gt;"",COUNTA($C$12:C27),"")</f>
        <v>14</v>
      </c>
      <c r="B27" s="151"/>
      <c r="C27" s="409">
        <f t="shared" si="9"/>
        <v>15</v>
      </c>
      <c r="D27" s="409">
        <f t="shared" si="18"/>
        <v>4500</v>
      </c>
      <c r="E27" s="372">
        <f t="shared" si="10"/>
        <v>368.49</v>
      </c>
      <c r="F27" s="372">
        <f t="shared" si="11"/>
        <v>513.14</v>
      </c>
      <c r="G27" s="372">
        <f t="shared" si="12"/>
        <v>881.63</v>
      </c>
      <c r="H27" s="373"/>
      <c r="I27" s="372">
        <f t="shared" si="13"/>
        <v>362.13</v>
      </c>
      <c r="J27" s="372">
        <f t="shared" si="14"/>
        <v>593.33000000000004</v>
      </c>
      <c r="K27" s="372">
        <f t="shared" si="15"/>
        <v>955.46</v>
      </c>
      <c r="L27" s="374"/>
      <c r="M27" s="375">
        <f t="shared" si="16"/>
        <v>73.830000000000041</v>
      </c>
      <c r="N27" s="376">
        <f t="shared" si="17"/>
        <v>8.3742613114345069E-2</v>
      </c>
      <c r="O27" s="374"/>
      <c r="P27" s="374"/>
      <c r="Q27" s="374"/>
      <c r="R27" s="374"/>
      <c r="S27" s="374"/>
      <c r="T27" s="374"/>
      <c r="U27" s="374"/>
      <c r="V27" s="374"/>
      <c r="W27" s="374"/>
      <c r="X27" s="374"/>
      <c r="Y27" s="374"/>
      <c r="Z27" s="374"/>
      <c r="AA27" s="374"/>
      <c r="AB27" s="374"/>
      <c r="AC27" s="374"/>
      <c r="AD27" s="374"/>
    </row>
    <row r="28" spans="1:30" ht="14" x14ac:dyDescent="0.3">
      <c r="A28" s="151">
        <f>IF(C28&lt;&gt;"",COUNTA($C$12:C28),"")</f>
        <v>15</v>
      </c>
      <c r="B28" s="151"/>
      <c r="C28" s="409">
        <f t="shared" si="9"/>
        <v>25</v>
      </c>
      <c r="D28" s="409">
        <f t="shared" si="18"/>
        <v>7500</v>
      </c>
      <c r="E28" s="372">
        <f t="shared" si="10"/>
        <v>597.02</v>
      </c>
      <c r="F28" s="372">
        <f t="shared" si="11"/>
        <v>855.23</v>
      </c>
      <c r="G28" s="372">
        <f t="shared" si="12"/>
        <v>1452.25</v>
      </c>
      <c r="H28" s="373"/>
      <c r="I28" s="372">
        <f t="shared" si="13"/>
        <v>585.95000000000005</v>
      </c>
      <c r="J28" s="372">
        <f t="shared" si="14"/>
        <v>988.88</v>
      </c>
      <c r="K28" s="372">
        <f t="shared" si="15"/>
        <v>1574.83</v>
      </c>
      <c r="L28" s="374"/>
      <c r="M28" s="375">
        <f t="shared" si="16"/>
        <v>122.57999999999993</v>
      </c>
      <c r="N28" s="376">
        <f t="shared" si="17"/>
        <v>8.4406954725426017E-2</v>
      </c>
      <c r="O28" s="374"/>
      <c r="P28" s="374"/>
      <c r="Q28" s="374"/>
      <c r="R28" s="374"/>
      <c r="S28" s="374"/>
      <c r="T28" s="374"/>
      <c r="U28" s="374"/>
      <c r="V28" s="374"/>
      <c r="W28" s="374"/>
      <c r="X28" s="374"/>
      <c r="Y28" s="374"/>
      <c r="Z28" s="374"/>
      <c r="AA28" s="374"/>
      <c r="AB28" s="374"/>
      <c r="AC28" s="374"/>
      <c r="AD28" s="374"/>
    </row>
    <row r="29" spans="1:30" ht="14" x14ac:dyDescent="0.3">
      <c r="A29" s="151">
        <f>IF(C29&lt;&gt;"",COUNTA($C$12:C29),"")</f>
        <v>16</v>
      </c>
      <c r="B29" s="151"/>
      <c r="C29" s="409">
        <f t="shared" si="9"/>
        <v>50</v>
      </c>
      <c r="D29" s="409">
        <f t="shared" si="18"/>
        <v>15000</v>
      </c>
      <c r="E29" s="372">
        <f t="shared" si="10"/>
        <v>1168.3499999999999</v>
      </c>
      <c r="F29" s="372">
        <f t="shared" si="11"/>
        <v>1710.45</v>
      </c>
      <c r="G29" s="372">
        <f t="shared" si="12"/>
        <v>2878.8</v>
      </c>
      <c r="H29" s="373"/>
      <c r="I29" s="372">
        <f t="shared" si="13"/>
        <v>1145.5</v>
      </c>
      <c r="J29" s="372">
        <f t="shared" si="14"/>
        <v>1977.75</v>
      </c>
      <c r="K29" s="372">
        <f t="shared" si="15"/>
        <v>3123.25</v>
      </c>
      <c r="L29" s="374"/>
      <c r="M29" s="375">
        <f t="shared" si="16"/>
        <v>244.44999999999982</v>
      </c>
      <c r="N29" s="376">
        <f t="shared" si="17"/>
        <v>8.491385299430311E-2</v>
      </c>
      <c r="O29" s="374"/>
      <c r="P29" s="374"/>
      <c r="Q29" s="374"/>
      <c r="R29" s="374"/>
      <c r="S29" s="374"/>
      <c r="T29" s="374"/>
      <c r="U29" s="374"/>
      <c r="V29" s="374"/>
      <c r="W29" s="374"/>
      <c r="X29" s="374"/>
      <c r="Y29" s="374"/>
      <c r="Z29" s="374"/>
      <c r="AA29" s="374"/>
      <c r="AB29" s="374"/>
      <c r="AC29" s="374"/>
      <c r="AD29" s="374"/>
    </row>
    <row r="30" spans="1:30" ht="14" x14ac:dyDescent="0.3">
      <c r="A30" s="151">
        <f>IF(C30&lt;&gt;"",COUNTA($C$12:C30),"")</f>
        <v>17</v>
      </c>
      <c r="B30" s="151"/>
      <c r="C30" s="409">
        <f t="shared" si="9"/>
        <v>100</v>
      </c>
      <c r="D30" s="409">
        <f t="shared" si="18"/>
        <v>30000</v>
      </c>
      <c r="E30" s="372">
        <f t="shared" si="10"/>
        <v>2311</v>
      </c>
      <c r="F30" s="372">
        <f t="shared" si="11"/>
        <v>3420.9</v>
      </c>
      <c r="G30" s="372">
        <f t="shared" si="12"/>
        <v>5731.9</v>
      </c>
      <c r="H30" s="373"/>
      <c r="I30" s="372">
        <f t="shared" si="13"/>
        <v>2264.6</v>
      </c>
      <c r="J30" s="372">
        <f t="shared" si="14"/>
        <v>3955.5</v>
      </c>
      <c r="K30" s="372">
        <f t="shared" si="15"/>
        <v>6220.1</v>
      </c>
      <c r="L30" s="374"/>
      <c r="M30" s="375">
        <f t="shared" si="16"/>
        <v>488.20000000000073</v>
      </c>
      <c r="N30" s="376">
        <f t="shared" si="17"/>
        <v>8.5172455904673969E-2</v>
      </c>
      <c r="O30" s="374"/>
      <c r="P30" s="374"/>
      <c r="Q30" s="374"/>
      <c r="R30" s="374"/>
      <c r="S30" s="374"/>
      <c r="T30" s="374"/>
      <c r="U30" s="374"/>
      <c r="V30" s="374"/>
      <c r="W30" s="374"/>
      <c r="X30" s="374"/>
      <c r="Y30" s="374"/>
      <c r="Z30" s="374"/>
      <c r="AA30" s="374"/>
      <c r="AB30" s="374"/>
      <c r="AC30" s="374"/>
      <c r="AD30" s="374"/>
    </row>
    <row r="31" spans="1:30" ht="14" x14ac:dyDescent="0.3">
      <c r="A31" s="151">
        <f>IF(C31&lt;&gt;"",COUNTA($C$12:C31),"")</f>
        <v>18</v>
      </c>
      <c r="B31" s="151" t="s">
        <v>554</v>
      </c>
      <c r="C31" s="409">
        <v>19</v>
      </c>
      <c r="D31" s="409">
        <f t="shared" si="18"/>
        <v>5700</v>
      </c>
      <c r="E31" s="372">
        <f t="shared" si="10"/>
        <v>459.9</v>
      </c>
      <c r="F31" s="372">
        <f t="shared" si="11"/>
        <v>649.97</v>
      </c>
      <c r="G31" s="372">
        <f t="shared" ref="G31" si="19">SUM(E31:F31)</f>
        <v>1109.8699999999999</v>
      </c>
      <c r="H31" s="373"/>
      <c r="I31" s="372">
        <f t="shared" si="13"/>
        <v>451.66</v>
      </c>
      <c r="J31" s="372">
        <f t="shared" si="14"/>
        <v>751.55</v>
      </c>
      <c r="K31" s="372">
        <f t="shared" ref="K31" si="20">SUM(I31:J31)</f>
        <v>1203.21</v>
      </c>
      <c r="L31" s="374"/>
      <c r="M31" s="375">
        <f t="shared" si="16"/>
        <v>93.340000000000146</v>
      </c>
      <c r="N31" s="376">
        <f t="shared" si="17"/>
        <v>8.4099939632569717E-2</v>
      </c>
      <c r="O31" s="374"/>
      <c r="P31" s="374"/>
      <c r="Q31" s="374"/>
      <c r="R31" s="374"/>
      <c r="S31" s="374"/>
      <c r="T31" s="374"/>
      <c r="U31" s="374"/>
      <c r="V31" s="374"/>
      <c r="W31" s="374"/>
      <c r="X31" s="374"/>
      <c r="Y31" s="374"/>
      <c r="Z31" s="374"/>
      <c r="AA31" s="374"/>
      <c r="AB31" s="374"/>
      <c r="AC31" s="374"/>
      <c r="AD31" s="374"/>
    </row>
    <row r="32" spans="1:30" ht="14" x14ac:dyDescent="0.3">
      <c r="A32" s="151" t="str">
        <f>IF(C32&lt;&gt;"",COUNTA($C$12:C32),"")</f>
        <v/>
      </c>
      <c r="B32" s="151"/>
      <c r="C32" s="493"/>
      <c r="D32" s="493"/>
      <c r="E32" s="489"/>
      <c r="F32" s="489"/>
      <c r="G32" s="489"/>
      <c r="H32" s="494"/>
      <c r="I32" s="489"/>
      <c r="J32" s="489"/>
      <c r="K32" s="489"/>
      <c r="L32" s="495"/>
      <c r="M32" s="497"/>
      <c r="N32" s="519"/>
    </row>
    <row r="33" spans="1:30" ht="14" x14ac:dyDescent="0.3">
      <c r="A33" s="151">
        <f>IF(C33&lt;&gt;"",COUNTA($C$12:C33),"")</f>
        <v>19</v>
      </c>
      <c r="B33" s="151"/>
      <c r="C33" s="293" t="s">
        <v>575</v>
      </c>
      <c r="D33" s="293"/>
      <c r="E33" s="448"/>
      <c r="F33" s="448"/>
      <c r="G33" s="448"/>
      <c r="H33" s="374"/>
      <c r="I33" s="374"/>
      <c r="J33" s="374"/>
      <c r="K33" s="374"/>
      <c r="L33" s="374"/>
      <c r="M33" s="374"/>
      <c r="N33" s="369"/>
    </row>
    <row r="34" spans="1:30" ht="14" x14ac:dyDescent="0.3">
      <c r="A34" s="151">
        <f>IF(C34&lt;&gt;"",COUNTA($C$12:C34),"")</f>
        <v>20</v>
      </c>
      <c r="B34" s="151"/>
      <c r="C34" s="409">
        <f t="shared" ref="C34:C39" si="21">+C25</f>
        <v>5</v>
      </c>
      <c r="D34" s="409">
        <f>+C34*400</f>
        <v>2000</v>
      </c>
      <c r="E34" s="372">
        <f t="shared" ref="E34:E40" si="22">ROUND($G$45+IF($C34&lt;10,$C34*$G$46,(10*$G$46+($C34-10)*$G$47))+IF($D34&lt;2300,$D34*$G$48,2300*$G$48+($D34-2300)*$G$49)+SUM($G$50:$G$68)*$D34,2)</f>
        <v>185.32</v>
      </c>
      <c r="F34" s="372">
        <f t="shared" ref="F34:F40" si="23">ROUND($G$69*$D34,2)</f>
        <v>228.06</v>
      </c>
      <c r="G34" s="372">
        <f t="shared" ref="G34:G39" si="24">SUM(E34:F34)</f>
        <v>413.38</v>
      </c>
      <c r="H34" s="373"/>
      <c r="I34" s="372">
        <f t="shared" ref="I34:I40" si="25">ROUND($I$45+IF($C34&lt;10,$C34*$I$46,(10*$I$46+($C34-10)*$I$47))+IF($D34&lt;2300,$D34*$I$48,2300*$I$48+($D34-2300)*$I$49)+SUM($I$50:$I$68)*$D34,2)</f>
        <v>183.16</v>
      </c>
      <c r="J34" s="372">
        <f t="shared" ref="J34:J40" si="26">ROUND($I$69*$D34,2)</f>
        <v>263.7</v>
      </c>
      <c r="K34" s="372">
        <f t="shared" ref="K34:K39" si="27">SUM(I34:J34)</f>
        <v>446.86</v>
      </c>
      <c r="L34" s="374"/>
      <c r="M34" s="375">
        <f t="shared" ref="M34:M40" si="28">+K34-G34</f>
        <v>33.480000000000018</v>
      </c>
      <c r="N34" s="376">
        <f t="shared" ref="N34:N40" si="29">+M34/G34</f>
        <v>8.0990855871111378E-2</v>
      </c>
      <c r="O34" s="374"/>
      <c r="P34" s="374"/>
      <c r="Q34" s="374"/>
      <c r="R34" s="374"/>
      <c r="S34" s="374"/>
      <c r="T34" s="374"/>
      <c r="U34" s="374"/>
      <c r="V34" s="374"/>
      <c r="W34" s="374"/>
      <c r="X34" s="374"/>
      <c r="Y34" s="374"/>
      <c r="Z34" s="374"/>
      <c r="AA34" s="374"/>
      <c r="AB34" s="374"/>
      <c r="AC34" s="374"/>
      <c r="AD34" s="374"/>
    </row>
    <row r="35" spans="1:30" ht="14" x14ac:dyDescent="0.3">
      <c r="A35" s="151">
        <f>IF(C35&lt;&gt;"",COUNTA($C$12:C35),"")</f>
        <v>21</v>
      </c>
      <c r="B35" s="151"/>
      <c r="C35" s="409">
        <f t="shared" si="21"/>
        <v>10</v>
      </c>
      <c r="D35" s="409">
        <f t="shared" ref="D35:D40" si="30">+C35*400</f>
        <v>4000</v>
      </c>
      <c r="E35" s="372">
        <f t="shared" si="22"/>
        <v>314.24</v>
      </c>
      <c r="F35" s="372">
        <f t="shared" si="23"/>
        <v>456.12</v>
      </c>
      <c r="G35" s="372">
        <f t="shared" si="24"/>
        <v>770.36</v>
      </c>
      <c r="H35" s="373"/>
      <c r="I35" s="372">
        <f t="shared" si="25"/>
        <v>308.06</v>
      </c>
      <c r="J35" s="372">
        <f t="shared" si="26"/>
        <v>527.4</v>
      </c>
      <c r="K35" s="372">
        <f t="shared" si="27"/>
        <v>835.46</v>
      </c>
      <c r="L35" s="374"/>
      <c r="M35" s="375">
        <f t="shared" si="28"/>
        <v>65.100000000000023</v>
      </c>
      <c r="N35" s="376">
        <f t="shared" si="29"/>
        <v>8.4505945272340233E-2</v>
      </c>
      <c r="O35" s="374"/>
      <c r="P35" s="374"/>
      <c r="Q35" s="374"/>
      <c r="R35" s="374"/>
      <c r="S35" s="374"/>
      <c r="T35" s="374"/>
      <c r="U35" s="374"/>
      <c r="V35" s="374"/>
      <c r="W35" s="374"/>
      <c r="X35" s="374"/>
      <c r="Y35" s="374"/>
      <c r="Z35" s="374"/>
      <c r="AA35" s="374"/>
      <c r="AB35" s="374"/>
      <c r="AC35" s="374"/>
      <c r="AD35" s="374"/>
    </row>
    <row r="36" spans="1:30" ht="14" x14ac:dyDescent="0.3">
      <c r="A36" s="151">
        <f>IF(C36&lt;&gt;"",COUNTA($C$12:C36),"")</f>
        <v>22</v>
      </c>
      <c r="B36" s="151"/>
      <c r="C36" s="409">
        <f t="shared" si="21"/>
        <v>15</v>
      </c>
      <c r="D36" s="409">
        <f t="shared" si="30"/>
        <v>6000</v>
      </c>
      <c r="E36" s="380">
        <f t="shared" si="22"/>
        <v>458.51</v>
      </c>
      <c r="F36" s="380">
        <f t="shared" si="23"/>
        <v>684.18</v>
      </c>
      <c r="G36" s="380">
        <f t="shared" si="24"/>
        <v>1142.69</v>
      </c>
      <c r="H36" s="381"/>
      <c r="I36" s="380">
        <f t="shared" si="25"/>
        <v>448.89</v>
      </c>
      <c r="J36" s="380">
        <f t="shared" si="26"/>
        <v>791.1</v>
      </c>
      <c r="K36" s="380">
        <f t="shared" si="27"/>
        <v>1239.99</v>
      </c>
      <c r="L36" s="374"/>
      <c r="M36" s="375">
        <f t="shared" si="28"/>
        <v>97.299999999999955</v>
      </c>
      <c r="N36" s="376">
        <f t="shared" si="29"/>
        <v>8.5149953180652632E-2</v>
      </c>
      <c r="O36" s="374"/>
      <c r="P36" s="374"/>
      <c r="Q36" s="374"/>
      <c r="R36" s="374"/>
      <c r="S36" s="374"/>
      <c r="T36" s="374"/>
      <c r="U36" s="374"/>
      <c r="V36" s="374"/>
      <c r="W36" s="374"/>
      <c r="X36" s="374"/>
      <c r="Y36" s="374"/>
      <c r="Z36" s="374"/>
      <c r="AA36" s="374"/>
      <c r="AB36" s="374"/>
      <c r="AC36" s="374"/>
      <c r="AD36" s="374"/>
    </row>
    <row r="37" spans="1:30" ht="14" x14ac:dyDescent="0.3">
      <c r="A37" s="151">
        <f>IF(C37&lt;&gt;"",COUNTA($C$12:C37),"")</f>
        <v>23</v>
      </c>
      <c r="B37" s="151"/>
      <c r="C37" s="409">
        <f t="shared" si="21"/>
        <v>25</v>
      </c>
      <c r="D37" s="409">
        <f t="shared" si="30"/>
        <v>10000</v>
      </c>
      <c r="E37" s="372">
        <f t="shared" si="22"/>
        <v>747.05</v>
      </c>
      <c r="F37" s="372">
        <f t="shared" si="23"/>
        <v>1140.3</v>
      </c>
      <c r="G37" s="372">
        <f t="shared" si="24"/>
        <v>1887.35</v>
      </c>
      <c r="H37" s="373"/>
      <c r="I37" s="372">
        <f t="shared" si="25"/>
        <v>730.55</v>
      </c>
      <c r="J37" s="372">
        <f t="shared" si="26"/>
        <v>1318.5</v>
      </c>
      <c r="K37" s="372">
        <f t="shared" si="27"/>
        <v>2049.0500000000002</v>
      </c>
      <c r="L37" s="374"/>
      <c r="M37" s="375">
        <f t="shared" si="28"/>
        <v>161.70000000000027</v>
      </c>
      <c r="N37" s="376">
        <f t="shared" si="29"/>
        <v>8.5675682835722189E-2</v>
      </c>
      <c r="O37" s="374"/>
      <c r="P37" s="374"/>
      <c r="Q37" s="374"/>
      <c r="R37" s="374"/>
      <c r="S37" s="374"/>
      <c r="T37" s="374"/>
      <c r="U37" s="374"/>
      <c r="V37" s="374"/>
      <c r="W37" s="374"/>
      <c r="X37" s="374"/>
      <c r="Y37" s="374"/>
      <c r="Z37" s="374"/>
      <c r="AA37" s="374"/>
      <c r="AB37" s="374"/>
      <c r="AC37" s="374"/>
      <c r="AD37" s="374"/>
    </row>
    <row r="38" spans="1:30" ht="14" x14ac:dyDescent="0.3">
      <c r="A38" s="151">
        <f>IF(C38&lt;&gt;"",COUNTA($C$12:C38),"")</f>
        <v>24</v>
      </c>
      <c r="B38" s="151"/>
      <c r="C38" s="409">
        <f t="shared" si="21"/>
        <v>50</v>
      </c>
      <c r="D38" s="409">
        <f t="shared" si="30"/>
        <v>20000</v>
      </c>
      <c r="E38" s="372">
        <f t="shared" si="22"/>
        <v>1468.4</v>
      </c>
      <c r="F38" s="372">
        <f t="shared" si="23"/>
        <v>2280.6</v>
      </c>
      <c r="G38" s="372">
        <f t="shared" si="24"/>
        <v>3749</v>
      </c>
      <c r="H38" s="373"/>
      <c r="I38" s="372">
        <f t="shared" si="25"/>
        <v>1434.7</v>
      </c>
      <c r="J38" s="372">
        <f t="shared" si="26"/>
        <v>2637</v>
      </c>
      <c r="K38" s="372">
        <f t="shared" si="27"/>
        <v>4071.7</v>
      </c>
      <c r="L38" s="374"/>
      <c r="M38" s="375">
        <f t="shared" si="28"/>
        <v>322.69999999999982</v>
      </c>
      <c r="N38" s="376">
        <f t="shared" si="29"/>
        <v>8.6076287009869246E-2</v>
      </c>
      <c r="O38" s="374"/>
      <c r="P38" s="374"/>
      <c r="Q38" s="374"/>
      <c r="R38" s="374"/>
      <c r="S38" s="374"/>
      <c r="T38" s="374"/>
      <c r="U38" s="374"/>
      <c r="V38" s="374"/>
      <c r="W38" s="374"/>
      <c r="X38" s="374"/>
      <c r="Y38" s="374"/>
      <c r="Z38" s="374"/>
      <c r="AA38" s="374"/>
      <c r="AB38" s="374"/>
      <c r="AC38" s="374"/>
      <c r="AD38" s="374"/>
    </row>
    <row r="39" spans="1:30" ht="14" x14ac:dyDescent="0.3">
      <c r="A39" s="151">
        <f>IF(C39&lt;&gt;"",COUNTA($C$12:C39),"")</f>
        <v>25</v>
      </c>
      <c r="B39" s="151"/>
      <c r="C39" s="409">
        <f t="shared" si="21"/>
        <v>100</v>
      </c>
      <c r="D39" s="409">
        <f t="shared" si="30"/>
        <v>40000</v>
      </c>
      <c r="E39" s="372">
        <f t="shared" si="22"/>
        <v>2911.1</v>
      </c>
      <c r="F39" s="372">
        <f t="shared" si="23"/>
        <v>4561.2</v>
      </c>
      <c r="G39" s="372">
        <f t="shared" si="24"/>
        <v>7472.2999999999993</v>
      </c>
      <c r="H39" s="373"/>
      <c r="I39" s="372">
        <f t="shared" si="25"/>
        <v>2843</v>
      </c>
      <c r="J39" s="372">
        <f t="shared" si="26"/>
        <v>5274</v>
      </c>
      <c r="K39" s="372">
        <f t="shared" si="27"/>
        <v>8117</v>
      </c>
      <c r="L39" s="374"/>
      <c r="M39" s="375">
        <f t="shared" si="28"/>
        <v>644.70000000000073</v>
      </c>
      <c r="N39" s="376">
        <f t="shared" si="29"/>
        <v>8.6278655835552748E-2</v>
      </c>
      <c r="O39" s="374"/>
      <c r="P39" s="374"/>
      <c r="Q39" s="374"/>
      <c r="R39" s="374"/>
      <c r="S39" s="374"/>
      <c r="T39" s="374"/>
      <c r="U39" s="374"/>
      <c r="V39" s="374"/>
      <c r="W39" s="374"/>
      <c r="X39" s="374"/>
      <c r="Y39" s="374"/>
      <c r="Z39" s="374"/>
      <c r="AA39" s="374"/>
      <c r="AB39" s="374"/>
      <c r="AC39" s="374"/>
      <c r="AD39" s="374"/>
    </row>
    <row r="40" spans="1:30" ht="14" x14ac:dyDescent="0.3">
      <c r="A40" s="151">
        <f>IF(C40&lt;&gt;"",COUNTA($C$12:C40),"")</f>
        <v>26</v>
      </c>
      <c r="B40" s="151" t="s">
        <v>554</v>
      </c>
      <c r="C40" s="409">
        <v>27</v>
      </c>
      <c r="D40" s="409">
        <f t="shared" si="30"/>
        <v>10800</v>
      </c>
      <c r="E40" s="372">
        <f t="shared" si="22"/>
        <v>804.75</v>
      </c>
      <c r="F40" s="372">
        <f t="shared" si="23"/>
        <v>1231.52</v>
      </c>
      <c r="G40" s="372">
        <f t="shared" ref="G40" si="31">SUM(E40:F40)</f>
        <v>2036.27</v>
      </c>
      <c r="H40" s="373"/>
      <c r="I40" s="372">
        <f t="shared" si="25"/>
        <v>786.88</v>
      </c>
      <c r="J40" s="372">
        <f t="shared" si="26"/>
        <v>1423.98</v>
      </c>
      <c r="K40" s="372">
        <f t="shared" ref="K40" si="32">SUM(I40:J40)</f>
        <v>2210.86</v>
      </c>
      <c r="L40" s="374"/>
      <c r="M40" s="375">
        <f t="shared" si="28"/>
        <v>174.59000000000015</v>
      </c>
      <c r="N40" s="376">
        <f t="shared" si="29"/>
        <v>8.5740103227960995E-2</v>
      </c>
      <c r="O40" s="374"/>
      <c r="P40" s="374"/>
      <c r="Q40" s="374"/>
      <c r="R40" s="374"/>
      <c r="S40" s="374"/>
      <c r="T40" s="374"/>
      <c r="U40" s="374"/>
      <c r="V40" s="374"/>
      <c r="W40" s="374"/>
      <c r="X40" s="374"/>
      <c r="Y40" s="374"/>
      <c r="Z40" s="374"/>
      <c r="AA40" s="374"/>
      <c r="AB40" s="374"/>
      <c r="AC40" s="374"/>
      <c r="AD40" s="374"/>
    </row>
    <row r="41" spans="1:30" ht="14" x14ac:dyDescent="0.3">
      <c r="A41" s="151" t="str">
        <f>IF(C41&lt;&gt;"",COUNTA($C$12:C41),"")</f>
        <v/>
      </c>
      <c r="B41" s="151"/>
      <c r="C41" s="493"/>
      <c r="D41" s="493"/>
      <c r="E41" s="489"/>
      <c r="F41" s="489"/>
      <c r="G41" s="489"/>
      <c r="H41" s="494"/>
      <c r="I41" s="489"/>
      <c r="J41" s="489"/>
      <c r="K41" s="489"/>
      <c r="L41" s="495"/>
      <c r="M41" s="497"/>
      <c r="N41" s="519"/>
    </row>
    <row r="42" spans="1:30" ht="14" x14ac:dyDescent="0.3">
      <c r="A42" s="151" t="str">
        <f>IF(C42&lt;&gt;"",COUNTA($C$12:C42),"")</f>
        <v/>
      </c>
      <c r="B42" s="151"/>
      <c r="C42" s="409"/>
      <c r="D42" s="372"/>
      <c r="E42" s="372"/>
      <c r="F42" s="372"/>
      <c r="G42" s="373"/>
      <c r="H42" s="374"/>
      <c r="I42" s="374"/>
      <c r="J42" s="374"/>
      <c r="K42" s="374"/>
      <c r="L42" s="374"/>
      <c r="M42" s="374"/>
    </row>
    <row r="43" spans="1:30" ht="14" x14ac:dyDescent="0.3">
      <c r="A43" s="151">
        <f>IF(C43&lt;&gt;"",COUNTA($C$12:C43),"")</f>
        <v>27</v>
      </c>
      <c r="B43" s="151"/>
      <c r="C43" s="293" t="s">
        <v>46</v>
      </c>
      <c r="D43" s="293"/>
      <c r="E43" s="374"/>
      <c r="F43" s="374"/>
      <c r="G43" s="480" t="str">
        <f>+'Bill_Cam G0'!F27</f>
        <v>Current</v>
      </c>
      <c r="H43" s="480"/>
      <c r="I43" s="480" t="str">
        <f>+'Bill_Cam G0'!H27</f>
        <v>Proposed</v>
      </c>
      <c r="J43" s="374"/>
      <c r="K43" s="374"/>
      <c r="L43" s="374"/>
      <c r="M43" s="374"/>
    </row>
    <row r="44" spans="1:30" ht="17" x14ac:dyDescent="0.6">
      <c r="A44" s="151">
        <f>IF(C44&lt;&gt;"",COUNTA($C$12:C44),"")</f>
        <v>28</v>
      </c>
      <c r="B44" s="151"/>
      <c r="C44" s="274" t="s">
        <v>46</v>
      </c>
      <c r="D44" s="293"/>
      <c r="E44" s="374"/>
      <c r="F44" s="374"/>
      <c r="G44" s="482" t="str">
        <f>+'Bill_Cam G0'!F28</f>
        <v>Rates</v>
      </c>
      <c r="H44" s="482"/>
      <c r="I44" s="482" t="str">
        <f>+'Bill_Cam G0'!H28</f>
        <v>Rates</v>
      </c>
      <c r="J44" s="482" t="str">
        <f>+'Bill_Cam G0'!I28</f>
        <v>Change</v>
      </c>
      <c r="K44" s="374"/>
      <c r="L44" s="374"/>
      <c r="M44" s="374"/>
    </row>
    <row r="45" spans="1:30" ht="14" x14ac:dyDescent="0.3">
      <c r="A45" s="151">
        <f>IF(C45&lt;&gt;"",COUNTA($C$12:C45),"")</f>
        <v>29</v>
      </c>
      <c r="B45" s="151"/>
      <c r="C45" s="293" t="s">
        <v>296</v>
      </c>
      <c r="D45" s="274"/>
      <c r="E45" s="374"/>
      <c r="F45" s="374"/>
      <c r="G45" s="454">
        <v>6</v>
      </c>
      <c r="H45" s="512"/>
      <c r="I45" s="454">
        <f>G45</f>
        <v>6</v>
      </c>
      <c r="J45" s="421">
        <f>I45-G45</f>
        <v>0</v>
      </c>
      <c r="K45" s="374"/>
      <c r="L45" s="374"/>
      <c r="M45" s="374"/>
    </row>
    <row r="46" spans="1:30" ht="14" x14ac:dyDescent="0.3">
      <c r="A46" s="151">
        <f>IF(C46&lt;&gt;"",COUNTA($C$12:C46),"")</f>
        <v>30</v>
      </c>
      <c r="B46" s="151"/>
      <c r="C46" s="293" t="s">
        <v>428</v>
      </c>
      <c r="D46" s="274"/>
      <c r="E46" s="374"/>
      <c r="F46" s="374"/>
      <c r="G46" s="454">
        <v>0</v>
      </c>
      <c r="H46" s="512"/>
      <c r="I46" s="454">
        <f>G46</f>
        <v>0</v>
      </c>
      <c r="J46" s="421">
        <f t="shared" ref="J46:J69" si="33">I46-G46</f>
        <v>0</v>
      </c>
      <c r="K46" s="374"/>
      <c r="L46" s="374"/>
      <c r="M46" s="374"/>
    </row>
    <row r="47" spans="1:30" ht="14" x14ac:dyDescent="0.3">
      <c r="A47" s="151">
        <f>IF(C47&lt;&gt;"",COUNTA($C$12:C47),"")</f>
        <v>31</v>
      </c>
      <c r="B47" s="151"/>
      <c r="C47" s="293" t="s">
        <v>430</v>
      </c>
      <c r="D47" s="274"/>
      <c r="E47" s="374"/>
      <c r="F47" s="374"/>
      <c r="G47" s="454">
        <v>4.8499999999999996</v>
      </c>
      <c r="H47" s="512"/>
      <c r="I47" s="454">
        <v>5.03</v>
      </c>
      <c r="J47" s="421">
        <f t="shared" si="33"/>
        <v>0.1800000000000006</v>
      </c>
      <c r="K47" s="374"/>
      <c r="L47" s="374"/>
      <c r="M47" s="374"/>
    </row>
    <row r="48" spans="1:30" ht="14" x14ac:dyDescent="0.3">
      <c r="A48" s="151">
        <f>IF(C48&lt;&gt;"",COUNTA($C$12:C48),"")</f>
        <v>32</v>
      </c>
      <c r="B48" s="151"/>
      <c r="C48" s="293" t="s">
        <v>478</v>
      </c>
      <c r="D48" s="274"/>
      <c r="E48" s="374"/>
      <c r="F48" s="374"/>
      <c r="G48" s="308">
        <v>4.0669999999999998E-2</v>
      </c>
      <c r="H48" s="520"/>
      <c r="I48" s="308">
        <v>4.2160000000000003E-2</v>
      </c>
      <c r="J48" s="354">
        <f t="shared" si="33"/>
        <v>1.4900000000000052E-3</v>
      </c>
      <c r="K48" s="374"/>
      <c r="L48" s="374"/>
      <c r="M48" s="374"/>
    </row>
    <row r="49" spans="1:13" ht="14" x14ac:dyDescent="0.3">
      <c r="A49" s="151">
        <f>IF(C49&lt;&gt;"",COUNTA($C$12:C49),"")</f>
        <v>33</v>
      </c>
      <c r="B49" s="151"/>
      <c r="C49" s="369" t="s">
        <v>479</v>
      </c>
      <c r="E49" s="374"/>
      <c r="F49" s="374"/>
      <c r="G49" s="308">
        <v>1.102E-2</v>
      </c>
      <c r="H49" s="520"/>
      <c r="I49" s="308">
        <v>1.142E-2</v>
      </c>
      <c r="J49" s="354">
        <f t="shared" si="33"/>
        <v>3.9999999999999931E-4</v>
      </c>
      <c r="K49" s="374"/>
      <c r="L49" s="374"/>
      <c r="M49" s="374"/>
    </row>
    <row r="50" spans="1:13" ht="14" x14ac:dyDescent="0.3">
      <c r="A50" s="151">
        <f>IF(C50&lt;&gt;"",COUNTA($C$12:C50),"")</f>
        <v>34</v>
      </c>
      <c r="B50" s="151"/>
      <c r="C50" s="293" t="str">
        <f>+'Bill_Cam G0'!C31</f>
        <v>Revenue Decoupling</v>
      </c>
      <c r="E50" s="374"/>
      <c r="F50" s="374"/>
      <c r="G50" s="308">
        <v>0</v>
      </c>
      <c r="H50" s="400"/>
      <c r="I50" s="277">
        <v>-3.6000000000000002E-4</v>
      </c>
      <c r="J50" s="354">
        <f t="shared" si="33"/>
        <v>-3.6000000000000002E-4</v>
      </c>
      <c r="K50" s="374"/>
      <c r="L50" s="374"/>
      <c r="M50" s="374"/>
    </row>
    <row r="51" spans="1:13" ht="14" x14ac:dyDescent="0.3">
      <c r="A51" s="151">
        <f>IF(C51&lt;&gt;"",COUNTA($C$12:C51),"")</f>
        <v>35</v>
      </c>
      <c r="B51" s="151"/>
      <c r="C51" s="293" t="str">
        <f>+'Bill_Cam G0'!C32</f>
        <v>Residential Assistance Adjustment Factor</v>
      </c>
      <c r="D51" s="274"/>
      <c r="E51" s="374"/>
      <c r="F51" s="374"/>
      <c r="G51" s="277">
        <v>2.3E-3</v>
      </c>
      <c r="H51" s="400"/>
      <c r="I51" s="277">
        <v>3.0100000000000001E-3</v>
      </c>
      <c r="J51" s="354">
        <f t="shared" si="33"/>
        <v>7.1000000000000013E-4</v>
      </c>
      <c r="K51" s="374"/>
      <c r="L51" s="374"/>
      <c r="M51" s="374"/>
    </row>
    <row r="52" spans="1:13" ht="14" x14ac:dyDescent="0.3">
      <c r="A52" s="151">
        <f>IF(C52&lt;&gt;"",COUNTA($C$12:C52),"")</f>
        <v>36</v>
      </c>
      <c r="B52" s="151"/>
      <c r="C52" s="293" t="str">
        <f>+'Bill_Cam G0'!C33</f>
        <v>Pension Adjustment Factor</v>
      </c>
      <c r="D52" s="274"/>
      <c r="E52" s="374"/>
      <c r="F52" s="374"/>
      <c r="G52" s="277">
        <v>-8.0000000000000007E-5</v>
      </c>
      <c r="H52" s="400"/>
      <c r="I52" s="277">
        <v>6.9999999999999999E-4</v>
      </c>
      <c r="J52" s="354">
        <f t="shared" si="33"/>
        <v>7.7999999999999999E-4</v>
      </c>
      <c r="K52" s="374"/>
      <c r="L52" s="374"/>
      <c r="M52" s="374"/>
    </row>
    <row r="53" spans="1:13" ht="14" x14ac:dyDescent="0.3">
      <c r="A53" s="151">
        <f>IF(C53&lt;&gt;"",COUNTA($C$12:C53),"")</f>
        <v>37</v>
      </c>
      <c r="B53" s="151"/>
      <c r="C53" s="293" t="str">
        <f>+'Bill_Cam G0'!C34</f>
        <v>Net Metering Recovery Surcharge</v>
      </c>
      <c r="D53" s="274"/>
      <c r="E53" s="374"/>
      <c r="F53" s="374"/>
      <c r="G53" s="277">
        <v>4.5300000000000002E-3</v>
      </c>
      <c r="H53" s="400"/>
      <c r="I53" s="277">
        <v>3.9300000000000003E-3</v>
      </c>
      <c r="J53" s="354">
        <f t="shared" si="33"/>
        <v>-5.9999999999999984E-4</v>
      </c>
      <c r="K53" s="374"/>
      <c r="L53" s="374"/>
      <c r="M53" s="374"/>
    </row>
    <row r="54" spans="1:13" ht="14" x14ac:dyDescent="0.3">
      <c r="A54" s="151">
        <f>IF(C54&lt;&gt;"",COUNTA($C$12:C54),"")</f>
        <v>38</v>
      </c>
      <c r="B54" s="151"/>
      <c r="C54" s="293" t="str">
        <f>+'Bill_Cam G0'!C35</f>
        <v>Long Term Renewable Contract Adjustment</v>
      </c>
      <c r="D54" s="274"/>
      <c r="E54" s="374"/>
      <c r="F54" s="374"/>
      <c r="G54" s="277">
        <v>2.3600000000000001E-3</v>
      </c>
      <c r="H54" s="400"/>
      <c r="I54" s="277">
        <v>1.74E-3</v>
      </c>
      <c r="J54" s="354">
        <f t="shared" si="33"/>
        <v>-6.2000000000000011E-4</v>
      </c>
      <c r="K54" s="374"/>
      <c r="L54" s="374"/>
      <c r="M54" s="374"/>
    </row>
    <row r="55" spans="1:13" ht="14" x14ac:dyDescent="0.3">
      <c r="A55" s="151">
        <f>IF(C55&lt;&gt;"",COUNTA($C$12:C55),"")</f>
        <v>39</v>
      </c>
      <c r="B55" s="151"/>
      <c r="C55" s="293" t="str">
        <f>+'Bill_Cam G0'!C36</f>
        <v>AG Consulting Expense</v>
      </c>
      <c r="D55" s="274"/>
      <c r="E55" s="374"/>
      <c r="F55" s="374"/>
      <c r="G55" s="277">
        <v>2.0000000000000002E-5</v>
      </c>
      <c r="H55" s="400"/>
      <c r="I55" s="277">
        <v>1.0000000000000001E-5</v>
      </c>
      <c r="J55" s="354">
        <f t="shared" si="33"/>
        <v>-1.0000000000000001E-5</v>
      </c>
      <c r="K55" s="374"/>
      <c r="L55" s="374"/>
      <c r="M55" s="374"/>
    </row>
    <row r="56" spans="1:13" ht="14" x14ac:dyDescent="0.3">
      <c r="A56" s="151">
        <f>IF(C56&lt;&gt;"",COUNTA($C$12:C56),"")</f>
        <v>40</v>
      </c>
      <c r="B56" s="151"/>
      <c r="C56" s="293" t="str">
        <f>+'Bill_Cam G0'!C37</f>
        <v>Storm Cost Recovery Adjustment Factor</v>
      </c>
      <c r="D56" s="274"/>
      <c r="E56" s="374"/>
      <c r="F56" s="374"/>
      <c r="G56" s="277">
        <v>1.42E-3</v>
      </c>
      <c r="H56" s="400"/>
      <c r="I56" s="277">
        <v>2.2799999999999999E-3</v>
      </c>
      <c r="J56" s="354">
        <f t="shared" si="33"/>
        <v>8.5999999999999987E-4</v>
      </c>
      <c r="K56" s="374"/>
      <c r="L56" s="374"/>
      <c r="M56" s="374"/>
    </row>
    <row r="57" spans="1:13" ht="14" x14ac:dyDescent="0.3">
      <c r="A57" s="151">
        <f>IF(C57&lt;&gt;"",COUNTA($C$12:C57),"")</f>
        <v>41</v>
      </c>
      <c r="B57" s="151"/>
      <c r="C57" s="293" t="str">
        <f>+'Bill_Cam G0'!C38</f>
        <v>Storm Reserve Adjustment</v>
      </c>
      <c r="D57" s="274"/>
      <c r="E57" s="374"/>
      <c r="F57" s="374"/>
      <c r="G57" s="277">
        <v>0</v>
      </c>
      <c r="H57" s="400"/>
      <c r="I57" s="277">
        <v>0</v>
      </c>
      <c r="J57" s="354">
        <f t="shared" si="33"/>
        <v>0</v>
      </c>
      <c r="K57" s="374"/>
      <c r="L57" s="374"/>
      <c r="M57" s="374"/>
    </row>
    <row r="58" spans="1:13" ht="14" x14ac:dyDescent="0.3">
      <c r="A58" s="151">
        <f>IF(C58&lt;&gt;"",COUNTA($C$12:C58),"")</f>
        <v>42</v>
      </c>
      <c r="B58" s="151"/>
      <c r="C58" s="293" t="str">
        <f>+'Bill_Cam G0'!C39</f>
        <v>Basic Service Cost True Up Factor</v>
      </c>
      <c r="E58" s="374"/>
      <c r="F58" s="374"/>
      <c r="G58" s="277">
        <v>1.23E-3</v>
      </c>
      <c r="H58" s="400"/>
      <c r="I58" s="277">
        <v>-1.4999999999999999E-4</v>
      </c>
      <c r="J58" s="354">
        <f t="shared" si="33"/>
        <v>-1.3799999999999999E-3</v>
      </c>
      <c r="K58" s="374"/>
      <c r="L58" s="374"/>
      <c r="M58" s="374"/>
    </row>
    <row r="59" spans="1:13" ht="14" x14ac:dyDescent="0.3">
      <c r="A59" s="151">
        <f>IF(C59&lt;&gt;"",COUNTA($C$12:C59),"")</f>
        <v>43</v>
      </c>
      <c r="B59" s="151"/>
      <c r="C59" s="293" t="str">
        <f>+'Bill_Cam G0'!C40</f>
        <v>Solar Program Cost Adjustment Factor</v>
      </c>
      <c r="D59" s="274"/>
      <c r="E59" s="374"/>
      <c r="F59" s="374"/>
      <c r="G59" s="277">
        <v>0</v>
      </c>
      <c r="H59" s="400"/>
      <c r="I59" s="277">
        <v>3.0000000000000001E-5</v>
      </c>
      <c r="J59" s="354">
        <f t="shared" si="33"/>
        <v>3.0000000000000001E-5</v>
      </c>
      <c r="K59" s="374"/>
      <c r="L59" s="374"/>
      <c r="M59" s="374"/>
    </row>
    <row r="60" spans="1:13" ht="14" x14ac:dyDescent="0.3">
      <c r="A60" s="151">
        <f>IF(C60&lt;&gt;"",COUNTA($C$12:C60),"")</f>
        <v>44</v>
      </c>
      <c r="B60" s="151"/>
      <c r="C60" s="293" t="str">
        <f>+'Bill_Cam G0'!C41</f>
        <v>Solar Expansion Cost Recovery Factor</v>
      </c>
      <c r="D60" s="274"/>
      <c r="E60" s="374"/>
      <c r="F60" s="374"/>
      <c r="G60" s="277">
        <v>0</v>
      </c>
      <c r="H60" s="400"/>
      <c r="I60" s="277">
        <v>4.6999999999999999E-4</v>
      </c>
      <c r="J60" s="354">
        <f t="shared" si="33"/>
        <v>4.6999999999999999E-4</v>
      </c>
      <c r="K60" s="374"/>
      <c r="L60" s="374"/>
      <c r="M60" s="374"/>
    </row>
    <row r="61" spans="1:13" ht="14" x14ac:dyDescent="0.3">
      <c r="A61" s="151">
        <f>IF(C61&lt;&gt;"",COUNTA($C$12:C61),"")</f>
        <v>45</v>
      </c>
      <c r="B61" s="151"/>
      <c r="C61" s="293" t="str">
        <f>+'Bill_Cam G0'!C42</f>
        <v>Vegetation Management</v>
      </c>
      <c r="D61" s="274"/>
      <c r="E61" s="374"/>
      <c r="F61" s="374"/>
      <c r="G61" s="277">
        <v>0</v>
      </c>
      <c r="H61" s="400"/>
      <c r="I61" s="277">
        <v>1.25E-3</v>
      </c>
      <c r="J61" s="354">
        <f t="shared" si="33"/>
        <v>1.25E-3</v>
      </c>
      <c r="K61" s="374"/>
      <c r="L61" s="374"/>
      <c r="M61" s="374"/>
    </row>
    <row r="62" spans="1:13" ht="14" x14ac:dyDescent="0.3">
      <c r="A62" s="151">
        <f>IF(C62&lt;&gt;"",COUNTA($C$12:C62),"")</f>
        <v>46</v>
      </c>
      <c r="B62" s="151"/>
      <c r="C62" s="293" t="str">
        <f>+'Bill_Cam G0'!C43</f>
        <v>Solar Massachusetts Renewable Target</v>
      </c>
      <c r="D62" s="339"/>
      <c r="E62" s="339"/>
      <c r="F62" s="277"/>
      <c r="G62" s="277">
        <v>0</v>
      </c>
      <c r="H62" s="277"/>
      <c r="I62" s="277">
        <v>5.5000000000000003E-4</v>
      </c>
      <c r="J62" s="354">
        <f t="shared" si="33"/>
        <v>5.5000000000000003E-4</v>
      </c>
      <c r="K62" s="339"/>
      <c r="L62" s="339"/>
    </row>
    <row r="63" spans="1:13" ht="14" x14ac:dyDescent="0.3">
      <c r="A63" s="151">
        <f>IF(C63&lt;&gt;"",COUNTA($C$12:C63),"")</f>
        <v>47</v>
      </c>
      <c r="B63" s="151"/>
      <c r="C63" s="293" t="str">
        <f>+'Bill_Cam G0'!C44</f>
        <v>Tax Act Credit Factor</v>
      </c>
      <c r="D63" s="339"/>
      <c r="E63" s="339"/>
      <c r="F63" s="277"/>
      <c r="G63" s="277">
        <v>0</v>
      </c>
      <c r="H63" s="277"/>
      <c r="I63" s="277">
        <v>-8.3000000000000001E-4</v>
      </c>
      <c r="J63" s="354">
        <f t="shared" si="33"/>
        <v>-8.3000000000000001E-4</v>
      </c>
      <c r="K63" s="339"/>
      <c r="L63" s="339"/>
    </row>
    <row r="64" spans="1:13" ht="14" x14ac:dyDescent="0.3">
      <c r="A64" s="151">
        <f>IF(C64&lt;&gt;"",COUNTA($C$12:C64),"")</f>
        <v>48</v>
      </c>
      <c r="B64" s="151"/>
      <c r="C64" s="293" t="str">
        <f>+'Bill_Cam G0'!C45</f>
        <v>Transition</v>
      </c>
      <c r="D64" s="274"/>
      <c r="E64" s="374"/>
      <c r="F64" s="374"/>
      <c r="G64" s="308">
        <v>-6.0999999999999997E-4</v>
      </c>
      <c r="H64" s="400"/>
      <c r="I64" s="277">
        <v>-5.1999999999999995E-4</v>
      </c>
      <c r="J64" s="354">
        <f t="shared" si="33"/>
        <v>9.0000000000000019E-5</v>
      </c>
      <c r="K64" s="374"/>
      <c r="L64" s="374"/>
      <c r="M64" s="374"/>
    </row>
    <row r="65" spans="1:13" ht="14" x14ac:dyDescent="0.3">
      <c r="A65" s="151">
        <f>IF(C65&lt;&gt;"",COUNTA($C$12:C65),"")</f>
        <v>49</v>
      </c>
      <c r="B65" s="151"/>
      <c r="C65" s="293" t="str">
        <f>+'Bill_Cam G0'!C46</f>
        <v>Transmission Energy</v>
      </c>
      <c r="D65" s="274"/>
      <c r="E65" s="374"/>
      <c r="F65" s="374"/>
      <c r="G65" s="308">
        <v>2.6360000000000001E-2</v>
      </c>
      <c r="H65" s="520"/>
      <c r="I65" s="308">
        <v>2.2849999999999999E-2</v>
      </c>
      <c r="J65" s="354">
        <f t="shared" si="33"/>
        <v>-3.5100000000000027E-3</v>
      </c>
      <c r="K65" s="374"/>
      <c r="L65" s="374"/>
      <c r="M65" s="374"/>
    </row>
    <row r="66" spans="1:13" ht="14" x14ac:dyDescent="0.3">
      <c r="A66" s="151">
        <f>IF(C66&lt;&gt;"",COUNTA($C$12:C66),"")</f>
        <v>50</v>
      </c>
      <c r="B66" s="151"/>
      <c r="C66" s="293" t="str">
        <f>+'Bill_Cam G0'!C47</f>
        <v>Energy Efficiency Reconciliation Factor</v>
      </c>
      <c r="D66" s="274"/>
      <c r="E66" s="374"/>
      <c r="F66" s="374"/>
      <c r="G66" s="308">
        <v>8.4600000000000005E-3</v>
      </c>
      <c r="H66" s="520"/>
      <c r="I66" s="308">
        <v>8.4600000000000005E-3</v>
      </c>
      <c r="J66" s="354">
        <f t="shared" si="33"/>
        <v>0</v>
      </c>
      <c r="K66" s="374"/>
      <c r="L66" s="374"/>
      <c r="M66" s="374"/>
    </row>
    <row r="67" spans="1:13" ht="14" x14ac:dyDescent="0.3">
      <c r="A67" s="151">
        <f>IF(C67&lt;&gt;"",COUNTA($C$12:C67),"")</f>
        <v>51</v>
      </c>
      <c r="B67" s="151"/>
      <c r="C67" s="293" t="str">
        <f>+'Bill_Cam G0'!C48</f>
        <v>System Benefits Charge</v>
      </c>
      <c r="D67" s="274"/>
      <c r="E67" s="374"/>
      <c r="F67" s="374"/>
      <c r="G67" s="308">
        <v>2.5000000000000001E-3</v>
      </c>
      <c r="H67" s="520"/>
      <c r="I67" s="308">
        <f>G67</f>
        <v>2.5000000000000001E-3</v>
      </c>
      <c r="J67" s="354">
        <f t="shared" si="33"/>
        <v>0</v>
      </c>
      <c r="K67" s="374"/>
      <c r="L67" s="374"/>
      <c r="M67" s="374"/>
    </row>
    <row r="68" spans="1:13" ht="14" x14ac:dyDescent="0.3">
      <c r="A68" s="151">
        <f>IF(C68&lt;&gt;"",COUNTA($C$12:C68),"")</f>
        <v>52</v>
      </c>
      <c r="B68" s="151"/>
      <c r="C68" s="293" t="str">
        <f>+'Bill_Cam G0'!C49</f>
        <v>Renewable Energy Charge</v>
      </c>
      <c r="D68" s="274"/>
      <c r="E68" s="374"/>
      <c r="F68" s="374"/>
      <c r="G68" s="308">
        <v>5.0000000000000001E-4</v>
      </c>
      <c r="H68" s="520"/>
      <c r="I68" s="308">
        <f>G68</f>
        <v>5.0000000000000001E-4</v>
      </c>
      <c r="J68" s="354">
        <f t="shared" si="33"/>
        <v>0</v>
      </c>
      <c r="K68" s="374"/>
      <c r="L68" s="374"/>
      <c r="M68" s="374"/>
    </row>
    <row r="69" spans="1:13" ht="14" x14ac:dyDescent="0.3">
      <c r="A69" s="151">
        <f>IF(C69&lt;&gt;"",COUNTA($C$12:C69),"")</f>
        <v>53</v>
      </c>
      <c r="B69" s="151"/>
      <c r="C69" s="293" t="str">
        <f>+'Bill_Cam G0'!C50</f>
        <v>Basic Service Charge</v>
      </c>
      <c r="D69" s="274"/>
      <c r="E69" s="374"/>
      <c r="F69" s="374"/>
      <c r="G69" s="308">
        <v>0.11403000000000001</v>
      </c>
      <c r="H69" s="520"/>
      <c r="I69" s="308">
        <v>0.13185000000000002</v>
      </c>
      <c r="J69" s="354">
        <f t="shared" si="33"/>
        <v>1.7820000000000016E-2</v>
      </c>
      <c r="K69" s="374"/>
      <c r="L69" s="374"/>
      <c r="M69" s="374"/>
    </row>
    <row r="70" spans="1:13" ht="14" x14ac:dyDescent="0.3">
      <c r="A70" s="151"/>
      <c r="B70" s="151"/>
      <c r="E70" s="374"/>
      <c r="F70" s="374"/>
      <c r="G70" s="374"/>
      <c r="H70" s="374"/>
      <c r="I70" s="374"/>
      <c r="J70" s="354"/>
      <c r="K70" s="374"/>
      <c r="L70" s="374"/>
      <c r="M70" s="374"/>
    </row>
    <row r="71" spans="1:13" ht="14" x14ac:dyDescent="0.3">
      <c r="A71" s="151"/>
      <c r="B71" s="151"/>
      <c r="E71" s="374"/>
      <c r="F71" s="374"/>
      <c r="G71" s="374"/>
      <c r="H71" s="374"/>
      <c r="I71" s="374"/>
      <c r="J71" s="374"/>
      <c r="K71" s="374"/>
      <c r="L71" s="374"/>
      <c r="M71" s="374"/>
    </row>
    <row r="72" spans="1:13" ht="14" x14ac:dyDescent="0.3">
      <c r="A72" s="151"/>
      <c r="B72" s="151"/>
      <c r="C72" s="293" t="s">
        <v>592</v>
      </c>
      <c r="E72" s="374"/>
      <c r="F72" s="374"/>
      <c r="G72" s="374">
        <f>G46</f>
        <v>0</v>
      </c>
      <c r="H72" s="374"/>
      <c r="I72" s="374">
        <f>I46</f>
        <v>0</v>
      </c>
      <c r="J72" s="421">
        <f t="shared" ref="J72:J76" si="34">I72-G72</f>
        <v>0</v>
      </c>
      <c r="K72" s="374"/>
      <c r="L72" s="374"/>
      <c r="M72" s="374"/>
    </row>
    <row r="73" spans="1:13" ht="14" x14ac:dyDescent="0.3">
      <c r="A73" s="151"/>
      <c r="B73" s="151"/>
      <c r="C73" s="293" t="s">
        <v>570</v>
      </c>
      <c r="E73" s="374"/>
      <c r="F73" s="374"/>
      <c r="G73" s="374">
        <f t="shared" ref="G73:I73" si="35">G47</f>
        <v>4.8499999999999996</v>
      </c>
      <c r="H73" s="374"/>
      <c r="I73" s="374">
        <f t="shared" si="35"/>
        <v>5.03</v>
      </c>
      <c r="J73" s="421">
        <f t="shared" si="34"/>
        <v>0.1800000000000006</v>
      </c>
      <c r="K73" s="374"/>
      <c r="L73" s="374"/>
      <c r="M73" s="374"/>
    </row>
    <row r="74" spans="1:13" ht="14" x14ac:dyDescent="0.3">
      <c r="A74" s="151"/>
      <c r="B74" s="151"/>
      <c r="C74" s="293" t="s">
        <v>606</v>
      </c>
      <c r="E74" s="374"/>
      <c r="F74" s="374"/>
      <c r="G74" s="403">
        <f>SUM(G48,G$50:G$68)</f>
        <v>8.965999999999999E-2</v>
      </c>
      <c r="H74" s="403"/>
      <c r="I74" s="403">
        <f>SUM(I48,I$50:I$68)</f>
        <v>8.8580000000000006E-2</v>
      </c>
      <c r="J74" s="354">
        <f t="shared" si="34"/>
        <v>-1.0799999999999838E-3</v>
      </c>
      <c r="K74" s="374"/>
      <c r="L74" s="374"/>
      <c r="M74" s="374"/>
    </row>
    <row r="75" spans="1:13" ht="14" x14ac:dyDescent="0.3">
      <c r="A75" s="151"/>
      <c r="B75" s="151"/>
      <c r="C75" s="369" t="s">
        <v>607</v>
      </c>
      <c r="E75" s="374"/>
      <c r="F75" s="374"/>
      <c r="G75" s="403">
        <f>SUM(G49,G$50:G$68)</f>
        <v>6.0010000000000008E-2</v>
      </c>
      <c r="H75" s="403"/>
      <c r="I75" s="403">
        <f>SUM(I49,I$50:I$68)</f>
        <v>5.7840000000000003E-2</v>
      </c>
      <c r="J75" s="354">
        <f t="shared" si="34"/>
        <v>-2.1700000000000053E-3</v>
      </c>
      <c r="K75" s="374"/>
      <c r="L75" s="374"/>
      <c r="M75" s="374"/>
    </row>
    <row r="76" spans="1:13" ht="14" x14ac:dyDescent="0.3">
      <c r="A76" s="151"/>
      <c r="B76" s="151"/>
      <c r="C76" s="369" t="str">
        <f>'Bill_Cam G0'!C54</f>
        <v>Total Basic Service</v>
      </c>
      <c r="E76" s="374"/>
      <c r="F76" s="374"/>
      <c r="G76" s="403">
        <f>G69</f>
        <v>0.11403000000000001</v>
      </c>
      <c r="H76" s="403"/>
      <c r="I76" s="403">
        <f>I69</f>
        <v>0.13185000000000002</v>
      </c>
      <c r="J76" s="354">
        <f t="shared" si="34"/>
        <v>1.7820000000000016E-2</v>
      </c>
      <c r="K76" s="374"/>
      <c r="L76" s="374"/>
      <c r="M76" s="374"/>
    </row>
    <row r="77" spans="1:13" ht="14" x14ac:dyDescent="0.3">
      <c r="A77" s="151"/>
      <c r="B77" s="151"/>
      <c r="E77" s="374"/>
      <c r="F77" s="374"/>
      <c r="G77" s="374"/>
      <c r="H77" s="374"/>
      <c r="I77" s="374"/>
      <c r="J77" s="374"/>
      <c r="K77" s="374"/>
      <c r="L77" s="374"/>
      <c r="M77" s="374"/>
    </row>
    <row r="78" spans="1:13" ht="14" x14ac:dyDescent="0.3">
      <c r="A78" s="151"/>
      <c r="B78" s="151"/>
      <c r="E78" s="374"/>
      <c r="F78" s="374"/>
      <c r="G78" s="374"/>
      <c r="H78" s="374"/>
      <c r="I78" s="374"/>
      <c r="J78" s="374"/>
      <c r="K78" s="374"/>
      <c r="L78" s="374"/>
      <c r="M78" s="374"/>
    </row>
    <row r="79" spans="1:13" ht="14" x14ac:dyDescent="0.3">
      <c r="A79" s="151"/>
      <c r="B79" s="151"/>
      <c r="E79" s="374"/>
      <c r="F79" s="374"/>
      <c r="G79" s="374"/>
      <c r="H79" s="374"/>
      <c r="I79" s="374"/>
      <c r="J79" s="374"/>
      <c r="K79" s="374"/>
      <c r="L79" s="374"/>
      <c r="M79" s="374"/>
    </row>
    <row r="80" spans="1:13" ht="14" x14ac:dyDescent="0.3">
      <c r="A80" s="151"/>
      <c r="B80" s="151"/>
      <c r="E80" s="374"/>
      <c r="F80" s="374"/>
      <c r="G80" s="374"/>
      <c r="H80" s="374"/>
      <c r="I80" s="374"/>
      <c r="J80" s="374"/>
      <c r="K80" s="374"/>
      <c r="L80" s="374"/>
      <c r="M80" s="374"/>
    </row>
    <row r="81" spans="1:13" ht="14" x14ac:dyDescent="0.3">
      <c r="A81" s="151"/>
      <c r="B81" s="151"/>
      <c r="E81" s="374"/>
      <c r="F81" s="374"/>
      <c r="G81" s="374"/>
      <c r="H81" s="374"/>
      <c r="I81" s="374"/>
      <c r="J81" s="374"/>
      <c r="K81" s="374"/>
      <c r="L81" s="374"/>
      <c r="M81" s="374"/>
    </row>
    <row r="82" spans="1:13" ht="14" x14ac:dyDescent="0.3">
      <c r="A82" s="151"/>
      <c r="B82" s="151"/>
      <c r="E82" s="374"/>
      <c r="F82" s="374"/>
      <c r="G82" s="374"/>
      <c r="H82" s="374"/>
      <c r="I82" s="374"/>
      <c r="J82" s="374"/>
      <c r="K82" s="374"/>
      <c r="L82" s="374"/>
      <c r="M82" s="374"/>
    </row>
    <row r="83" spans="1:13" ht="14" x14ac:dyDescent="0.3">
      <c r="A83" s="151"/>
      <c r="B83" s="151"/>
    </row>
    <row r="84" spans="1:13" ht="14" x14ac:dyDescent="0.3">
      <c r="A84" s="151"/>
      <c r="B84" s="151"/>
    </row>
    <row r="85" spans="1:13" ht="14" x14ac:dyDescent="0.3">
      <c r="A85" s="151"/>
      <c r="B85" s="151"/>
    </row>
    <row r="86" spans="1:13" ht="14" x14ac:dyDescent="0.3">
      <c r="A86" s="151"/>
      <c r="B86" s="151"/>
    </row>
    <row r="87" spans="1:13" ht="14" x14ac:dyDescent="0.3">
      <c r="A87" s="151"/>
      <c r="B87" s="151"/>
    </row>
    <row r="88" spans="1:13" ht="14" x14ac:dyDescent="0.3">
      <c r="A88" s="151"/>
      <c r="B88" s="151"/>
    </row>
    <row r="89" spans="1:13" ht="14" x14ac:dyDescent="0.3">
      <c r="A89" s="151"/>
      <c r="B89" s="151"/>
    </row>
    <row r="90" spans="1:13" ht="14" x14ac:dyDescent="0.3">
      <c r="A90" s="151"/>
      <c r="B90" s="151"/>
    </row>
    <row r="91" spans="1:13" ht="14" x14ac:dyDescent="0.3">
      <c r="A91" s="151"/>
      <c r="B91" s="151"/>
    </row>
    <row r="92" spans="1:13" ht="14" x14ac:dyDescent="0.3">
      <c r="A92" s="151"/>
      <c r="B92" s="151"/>
    </row>
    <row r="93" spans="1:13" ht="14" x14ac:dyDescent="0.3">
      <c r="A93" s="151"/>
      <c r="B93" s="151"/>
    </row>
    <row r="94" spans="1:13" ht="14" x14ac:dyDescent="0.3">
      <c r="A94" s="151"/>
      <c r="B94" s="151"/>
    </row>
    <row r="95" spans="1:13" ht="14" x14ac:dyDescent="0.3">
      <c r="A95" s="151"/>
      <c r="B95" s="151"/>
    </row>
    <row r="96" spans="1:13" ht="14" x14ac:dyDescent="0.3">
      <c r="A96" s="151"/>
      <c r="B96" s="151"/>
    </row>
    <row r="97" spans="1:2" ht="14" x14ac:dyDescent="0.3">
      <c r="A97" s="151"/>
      <c r="B97" s="151"/>
    </row>
    <row r="98" spans="1:2" ht="14" x14ac:dyDescent="0.3">
      <c r="A98" s="151"/>
      <c r="B98" s="151"/>
    </row>
    <row r="99" spans="1:2" ht="14" x14ac:dyDescent="0.3">
      <c r="A99" s="151"/>
      <c r="B99" s="151"/>
    </row>
    <row r="100" spans="1:2" ht="14" x14ac:dyDescent="0.3">
      <c r="A100" s="151"/>
      <c r="B100" s="151"/>
    </row>
    <row r="101" spans="1:2" ht="14" x14ac:dyDescent="0.3">
      <c r="A101" s="151"/>
      <c r="B101" s="151"/>
    </row>
    <row r="102" spans="1:2" ht="14" x14ac:dyDescent="0.3">
      <c r="A102" s="151"/>
      <c r="B102" s="151"/>
    </row>
    <row r="103" spans="1:2" ht="14" x14ac:dyDescent="0.3">
      <c r="A103" s="151"/>
      <c r="B103" s="151"/>
    </row>
    <row r="104" spans="1:2" ht="14" x14ac:dyDescent="0.3">
      <c r="A104" s="151"/>
      <c r="B104" s="151"/>
    </row>
    <row r="105" spans="1:2" ht="14" x14ac:dyDescent="0.3">
      <c r="A105" s="151"/>
      <c r="B105" s="151"/>
    </row>
    <row r="106" spans="1:2" ht="14" x14ac:dyDescent="0.3">
      <c r="A106" s="151"/>
      <c r="B106" s="151"/>
    </row>
    <row r="107" spans="1:2" ht="14" x14ac:dyDescent="0.3">
      <c r="A107" s="151"/>
      <c r="B107" s="151"/>
    </row>
    <row r="108" spans="1:2" ht="14" x14ac:dyDescent="0.3">
      <c r="A108" s="151"/>
      <c r="B108" s="151"/>
    </row>
    <row r="109" spans="1:2" ht="14" x14ac:dyDescent="0.3">
      <c r="A109" s="151"/>
      <c r="B109" s="151"/>
    </row>
    <row r="110" spans="1:2" ht="14" x14ac:dyDescent="0.3">
      <c r="A110" s="151"/>
      <c r="B110" s="151"/>
    </row>
    <row r="111" spans="1:2" ht="14" x14ac:dyDescent="0.3">
      <c r="A111" s="151"/>
      <c r="B111" s="151"/>
    </row>
    <row r="112" spans="1:2" ht="14" x14ac:dyDescent="0.3">
      <c r="A112" s="151"/>
      <c r="B112" s="151"/>
    </row>
    <row r="113" spans="1:2" ht="14" x14ac:dyDescent="0.3">
      <c r="A113" s="151"/>
      <c r="B113" s="151"/>
    </row>
    <row r="114" spans="1:2" ht="14" x14ac:dyDescent="0.3">
      <c r="A114" s="151"/>
      <c r="B114" s="151"/>
    </row>
    <row r="115" spans="1:2" ht="14" x14ac:dyDescent="0.3">
      <c r="A115" s="151"/>
      <c r="B115" s="151"/>
    </row>
    <row r="116" spans="1:2" ht="14" x14ac:dyDescent="0.3">
      <c r="A116" s="151"/>
      <c r="B116" s="151"/>
    </row>
    <row r="117" spans="1:2" ht="14" x14ac:dyDescent="0.3">
      <c r="A117" s="151"/>
      <c r="B117" s="151"/>
    </row>
    <row r="118" spans="1:2" ht="14" x14ac:dyDescent="0.3">
      <c r="A118" s="151"/>
      <c r="B118" s="151"/>
    </row>
    <row r="119" spans="1:2" ht="14" x14ac:dyDescent="0.3">
      <c r="A119" s="151"/>
      <c r="B119" s="151"/>
    </row>
    <row r="120" spans="1:2" ht="14" x14ac:dyDescent="0.3">
      <c r="A120" s="151"/>
      <c r="B120" s="151"/>
    </row>
    <row r="121" spans="1:2" ht="14" x14ac:dyDescent="0.3">
      <c r="A121" s="151"/>
      <c r="B121" s="151"/>
    </row>
    <row r="122" spans="1:2" ht="14" x14ac:dyDescent="0.3">
      <c r="A122" s="151"/>
      <c r="B122" s="151"/>
    </row>
    <row r="123" spans="1:2" ht="14" x14ac:dyDescent="0.3">
      <c r="A123" s="151"/>
      <c r="B123" s="151"/>
    </row>
    <row r="124" spans="1:2" ht="14" x14ac:dyDescent="0.3">
      <c r="A124" s="151"/>
      <c r="B124" s="151"/>
    </row>
    <row r="125" spans="1:2" ht="14" x14ac:dyDescent="0.3">
      <c r="A125" s="151"/>
      <c r="B125" s="151"/>
    </row>
    <row r="126" spans="1:2" ht="14" x14ac:dyDescent="0.3">
      <c r="A126" s="151"/>
      <c r="B126" s="151"/>
    </row>
    <row r="127" spans="1:2" ht="14" x14ac:dyDescent="0.3">
      <c r="A127" s="151"/>
      <c r="B127" s="151"/>
    </row>
    <row r="128" spans="1:2" ht="14" x14ac:dyDescent="0.3">
      <c r="A128" s="151"/>
      <c r="B128" s="151"/>
    </row>
    <row r="129" spans="1:2" ht="14" x14ac:dyDescent="0.3">
      <c r="A129" s="151"/>
      <c r="B129" s="151"/>
    </row>
    <row r="130" spans="1:2" ht="14" x14ac:dyDescent="0.3">
      <c r="A130" s="151"/>
      <c r="B130" s="151"/>
    </row>
    <row r="131" spans="1:2" ht="14" x14ac:dyDescent="0.3">
      <c r="A131" s="151"/>
      <c r="B131" s="151"/>
    </row>
    <row r="132" spans="1:2" ht="14" x14ac:dyDescent="0.3">
      <c r="A132" s="151"/>
      <c r="B132" s="151"/>
    </row>
    <row r="133" spans="1:2" ht="14" x14ac:dyDescent="0.3">
      <c r="A133" s="151"/>
      <c r="B133" s="151"/>
    </row>
    <row r="134" spans="1:2" ht="14" x14ac:dyDescent="0.3">
      <c r="A134" s="151"/>
      <c r="B134" s="151"/>
    </row>
    <row r="135" spans="1:2" ht="14" x14ac:dyDescent="0.3">
      <c r="A135" s="151"/>
      <c r="B135" s="151"/>
    </row>
    <row r="136" spans="1:2" ht="14" x14ac:dyDescent="0.3">
      <c r="A136" s="151"/>
      <c r="B136" s="151"/>
    </row>
    <row r="137" spans="1:2" ht="14" x14ac:dyDescent="0.3">
      <c r="A137" s="151"/>
      <c r="B137" s="151"/>
    </row>
    <row r="138" spans="1:2" ht="14" x14ac:dyDescent="0.3">
      <c r="A138" s="151"/>
      <c r="B138" s="151"/>
    </row>
    <row r="139" spans="1:2" ht="14" x14ac:dyDescent="0.3">
      <c r="A139" s="151"/>
      <c r="B139" s="151"/>
    </row>
    <row r="140" spans="1:2" ht="14" x14ac:dyDescent="0.3">
      <c r="A140" s="151"/>
      <c r="B140" s="151"/>
    </row>
    <row r="141" spans="1:2" ht="14" x14ac:dyDescent="0.3">
      <c r="A141" s="151"/>
      <c r="B141" s="151"/>
    </row>
    <row r="142" spans="1:2" ht="14" x14ac:dyDescent="0.3">
      <c r="A142" s="151"/>
      <c r="B142" s="151"/>
    </row>
    <row r="143" spans="1:2" ht="14" x14ac:dyDescent="0.3">
      <c r="A143" s="151"/>
      <c r="B143" s="151"/>
    </row>
    <row r="144" spans="1:2" ht="14" x14ac:dyDescent="0.3">
      <c r="A144" s="151"/>
      <c r="B144" s="151"/>
    </row>
    <row r="145" spans="1:2" ht="14" x14ac:dyDescent="0.3">
      <c r="A145" s="151"/>
      <c r="B145" s="151"/>
    </row>
  </sheetData>
  <mergeCells count="8">
    <mergeCell ref="E12:G12"/>
    <mergeCell ref="I12:K12"/>
    <mergeCell ref="M12:N12"/>
    <mergeCell ref="A4:N4"/>
    <mergeCell ref="A5:N5"/>
    <mergeCell ref="A6:N6"/>
    <mergeCell ref="A8:N8"/>
    <mergeCell ref="A9:N9"/>
  </mergeCells>
  <pageMargins left="0.7" right="0.7" top="0.75" bottom="0.75" header="0.3" footer="0.3"/>
  <pageSetup scale="64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284A1-12B4-4A05-95F1-0C5791872AD0}">
  <sheetPr>
    <tabColor theme="3" tint="0.59999389629810485"/>
    <pageSetUpPr fitToPage="1"/>
  </sheetPr>
  <dimension ref="A4:AD157"/>
  <sheetViews>
    <sheetView zoomScaleNormal="100" workbookViewId="0"/>
  </sheetViews>
  <sheetFormatPr defaultRowHeight="12.5" x14ac:dyDescent="0.25"/>
  <cols>
    <col min="1" max="1" width="4" customWidth="1"/>
    <col min="2" max="2" width="4.453125" bestFit="1" customWidth="1"/>
    <col min="3" max="3" width="9.26953125" customWidth="1"/>
    <col min="4" max="4" width="9.7265625" customWidth="1"/>
    <col min="5" max="7" width="14.7265625" customWidth="1"/>
    <col min="8" max="8" width="1.7265625" customWidth="1"/>
    <col min="9" max="11" width="14.7265625" customWidth="1"/>
    <col min="12" max="12" width="1.7265625" customWidth="1"/>
    <col min="13" max="14" width="11.7265625" customWidth="1"/>
    <col min="15" max="15" width="10.81640625" bestFit="1" customWidth="1"/>
    <col min="16" max="16" width="11.54296875" bestFit="1" customWidth="1"/>
    <col min="17" max="17" width="9.453125" bestFit="1" customWidth="1"/>
    <col min="18" max="18" width="9.81640625" bestFit="1" customWidth="1"/>
    <col min="19" max="19" width="10.1796875" bestFit="1" customWidth="1"/>
    <col min="20" max="20" width="10.81640625" bestFit="1" customWidth="1"/>
    <col min="21" max="21" width="11.26953125" bestFit="1" customWidth="1"/>
    <col min="22" max="22" width="8.453125" bestFit="1" customWidth="1"/>
    <col min="23" max="23" width="10.81640625" bestFit="1" customWidth="1"/>
    <col min="24" max="24" width="11.54296875" bestFit="1" customWidth="1"/>
    <col min="25" max="25" width="9.453125" bestFit="1" customWidth="1"/>
    <col min="26" max="27" width="10.1796875" bestFit="1" customWidth="1"/>
    <col min="28" max="28" width="10.81640625" bestFit="1" customWidth="1"/>
    <col min="29" max="29" width="11.26953125" bestFit="1" customWidth="1"/>
  </cols>
  <sheetData>
    <row r="4" spans="1:30" ht="14" x14ac:dyDescent="0.3">
      <c r="A4" s="766" t="str">
        <f>'Bill_South G1'!A4:N4</f>
        <v>Eastern Massachusetts</v>
      </c>
      <c r="B4" s="766"/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  <c r="N4" s="766"/>
    </row>
    <row r="5" spans="1:30" ht="14" x14ac:dyDescent="0.3">
      <c r="A5" s="766" t="str">
        <f>+'Bill_Cam G0'!A5</f>
        <v>Calculation of Monthly Typical Bill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</row>
    <row r="6" spans="1:30" ht="14" x14ac:dyDescent="0.3">
      <c r="A6" s="766" t="str">
        <f>+'Bill_Cam G0'!A6</f>
        <v>Proposed January 1, 2019</v>
      </c>
      <c r="B6" s="766"/>
      <c r="C6" s="766"/>
      <c r="D6" s="766"/>
      <c r="E6" s="766"/>
      <c r="F6" s="766"/>
      <c r="G6" s="766"/>
      <c r="H6" s="766"/>
      <c r="I6" s="766"/>
      <c r="J6" s="766"/>
      <c r="K6" s="766"/>
      <c r="L6" s="766"/>
      <c r="M6" s="766"/>
      <c r="N6" s="766"/>
    </row>
    <row r="7" spans="1:30" ht="14" x14ac:dyDescent="0.3">
      <c r="A7" s="521"/>
      <c r="B7" s="521"/>
      <c r="C7" s="293"/>
      <c r="D7" s="468"/>
      <c r="E7" s="243"/>
      <c r="F7" s="469"/>
      <c r="G7" s="293"/>
      <c r="H7" s="369"/>
      <c r="I7" s="369"/>
      <c r="J7" s="369"/>
      <c r="K7" s="369"/>
      <c r="L7" s="369"/>
      <c r="M7" s="369"/>
      <c r="N7" s="369"/>
    </row>
    <row r="8" spans="1:30" ht="14" x14ac:dyDescent="0.3">
      <c r="A8" s="766" t="s">
        <v>476</v>
      </c>
      <c r="B8" s="766"/>
      <c r="C8" s="766"/>
      <c r="D8" s="766"/>
      <c r="E8" s="766"/>
      <c r="F8" s="766"/>
      <c r="G8" s="766"/>
      <c r="H8" s="766"/>
      <c r="I8" s="766"/>
      <c r="J8" s="766"/>
      <c r="K8" s="766"/>
      <c r="L8" s="766"/>
      <c r="M8" s="766"/>
      <c r="N8" s="766"/>
    </row>
    <row r="9" spans="1:30" ht="14" x14ac:dyDescent="0.3">
      <c r="A9" s="766" t="s">
        <v>493</v>
      </c>
      <c r="B9" s="766"/>
      <c r="C9" s="766"/>
      <c r="D9" s="766"/>
      <c r="E9" s="766"/>
      <c r="F9" s="766"/>
      <c r="G9" s="766"/>
      <c r="H9" s="766"/>
      <c r="I9" s="766"/>
      <c r="J9" s="766"/>
      <c r="K9" s="766"/>
      <c r="L9" s="766"/>
      <c r="M9" s="766"/>
      <c r="N9" s="766"/>
    </row>
    <row r="10" spans="1:30" ht="14" x14ac:dyDescent="0.3">
      <c r="A10" s="366"/>
      <c r="B10" s="366"/>
      <c r="C10" s="293"/>
      <c r="D10" s="293"/>
      <c r="E10" s="293"/>
      <c r="F10" s="368"/>
      <c r="G10" s="293"/>
    </row>
    <row r="11" spans="1:30" ht="14" x14ac:dyDescent="0.3">
      <c r="A11" s="151" t="str">
        <f>IF(C11&lt;&gt;"",COUNTA($C11:C$11),"")</f>
        <v/>
      </c>
      <c r="B11" s="151"/>
      <c r="C11" s="293"/>
      <c r="D11" s="293"/>
      <c r="E11" s="293"/>
      <c r="F11" s="368"/>
      <c r="G11" s="293"/>
    </row>
    <row r="12" spans="1:30" ht="14" x14ac:dyDescent="0.3">
      <c r="A12" s="151">
        <f>IF(C12&lt;&gt;"",COUNTA($C$12:C12),"")</f>
        <v>1</v>
      </c>
      <c r="B12" s="151"/>
      <c r="C12" s="366" t="s">
        <v>528</v>
      </c>
      <c r="D12" s="366" t="str">
        <f>+C12</f>
        <v>Monthly</v>
      </c>
      <c r="E12" s="760" t="str">
        <f>+'Bill_South G1'!E12</f>
        <v>Current Monthly Bill</v>
      </c>
      <c r="F12" s="760"/>
      <c r="G12" s="760"/>
      <c r="H12" s="293"/>
      <c r="I12" s="760" t="str">
        <f>+'Bill_South G1'!I12</f>
        <v>Proposed Monthly Bill</v>
      </c>
      <c r="J12" s="760"/>
      <c r="K12" s="760"/>
      <c r="M12" s="760" t="s">
        <v>550</v>
      </c>
      <c r="N12" s="760"/>
      <c r="O12" s="369"/>
      <c r="P12" s="369"/>
      <c r="Q12" s="369"/>
      <c r="R12" s="369"/>
      <c r="S12" s="369"/>
      <c r="T12" s="369"/>
      <c r="U12" s="369"/>
      <c r="V12" s="369"/>
      <c r="W12" s="369"/>
      <c r="X12" s="369"/>
      <c r="Y12" s="369"/>
      <c r="Z12" s="369"/>
      <c r="AA12" s="369"/>
      <c r="AB12" s="369"/>
      <c r="AC12" s="369"/>
      <c r="AD12" s="369"/>
    </row>
    <row r="13" spans="1:30" ht="14" x14ac:dyDescent="0.3">
      <c r="A13" s="151">
        <f>IF(C13&lt;&gt;"",COUNTA($C$11:C13),"")</f>
        <v>2</v>
      </c>
      <c r="B13" s="151"/>
      <c r="C13" s="370" t="s">
        <v>534</v>
      </c>
      <c r="D13" s="370" t="s">
        <v>551</v>
      </c>
      <c r="E13" s="370" t="s">
        <v>552</v>
      </c>
      <c r="F13" s="370" t="s">
        <v>553</v>
      </c>
      <c r="G13" s="370" t="s">
        <v>47</v>
      </c>
      <c r="H13" s="293"/>
      <c r="I13" s="370" t="s">
        <v>552</v>
      </c>
      <c r="J13" s="370" t="s">
        <v>553</v>
      </c>
      <c r="K13" s="370" t="s">
        <v>47</v>
      </c>
      <c r="M13" s="370" t="s">
        <v>65</v>
      </c>
      <c r="N13" s="370" t="s">
        <v>325</v>
      </c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  <c r="AA13" s="369"/>
      <c r="AB13" s="369"/>
      <c r="AC13" s="369"/>
      <c r="AD13" s="369"/>
    </row>
    <row r="14" spans="1:30" ht="14" x14ac:dyDescent="0.3">
      <c r="A14" s="151" t="str">
        <f>IF(C14&lt;&gt;"",COUNTA($C$11:C14),"")</f>
        <v/>
      </c>
      <c r="B14" s="151"/>
      <c r="C14" s="370"/>
      <c r="D14" s="370"/>
      <c r="E14" s="372"/>
      <c r="F14" s="372"/>
      <c r="G14" s="450"/>
      <c r="H14" s="451"/>
      <c r="I14" s="372"/>
      <c r="J14" s="372"/>
      <c r="K14" s="372"/>
      <c r="M14" s="522"/>
      <c r="N14" s="376"/>
      <c r="O14" s="369"/>
      <c r="P14" s="369"/>
      <c r="Q14" s="369"/>
      <c r="R14" s="369"/>
      <c r="S14" s="369"/>
      <c r="T14" s="369"/>
      <c r="U14" s="369"/>
      <c r="V14" s="369"/>
      <c r="W14" s="369"/>
      <c r="X14" s="369"/>
      <c r="Y14" s="369"/>
      <c r="Z14" s="369"/>
      <c r="AA14" s="369"/>
      <c r="AB14" s="369"/>
      <c r="AC14" s="369"/>
      <c r="AD14" s="369"/>
    </row>
    <row r="15" spans="1:30" ht="14" x14ac:dyDescent="0.3">
      <c r="A15" s="151">
        <f>IF(C15&lt;&gt;"",COUNTA($C$11:C15),"")</f>
        <v>3</v>
      </c>
      <c r="B15" s="151"/>
      <c r="C15" s="496" t="s">
        <v>608</v>
      </c>
      <c r="D15" s="370"/>
      <c r="E15" s="372"/>
      <c r="F15" s="372"/>
      <c r="G15" s="450"/>
      <c r="H15" s="451"/>
      <c r="I15" s="372"/>
      <c r="J15" s="372"/>
      <c r="K15" s="372"/>
      <c r="M15" s="522"/>
      <c r="N15" s="376"/>
      <c r="O15" s="369"/>
      <c r="P15" s="369"/>
      <c r="Q15" s="369"/>
      <c r="R15" s="369"/>
      <c r="S15" s="369"/>
      <c r="T15" s="369"/>
      <c r="U15" s="369"/>
      <c r="V15" s="369"/>
      <c r="W15" s="369"/>
      <c r="X15" s="369"/>
      <c r="Y15" s="369"/>
      <c r="Z15" s="369"/>
      <c r="AA15" s="369"/>
      <c r="AB15" s="369"/>
      <c r="AC15" s="369"/>
      <c r="AD15" s="369"/>
    </row>
    <row r="16" spans="1:30" ht="14" x14ac:dyDescent="0.3">
      <c r="A16" s="151">
        <f>IF(C16&lt;&gt;"",COUNTA($C$11:C16),"")</f>
        <v>4</v>
      </c>
      <c r="B16" s="151"/>
      <c r="C16" s="371">
        <v>5</v>
      </c>
      <c r="D16" s="409">
        <f>+C16*50</f>
        <v>250</v>
      </c>
      <c r="E16" s="372">
        <f>ROUND($G$39+IF($C16&lt;10,$C16*$G$40,(10*$G$40+($C16-10)*$G$41))+IF($D16&lt;1800,$D16*$G$42,1800*$G$42+($D16-1800)*$G$43)+SUM($G$44:$G$62)*$D16,2)</f>
        <v>37.01</v>
      </c>
      <c r="F16" s="372">
        <f>ROUND($G$63*$D16,2)</f>
        <v>28.51</v>
      </c>
      <c r="G16" s="372">
        <f t="shared" ref="G16:G34" si="0">SUM(E16:F16)</f>
        <v>65.52</v>
      </c>
      <c r="H16" s="373"/>
      <c r="I16" s="372">
        <f>ROUND($I$39+IF($C16&lt;10,$C16*$I$40,(10*$I$40+($C16-10)*$I$41))+IF($D16&lt;1800,$D16*$I$42,1800*$I$42+($D16-1800)*$I$43)+SUM($I$44:$I$62)*$D16,2)</f>
        <v>37.090000000000003</v>
      </c>
      <c r="J16" s="372">
        <f>ROUND($I$63*$D16,2)</f>
        <v>32.96</v>
      </c>
      <c r="K16" s="372">
        <f t="shared" ref="K16:K34" si="1">SUM(I16:J16)</f>
        <v>70.050000000000011</v>
      </c>
      <c r="L16" s="374"/>
      <c r="M16" s="375">
        <f t="shared" ref="M16:M34" si="2">+K16-G16</f>
        <v>4.5300000000000153</v>
      </c>
      <c r="N16" s="376">
        <f t="shared" ref="N16:N34" si="3">+M16/G16</f>
        <v>6.9139194139194379E-2</v>
      </c>
      <c r="O16" s="374"/>
      <c r="P16" s="374"/>
      <c r="Q16" s="374"/>
      <c r="R16" s="374"/>
      <c r="S16" s="374"/>
      <c r="T16" s="374"/>
      <c r="U16" s="374"/>
      <c r="V16" s="374"/>
      <c r="W16" s="374"/>
      <c r="X16" s="374"/>
      <c r="Y16" s="374"/>
      <c r="Z16" s="374"/>
      <c r="AA16" s="374"/>
      <c r="AB16" s="374"/>
      <c r="AC16" s="374"/>
      <c r="AD16" s="374"/>
    </row>
    <row r="17" spans="1:30" ht="14" x14ac:dyDescent="0.3">
      <c r="A17" s="151">
        <f>IF(C17&lt;&gt;"",COUNTA($C$11:C17),"")</f>
        <v>5</v>
      </c>
      <c r="B17" s="151"/>
      <c r="C17" s="409">
        <v>10</v>
      </c>
      <c r="D17" s="409">
        <f t="shared" ref="D17:D20" si="4">+C17*50</f>
        <v>500</v>
      </c>
      <c r="E17" s="372">
        <f>ROUND($G$39+IF($C17&lt;10,$C17*$G$40,(10*$G$40+($C17-10)*$G$41))+IF($D17&lt;1800,$D17*$G$42,1800*$G$42+($D17-1800)*$G$43)+SUM($G$44:$G$62)*$D17,2)</f>
        <v>68.03</v>
      </c>
      <c r="F17" s="372">
        <f>ROUND($G$63*$D17,2)</f>
        <v>57.02</v>
      </c>
      <c r="G17" s="372">
        <f t="shared" si="0"/>
        <v>125.05000000000001</v>
      </c>
      <c r="H17" s="373"/>
      <c r="I17" s="372">
        <f>ROUND($I$39+IF($C17&lt;10,$C17*$I$40,(10*$I$40+($C17-10)*$I$41))+IF($D17&lt;1800,$D17*$I$42,1800*$I$42+($D17-1800)*$I$43)+SUM($I$44:$I$62)*$D17,2)</f>
        <v>68.180000000000007</v>
      </c>
      <c r="J17" s="372">
        <f>ROUND($I$63*$D17,2)</f>
        <v>65.930000000000007</v>
      </c>
      <c r="K17" s="372">
        <f t="shared" si="1"/>
        <v>134.11000000000001</v>
      </c>
      <c r="L17" s="374"/>
      <c r="M17" s="375">
        <f t="shared" si="2"/>
        <v>9.0600000000000023</v>
      </c>
      <c r="N17" s="376">
        <f t="shared" si="3"/>
        <v>7.2451019592163143E-2</v>
      </c>
      <c r="O17" s="374"/>
      <c r="P17" s="374"/>
      <c r="Q17" s="374"/>
      <c r="R17" s="374"/>
      <c r="S17" s="374"/>
      <c r="T17" s="374"/>
      <c r="U17" s="374"/>
      <c r="V17" s="374"/>
      <c r="W17" s="374"/>
      <c r="X17" s="374"/>
      <c r="Y17" s="374"/>
      <c r="Z17" s="374"/>
      <c r="AA17" s="374"/>
      <c r="AB17" s="374"/>
      <c r="AC17" s="374"/>
      <c r="AD17" s="374"/>
    </row>
    <row r="18" spans="1:30" ht="14" x14ac:dyDescent="0.3">
      <c r="A18" s="151">
        <f>IF(C18&lt;&gt;"",COUNTA($C$11:C18),"")</f>
        <v>6</v>
      </c>
      <c r="B18" s="151"/>
      <c r="C18" s="409">
        <v>20</v>
      </c>
      <c r="D18" s="409">
        <f t="shared" si="4"/>
        <v>1000</v>
      </c>
      <c r="E18" s="372">
        <f>ROUND($G$39+IF($C18&lt;10,$C18*$G$40,(10*$G$40+($C18-10)*$G$41))+IF($D18&lt;1800,$D18*$G$42,1800*$G$42+($D18-1800)*$G$43)+SUM($G$44:$G$62)*$D18,2)</f>
        <v>172.55</v>
      </c>
      <c r="F18" s="372">
        <f>ROUND($G$63*$D18,2)</f>
        <v>114.03</v>
      </c>
      <c r="G18" s="372">
        <f t="shared" si="0"/>
        <v>286.58000000000004</v>
      </c>
      <c r="H18" s="373"/>
      <c r="I18" s="372">
        <f>ROUND($I$39+IF($C18&lt;10,$C18*$I$40,(10*$I$40+($C18-10)*$I$41))+IF($D18&lt;1800,$D18*$I$42,1800*$I$42+($D18-1800)*$I$43)+SUM($I$44:$I$62)*$D18,2)</f>
        <v>174.45</v>
      </c>
      <c r="J18" s="372">
        <f>ROUND($I$63*$D18,2)</f>
        <v>131.85</v>
      </c>
      <c r="K18" s="372">
        <f t="shared" si="1"/>
        <v>306.29999999999995</v>
      </c>
      <c r="L18" s="374"/>
      <c r="M18" s="375">
        <f t="shared" si="2"/>
        <v>19.719999999999914</v>
      </c>
      <c r="N18" s="376">
        <f t="shared" si="3"/>
        <v>6.8811501151510607E-2</v>
      </c>
      <c r="O18" s="374"/>
      <c r="P18" s="374"/>
      <c r="Q18" s="374"/>
      <c r="R18" s="374"/>
      <c r="S18" s="374"/>
      <c r="T18" s="374"/>
      <c r="U18" s="374"/>
      <c r="V18" s="374"/>
      <c r="W18" s="374"/>
      <c r="X18" s="374"/>
      <c r="Y18" s="374"/>
      <c r="Z18" s="374"/>
      <c r="AA18" s="374"/>
      <c r="AB18" s="374"/>
      <c r="AC18" s="374"/>
      <c r="AD18" s="374"/>
    </row>
    <row r="19" spans="1:30" ht="14" x14ac:dyDescent="0.3">
      <c r="A19" s="151">
        <f>IF(C19&lt;&gt;"",COUNTA($C$11:C19),"")</f>
        <v>7</v>
      </c>
      <c r="B19" s="151"/>
      <c r="C19" s="409">
        <v>50</v>
      </c>
      <c r="D19" s="409">
        <f t="shared" si="4"/>
        <v>2500</v>
      </c>
      <c r="E19" s="372">
        <f>ROUND($G$39+IF($C19&lt;10,$C19*$G$40,(10*$G$40+($C19-10)*$G$41))+IF($D19&lt;1800,$D19*$G$42,1800*$G$42+($D19-1800)*$G$43)+SUM($G$44:$G$62)*$D19,2)</f>
        <v>450.28</v>
      </c>
      <c r="F19" s="372">
        <f>ROUND($G$63*$D19,2)</f>
        <v>285.08</v>
      </c>
      <c r="G19" s="372">
        <f t="shared" si="0"/>
        <v>735.3599999999999</v>
      </c>
      <c r="H19" s="373"/>
      <c r="I19" s="372">
        <f>ROUND($I$39+IF($C19&lt;10,$C19*$I$40,(10*$I$40+($C19-10)*$I$41))+IF($D19&lt;1800,$D19*$I$42,1800*$I$42+($D19-1800)*$I$43)+SUM($I$44:$I$62)*$D19,2)</f>
        <v>456.06</v>
      </c>
      <c r="J19" s="372">
        <f>ROUND($I$63*$D19,2)</f>
        <v>329.63</v>
      </c>
      <c r="K19" s="372">
        <f t="shared" si="1"/>
        <v>785.69</v>
      </c>
      <c r="L19" s="374"/>
      <c r="M19" s="375">
        <f t="shared" si="2"/>
        <v>50.330000000000155</v>
      </c>
      <c r="N19" s="376">
        <f t="shared" si="3"/>
        <v>6.844266753698891E-2</v>
      </c>
      <c r="O19" s="374"/>
      <c r="P19" s="374"/>
      <c r="Q19" s="374"/>
      <c r="R19" s="374"/>
      <c r="S19" s="374"/>
      <c r="T19" s="374"/>
      <c r="U19" s="374"/>
      <c r="V19" s="374"/>
      <c r="W19" s="374"/>
      <c r="X19" s="374"/>
      <c r="Y19" s="374"/>
      <c r="Z19" s="374"/>
      <c r="AA19" s="374"/>
      <c r="AB19" s="374"/>
      <c r="AC19" s="374"/>
      <c r="AD19" s="374"/>
    </row>
    <row r="20" spans="1:30" ht="14" x14ac:dyDescent="0.3">
      <c r="A20" s="151">
        <f>IF(C20&lt;&gt;"",COUNTA($C$11:C20),"")</f>
        <v>8</v>
      </c>
      <c r="B20" s="151" t="s">
        <v>554</v>
      </c>
      <c r="C20" s="409">
        <v>9</v>
      </c>
      <c r="D20" s="409">
        <f t="shared" si="4"/>
        <v>450</v>
      </c>
      <c r="E20" s="372">
        <f>ROUND($G$39+IF($C20&lt;10,$C20*$G$40,(10*$G$40+($C20-10)*$G$41))+IF($D20&lt;1800,$D20*$G$42,1800*$G$42+($D20-1800)*$G$43)+SUM($G$44:$G$62)*$D20,2)</f>
        <v>61.82</v>
      </c>
      <c r="F20" s="372">
        <f>ROUND($G$63*$D20,2)</f>
        <v>51.31</v>
      </c>
      <c r="G20" s="372">
        <f t="shared" si="0"/>
        <v>113.13</v>
      </c>
      <c r="H20" s="373"/>
      <c r="I20" s="372">
        <f>ROUND($I$39+IF($C20&lt;10,$C20*$I$40,(10*$I$40+($C20-10)*$I$41))+IF($D20&lt;1800,$D20*$I$42,1800*$I$42+($D20-1800)*$I$43)+SUM($I$44:$I$62)*$D20,2)</f>
        <v>61.96</v>
      </c>
      <c r="J20" s="372">
        <f>ROUND($I$63*$D20,2)</f>
        <v>59.33</v>
      </c>
      <c r="K20" s="372">
        <f t="shared" si="1"/>
        <v>121.28999999999999</v>
      </c>
      <c r="L20" s="374"/>
      <c r="M20" s="375">
        <f t="shared" si="2"/>
        <v>8.1599999999999966</v>
      </c>
      <c r="N20" s="376">
        <f t="shared" si="3"/>
        <v>7.2129408644921747E-2</v>
      </c>
      <c r="O20" s="374"/>
      <c r="P20" s="374"/>
      <c r="Q20" s="374"/>
      <c r="R20" s="374"/>
      <c r="S20" s="374"/>
      <c r="T20" s="374"/>
      <c r="U20" s="374"/>
      <c r="V20" s="374"/>
      <c r="W20" s="374"/>
      <c r="X20" s="374"/>
      <c r="Y20" s="374"/>
      <c r="Z20" s="374"/>
      <c r="AA20" s="374"/>
      <c r="AB20" s="374"/>
      <c r="AC20" s="374"/>
      <c r="AD20" s="374"/>
    </row>
    <row r="21" spans="1:30" ht="14" x14ac:dyDescent="0.3">
      <c r="A21" s="151" t="str">
        <f>IF(C21&lt;&gt;"",COUNTA($C$11:C21),"")</f>
        <v/>
      </c>
      <c r="B21" s="151"/>
      <c r="C21" s="409"/>
      <c r="D21" s="409"/>
      <c r="E21" s="372"/>
      <c r="F21" s="372"/>
      <c r="G21" s="372"/>
      <c r="H21" s="373"/>
      <c r="I21" s="372"/>
      <c r="J21" s="372"/>
      <c r="K21" s="372"/>
      <c r="L21" s="374"/>
      <c r="M21" s="375"/>
      <c r="N21" s="376"/>
      <c r="O21" s="374"/>
      <c r="P21" s="374"/>
      <c r="Q21" s="374"/>
      <c r="R21" s="374"/>
      <c r="S21" s="374"/>
      <c r="T21" s="374"/>
      <c r="U21" s="374"/>
      <c r="V21" s="374"/>
      <c r="W21" s="374"/>
      <c r="X21" s="374"/>
      <c r="Y21" s="374"/>
      <c r="Z21" s="374"/>
      <c r="AA21" s="374"/>
      <c r="AB21" s="374"/>
      <c r="AC21" s="374"/>
      <c r="AD21" s="374"/>
    </row>
    <row r="22" spans="1:30" ht="14" x14ac:dyDescent="0.3">
      <c r="A22" s="151">
        <f>IF(C22&lt;&gt;"",COUNTA($C$11:C22),"")</f>
        <v>9</v>
      </c>
      <c r="B22" s="151"/>
      <c r="C22" s="496" t="s">
        <v>609</v>
      </c>
      <c r="D22" s="409"/>
      <c r="E22" s="372"/>
      <c r="F22" s="372"/>
      <c r="G22" s="372"/>
      <c r="H22" s="373"/>
      <c r="I22" s="372"/>
      <c r="J22" s="372"/>
      <c r="K22" s="372"/>
      <c r="L22" s="374"/>
      <c r="M22" s="375"/>
      <c r="N22" s="376"/>
      <c r="O22" s="374"/>
      <c r="P22" s="374"/>
      <c r="Q22" s="374"/>
      <c r="R22" s="374"/>
      <c r="S22" s="374"/>
      <c r="T22" s="374"/>
      <c r="U22" s="374"/>
      <c r="V22" s="374"/>
      <c r="W22" s="374"/>
      <c r="X22" s="374"/>
      <c r="Y22" s="374"/>
      <c r="Z22" s="374"/>
      <c r="AA22" s="374"/>
      <c r="AB22" s="374"/>
      <c r="AC22" s="374"/>
      <c r="AD22" s="374"/>
    </row>
    <row r="23" spans="1:30" ht="14" x14ac:dyDescent="0.3">
      <c r="A23" s="151">
        <f>IF(C23&lt;&gt;"",COUNTA($C$11:C23),"")</f>
        <v>10</v>
      </c>
      <c r="B23" s="151"/>
      <c r="C23" s="409">
        <f>+C16</f>
        <v>5</v>
      </c>
      <c r="D23" s="409">
        <f>+C23*150</f>
        <v>750</v>
      </c>
      <c r="E23" s="372">
        <f>ROUND($G$39+IF($C23&lt;10,$C23*$G$40,(10*$G$40+($C23-10)*$G$41))+IF($D23&lt;1800,$D23*$G$42,1800*$G$42+($D23-1800)*$G$43)+SUM($G$44:$G$62)*$D23,2)</f>
        <v>99.04</v>
      </c>
      <c r="F23" s="372">
        <f>ROUND($G$63*$D23,2)</f>
        <v>85.52</v>
      </c>
      <c r="G23" s="372">
        <f t="shared" si="0"/>
        <v>184.56</v>
      </c>
      <c r="H23" s="373"/>
      <c r="I23" s="372">
        <f>ROUND($I$39+IF($C23&lt;10,$C23*$I$40,(10*$I$40+($C23-10)*$I$41))+IF($D23&lt;1800,$D23*$I$42,1800*$I$42+($D23-1800)*$I$43)+SUM($I$44:$I$62)*$D23,2)</f>
        <v>99.26</v>
      </c>
      <c r="J23" s="372">
        <f>ROUND($I$63*$D23,2)</f>
        <v>98.89</v>
      </c>
      <c r="K23" s="372">
        <f t="shared" si="1"/>
        <v>198.15</v>
      </c>
      <c r="L23" s="374"/>
      <c r="M23" s="375">
        <f t="shared" si="2"/>
        <v>13.590000000000003</v>
      </c>
      <c r="N23" s="376">
        <f t="shared" si="3"/>
        <v>7.3634590377113146E-2</v>
      </c>
      <c r="O23" s="374"/>
      <c r="P23" s="374"/>
      <c r="Q23" s="374"/>
      <c r="R23" s="374"/>
      <c r="S23" s="374"/>
      <c r="T23" s="374"/>
      <c r="U23" s="374"/>
      <c r="V23" s="374"/>
      <c r="W23" s="374"/>
      <c r="X23" s="374"/>
      <c r="Y23" s="374"/>
      <c r="Z23" s="374"/>
      <c r="AA23" s="374"/>
      <c r="AB23" s="374"/>
      <c r="AC23" s="374"/>
      <c r="AD23" s="374"/>
    </row>
    <row r="24" spans="1:30" ht="14" x14ac:dyDescent="0.3">
      <c r="A24" s="151">
        <f>IF(C24&lt;&gt;"",COUNTA($C$11:C24),"")</f>
        <v>11</v>
      </c>
      <c r="B24" s="151"/>
      <c r="C24" s="409">
        <f>+C17</f>
        <v>10</v>
      </c>
      <c r="D24" s="409">
        <f t="shared" ref="D24:D27" si="5">+C24*150</f>
        <v>1500</v>
      </c>
      <c r="E24" s="380">
        <f>ROUND($G$39+IF($C24&lt;10,$C24*$G$40,(10*$G$40+($C24-10)*$G$41))+IF($D24&lt;1800,$D24*$G$42,1800*$G$42+($D24-1800)*$G$43)+SUM($G$44:$G$62)*$D24,2)</f>
        <v>192.08</v>
      </c>
      <c r="F24" s="380">
        <f>ROUND($G$63*$D24,2)</f>
        <v>171.05</v>
      </c>
      <c r="G24" s="380">
        <f t="shared" si="0"/>
        <v>363.13</v>
      </c>
      <c r="H24" s="381"/>
      <c r="I24" s="372">
        <f>ROUND($I$39+IF($C24&lt;10,$C24*$I$40,(10*$I$40+($C24-10)*$I$41))+IF($D24&lt;1800,$D24*$I$42,1800*$I$42+($D24-1800)*$I$43)+SUM($I$44:$I$62)*$D24,2)</f>
        <v>192.53</v>
      </c>
      <c r="J24" s="380">
        <f>ROUND($I$63*$D24,2)</f>
        <v>197.78</v>
      </c>
      <c r="K24" s="380">
        <f t="shared" si="1"/>
        <v>390.31</v>
      </c>
      <c r="L24" s="374"/>
      <c r="M24" s="375">
        <f t="shared" si="2"/>
        <v>27.180000000000007</v>
      </c>
      <c r="N24" s="376">
        <f t="shared" si="3"/>
        <v>7.4849227549362504E-2</v>
      </c>
      <c r="O24" s="374"/>
      <c r="P24" s="374"/>
      <c r="Q24" s="374"/>
      <c r="R24" s="374"/>
      <c r="S24" s="374"/>
      <c r="T24" s="374"/>
      <c r="U24" s="374"/>
      <c r="V24" s="374"/>
      <c r="W24" s="374"/>
      <c r="X24" s="374"/>
      <c r="Y24" s="374"/>
      <c r="Z24" s="374"/>
      <c r="AA24" s="374"/>
      <c r="AB24" s="374"/>
      <c r="AC24" s="374"/>
      <c r="AD24" s="374"/>
    </row>
    <row r="25" spans="1:30" ht="14" x14ac:dyDescent="0.3">
      <c r="A25" s="151">
        <f>IF(C25&lt;&gt;"",COUNTA($C$11:C25),"")</f>
        <v>12</v>
      </c>
      <c r="B25" s="151"/>
      <c r="C25" s="409">
        <f>+C18</f>
        <v>20</v>
      </c>
      <c r="D25" s="409">
        <f t="shared" si="5"/>
        <v>3000</v>
      </c>
      <c r="E25" s="380">
        <f>ROUND($G$39+IF($C25&lt;10,$C25*$G$40,(10*$G$40+($C25-10)*$G$41))+IF($D25&lt;1800,$D25*$G$42,1800*$G$42+($D25-1800)*$G$43)+SUM($G$44:$G$62)*$D25,2)</f>
        <v>359.2</v>
      </c>
      <c r="F25" s="380">
        <f>ROUND($G$63*$D25,2)</f>
        <v>342.09</v>
      </c>
      <c r="G25" s="380">
        <f t="shared" si="0"/>
        <v>701.29</v>
      </c>
      <c r="H25" s="381"/>
      <c r="I25" s="372">
        <f>ROUND($I$39+IF($C25&lt;10,$C25*$I$40,(10*$I$40+($C25-10)*$I$41))+IF($D25&lt;1800,$D25*$I$42,1800*$I$42+($D25-1800)*$I$43)+SUM($I$44:$I$62)*$D25,2)</f>
        <v>359.35</v>
      </c>
      <c r="J25" s="380">
        <f>ROUND($I$63*$D25,2)</f>
        <v>395.55</v>
      </c>
      <c r="K25" s="380">
        <f t="shared" si="1"/>
        <v>754.90000000000009</v>
      </c>
      <c r="L25" s="374"/>
      <c r="M25" s="375">
        <f t="shared" si="2"/>
        <v>53.610000000000127</v>
      </c>
      <c r="N25" s="376">
        <f t="shared" si="3"/>
        <v>7.6444837371130531E-2</v>
      </c>
      <c r="O25" s="374"/>
      <c r="P25" s="374"/>
      <c r="Q25" s="374"/>
      <c r="R25" s="374"/>
      <c r="S25" s="374"/>
      <c r="T25" s="374"/>
      <c r="U25" s="374"/>
      <c r="V25" s="374"/>
      <c r="W25" s="374"/>
      <c r="X25" s="374"/>
      <c r="Y25" s="374"/>
      <c r="Z25" s="374"/>
      <c r="AA25" s="374"/>
      <c r="AB25" s="374"/>
      <c r="AC25" s="374"/>
      <c r="AD25" s="374"/>
    </row>
    <row r="26" spans="1:30" ht="14" x14ac:dyDescent="0.3">
      <c r="A26" s="151">
        <f>IF(C26&lt;&gt;"",COUNTA($C$11:C26),"")</f>
        <v>13</v>
      </c>
      <c r="B26" s="151"/>
      <c r="C26" s="409">
        <f>+C19</f>
        <v>50</v>
      </c>
      <c r="D26" s="409">
        <f t="shared" si="5"/>
        <v>7500</v>
      </c>
      <c r="E26" s="372">
        <f>ROUND($G$39+IF($C26&lt;10,$C26*$G$40,(10*$G$40+($C26-10)*$G$41))+IF($D26&lt;1800,$D26*$G$42,1800*$G$42+($D26-1800)*$G$43)+SUM($G$44:$G$62)*$D26,2)</f>
        <v>814.48</v>
      </c>
      <c r="F26" s="372">
        <f>ROUND($G$63*$D26,2)</f>
        <v>855.23</v>
      </c>
      <c r="G26" s="372">
        <f t="shared" si="0"/>
        <v>1669.71</v>
      </c>
      <c r="H26" s="373"/>
      <c r="I26" s="372">
        <f>ROUND($I$39+IF($C26&lt;10,$C26*$I$40,(10*$I$40+($C26-10)*$I$41))+IF($D26&lt;1800,$D26*$I$42,1800*$I$42+($D26-1800)*$I$43)+SUM($I$44:$I$62)*$D26,2)</f>
        <v>811.96</v>
      </c>
      <c r="J26" s="372">
        <f>ROUND($I$63*$D26,2)</f>
        <v>988.88</v>
      </c>
      <c r="K26" s="372">
        <f t="shared" si="1"/>
        <v>1800.8400000000001</v>
      </c>
      <c r="L26" s="374"/>
      <c r="M26" s="375">
        <f t="shared" si="2"/>
        <v>131.13000000000011</v>
      </c>
      <c r="N26" s="376">
        <f t="shared" si="3"/>
        <v>7.8534595828018097E-2</v>
      </c>
      <c r="O26" s="374"/>
      <c r="P26" s="374"/>
      <c r="Q26" s="374"/>
      <c r="R26" s="374"/>
      <c r="S26" s="374"/>
      <c r="T26" s="374"/>
      <c r="U26" s="374"/>
      <c r="V26" s="374"/>
      <c r="W26" s="374"/>
      <c r="X26" s="374"/>
      <c r="Y26" s="374"/>
      <c r="Z26" s="374"/>
      <c r="AA26" s="374"/>
      <c r="AB26" s="374"/>
      <c r="AC26" s="374"/>
      <c r="AD26" s="374"/>
    </row>
    <row r="27" spans="1:30" ht="14" x14ac:dyDescent="0.3">
      <c r="A27" s="151">
        <f>IF(C27&lt;&gt;"",COUNTA($C$11:C27),"")</f>
        <v>14</v>
      </c>
      <c r="B27" s="151" t="s">
        <v>554</v>
      </c>
      <c r="C27" s="409">
        <v>8</v>
      </c>
      <c r="D27" s="409">
        <f t="shared" si="5"/>
        <v>1200</v>
      </c>
      <c r="E27" s="372">
        <f>ROUND($G$39+IF($C27&lt;10,$C27*$G$40,(10*$G$40+($C27-10)*$G$41))+IF($D27&lt;1800,$D27*$G$42,1800*$G$42+($D27-1800)*$G$43)+SUM($G$44:$G$62)*$D27,2)</f>
        <v>154.86000000000001</v>
      </c>
      <c r="F27" s="372">
        <f>ROUND($G$63*$D27,2)</f>
        <v>136.84</v>
      </c>
      <c r="G27" s="372">
        <f t="shared" si="0"/>
        <v>291.70000000000005</v>
      </c>
      <c r="H27" s="373"/>
      <c r="I27" s="372">
        <f>ROUND($I$39+IF($C27&lt;10,$C27*$I$40,(10*$I$40+($C27-10)*$I$41))+IF($D27&lt;1800,$D27*$I$42,1800*$I$42+($D27-1800)*$I$43)+SUM($I$44:$I$62)*$D27,2)</f>
        <v>155.22</v>
      </c>
      <c r="J27" s="372">
        <f>ROUND($I$63*$D27,2)</f>
        <v>158.22</v>
      </c>
      <c r="K27" s="372">
        <f t="shared" si="1"/>
        <v>313.44</v>
      </c>
      <c r="L27" s="374"/>
      <c r="M27" s="375">
        <f t="shared" si="2"/>
        <v>21.739999999999952</v>
      </c>
      <c r="N27" s="376">
        <f t="shared" si="3"/>
        <v>7.452862529996554E-2</v>
      </c>
      <c r="O27" s="374"/>
      <c r="P27" s="374"/>
      <c r="Q27" s="374"/>
      <c r="R27" s="374"/>
      <c r="S27" s="374"/>
      <c r="T27" s="374"/>
      <c r="U27" s="374"/>
      <c r="V27" s="374"/>
      <c r="W27" s="374"/>
      <c r="X27" s="374"/>
      <c r="Y27" s="374"/>
      <c r="Z27" s="374"/>
      <c r="AA27" s="374"/>
      <c r="AB27" s="374"/>
      <c r="AC27" s="374"/>
      <c r="AD27" s="374"/>
    </row>
    <row r="28" spans="1:30" ht="14" x14ac:dyDescent="0.3">
      <c r="A28" s="151" t="str">
        <f>IF(C28&lt;&gt;"",COUNTA($C$11:C28),"")</f>
        <v/>
      </c>
      <c r="B28" s="151"/>
      <c r="C28" s="409"/>
      <c r="D28" s="409"/>
      <c r="E28" s="372"/>
      <c r="F28" s="372"/>
      <c r="G28" s="372"/>
      <c r="H28" s="373"/>
      <c r="I28" s="372"/>
      <c r="J28" s="372"/>
      <c r="K28" s="372"/>
      <c r="L28" s="374"/>
      <c r="M28" s="375"/>
      <c r="N28" s="376"/>
      <c r="O28" s="374"/>
      <c r="P28" s="374"/>
      <c r="Q28" s="374"/>
      <c r="R28" s="374"/>
      <c r="S28" s="374"/>
      <c r="T28" s="374"/>
      <c r="U28" s="374"/>
      <c r="V28" s="374"/>
      <c r="W28" s="374"/>
      <c r="X28" s="374"/>
      <c r="Y28" s="374"/>
      <c r="Z28" s="374"/>
      <c r="AA28" s="374"/>
      <c r="AB28" s="374"/>
      <c r="AC28" s="374"/>
      <c r="AD28" s="374"/>
    </row>
    <row r="29" spans="1:30" ht="14" x14ac:dyDescent="0.3">
      <c r="A29" s="151">
        <f>IF(C29&lt;&gt;"",COUNTA($C$11:C29),"")</f>
        <v>15</v>
      </c>
      <c r="B29" s="151"/>
      <c r="C29" s="496" t="s">
        <v>577</v>
      </c>
      <c r="D29" s="409"/>
      <c r="E29" s="372"/>
      <c r="F29" s="372"/>
      <c r="G29" s="372"/>
      <c r="H29" s="373"/>
      <c r="I29" s="372"/>
      <c r="J29" s="372"/>
      <c r="K29" s="372"/>
      <c r="L29" s="374"/>
      <c r="M29" s="375"/>
      <c r="N29" s="376"/>
      <c r="O29" s="374"/>
      <c r="P29" s="374"/>
      <c r="Q29" s="374"/>
      <c r="R29" s="374"/>
      <c r="S29" s="374"/>
      <c r="T29" s="374"/>
      <c r="U29" s="374"/>
      <c r="V29" s="374"/>
      <c r="W29" s="374"/>
      <c r="X29" s="374"/>
      <c r="Y29" s="374"/>
      <c r="Z29" s="374"/>
      <c r="AA29" s="374"/>
      <c r="AB29" s="374"/>
      <c r="AC29" s="374"/>
      <c r="AD29" s="374"/>
    </row>
    <row r="30" spans="1:30" ht="14" x14ac:dyDescent="0.3">
      <c r="A30" s="151">
        <f>IF(C30&lt;&gt;"",COUNTA($C$11:C30),"")</f>
        <v>16</v>
      </c>
      <c r="B30" s="151"/>
      <c r="C30" s="409">
        <f>+C23</f>
        <v>5</v>
      </c>
      <c r="D30" s="409">
        <f>+C30*300</f>
        <v>1500</v>
      </c>
      <c r="E30" s="372">
        <f>ROUND($G$39+IF($C30&lt;10,$C30*$G$40,(10*$G$40+($C30-10)*$G$41))+IF($D30&lt;1800,$D30*$G$42,1800*$G$42+($D30-1800)*$G$43)+SUM($G$44:$G$62)*$D30,2)</f>
        <v>192.08</v>
      </c>
      <c r="F30" s="372">
        <f>ROUND($G$63*$D30,2)</f>
        <v>171.05</v>
      </c>
      <c r="G30" s="372">
        <f t="shared" ref="G30:G32" si="6">SUM(E30:F30)</f>
        <v>363.13</v>
      </c>
      <c r="H30" s="373"/>
      <c r="I30" s="372">
        <f>ROUND($I$39+IF($C30&lt;10,$C30*$I$40,(10*$I$40+($C30-10)*$I$41))+IF($D30&lt;1800,$D30*$I$42,1800*$I$42+($D30-1800)*$I$43)+SUM($I$44:$I$62)*$D30,2)</f>
        <v>192.53</v>
      </c>
      <c r="J30" s="372">
        <f>ROUND($I$63*$D30,2)</f>
        <v>197.78</v>
      </c>
      <c r="K30" s="372">
        <f t="shared" ref="K30:K32" si="7">SUM(I30:J30)</f>
        <v>390.31</v>
      </c>
      <c r="L30" s="374"/>
      <c r="M30" s="375">
        <f t="shared" ref="M30:M32" si="8">+K30-G30</f>
        <v>27.180000000000007</v>
      </c>
      <c r="N30" s="376">
        <f t="shared" ref="N30:N32" si="9">+M30/G30</f>
        <v>7.4849227549362504E-2</v>
      </c>
      <c r="O30" s="374"/>
      <c r="P30" s="374"/>
      <c r="Q30" s="374"/>
      <c r="R30" s="374"/>
      <c r="S30" s="374"/>
      <c r="T30" s="374"/>
      <c r="U30" s="374"/>
      <c r="V30" s="374"/>
      <c r="W30" s="374"/>
      <c r="X30" s="374"/>
      <c r="Y30" s="374"/>
      <c r="Z30" s="374"/>
      <c r="AA30" s="374"/>
      <c r="AB30" s="374"/>
      <c r="AC30" s="374"/>
      <c r="AD30" s="374"/>
    </row>
    <row r="31" spans="1:30" ht="14" x14ac:dyDescent="0.3">
      <c r="A31" s="151">
        <f>IF(C31&lt;&gt;"",COUNTA($C$11:C31),"")</f>
        <v>17</v>
      </c>
      <c r="B31" s="151"/>
      <c r="C31" s="409">
        <f>+C24</f>
        <v>10</v>
      </c>
      <c r="D31" s="409">
        <f>+C31*300</f>
        <v>3000</v>
      </c>
      <c r="E31" s="372">
        <f>ROUND($G$39+IF($C31&lt;10,$C31*$G$40,(10*$G$40+($C31-10)*$G$41))+IF($D31&lt;1800,$D31*$G$42,1800*$G$42+($D31-1800)*$G$43)+SUM($G$44:$G$62)*$D31,2)</f>
        <v>316.7</v>
      </c>
      <c r="F31" s="372">
        <f>ROUND($G$63*$D31,2)</f>
        <v>342.09</v>
      </c>
      <c r="G31" s="372">
        <f t="shared" si="6"/>
        <v>658.79</v>
      </c>
      <c r="H31" s="373"/>
      <c r="I31" s="372">
        <f>ROUND($I$39+IF($C31&lt;10,$C31*$I$40,(10*$I$40+($C31-10)*$I$41))+IF($D31&lt;1800,$D31*$I$42,1800*$I$42+($D31-1800)*$I$43)+SUM($I$44:$I$62)*$D31,2)</f>
        <v>315.25</v>
      </c>
      <c r="J31" s="372">
        <f>ROUND($I$63*$D31,2)</f>
        <v>395.55</v>
      </c>
      <c r="K31" s="372">
        <f t="shared" si="7"/>
        <v>710.8</v>
      </c>
      <c r="L31" s="374"/>
      <c r="M31" s="375">
        <f t="shared" si="8"/>
        <v>52.009999999999991</v>
      </c>
      <c r="N31" s="376">
        <f t="shared" si="9"/>
        <v>7.8947767877472333E-2</v>
      </c>
      <c r="O31" s="374"/>
      <c r="P31" s="374"/>
      <c r="Q31" s="374"/>
      <c r="R31" s="374"/>
      <c r="S31" s="374"/>
      <c r="T31" s="374"/>
      <c r="U31" s="374"/>
      <c r="V31" s="374"/>
      <c r="W31" s="374"/>
      <c r="X31" s="374"/>
      <c r="Y31" s="374"/>
      <c r="Z31" s="374"/>
      <c r="AA31" s="374"/>
      <c r="AB31" s="374"/>
      <c r="AC31" s="374"/>
      <c r="AD31" s="374"/>
    </row>
    <row r="32" spans="1:30" ht="14" x14ac:dyDescent="0.3">
      <c r="A32" s="151">
        <f>IF(C32&lt;&gt;"",COUNTA($C$11:C32),"")</f>
        <v>18</v>
      </c>
      <c r="B32" s="151"/>
      <c r="C32" s="409">
        <f>+C25</f>
        <v>20</v>
      </c>
      <c r="D32" s="409">
        <f t="shared" ref="D32:D34" si="10">+C32*300</f>
        <v>6000</v>
      </c>
      <c r="E32" s="372">
        <f>ROUND($G$39+IF($C32&lt;10,$C32*$G$40,(10*$G$40+($C32-10)*$G$41))+IF($D32&lt;1800,$D32*$G$42,1800*$G$42+($D32-1800)*$G$43)+SUM($G$44:$G$62)*$D32,2)</f>
        <v>577.72</v>
      </c>
      <c r="F32" s="372">
        <f>ROUND($G$63*$D32,2)</f>
        <v>684.18</v>
      </c>
      <c r="G32" s="372">
        <f t="shared" si="6"/>
        <v>1261.9000000000001</v>
      </c>
      <c r="H32" s="373"/>
      <c r="I32" s="372">
        <f>ROUND($I$39+IF($C32&lt;10,$C32*$I$40,(10*$I$40+($C32-10)*$I$41))+IF($D32&lt;1800,$D32*$I$42,1800*$I$42+($D32-1800)*$I$43)+SUM($I$44:$I$62)*$D32,2)</f>
        <v>572.89</v>
      </c>
      <c r="J32" s="372">
        <f>ROUND($I$63*$D32,2)</f>
        <v>791.1</v>
      </c>
      <c r="K32" s="372">
        <f t="shared" si="7"/>
        <v>1363.99</v>
      </c>
      <c r="L32" s="374"/>
      <c r="M32" s="375">
        <f t="shared" si="8"/>
        <v>102.08999999999992</v>
      </c>
      <c r="N32" s="376">
        <f t="shared" si="9"/>
        <v>8.0901814723829082E-2</v>
      </c>
      <c r="O32" s="374"/>
      <c r="P32" s="374"/>
      <c r="Q32" s="374"/>
      <c r="R32" s="374"/>
      <c r="S32" s="374"/>
      <c r="T32" s="374"/>
      <c r="U32" s="374"/>
      <c r="V32" s="374"/>
      <c r="W32" s="374"/>
      <c r="X32" s="374"/>
      <c r="Y32" s="374"/>
      <c r="Z32" s="374"/>
      <c r="AA32" s="374"/>
      <c r="AB32" s="374"/>
      <c r="AC32" s="374"/>
      <c r="AD32" s="374"/>
    </row>
    <row r="33" spans="1:30" ht="14" x14ac:dyDescent="0.3">
      <c r="A33" s="151">
        <f>IF(C33&lt;&gt;"",COUNTA($C$11:C33),"")</f>
        <v>19</v>
      </c>
      <c r="B33" s="151"/>
      <c r="C33" s="409">
        <f>+C26</f>
        <v>50</v>
      </c>
      <c r="D33" s="409">
        <f t="shared" si="10"/>
        <v>15000</v>
      </c>
      <c r="E33" s="372">
        <f>ROUND($G$39+IF($C33&lt;10,$C33*$G$40,(10*$G$40+($C33-10)*$G$41))+IF($D33&lt;1800,$D33*$G$42,1800*$G$42+($D33-1800)*$G$43)+SUM($G$44:$G$62)*$D33,2)</f>
        <v>1360.78</v>
      </c>
      <c r="F33" s="372">
        <f>ROUND($G$63*$D33,2)</f>
        <v>1710.45</v>
      </c>
      <c r="G33" s="372">
        <f t="shared" si="0"/>
        <v>3071.23</v>
      </c>
      <c r="H33" s="373"/>
      <c r="I33" s="372">
        <f>ROUND($I$39+IF($C33&lt;10,$C33*$I$40,(10*$I$40+($C33-10)*$I$41))+IF($D33&lt;1800,$D33*$I$42,1800*$I$42+($D33-1800)*$I$43)+SUM($I$44:$I$62)*$D33,2)</f>
        <v>1345.81</v>
      </c>
      <c r="J33" s="372">
        <f>ROUND($I$63*$D33,2)</f>
        <v>1977.75</v>
      </c>
      <c r="K33" s="372">
        <f t="shared" si="1"/>
        <v>3323.56</v>
      </c>
      <c r="L33" s="374"/>
      <c r="M33" s="375">
        <f t="shared" si="2"/>
        <v>252.32999999999993</v>
      </c>
      <c r="N33" s="376">
        <f t="shared" si="3"/>
        <v>8.215926518040001E-2</v>
      </c>
      <c r="O33" s="374"/>
      <c r="P33" s="374"/>
      <c r="Q33" s="374"/>
      <c r="R33" s="374"/>
      <c r="S33" s="374"/>
      <c r="T33" s="374"/>
      <c r="U33" s="374"/>
      <c r="V33" s="374"/>
      <c r="W33" s="374"/>
      <c r="X33" s="374"/>
      <c r="Y33" s="374"/>
      <c r="Z33" s="374"/>
      <c r="AA33" s="374"/>
      <c r="AB33" s="374"/>
      <c r="AC33" s="374"/>
      <c r="AD33" s="374"/>
    </row>
    <row r="34" spans="1:30" ht="14" x14ac:dyDescent="0.3">
      <c r="A34" s="151">
        <f>IF(C34&lt;&gt;"",COUNTA($C$11:C34),"")</f>
        <v>20</v>
      </c>
      <c r="B34" s="151" t="s">
        <v>554</v>
      </c>
      <c r="C34" s="409">
        <v>9</v>
      </c>
      <c r="D34" s="409">
        <f t="shared" si="10"/>
        <v>2700</v>
      </c>
      <c r="E34" s="372">
        <f>ROUND($G$39+IF($C34&lt;10,$C34*$G$40,(10*$G$40+($C34-10)*$G$41))+IF($D34&lt;1800,$D34*$G$42,1800*$G$42+($D34-1800)*$G$43)+SUM($G$44:$G$62)*$D34,2)</f>
        <v>294.85000000000002</v>
      </c>
      <c r="F34" s="372">
        <f>ROUND($G$63*$D34,2)</f>
        <v>307.88</v>
      </c>
      <c r="G34" s="372">
        <f t="shared" si="0"/>
        <v>602.73</v>
      </c>
      <c r="H34" s="373"/>
      <c r="I34" s="372">
        <f>ROUND($I$39+IF($C34&lt;10,$C34*$I$40,(10*$I$40+($C34-10)*$I$41))+IF($D34&lt;1800,$D34*$I$42,1800*$I$42+($D34-1800)*$I$43)+SUM($I$44:$I$62)*$D34,2)</f>
        <v>293.89</v>
      </c>
      <c r="J34" s="372">
        <f>ROUND($I$63*$D34,2)</f>
        <v>356</v>
      </c>
      <c r="K34" s="372">
        <f t="shared" si="1"/>
        <v>649.89</v>
      </c>
      <c r="L34" s="374"/>
      <c r="M34" s="375">
        <f t="shared" si="2"/>
        <v>47.159999999999968</v>
      </c>
      <c r="N34" s="376">
        <f t="shared" si="3"/>
        <v>7.8243989846199735E-2</v>
      </c>
      <c r="O34" s="374"/>
      <c r="P34" s="374"/>
      <c r="Q34" s="374"/>
      <c r="R34" s="374"/>
      <c r="S34" s="374"/>
      <c r="T34" s="374"/>
      <c r="U34" s="374"/>
      <c r="V34" s="374"/>
      <c r="W34" s="374"/>
      <c r="X34" s="374"/>
      <c r="Y34" s="374"/>
      <c r="Z34" s="374"/>
      <c r="AA34" s="374"/>
      <c r="AB34" s="374"/>
      <c r="AC34" s="374"/>
      <c r="AD34" s="374"/>
    </row>
    <row r="35" spans="1:30" ht="14" x14ac:dyDescent="0.3">
      <c r="A35" s="151" t="str">
        <f>IF(C35&lt;&gt;"",COUNTA($C$11:C35),"")</f>
        <v/>
      </c>
      <c r="B35" s="151"/>
      <c r="C35" s="293"/>
      <c r="D35" s="293"/>
      <c r="E35" s="448"/>
      <c r="F35" s="448"/>
      <c r="G35" s="448"/>
      <c r="H35" s="374"/>
      <c r="I35" s="374"/>
      <c r="J35" s="374"/>
      <c r="K35" s="374"/>
      <c r="L35" s="374"/>
      <c r="M35" s="374"/>
      <c r="O35" s="374"/>
      <c r="P35" s="374"/>
      <c r="Q35" s="374"/>
      <c r="R35" s="374"/>
      <c r="S35" s="374"/>
      <c r="T35" s="374"/>
      <c r="U35" s="374"/>
      <c r="V35" s="374"/>
      <c r="W35" s="374"/>
      <c r="X35" s="374"/>
      <c r="Y35" s="374"/>
      <c r="Z35" s="374"/>
      <c r="AA35" s="374"/>
      <c r="AB35" s="374"/>
      <c r="AC35" s="374"/>
      <c r="AD35" s="374"/>
    </row>
    <row r="36" spans="1:30" ht="14" x14ac:dyDescent="0.3">
      <c r="A36" s="151" t="str">
        <f>IF(C36&lt;&gt;"",COUNTA($C$11:C36),"")</f>
        <v/>
      </c>
      <c r="B36" s="151"/>
      <c r="C36" s="371"/>
      <c r="D36" s="372"/>
      <c r="E36" s="372"/>
      <c r="F36" s="372"/>
      <c r="G36" s="373"/>
      <c r="H36" s="374"/>
      <c r="I36" s="374"/>
      <c r="J36" s="374"/>
      <c r="K36" s="374"/>
      <c r="L36" s="374"/>
      <c r="M36" s="374"/>
      <c r="O36" s="374"/>
      <c r="P36" s="374"/>
      <c r="Q36" s="374"/>
      <c r="R36" s="374"/>
      <c r="S36" s="374"/>
      <c r="T36" s="374"/>
      <c r="U36" s="374"/>
      <c r="V36" s="374"/>
      <c r="W36" s="374"/>
      <c r="X36" s="374"/>
      <c r="Y36" s="374"/>
      <c r="Z36" s="374"/>
      <c r="AA36" s="374"/>
      <c r="AB36" s="374"/>
      <c r="AC36" s="374"/>
      <c r="AD36" s="374"/>
    </row>
    <row r="37" spans="1:30" ht="14" x14ac:dyDescent="0.3">
      <c r="A37" s="151">
        <f>IF(C37&lt;&gt;"",COUNTA($C$11:C37),"")</f>
        <v>21</v>
      </c>
      <c r="B37" s="151"/>
      <c r="C37" s="293" t="s">
        <v>46</v>
      </c>
      <c r="D37" s="293"/>
      <c r="E37" s="374"/>
      <c r="F37" s="374"/>
      <c r="G37" s="480" t="str">
        <f>+'Bill_South G1'!G43</f>
        <v>Current</v>
      </c>
      <c r="H37" s="480"/>
      <c r="I37" s="480" t="str">
        <f>+'Bill_South G1'!I43</f>
        <v>Proposed</v>
      </c>
      <c r="J37" s="374"/>
      <c r="K37" s="374"/>
      <c r="L37" s="374"/>
      <c r="M37" s="374"/>
      <c r="O37" s="374"/>
      <c r="P37" s="374"/>
      <c r="Q37" s="374"/>
      <c r="R37" s="374"/>
      <c r="S37" s="374"/>
      <c r="T37" s="374"/>
      <c r="U37" s="374"/>
      <c r="V37" s="374"/>
      <c r="W37" s="374"/>
      <c r="X37" s="374"/>
      <c r="Y37" s="374"/>
      <c r="Z37" s="374"/>
      <c r="AA37" s="374"/>
      <c r="AB37" s="374"/>
      <c r="AC37" s="374"/>
      <c r="AD37" s="374"/>
    </row>
    <row r="38" spans="1:30" ht="17" x14ac:dyDescent="0.6">
      <c r="A38" s="151">
        <f>IF(C38&lt;&gt;"",COUNTA($C$11:C38),"")</f>
        <v>22</v>
      </c>
      <c r="B38" s="151"/>
      <c r="C38" s="274" t="s">
        <v>46</v>
      </c>
      <c r="D38" s="293"/>
      <c r="E38" s="374"/>
      <c r="F38" s="374"/>
      <c r="G38" s="482" t="str">
        <f>+'Bill_South G1'!G44</f>
        <v>Rates</v>
      </c>
      <c r="H38" s="482"/>
      <c r="I38" s="482" t="str">
        <f>+'Bill_South G1'!I44</f>
        <v>Rates</v>
      </c>
      <c r="J38" s="482" t="str">
        <f>+'Bill_South G1'!J44</f>
        <v>Change</v>
      </c>
      <c r="K38" s="374"/>
      <c r="L38" s="374"/>
      <c r="M38" s="374"/>
      <c r="O38" s="374"/>
      <c r="P38" s="374"/>
      <c r="Q38" s="374"/>
      <c r="R38" s="374"/>
      <c r="S38" s="374"/>
      <c r="T38" s="374"/>
      <c r="U38" s="374"/>
      <c r="V38" s="374"/>
      <c r="W38" s="374"/>
      <c r="X38" s="374"/>
      <c r="Y38" s="374"/>
      <c r="Z38" s="374"/>
      <c r="AA38" s="374"/>
      <c r="AB38" s="374"/>
      <c r="AC38" s="374"/>
      <c r="AD38" s="374"/>
    </row>
    <row r="39" spans="1:30" ht="14" x14ac:dyDescent="0.3">
      <c r="A39" s="151">
        <f>IF(C39&lt;&gt;"",COUNTA($C$11:C39),"")</f>
        <v>23</v>
      </c>
      <c r="B39" s="151"/>
      <c r="C39" s="293" t="s">
        <v>296</v>
      </c>
      <c r="D39" s="274"/>
      <c r="E39" s="374"/>
      <c r="F39" s="374"/>
      <c r="G39" s="454">
        <v>6</v>
      </c>
      <c r="H39" s="512"/>
      <c r="I39" s="454">
        <f>G39</f>
        <v>6</v>
      </c>
      <c r="J39" s="421">
        <f>I39-G39</f>
        <v>0</v>
      </c>
      <c r="K39" s="374"/>
      <c r="L39" s="374"/>
      <c r="M39" s="374"/>
      <c r="O39" s="374"/>
      <c r="P39" s="374"/>
      <c r="Q39" s="374"/>
      <c r="R39" s="374"/>
      <c r="S39" s="374"/>
      <c r="T39" s="374"/>
      <c r="U39" s="374"/>
      <c r="V39" s="374"/>
      <c r="W39" s="374"/>
      <c r="X39" s="374"/>
      <c r="Y39" s="374"/>
      <c r="Z39" s="374"/>
      <c r="AA39" s="374"/>
      <c r="AB39" s="374"/>
      <c r="AC39" s="374"/>
      <c r="AD39" s="374"/>
    </row>
    <row r="40" spans="1:30" ht="14" x14ac:dyDescent="0.3">
      <c r="A40" s="151">
        <f>IF(C40&lt;&gt;"",COUNTA($C$11:C40),"")</f>
        <v>24</v>
      </c>
      <c r="B40" s="151"/>
      <c r="C40" s="293" t="str">
        <f>'Bill_South G1'!C46</f>
        <v>Distribution Demand &lt;=10 kW</v>
      </c>
      <c r="D40" s="274"/>
      <c r="E40" s="374"/>
      <c r="F40" s="374"/>
      <c r="G40" s="454">
        <v>0</v>
      </c>
      <c r="H40" s="512"/>
      <c r="I40" s="454">
        <f>G40</f>
        <v>0</v>
      </c>
      <c r="J40" s="421">
        <f t="shared" ref="J40:J63" si="11">I40-G40</f>
        <v>0</v>
      </c>
      <c r="K40" s="374"/>
      <c r="L40" s="374"/>
      <c r="M40" s="374"/>
      <c r="O40" s="374"/>
      <c r="P40" s="374"/>
      <c r="Q40" s="374"/>
      <c r="R40" s="374"/>
      <c r="S40" s="374"/>
      <c r="T40" s="374"/>
      <c r="U40" s="374"/>
      <c r="V40" s="374"/>
      <c r="W40" s="374"/>
      <c r="X40" s="374"/>
      <c r="Y40" s="374"/>
      <c r="Z40" s="374"/>
      <c r="AA40" s="374"/>
      <c r="AB40" s="374"/>
      <c r="AC40" s="374"/>
      <c r="AD40" s="374"/>
    </row>
    <row r="41" spans="1:30" ht="14" x14ac:dyDescent="0.3">
      <c r="A41" s="151">
        <f>IF(C41&lt;&gt;"",COUNTA($C$11:C41),"")</f>
        <v>25</v>
      </c>
      <c r="B41" s="151"/>
      <c r="C41" s="293" t="str">
        <f>'Bill_South G1'!C47</f>
        <v>Distribution Demand &gt;10 kW</v>
      </c>
      <c r="D41" s="274"/>
      <c r="E41" s="374"/>
      <c r="F41" s="374"/>
      <c r="G41" s="454">
        <v>4.25</v>
      </c>
      <c r="H41" s="512"/>
      <c r="I41" s="454">
        <v>4.41</v>
      </c>
      <c r="J41" s="421">
        <f t="shared" si="11"/>
        <v>0.16000000000000014</v>
      </c>
      <c r="K41" s="374"/>
      <c r="L41" s="374"/>
      <c r="M41" s="374"/>
    </row>
    <row r="42" spans="1:30" ht="14" x14ac:dyDescent="0.3">
      <c r="A42" s="151">
        <f>IF(C42&lt;&gt;"",COUNTA($C$11:C42),"")</f>
        <v>26</v>
      </c>
      <c r="B42" s="151"/>
      <c r="C42" s="293" t="s">
        <v>494</v>
      </c>
      <c r="D42" s="274"/>
      <c r="E42" s="374"/>
      <c r="F42" s="374"/>
      <c r="G42" s="308">
        <v>7.5060000000000002E-2</v>
      </c>
      <c r="H42" s="520"/>
      <c r="I42" s="308">
        <v>7.7929999999999999E-2</v>
      </c>
      <c r="J42" s="354">
        <f t="shared" si="11"/>
        <v>2.8699999999999976E-3</v>
      </c>
      <c r="K42" s="374"/>
      <c r="L42" s="374"/>
      <c r="M42" s="374"/>
    </row>
    <row r="43" spans="1:30" ht="14" x14ac:dyDescent="0.3">
      <c r="A43" s="151">
        <f>IF(C43&lt;&gt;"",COUNTA($C$11:C43),"")</f>
        <v>27</v>
      </c>
      <c r="B43" s="151"/>
      <c r="C43" s="369" t="s">
        <v>495</v>
      </c>
      <c r="E43" s="374"/>
      <c r="F43" s="374"/>
      <c r="G43" s="308">
        <v>2.385E-2</v>
      </c>
      <c r="H43" s="520"/>
      <c r="I43" s="308">
        <v>2.4760000000000001E-2</v>
      </c>
      <c r="J43" s="354">
        <f t="shared" si="11"/>
        <v>9.1000000000000109E-4</v>
      </c>
      <c r="K43" s="374"/>
      <c r="L43" s="374"/>
      <c r="M43" s="374"/>
    </row>
    <row r="44" spans="1:30" ht="14" x14ac:dyDescent="0.3">
      <c r="A44" s="151">
        <f>IF(C44&lt;&gt;"",COUNTA($C$11:C44),"")</f>
        <v>28</v>
      </c>
      <c r="B44" s="151"/>
      <c r="C44" s="293" t="str">
        <f>+'Bill_South G1'!C50</f>
        <v>Revenue Decoupling</v>
      </c>
      <c r="E44" s="374"/>
      <c r="F44" s="374"/>
      <c r="G44" s="308">
        <v>0</v>
      </c>
      <c r="H44" s="400"/>
      <c r="I44" s="277">
        <v>-3.6000000000000002E-4</v>
      </c>
      <c r="J44" s="354">
        <f t="shared" si="11"/>
        <v>-3.6000000000000002E-4</v>
      </c>
      <c r="K44" s="374"/>
      <c r="L44" s="374"/>
      <c r="M44" s="374"/>
    </row>
    <row r="45" spans="1:30" ht="14" x14ac:dyDescent="0.3">
      <c r="A45" s="151">
        <f>IF(C45&lt;&gt;"",COUNTA($C$11:C45),"")</f>
        <v>29</v>
      </c>
      <c r="B45" s="151"/>
      <c r="C45" s="293" t="str">
        <f>+'Bill_South G1'!C51</f>
        <v>Residential Assistance Adjustment Factor</v>
      </c>
      <c r="D45" s="274"/>
      <c r="E45" s="374"/>
      <c r="F45" s="374"/>
      <c r="G45" s="277">
        <v>2.3E-3</v>
      </c>
      <c r="H45" s="400"/>
      <c r="I45" s="277">
        <v>3.0100000000000001E-3</v>
      </c>
      <c r="J45" s="354">
        <f t="shared" si="11"/>
        <v>7.1000000000000013E-4</v>
      </c>
      <c r="K45" s="374"/>
      <c r="L45" s="374"/>
      <c r="M45" s="374"/>
    </row>
    <row r="46" spans="1:30" ht="14" x14ac:dyDescent="0.3">
      <c r="A46" s="151">
        <f>IF(C46&lt;&gt;"",COUNTA($C$11:C46),"")</f>
        <v>30</v>
      </c>
      <c r="B46" s="151"/>
      <c r="C46" s="293" t="str">
        <f>+'Bill_South G1'!C52</f>
        <v>Pension Adjustment Factor</v>
      </c>
      <c r="D46" s="274"/>
      <c r="E46" s="374"/>
      <c r="F46" s="374"/>
      <c r="G46" s="277">
        <v>-8.0000000000000007E-5</v>
      </c>
      <c r="H46" s="400"/>
      <c r="I46" s="277">
        <v>6.9999999999999999E-4</v>
      </c>
      <c r="J46" s="354">
        <f t="shared" si="11"/>
        <v>7.7999999999999999E-4</v>
      </c>
      <c r="K46" s="374"/>
      <c r="L46" s="374"/>
      <c r="M46" s="374"/>
    </row>
    <row r="47" spans="1:30" ht="14" x14ac:dyDescent="0.3">
      <c r="A47" s="151">
        <f>IF(C47&lt;&gt;"",COUNTA($C$11:C47),"")</f>
        <v>31</v>
      </c>
      <c r="B47" s="151"/>
      <c r="C47" s="293" t="str">
        <f>+'Bill_South G1'!C53</f>
        <v>Net Metering Recovery Surcharge</v>
      </c>
      <c r="D47" s="274"/>
      <c r="E47" s="374"/>
      <c r="F47" s="374"/>
      <c r="G47" s="277">
        <v>4.5300000000000002E-3</v>
      </c>
      <c r="H47" s="400"/>
      <c r="I47" s="277">
        <v>3.9300000000000003E-3</v>
      </c>
      <c r="J47" s="354">
        <f t="shared" si="11"/>
        <v>-5.9999999999999984E-4</v>
      </c>
      <c r="K47" s="374"/>
      <c r="L47" s="374"/>
      <c r="M47" s="374"/>
    </row>
    <row r="48" spans="1:30" ht="14" x14ac:dyDescent="0.3">
      <c r="A48" s="151">
        <f>IF(C48&lt;&gt;"",COUNTA($C$11:C48),"")</f>
        <v>32</v>
      </c>
      <c r="B48" s="151"/>
      <c r="C48" s="293" t="str">
        <f>+'Bill_South G1'!C54</f>
        <v>Long Term Renewable Contract Adjustment</v>
      </c>
      <c r="D48" s="274"/>
      <c r="E48" s="374"/>
      <c r="F48" s="374"/>
      <c r="G48" s="277">
        <v>2.3600000000000001E-3</v>
      </c>
      <c r="H48" s="400"/>
      <c r="I48" s="277">
        <v>1.74E-3</v>
      </c>
      <c r="J48" s="354">
        <f t="shared" si="11"/>
        <v>-6.2000000000000011E-4</v>
      </c>
      <c r="K48" s="374"/>
      <c r="L48" s="374"/>
      <c r="M48" s="374"/>
    </row>
    <row r="49" spans="1:13" ht="14" x14ac:dyDescent="0.3">
      <c r="A49" s="151">
        <f>IF(C49&lt;&gt;"",COUNTA($C$11:C49),"")</f>
        <v>33</v>
      </c>
      <c r="B49" s="151"/>
      <c r="C49" s="293" t="str">
        <f>+'Bill_South G1'!C55</f>
        <v>AG Consulting Expense</v>
      </c>
      <c r="D49" s="274"/>
      <c r="E49" s="374"/>
      <c r="F49" s="374"/>
      <c r="G49" s="277">
        <v>2.0000000000000002E-5</v>
      </c>
      <c r="H49" s="400"/>
      <c r="I49" s="277">
        <v>1.0000000000000001E-5</v>
      </c>
      <c r="J49" s="354">
        <f t="shared" si="11"/>
        <v>-1.0000000000000001E-5</v>
      </c>
      <c r="K49" s="374"/>
      <c r="L49" s="374"/>
      <c r="M49" s="374"/>
    </row>
    <row r="50" spans="1:13" ht="14" x14ac:dyDescent="0.3">
      <c r="A50" s="151">
        <f>IF(C50&lt;&gt;"",COUNTA($C$11:C50),"")</f>
        <v>34</v>
      </c>
      <c r="B50" s="151"/>
      <c r="C50" s="293" t="str">
        <f>+'Bill_South G1'!C56</f>
        <v>Storm Cost Recovery Adjustment Factor</v>
      </c>
      <c r="D50" s="274"/>
      <c r="E50" s="374"/>
      <c r="F50" s="374"/>
      <c r="G50" s="277">
        <v>1.42E-3</v>
      </c>
      <c r="H50" s="400"/>
      <c r="I50" s="277">
        <v>2.2799999999999999E-3</v>
      </c>
      <c r="J50" s="354">
        <f t="shared" si="11"/>
        <v>8.5999999999999987E-4</v>
      </c>
      <c r="K50" s="374"/>
      <c r="L50" s="374"/>
      <c r="M50" s="374"/>
    </row>
    <row r="51" spans="1:13" ht="14" x14ac:dyDescent="0.3">
      <c r="A51" s="151">
        <f>IF(C51&lt;&gt;"",COUNTA($C$11:C51),"")</f>
        <v>35</v>
      </c>
      <c r="B51" s="151"/>
      <c r="C51" s="293" t="str">
        <f>+'Bill_South G1'!C57</f>
        <v>Storm Reserve Adjustment</v>
      </c>
      <c r="D51" s="274"/>
      <c r="E51" s="374"/>
      <c r="F51" s="374"/>
      <c r="G51" s="277">
        <v>0</v>
      </c>
      <c r="H51" s="400"/>
      <c r="I51" s="277">
        <v>0</v>
      </c>
      <c r="J51" s="354">
        <f t="shared" si="11"/>
        <v>0</v>
      </c>
      <c r="K51" s="374"/>
      <c r="L51" s="374"/>
      <c r="M51" s="374"/>
    </row>
    <row r="52" spans="1:13" ht="14" x14ac:dyDescent="0.3">
      <c r="A52" s="151">
        <f>IF(C52&lt;&gt;"",COUNTA($C$11:C52),"")</f>
        <v>36</v>
      </c>
      <c r="B52" s="151"/>
      <c r="C52" s="293" t="str">
        <f>+'Bill_South G1'!C58</f>
        <v>Basic Service Cost True Up Factor</v>
      </c>
      <c r="E52" s="374"/>
      <c r="F52" s="374"/>
      <c r="G52" s="277">
        <v>1.23E-3</v>
      </c>
      <c r="H52" s="400"/>
      <c r="I52" s="277">
        <v>-1.4999999999999999E-4</v>
      </c>
      <c r="J52" s="354">
        <f t="shared" si="11"/>
        <v>-1.3799999999999999E-3</v>
      </c>
      <c r="K52" s="374"/>
      <c r="L52" s="374"/>
      <c r="M52" s="374"/>
    </row>
    <row r="53" spans="1:13" ht="14" x14ac:dyDescent="0.3">
      <c r="A53" s="151">
        <f>IF(C53&lt;&gt;"",COUNTA($C$11:C53),"")</f>
        <v>37</v>
      </c>
      <c r="B53" s="151"/>
      <c r="C53" s="293" t="str">
        <f>+'Bill_South G1'!C59</f>
        <v>Solar Program Cost Adjustment Factor</v>
      </c>
      <c r="D53" s="274"/>
      <c r="E53" s="374"/>
      <c r="F53" s="374"/>
      <c r="G53" s="277">
        <v>0</v>
      </c>
      <c r="H53" s="400"/>
      <c r="I53" s="277">
        <v>3.0000000000000001E-5</v>
      </c>
      <c r="J53" s="354">
        <f t="shared" si="11"/>
        <v>3.0000000000000001E-5</v>
      </c>
      <c r="K53" s="374"/>
      <c r="L53" s="374"/>
      <c r="M53" s="374"/>
    </row>
    <row r="54" spans="1:13" ht="14" x14ac:dyDescent="0.3">
      <c r="A54" s="151">
        <f>IF(C54&lt;&gt;"",COUNTA($C$11:C54),"")</f>
        <v>38</v>
      </c>
      <c r="B54" s="151"/>
      <c r="C54" s="293" t="str">
        <f>+'Bill_South G1'!C60</f>
        <v>Solar Expansion Cost Recovery Factor</v>
      </c>
      <c r="D54" s="274"/>
      <c r="E54" s="374"/>
      <c r="F54" s="374"/>
      <c r="G54" s="277">
        <v>0</v>
      </c>
      <c r="H54" s="400"/>
      <c r="I54" s="277">
        <v>4.6999999999999999E-4</v>
      </c>
      <c r="J54" s="354">
        <f t="shared" si="11"/>
        <v>4.6999999999999999E-4</v>
      </c>
      <c r="K54" s="374"/>
      <c r="L54" s="374"/>
      <c r="M54" s="374"/>
    </row>
    <row r="55" spans="1:13" ht="14" x14ac:dyDescent="0.3">
      <c r="A55" s="151">
        <f>IF(C55&lt;&gt;"",COUNTA($C$11:C55),"")</f>
        <v>39</v>
      </c>
      <c r="B55" s="151"/>
      <c r="C55" s="293" t="str">
        <f>+'Bill_South G1'!C61</f>
        <v>Vegetation Management</v>
      </c>
      <c r="D55" s="274"/>
      <c r="E55" s="374"/>
      <c r="F55" s="374"/>
      <c r="G55" s="277">
        <v>0</v>
      </c>
      <c r="H55" s="400"/>
      <c r="I55" s="277">
        <v>1.25E-3</v>
      </c>
      <c r="J55" s="354">
        <f t="shared" si="11"/>
        <v>1.25E-3</v>
      </c>
      <c r="K55" s="374"/>
      <c r="L55" s="374"/>
      <c r="M55" s="374"/>
    </row>
    <row r="56" spans="1:13" ht="14" x14ac:dyDescent="0.3">
      <c r="A56" s="151">
        <f>IF(C56&lt;&gt;"",COUNTA($C$11:C56),"")</f>
        <v>40</v>
      </c>
      <c r="B56" s="151"/>
      <c r="C56" s="293" t="str">
        <f>+'Bill_South G1'!C62</f>
        <v>Solar Massachusetts Renewable Target</v>
      </c>
      <c r="D56" s="339"/>
      <c r="E56" s="339"/>
      <c r="F56" s="277"/>
      <c r="G56" s="277">
        <v>0</v>
      </c>
      <c r="H56" s="277"/>
      <c r="I56" s="277">
        <v>5.5000000000000003E-4</v>
      </c>
      <c r="J56" s="354">
        <f t="shared" si="11"/>
        <v>5.5000000000000003E-4</v>
      </c>
      <c r="K56" s="339"/>
      <c r="L56" s="339"/>
    </row>
    <row r="57" spans="1:13" ht="14" x14ac:dyDescent="0.3">
      <c r="A57" s="151">
        <f>IF(C57&lt;&gt;"",COUNTA($C$11:C57),"")</f>
        <v>41</v>
      </c>
      <c r="B57" s="151"/>
      <c r="C57" s="293" t="str">
        <f>+'Bill_South G1'!C63</f>
        <v>Tax Act Credit Factor</v>
      </c>
      <c r="D57" s="339"/>
      <c r="E57" s="339"/>
      <c r="F57" s="277"/>
      <c r="G57" s="277">
        <v>0</v>
      </c>
      <c r="H57" s="277"/>
      <c r="I57" s="277">
        <v>-8.3000000000000001E-4</v>
      </c>
      <c r="J57" s="354">
        <f t="shared" si="11"/>
        <v>-8.3000000000000001E-4</v>
      </c>
      <c r="K57" s="339"/>
      <c r="L57" s="339"/>
    </row>
    <row r="58" spans="1:13" ht="14" x14ac:dyDescent="0.3">
      <c r="A58" s="151">
        <f>IF(C58&lt;&gt;"",COUNTA($C$11:C58),"")</f>
        <v>42</v>
      </c>
      <c r="B58" s="151"/>
      <c r="C58" s="293" t="str">
        <f>+'Bill_South G1'!C64</f>
        <v>Transition</v>
      </c>
      <c r="D58" s="274"/>
      <c r="E58" s="374"/>
      <c r="F58" s="374"/>
      <c r="G58" s="308">
        <v>-6.0999999999999997E-4</v>
      </c>
      <c r="H58" s="400"/>
      <c r="I58" s="277">
        <v>-5.1999999999999995E-4</v>
      </c>
      <c r="J58" s="354">
        <f t="shared" si="11"/>
        <v>9.0000000000000019E-5</v>
      </c>
      <c r="K58" s="374"/>
      <c r="L58" s="374"/>
      <c r="M58" s="374"/>
    </row>
    <row r="59" spans="1:13" ht="14" x14ac:dyDescent="0.3">
      <c r="A59" s="151">
        <f>IF(C59&lt;&gt;"",COUNTA($C$11:C59),"")</f>
        <v>43</v>
      </c>
      <c r="B59" s="151"/>
      <c r="C59" s="293" t="str">
        <f>+'Bill_South G1'!C65</f>
        <v>Transmission Energy</v>
      </c>
      <c r="D59" s="274"/>
      <c r="E59" s="374"/>
      <c r="F59" s="374"/>
      <c r="G59" s="308">
        <v>2.6360000000000001E-2</v>
      </c>
      <c r="H59" s="520"/>
      <c r="I59" s="308">
        <v>2.2849999999999999E-2</v>
      </c>
      <c r="J59" s="354">
        <f t="shared" si="11"/>
        <v>-3.5100000000000027E-3</v>
      </c>
      <c r="K59" s="374"/>
      <c r="L59" s="374"/>
      <c r="M59" s="374"/>
    </row>
    <row r="60" spans="1:13" ht="14" x14ac:dyDescent="0.3">
      <c r="A60" s="151">
        <f>IF(C60&lt;&gt;"",COUNTA($C$11:C60),"")</f>
        <v>44</v>
      </c>
      <c r="B60" s="151"/>
      <c r="C60" s="293" t="str">
        <f>+'Bill_South G1'!C66</f>
        <v>Energy Efficiency Reconciliation Factor</v>
      </c>
      <c r="D60" s="274"/>
      <c r="E60" s="374"/>
      <c r="F60" s="374"/>
      <c r="G60" s="308">
        <v>8.4600000000000005E-3</v>
      </c>
      <c r="H60" s="520"/>
      <c r="I60" s="308">
        <v>8.4600000000000005E-3</v>
      </c>
      <c r="J60" s="354">
        <f t="shared" si="11"/>
        <v>0</v>
      </c>
      <c r="K60" s="374"/>
      <c r="L60" s="374"/>
      <c r="M60" s="374"/>
    </row>
    <row r="61" spans="1:13" ht="14" x14ac:dyDescent="0.3">
      <c r="A61" s="151">
        <f>IF(C61&lt;&gt;"",COUNTA($C$11:C61),"")</f>
        <v>45</v>
      </c>
      <c r="B61" s="151"/>
      <c r="C61" s="293" t="str">
        <f>+'Bill_South G1'!C67</f>
        <v>System Benefits Charge</v>
      </c>
      <c r="D61" s="274"/>
      <c r="E61" s="374"/>
      <c r="F61" s="374"/>
      <c r="G61" s="308">
        <v>2.5000000000000001E-3</v>
      </c>
      <c r="H61" s="520"/>
      <c r="I61" s="308">
        <f>G61</f>
        <v>2.5000000000000001E-3</v>
      </c>
      <c r="J61" s="354">
        <f t="shared" si="11"/>
        <v>0</v>
      </c>
      <c r="K61" s="374"/>
      <c r="L61" s="374"/>
      <c r="M61" s="374"/>
    </row>
    <row r="62" spans="1:13" ht="14" x14ac:dyDescent="0.3">
      <c r="A62" s="151">
        <f>IF(C62&lt;&gt;"",COUNTA($C$11:C62),"")</f>
        <v>46</v>
      </c>
      <c r="B62" s="151"/>
      <c r="C62" s="293" t="str">
        <f>+'Bill_South G1'!C68</f>
        <v>Renewable Energy Charge</v>
      </c>
      <c r="D62" s="274"/>
      <c r="E62" s="374"/>
      <c r="F62" s="374"/>
      <c r="G62" s="308">
        <v>5.0000000000000001E-4</v>
      </c>
      <c r="H62" s="520"/>
      <c r="I62" s="308">
        <f>G62</f>
        <v>5.0000000000000001E-4</v>
      </c>
      <c r="J62" s="354">
        <f t="shared" si="11"/>
        <v>0</v>
      </c>
      <c r="K62" s="374"/>
      <c r="L62" s="374"/>
      <c r="M62" s="374"/>
    </row>
    <row r="63" spans="1:13" ht="14" x14ac:dyDescent="0.3">
      <c r="A63" s="151">
        <f>IF(C63&lt;&gt;"",COUNTA($C$11:C63),"")</f>
        <v>47</v>
      </c>
      <c r="B63" s="151"/>
      <c r="C63" s="293" t="str">
        <f>+'Bill_South G1'!C69</f>
        <v>Basic Service Charge</v>
      </c>
      <c r="D63" s="274"/>
      <c r="E63" s="374"/>
      <c r="F63" s="374"/>
      <c r="G63" s="308">
        <v>0.11403000000000001</v>
      </c>
      <c r="H63" s="520"/>
      <c r="I63" s="308">
        <v>0.13185000000000002</v>
      </c>
      <c r="J63" s="354">
        <f t="shared" si="11"/>
        <v>1.7820000000000016E-2</v>
      </c>
      <c r="K63" s="374"/>
      <c r="L63" s="374"/>
      <c r="M63" s="374"/>
    </row>
    <row r="64" spans="1:13" ht="14" x14ac:dyDescent="0.3">
      <c r="A64" s="151" t="str">
        <f>IF(C64&lt;&gt;"",COUNTA($C$11:C64),"")</f>
        <v/>
      </c>
      <c r="B64" s="151"/>
      <c r="C64" s="293"/>
      <c r="D64" s="274"/>
      <c r="E64" s="374"/>
      <c r="F64" s="374"/>
      <c r="G64" s="454"/>
      <c r="H64" s="512"/>
      <c r="I64" s="454"/>
      <c r="J64" s="374"/>
      <c r="K64" s="374"/>
      <c r="L64" s="374"/>
      <c r="M64" s="374"/>
    </row>
    <row r="65" spans="1:13" ht="14" x14ac:dyDescent="0.3">
      <c r="A65" s="151" t="str">
        <f>IF(C65&lt;&gt;"",COUNTA($C$11:C65),"")</f>
        <v/>
      </c>
      <c r="B65" s="151"/>
      <c r="C65" s="293"/>
      <c r="D65" s="274"/>
      <c r="E65" s="374"/>
      <c r="F65" s="374"/>
      <c r="G65" s="454"/>
      <c r="H65" s="512"/>
      <c r="I65" s="454"/>
      <c r="J65" s="374"/>
      <c r="K65" s="374"/>
      <c r="L65" s="374"/>
      <c r="M65" s="374"/>
    </row>
    <row r="66" spans="1:13" ht="14" x14ac:dyDescent="0.3">
      <c r="A66" s="151"/>
      <c r="B66" s="151"/>
      <c r="C66" s="293" t="s">
        <v>592</v>
      </c>
      <c r="E66" s="374"/>
      <c r="F66" s="374"/>
      <c r="G66" s="374">
        <f>G40</f>
        <v>0</v>
      </c>
      <c r="H66" s="374"/>
      <c r="I66" s="374">
        <f>I40</f>
        <v>0</v>
      </c>
      <c r="J66" s="421">
        <f t="shared" ref="J66:J70" si="12">I66-G66</f>
        <v>0</v>
      </c>
      <c r="K66" s="374"/>
      <c r="L66" s="374"/>
      <c r="M66" s="374"/>
    </row>
    <row r="67" spans="1:13" ht="14" x14ac:dyDescent="0.3">
      <c r="A67" s="151"/>
      <c r="B67" s="151"/>
      <c r="C67" s="293" t="s">
        <v>570</v>
      </c>
      <c r="E67" s="374"/>
      <c r="F67" s="374"/>
      <c r="G67" s="374">
        <f t="shared" ref="G67" si="13">G41</f>
        <v>4.25</v>
      </c>
      <c r="H67" s="374"/>
      <c r="I67" s="374">
        <f t="shared" ref="I67" si="14">I41</f>
        <v>4.41</v>
      </c>
      <c r="J67" s="421">
        <f t="shared" si="12"/>
        <v>0.16000000000000014</v>
      </c>
      <c r="K67" s="374"/>
      <c r="L67" s="374"/>
      <c r="M67" s="374"/>
    </row>
    <row r="68" spans="1:13" ht="14" x14ac:dyDescent="0.3">
      <c r="A68" s="151"/>
      <c r="B68" s="151"/>
      <c r="C68" s="293" t="s">
        <v>610</v>
      </c>
      <c r="E68" s="374"/>
      <c r="F68" s="374"/>
      <c r="G68" s="403">
        <f>SUM(G42,G$44:G$62)</f>
        <v>0.12405000000000002</v>
      </c>
      <c r="H68" s="403"/>
      <c r="I68" s="403">
        <f>SUM(I42,I$44:I$62)</f>
        <v>0.12435</v>
      </c>
      <c r="J68" s="354">
        <f t="shared" si="12"/>
        <v>2.9999999999998084E-4</v>
      </c>
      <c r="K68" s="374"/>
      <c r="L68" s="374"/>
      <c r="M68" s="374"/>
    </row>
    <row r="69" spans="1:13" ht="14" x14ac:dyDescent="0.3">
      <c r="A69" s="151"/>
      <c r="B69" s="151"/>
      <c r="C69" s="369" t="s">
        <v>611</v>
      </c>
      <c r="E69" s="374"/>
      <c r="F69" s="374"/>
      <c r="G69" s="403">
        <f>SUM(G43,G$44:G$62)</f>
        <v>7.2840000000000002E-2</v>
      </c>
      <c r="H69" s="403"/>
      <c r="I69" s="403">
        <f>SUM(I43,I$44:I$62)</f>
        <v>7.1180000000000007E-2</v>
      </c>
      <c r="J69" s="354">
        <f t="shared" si="12"/>
        <v>-1.6599999999999948E-3</v>
      </c>
      <c r="K69" s="374"/>
      <c r="L69" s="374"/>
      <c r="M69" s="374"/>
    </row>
    <row r="70" spans="1:13" ht="14" x14ac:dyDescent="0.3">
      <c r="A70" s="151"/>
      <c r="B70" s="151"/>
      <c r="C70" s="369" t="str">
        <f>+'Bill_South G1'!C76</f>
        <v>Total Basic Service</v>
      </c>
      <c r="E70" s="374"/>
      <c r="F70" s="374"/>
      <c r="G70" s="403">
        <f>G63</f>
        <v>0.11403000000000001</v>
      </c>
      <c r="H70" s="403"/>
      <c r="I70" s="403">
        <f>I63</f>
        <v>0.13185000000000002</v>
      </c>
      <c r="J70" s="354">
        <f t="shared" si="12"/>
        <v>1.7820000000000016E-2</v>
      </c>
      <c r="K70" s="374"/>
      <c r="L70" s="374"/>
      <c r="M70" s="374"/>
    </row>
    <row r="71" spans="1:13" ht="14" x14ac:dyDescent="0.3">
      <c r="A71" s="151"/>
      <c r="B71" s="151"/>
      <c r="E71" s="374"/>
      <c r="F71" s="374"/>
      <c r="G71" s="374"/>
      <c r="H71" s="374"/>
      <c r="I71" s="374"/>
      <c r="J71" s="374"/>
      <c r="K71" s="374"/>
      <c r="L71" s="374"/>
      <c r="M71" s="374"/>
    </row>
    <row r="72" spans="1:13" ht="14" x14ac:dyDescent="0.3">
      <c r="A72" s="151"/>
      <c r="B72" s="151"/>
      <c r="E72" s="374"/>
      <c r="F72" s="374"/>
      <c r="G72" s="374"/>
      <c r="H72" s="374"/>
      <c r="I72" s="374"/>
      <c r="J72" s="374"/>
      <c r="K72" s="374"/>
      <c r="L72" s="374"/>
      <c r="M72" s="374"/>
    </row>
    <row r="73" spans="1:13" ht="14" x14ac:dyDescent="0.3">
      <c r="A73" s="151"/>
      <c r="B73" s="151"/>
      <c r="E73" s="374"/>
      <c r="F73" s="374"/>
      <c r="G73" s="374"/>
      <c r="H73" s="374"/>
      <c r="I73" s="374"/>
      <c r="J73" s="374"/>
      <c r="K73" s="374"/>
      <c r="L73" s="374"/>
      <c r="M73" s="374"/>
    </row>
    <row r="74" spans="1:13" ht="14" x14ac:dyDescent="0.3">
      <c r="A74" s="151"/>
      <c r="B74" s="151"/>
      <c r="E74" s="374"/>
      <c r="F74" s="374"/>
      <c r="G74" s="374"/>
      <c r="H74" s="374"/>
      <c r="I74" s="374"/>
      <c r="J74" s="374"/>
      <c r="K74" s="374"/>
      <c r="L74" s="374"/>
      <c r="M74" s="374"/>
    </row>
    <row r="75" spans="1:13" ht="14" x14ac:dyDescent="0.3">
      <c r="A75" s="151"/>
      <c r="B75" s="151"/>
      <c r="E75" s="374"/>
      <c r="F75" s="374"/>
      <c r="G75" s="374"/>
      <c r="H75" s="374"/>
      <c r="I75" s="374"/>
      <c r="J75" s="374"/>
      <c r="K75" s="374"/>
      <c r="L75" s="374"/>
      <c r="M75" s="374"/>
    </row>
    <row r="76" spans="1:13" ht="14" x14ac:dyDescent="0.3">
      <c r="A76" s="151"/>
      <c r="B76" s="151"/>
      <c r="E76" s="374"/>
      <c r="F76" s="374"/>
      <c r="G76" s="374"/>
      <c r="H76" s="374"/>
      <c r="I76" s="374"/>
      <c r="J76" s="374"/>
      <c r="K76" s="374"/>
      <c r="L76" s="374"/>
      <c r="M76" s="374"/>
    </row>
    <row r="77" spans="1:13" ht="14" x14ac:dyDescent="0.3">
      <c r="A77" s="151"/>
      <c r="B77" s="151"/>
      <c r="E77" s="374"/>
      <c r="F77" s="374"/>
      <c r="G77" s="374"/>
      <c r="H77" s="374"/>
      <c r="I77" s="374"/>
      <c r="J77" s="374"/>
      <c r="K77" s="374"/>
      <c r="L77" s="374"/>
      <c r="M77" s="374"/>
    </row>
    <row r="78" spans="1:13" ht="14" x14ac:dyDescent="0.3">
      <c r="A78" s="151"/>
      <c r="B78" s="151"/>
      <c r="E78" s="374"/>
      <c r="F78" s="374"/>
      <c r="G78" s="374"/>
      <c r="H78" s="374"/>
      <c r="I78" s="374"/>
      <c r="J78" s="374"/>
      <c r="K78" s="374"/>
      <c r="L78" s="374"/>
      <c r="M78" s="374"/>
    </row>
    <row r="79" spans="1:13" ht="14" x14ac:dyDescent="0.3">
      <c r="A79" s="151"/>
      <c r="B79" s="151"/>
      <c r="E79" s="374"/>
      <c r="F79" s="374"/>
      <c r="G79" s="374"/>
      <c r="H79" s="374"/>
      <c r="I79" s="374"/>
      <c r="J79" s="374"/>
      <c r="K79" s="374"/>
      <c r="L79" s="374"/>
      <c r="M79" s="374"/>
    </row>
    <row r="80" spans="1:13" ht="14" x14ac:dyDescent="0.3">
      <c r="A80" s="151"/>
      <c r="B80" s="151"/>
      <c r="E80" s="374"/>
      <c r="F80" s="374"/>
      <c r="G80" s="374"/>
      <c r="H80" s="374"/>
      <c r="I80" s="374"/>
      <c r="J80" s="374"/>
      <c r="K80" s="374"/>
      <c r="L80" s="374"/>
      <c r="M80" s="374"/>
    </row>
    <row r="81" spans="1:13" ht="14" x14ac:dyDescent="0.3">
      <c r="A81" s="151"/>
      <c r="B81" s="151"/>
      <c r="E81" s="374"/>
      <c r="F81" s="374"/>
      <c r="G81" s="374"/>
      <c r="H81" s="374"/>
      <c r="I81" s="374"/>
      <c r="J81" s="374"/>
      <c r="K81" s="374"/>
      <c r="L81" s="374"/>
      <c r="M81" s="374"/>
    </row>
    <row r="82" spans="1:13" ht="14" x14ac:dyDescent="0.3">
      <c r="A82" s="151"/>
      <c r="B82" s="151"/>
      <c r="E82" s="374"/>
      <c r="F82" s="374"/>
      <c r="G82" s="374"/>
      <c r="H82" s="374"/>
      <c r="I82" s="374"/>
      <c r="J82" s="374"/>
      <c r="K82" s="374"/>
      <c r="L82" s="374"/>
      <c r="M82" s="374"/>
    </row>
    <row r="83" spans="1:13" ht="14" x14ac:dyDescent="0.3">
      <c r="A83" s="151"/>
      <c r="B83" s="151"/>
      <c r="E83" s="374"/>
      <c r="F83" s="374"/>
      <c r="G83" s="374"/>
      <c r="H83" s="374"/>
      <c r="I83" s="374"/>
      <c r="J83" s="374"/>
      <c r="K83" s="374"/>
      <c r="L83" s="374"/>
      <c r="M83" s="374"/>
    </row>
    <row r="84" spans="1:13" ht="14" x14ac:dyDescent="0.3">
      <c r="A84" s="151"/>
      <c r="B84" s="151"/>
      <c r="E84" s="374"/>
      <c r="F84" s="374"/>
      <c r="G84" s="374"/>
      <c r="H84" s="374"/>
      <c r="I84" s="374"/>
      <c r="J84" s="374"/>
      <c r="K84" s="374"/>
      <c r="L84" s="374"/>
      <c r="M84" s="374"/>
    </row>
    <row r="85" spans="1:13" ht="14" x14ac:dyDescent="0.3">
      <c r="A85" s="151"/>
      <c r="B85" s="151"/>
    </row>
    <row r="86" spans="1:13" ht="14" x14ac:dyDescent="0.3">
      <c r="A86" s="151"/>
      <c r="B86" s="151"/>
    </row>
    <row r="87" spans="1:13" ht="14" x14ac:dyDescent="0.3">
      <c r="A87" s="151"/>
      <c r="B87" s="151"/>
    </row>
    <row r="88" spans="1:13" ht="14" x14ac:dyDescent="0.3">
      <c r="A88" s="151"/>
      <c r="B88" s="151"/>
    </row>
    <row r="89" spans="1:13" ht="14" x14ac:dyDescent="0.3">
      <c r="A89" s="151"/>
      <c r="B89" s="151"/>
    </row>
    <row r="90" spans="1:13" ht="14" x14ac:dyDescent="0.3">
      <c r="A90" s="151"/>
      <c r="B90" s="151"/>
    </row>
    <row r="91" spans="1:13" ht="14" x14ac:dyDescent="0.3">
      <c r="A91" s="151"/>
      <c r="B91" s="151"/>
    </row>
    <row r="92" spans="1:13" ht="14" x14ac:dyDescent="0.3">
      <c r="A92" s="151"/>
      <c r="B92" s="151"/>
    </row>
    <row r="93" spans="1:13" ht="14" x14ac:dyDescent="0.3">
      <c r="A93" s="151"/>
      <c r="B93" s="151"/>
    </row>
    <row r="94" spans="1:13" ht="14" x14ac:dyDescent="0.3">
      <c r="A94" s="151"/>
      <c r="B94" s="151"/>
    </row>
    <row r="95" spans="1:13" ht="14" x14ac:dyDescent="0.3">
      <c r="A95" s="151"/>
      <c r="B95" s="151"/>
    </row>
    <row r="96" spans="1:13" ht="14" x14ac:dyDescent="0.3">
      <c r="A96" s="151"/>
      <c r="B96" s="151"/>
    </row>
    <row r="97" spans="1:2" ht="14" x14ac:dyDescent="0.3">
      <c r="A97" s="151"/>
      <c r="B97" s="151"/>
    </row>
    <row r="98" spans="1:2" ht="14" x14ac:dyDescent="0.3">
      <c r="A98" s="151"/>
      <c r="B98" s="151"/>
    </row>
    <row r="99" spans="1:2" ht="14" x14ac:dyDescent="0.3">
      <c r="A99" s="151"/>
      <c r="B99" s="151"/>
    </row>
    <row r="100" spans="1:2" ht="14" x14ac:dyDescent="0.3">
      <c r="A100" s="151"/>
      <c r="B100" s="151"/>
    </row>
    <row r="101" spans="1:2" ht="14" x14ac:dyDescent="0.3">
      <c r="A101" s="151"/>
      <c r="B101" s="151"/>
    </row>
    <row r="102" spans="1:2" ht="14" x14ac:dyDescent="0.3">
      <c r="A102" s="151"/>
      <c r="B102" s="151"/>
    </row>
    <row r="103" spans="1:2" ht="14" x14ac:dyDescent="0.3">
      <c r="A103" s="151"/>
      <c r="B103" s="151"/>
    </row>
    <row r="104" spans="1:2" ht="14" x14ac:dyDescent="0.3">
      <c r="A104" s="151"/>
      <c r="B104" s="151"/>
    </row>
    <row r="105" spans="1:2" ht="14" x14ac:dyDescent="0.3">
      <c r="A105" s="151"/>
      <c r="B105" s="151"/>
    </row>
    <row r="106" spans="1:2" ht="14" x14ac:dyDescent="0.3">
      <c r="A106" s="151"/>
      <c r="B106" s="151"/>
    </row>
    <row r="107" spans="1:2" ht="14" x14ac:dyDescent="0.3">
      <c r="A107" s="151"/>
      <c r="B107" s="151"/>
    </row>
    <row r="108" spans="1:2" ht="14" x14ac:dyDescent="0.3">
      <c r="A108" s="151"/>
      <c r="B108" s="151"/>
    </row>
    <row r="109" spans="1:2" ht="14" x14ac:dyDescent="0.3">
      <c r="A109" s="151"/>
      <c r="B109" s="151"/>
    </row>
    <row r="110" spans="1:2" ht="14" x14ac:dyDescent="0.3">
      <c r="A110" s="151"/>
      <c r="B110" s="151"/>
    </row>
    <row r="111" spans="1:2" ht="14" x14ac:dyDescent="0.3">
      <c r="A111" s="151"/>
      <c r="B111" s="151"/>
    </row>
    <row r="112" spans="1:2" ht="14" x14ac:dyDescent="0.3">
      <c r="A112" s="151"/>
      <c r="B112" s="151"/>
    </row>
    <row r="113" spans="1:2" ht="14" x14ac:dyDescent="0.3">
      <c r="A113" s="151"/>
      <c r="B113" s="151"/>
    </row>
    <row r="114" spans="1:2" ht="14" x14ac:dyDescent="0.3">
      <c r="A114" s="151"/>
      <c r="B114" s="151"/>
    </row>
    <row r="115" spans="1:2" ht="14" x14ac:dyDescent="0.3">
      <c r="A115" s="151"/>
      <c r="B115" s="151"/>
    </row>
    <row r="116" spans="1:2" ht="14" x14ac:dyDescent="0.3">
      <c r="A116" s="151"/>
      <c r="B116" s="151"/>
    </row>
    <row r="117" spans="1:2" ht="14" x14ac:dyDescent="0.3">
      <c r="A117" s="151"/>
      <c r="B117" s="151"/>
    </row>
    <row r="118" spans="1:2" ht="14" x14ac:dyDescent="0.3">
      <c r="A118" s="151"/>
      <c r="B118" s="151"/>
    </row>
    <row r="119" spans="1:2" ht="14" x14ac:dyDescent="0.3">
      <c r="A119" s="151"/>
      <c r="B119" s="151"/>
    </row>
    <row r="120" spans="1:2" ht="14" x14ac:dyDescent="0.3">
      <c r="A120" s="151"/>
      <c r="B120" s="151"/>
    </row>
    <row r="121" spans="1:2" ht="14" x14ac:dyDescent="0.3">
      <c r="A121" s="151"/>
      <c r="B121" s="151"/>
    </row>
    <row r="122" spans="1:2" ht="14" x14ac:dyDescent="0.3">
      <c r="A122" s="151"/>
      <c r="B122" s="151"/>
    </row>
    <row r="123" spans="1:2" ht="14" x14ac:dyDescent="0.3">
      <c r="A123" s="151"/>
      <c r="B123" s="151"/>
    </row>
    <row r="124" spans="1:2" ht="14" x14ac:dyDescent="0.3">
      <c r="A124" s="151"/>
      <c r="B124" s="151"/>
    </row>
    <row r="125" spans="1:2" ht="14" x14ac:dyDescent="0.3">
      <c r="A125" s="151"/>
      <c r="B125" s="151"/>
    </row>
    <row r="126" spans="1:2" ht="14" x14ac:dyDescent="0.3">
      <c r="A126" s="151"/>
      <c r="B126" s="151"/>
    </row>
    <row r="127" spans="1:2" ht="14" x14ac:dyDescent="0.3">
      <c r="A127" s="151"/>
      <c r="B127" s="151"/>
    </row>
    <row r="128" spans="1:2" ht="14" x14ac:dyDescent="0.3">
      <c r="A128" s="151"/>
      <c r="B128" s="151"/>
    </row>
    <row r="129" spans="1:2" ht="14" x14ac:dyDescent="0.3">
      <c r="A129" s="151"/>
      <c r="B129" s="151"/>
    </row>
    <row r="130" spans="1:2" ht="14" x14ac:dyDescent="0.3">
      <c r="A130" s="151"/>
      <c r="B130" s="151"/>
    </row>
    <row r="131" spans="1:2" ht="14" x14ac:dyDescent="0.3">
      <c r="A131" s="151"/>
      <c r="B131" s="151"/>
    </row>
    <row r="132" spans="1:2" ht="14" x14ac:dyDescent="0.3">
      <c r="A132" s="151"/>
      <c r="B132" s="151"/>
    </row>
    <row r="133" spans="1:2" ht="14" x14ac:dyDescent="0.3">
      <c r="A133" s="151"/>
      <c r="B133" s="151"/>
    </row>
    <row r="134" spans="1:2" ht="14" x14ac:dyDescent="0.3">
      <c r="A134" s="151"/>
      <c r="B134" s="151"/>
    </row>
    <row r="135" spans="1:2" ht="14" x14ac:dyDescent="0.3">
      <c r="A135" s="151"/>
      <c r="B135" s="151"/>
    </row>
    <row r="136" spans="1:2" ht="14" x14ac:dyDescent="0.3">
      <c r="A136" s="151"/>
      <c r="B136" s="151"/>
    </row>
    <row r="137" spans="1:2" ht="14" x14ac:dyDescent="0.3">
      <c r="A137" s="151"/>
      <c r="B137" s="151"/>
    </row>
    <row r="138" spans="1:2" ht="14" x14ac:dyDescent="0.3">
      <c r="A138" s="151"/>
      <c r="B138" s="151"/>
    </row>
    <row r="139" spans="1:2" ht="14" x14ac:dyDescent="0.3">
      <c r="A139" s="151"/>
      <c r="B139" s="151"/>
    </row>
    <row r="140" spans="1:2" ht="14" x14ac:dyDescent="0.3">
      <c r="A140" s="151"/>
      <c r="B140" s="151"/>
    </row>
    <row r="141" spans="1:2" ht="14" x14ac:dyDescent="0.3">
      <c r="A141" s="151"/>
      <c r="B141" s="151"/>
    </row>
    <row r="142" spans="1:2" ht="14" x14ac:dyDescent="0.3">
      <c r="A142" s="151"/>
      <c r="B142" s="151"/>
    </row>
    <row r="143" spans="1:2" ht="14" x14ac:dyDescent="0.3">
      <c r="A143" s="151"/>
      <c r="B143" s="151"/>
    </row>
    <row r="144" spans="1:2" ht="14" x14ac:dyDescent="0.3">
      <c r="A144" s="151"/>
      <c r="B144" s="151"/>
    </row>
    <row r="145" spans="1:2" ht="14" x14ac:dyDescent="0.3">
      <c r="A145" s="151"/>
      <c r="B145" s="151"/>
    </row>
    <row r="146" spans="1:2" ht="14" x14ac:dyDescent="0.3">
      <c r="A146" s="151"/>
      <c r="B146" s="151"/>
    </row>
    <row r="147" spans="1:2" ht="14" x14ac:dyDescent="0.3">
      <c r="A147" s="151"/>
      <c r="B147" s="151"/>
    </row>
    <row r="148" spans="1:2" ht="14" x14ac:dyDescent="0.3">
      <c r="A148" s="151"/>
      <c r="B148" s="151"/>
    </row>
    <row r="149" spans="1:2" ht="14" x14ac:dyDescent="0.3">
      <c r="A149" s="151"/>
      <c r="B149" s="151"/>
    </row>
    <row r="150" spans="1:2" ht="14" x14ac:dyDescent="0.3">
      <c r="A150" s="151"/>
      <c r="B150" s="151"/>
    </row>
    <row r="151" spans="1:2" ht="14" x14ac:dyDescent="0.3">
      <c r="A151" s="151"/>
      <c r="B151" s="151"/>
    </row>
    <row r="152" spans="1:2" ht="14" x14ac:dyDescent="0.3">
      <c r="A152" s="151"/>
      <c r="B152" s="151"/>
    </row>
    <row r="153" spans="1:2" ht="14" x14ac:dyDescent="0.3">
      <c r="A153" s="151"/>
      <c r="B153" s="151"/>
    </row>
    <row r="154" spans="1:2" ht="14" x14ac:dyDescent="0.3">
      <c r="A154" s="151"/>
      <c r="B154" s="151"/>
    </row>
    <row r="155" spans="1:2" ht="14" x14ac:dyDescent="0.3">
      <c r="A155" s="151"/>
      <c r="B155" s="151"/>
    </row>
    <row r="156" spans="1:2" ht="14" x14ac:dyDescent="0.3">
      <c r="A156" s="151"/>
      <c r="B156" s="151"/>
    </row>
    <row r="157" spans="1:2" ht="14" x14ac:dyDescent="0.3">
      <c r="A157" s="151"/>
      <c r="B157" s="151"/>
    </row>
  </sheetData>
  <mergeCells count="8">
    <mergeCell ref="E12:G12"/>
    <mergeCell ref="I12:K12"/>
    <mergeCell ref="M12:N12"/>
    <mergeCell ref="A4:N4"/>
    <mergeCell ref="A5:N5"/>
    <mergeCell ref="A6:N6"/>
    <mergeCell ref="A8:N8"/>
    <mergeCell ref="A9:N9"/>
  </mergeCells>
  <pageMargins left="0.7" right="0.7" top="0.75" bottom="0.75" header="0.3" footer="0.3"/>
  <pageSetup scale="64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F35EA-F915-4434-BDF9-FE9AC47FC286}">
  <sheetPr>
    <tabColor theme="3" tint="0.59999389629810485"/>
    <pageSetUpPr fitToPage="1"/>
  </sheetPr>
  <dimension ref="A4:AF142"/>
  <sheetViews>
    <sheetView zoomScaleNormal="100" workbookViewId="0"/>
  </sheetViews>
  <sheetFormatPr defaultRowHeight="12.5" x14ac:dyDescent="0.25"/>
  <cols>
    <col min="1" max="1" width="4" customWidth="1"/>
    <col min="2" max="2" width="4.453125" bestFit="1" customWidth="1"/>
    <col min="3" max="3" width="9.26953125" customWidth="1"/>
    <col min="4" max="4" width="9.7265625" customWidth="1"/>
    <col min="5" max="7" width="14.7265625" customWidth="1"/>
    <col min="8" max="8" width="1.7265625" customWidth="1"/>
    <col min="9" max="11" width="14.7265625" customWidth="1"/>
    <col min="12" max="12" width="1.7265625" customWidth="1"/>
    <col min="13" max="14" width="11.7265625" customWidth="1"/>
    <col min="15" max="15" width="10.81640625" bestFit="1" customWidth="1"/>
    <col min="16" max="16" width="11.81640625" bestFit="1" customWidth="1"/>
    <col min="17" max="17" width="11.26953125" bestFit="1" customWidth="1"/>
    <col min="18" max="18" width="10.1796875" bestFit="1" customWidth="1"/>
    <col min="19" max="19" width="10.81640625" bestFit="1" customWidth="1"/>
    <col min="20" max="20" width="11.81640625" bestFit="1" customWidth="1"/>
    <col min="21" max="22" width="13" bestFit="1" customWidth="1"/>
    <col min="23" max="23" width="8.453125" bestFit="1" customWidth="1"/>
    <col min="24" max="24" width="10.81640625" bestFit="1" customWidth="1"/>
    <col min="25" max="25" width="11.81640625" bestFit="1" customWidth="1"/>
    <col min="26" max="26" width="11.26953125" bestFit="1" customWidth="1"/>
    <col min="27" max="27" width="10.1796875" bestFit="1" customWidth="1"/>
    <col min="28" max="28" width="10.81640625" bestFit="1" customWidth="1"/>
    <col min="29" max="29" width="11.81640625" bestFit="1" customWidth="1"/>
  </cols>
  <sheetData>
    <row r="4" spans="1:32" ht="14" x14ac:dyDescent="0.3">
      <c r="A4" s="766" t="str">
        <f>'Bill_South G1S'!A4:N4</f>
        <v>Eastern Massachusetts</v>
      </c>
      <c r="B4" s="766"/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  <c r="N4" s="766"/>
    </row>
    <row r="5" spans="1:32" ht="14" x14ac:dyDescent="0.3">
      <c r="A5" s="766" t="str">
        <f>+'Bill_Cam G0'!A5</f>
        <v>Calculation of Monthly Typical Bill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</row>
    <row r="6" spans="1:32" ht="14" x14ac:dyDescent="0.3">
      <c r="A6" s="766" t="str">
        <f>+'Bill_Cam G0'!A6</f>
        <v>Proposed January 1, 2019</v>
      </c>
      <c r="B6" s="766"/>
      <c r="C6" s="766"/>
      <c r="D6" s="766"/>
      <c r="E6" s="766"/>
      <c r="F6" s="766"/>
      <c r="G6" s="766"/>
      <c r="H6" s="766"/>
      <c r="I6" s="766"/>
      <c r="J6" s="766"/>
      <c r="K6" s="766"/>
      <c r="L6" s="766"/>
      <c r="M6" s="766"/>
      <c r="N6" s="766"/>
    </row>
    <row r="7" spans="1:32" ht="14" x14ac:dyDescent="0.3">
      <c r="A7" s="521"/>
      <c r="B7" s="521"/>
      <c r="C7" s="293"/>
      <c r="D7" s="293"/>
      <c r="E7" s="468"/>
      <c r="F7" s="243"/>
      <c r="G7" s="469"/>
      <c r="H7" s="293"/>
      <c r="I7" s="369"/>
      <c r="J7" s="369"/>
      <c r="K7" s="369"/>
      <c r="L7" s="369"/>
      <c r="M7" s="369"/>
      <c r="N7" s="369"/>
    </row>
    <row r="8" spans="1:32" ht="14" x14ac:dyDescent="0.3">
      <c r="A8" s="766" t="s">
        <v>476</v>
      </c>
      <c r="B8" s="766"/>
      <c r="C8" s="766"/>
      <c r="D8" s="766"/>
      <c r="E8" s="766"/>
      <c r="F8" s="766"/>
      <c r="G8" s="766"/>
      <c r="H8" s="766"/>
      <c r="I8" s="766"/>
      <c r="J8" s="766"/>
      <c r="K8" s="766"/>
      <c r="L8" s="766"/>
      <c r="M8" s="766"/>
      <c r="N8" s="766"/>
    </row>
    <row r="9" spans="1:32" ht="14" x14ac:dyDescent="0.3">
      <c r="A9" s="766" t="s">
        <v>612</v>
      </c>
      <c r="B9" s="766"/>
      <c r="C9" s="766"/>
      <c r="D9" s="766"/>
      <c r="E9" s="766"/>
      <c r="F9" s="766"/>
      <c r="G9" s="766"/>
      <c r="H9" s="766"/>
      <c r="I9" s="766"/>
      <c r="J9" s="766"/>
      <c r="K9" s="766"/>
      <c r="L9" s="766"/>
      <c r="M9" s="766"/>
      <c r="N9" s="766"/>
    </row>
    <row r="10" spans="1:32" ht="14" x14ac:dyDescent="0.3">
      <c r="A10" s="366"/>
      <c r="B10" s="366"/>
      <c r="C10" s="293"/>
      <c r="D10" s="293"/>
      <c r="E10" s="293"/>
      <c r="F10" s="293"/>
      <c r="G10" s="368"/>
      <c r="H10" s="293"/>
    </row>
    <row r="11" spans="1:32" ht="14" x14ac:dyDescent="0.3">
      <c r="A11" s="151"/>
      <c r="B11" s="151"/>
      <c r="C11" s="293"/>
      <c r="D11" s="293"/>
      <c r="E11" s="293"/>
      <c r="F11" s="293"/>
      <c r="G11" s="368"/>
      <c r="H11" s="293"/>
    </row>
    <row r="12" spans="1:32" ht="14" x14ac:dyDescent="0.3">
      <c r="A12" s="151">
        <f>IF(C12&lt;&gt;"",COUNTA($C$12:C12),"")</f>
        <v>1</v>
      </c>
      <c r="B12" s="151"/>
      <c r="C12" s="366" t="s">
        <v>528</v>
      </c>
      <c r="D12" s="366" t="s">
        <v>528</v>
      </c>
      <c r="E12" s="760" t="str">
        <f>+'Bill_South G1'!E12</f>
        <v>Current Monthly Bill</v>
      </c>
      <c r="F12" s="760"/>
      <c r="G12" s="760"/>
      <c r="H12" s="293"/>
      <c r="I12" s="760" t="str">
        <f>+'Bill_South G1'!I12</f>
        <v>Proposed Monthly Bill</v>
      </c>
      <c r="J12" s="760"/>
      <c r="K12" s="760"/>
      <c r="M12" s="760" t="s">
        <v>550</v>
      </c>
      <c r="N12" s="760"/>
      <c r="O12" s="369"/>
      <c r="P12" s="369"/>
      <c r="Q12" s="369"/>
      <c r="R12" s="369"/>
      <c r="S12" s="369"/>
      <c r="T12" s="369"/>
      <c r="U12" s="369"/>
      <c r="V12" s="369"/>
      <c r="X12" s="369"/>
      <c r="Y12" s="369"/>
      <c r="Z12" s="369"/>
      <c r="AA12" s="369"/>
      <c r="AB12" s="369"/>
      <c r="AC12" s="369"/>
      <c r="AD12" s="369"/>
      <c r="AE12" s="369"/>
      <c r="AF12" s="369"/>
    </row>
    <row r="13" spans="1:32" ht="14" x14ac:dyDescent="0.3">
      <c r="A13" s="151">
        <f>IF(C13&lt;&gt;"",COUNTA($C$12:C13),"")</f>
        <v>2</v>
      </c>
      <c r="B13" s="151"/>
      <c r="C13" s="408" t="s">
        <v>593</v>
      </c>
      <c r="D13" s="370" t="s">
        <v>551</v>
      </c>
      <c r="E13" s="370" t="s">
        <v>552</v>
      </c>
      <c r="F13" s="370" t="s">
        <v>553</v>
      </c>
      <c r="G13" s="370" t="s">
        <v>47</v>
      </c>
      <c r="H13" s="293"/>
      <c r="I13" s="370" t="s">
        <v>552</v>
      </c>
      <c r="J13" s="370" t="s">
        <v>553</v>
      </c>
      <c r="K13" s="370" t="s">
        <v>47</v>
      </c>
      <c r="M13" s="370" t="s">
        <v>65</v>
      </c>
      <c r="N13" s="370" t="s">
        <v>325</v>
      </c>
      <c r="X13" s="369"/>
      <c r="Y13" s="369"/>
      <c r="Z13" s="369"/>
      <c r="AA13" s="369"/>
      <c r="AB13" s="369"/>
      <c r="AC13" s="369"/>
      <c r="AD13" s="369"/>
      <c r="AE13" s="369"/>
      <c r="AF13" s="369"/>
    </row>
    <row r="14" spans="1:32" ht="14" x14ac:dyDescent="0.3">
      <c r="A14" s="151" t="str">
        <f>IF(C14&lt;&gt;"",COUNTA($C$12:C14),"")</f>
        <v/>
      </c>
      <c r="B14" s="151"/>
      <c r="C14" s="408"/>
      <c r="D14" s="370"/>
      <c r="E14" s="370"/>
      <c r="F14" s="370"/>
      <c r="G14" s="370"/>
      <c r="H14" s="293"/>
      <c r="I14" s="370"/>
      <c r="J14" s="370"/>
      <c r="K14" s="370"/>
      <c r="M14" s="370"/>
      <c r="N14" s="370"/>
      <c r="X14" s="369"/>
      <c r="Y14" s="369"/>
      <c r="Z14" s="369"/>
      <c r="AA14" s="369"/>
      <c r="AB14" s="369"/>
      <c r="AC14" s="369"/>
      <c r="AD14" s="369"/>
      <c r="AE14" s="369"/>
      <c r="AF14" s="369"/>
    </row>
    <row r="15" spans="1:32" ht="14" x14ac:dyDescent="0.3">
      <c r="A15" s="151">
        <f>IF(C15&lt;&gt;"",COUNTA($C$12:C15),"")</f>
        <v>3</v>
      </c>
      <c r="B15" s="151"/>
      <c r="C15" s="405" t="s">
        <v>577</v>
      </c>
      <c r="D15" s="370"/>
      <c r="E15" s="370"/>
      <c r="F15" s="370"/>
      <c r="G15" s="370"/>
      <c r="H15" s="293"/>
      <c r="I15" s="370"/>
      <c r="J15" s="370"/>
      <c r="K15" s="370"/>
      <c r="M15" s="370"/>
      <c r="N15" s="370"/>
      <c r="X15" s="369"/>
      <c r="Y15" s="369"/>
      <c r="Z15" s="369"/>
      <c r="AA15" s="369"/>
      <c r="AB15" s="369"/>
      <c r="AC15" s="369"/>
      <c r="AD15" s="369"/>
      <c r="AE15" s="369"/>
      <c r="AF15" s="369"/>
    </row>
    <row r="16" spans="1:32" ht="14" x14ac:dyDescent="0.3">
      <c r="A16" s="151">
        <f>IF(C16&lt;&gt;"",COUNTA($C$12:C16),"")</f>
        <v>4</v>
      </c>
      <c r="B16" s="151"/>
      <c r="C16" s="371">
        <v>100</v>
      </c>
      <c r="D16" s="409">
        <f>+C16*300</f>
        <v>30000</v>
      </c>
      <c r="E16" s="372">
        <f>ROUND($G$42+$C16*SUM($G$43,$G$44)+$D16*$G$45*$E$69+$D16*$G$46*$E$70+$D16*$G$47*$E$71+SUM($G$48:$G$66)*$D16,2)</f>
        <v>2382.46</v>
      </c>
      <c r="F16" s="372">
        <f t="shared" ref="F16:F21" si="0">ROUND($G$67*$D16,2)</f>
        <v>3679.8</v>
      </c>
      <c r="G16" s="372">
        <f t="shared" ref="G16:G21" si="1">SUM(E16:F16)</f>
        <v>6062.26</v>
      </c>
      <c r="H16" s="373"/>
      <c r="I16" s="372">
        <f t="shared" ref="I16:I21" si="2">ROUND($I$42+$C16*SUM($I$43,$I$44)+$D16*$I$45*$E$69+$D16*$I$46*$E$70+$D16*$I$47*$E$71+SUM($I$48:$I$62,$I$63:$I$66)*$D16,2)</f>
        <v>2256.6799999999998</v>
      </c>
      <c r="J16" s="372">
        <f t="shared" ref="J16:J21" si="3">ROUND($I$67*$D16,2)</f>
        <v>4844.3999999999996</v>
      </c>
      <c r="K16" s="372">
        <f t="shared" ref="K16:K21" si="4">SUM(I16:J16)</f>
        <v>7101.08</v>
      </c>
      <c r="L16" s="374"/>
      <c r="M16" s="375">
        <f t="shared" ref="M16:M21" si="5">+K16-G16</f>
        <v>1038.8199999999997</v>
      </c>
      <c r="N16" s="376">
        <f t="shared" ref="N16:N21" si="6">+M16/G16</f>
        <v>0.17135853625545583</v>
      </c>
      <c r="O16" s="374"/>
      <c r="P16" s="374"/>
      <c r="Q16" s="374"/>
      <c r="R16" s="374"/>
      <c r="S16" s="374"/>
      <c r="T16" s="374"/>
      <c r="U16" s="374"/>
      <c r="V16" s="374"/>
      <c r="W16" s="374"/>
      <c r="X16" s="374"/>
      <c r="Y16" s="374"/>
      <c r="Z16" s="374"/>
      <c r="AA16" s="374"/>
      <c r="AB16" s="374"/>
      <c r="AC16" s="374"/>
      <c r="AD16" s="374"/>
      <c r="AE16" s="374"/>
      <c r="AF16" s="374">
        <f t="shared" ref="AF16:AF21" si="7">+AE16-K16</f>
        <v>-7101.08</v>
      </c>
    </row>
    <row r="17" spans="1:32" ht="14" x14ac:dyDescent="0.3">
      <c r="A17" s="151">
        <f>IF(C17&lt;&gt;"",COUNTA($C$12:C17),"")</f>
        <v>5</v>
      </c>
      <c r="B17" s="151"/>
      <c r="C17" s="371">
        <v>150</v>
      </c>
      <c r="D17" s="409">
        <f t="shared" ref="D17:D21" si="8">+C17*300</f>
        <v>45000</v>
      </c>
      <c r="E17" s="372">
        <f t="shared" ref="E17:E21" si="9">ROUND($G$42+$C17*SUM($G$43,$G$44)+$D17*$G$45*$E$69+$D17*$G$46*$E$70+$D17*$G$47*$E$71+SUM($G$48:$G$66)*$D17,2)</f>
        <v>3388.69</v>
      </c>
      <c r="F17" s="372">
        <f t="shared" si="0"/>
        <v>5519.7</v>
      </c>
      <c r="G17" s="372">
        <f t="shared" si="1"/>
        <v>8908.39</v>
      </c>
      <c r="H17" s="373"/>
      <c r="I17" s="372">
        <f t="shared" si="2"/>
        <v>3200.02</v>
      </c>
      <c r="J17" s="372">
        <f t="shared" si="3"/>
        <v>7266.6</v>
      </c>
      <c r="K17" s="372">
        <f t="shared" si="4"/>
        <v>10466.620000000001</v>
      </c>
      <c r="L17" s="374"/>
      <c r="M17" s="375">
        <f t="shared" si="5"/>
        <v>1558.2300000000014</v>
      </c>
      <c r="N17" s="376">
        <f t="shared" si="6"/>
        <v>0.17491712868430789</v>
      </c>
      <c r="O17" s="374"/>
      <c r="P17" s="374"/>
      <c r="Q17" s="374"/>
      <c r="R17" s="374"/>
      <c r="S17" s="374"/>
      <c r="T17" s="374"/>
      <c r="U17" s="374"/>
      <c r="V17" s="374"/>
      <c r="W17" s="374"/>
      <c r="X17" s="374"/>
      <c r="Y17" s="374"/>
      <c r="Z17" s="374"/>
      <c r="AA17" s="374"/>
      <c r="AB17" s="374"/>
      <c r="AC17" s="374"/>
      <c r="AD17" s="374"/>
      <c r="AE17" s="374"/>
      <c r="AF17" s="374">
        <f t="shared" si="7"/>
        <v>-10466.620000000001</v>
      </c>
    </row>
    <row r="18" spans="1:32" ht="14" x14ac:dyDescent="0.3">
      <c r="A18" s="151">
        <f>IF(C18&lt;&gt;"",COUNTA($C$12:C18),"")</f>
        <v>6</v>
      </c>
      <c r="B18" s="151"/>
      <c r="C18" s="371">
        <v>200</v>
      </c>
      <c r="D18" s="409">
        <f t="shared" si="8"/>
        <v>60000</v>
      </c>
      <c r="E18" s="372">
        <f t="shared" si="9"/>
        <v>4394.92</v>
      </c>
      <c r="F18" s="372">
        <f t="shared" si="0"/>
        <v>7359.6</v>
      </c>
      <c r="G18" s="372">
        <f t="shared" si="1"/>
        <v>11754.52</v>
      </c>
      <c r="H18" s="373"/>
      <c r="I18" s="372">
        <f t="shared" si="2"/>
        <v>4143.37</v>
      </c>
      <c r="J18" s="372">
        <f t="shared" si="3"/>
        <v>9688.7999999999993</v>
      </c>
      <c r="K18" s="372">
        <f t="shared" si="4"/>
        <v>13832.169999999998</v>
      </c>
      <c r="L18" s="374"/>
      <c r="M18" s="375">
        <f t="shared" si="5"/>
        <v>2077.6499999999978</v>
      </c>
      <c r="N18" s="376">
        <f t="shared" si="6"/>
        <v>0.17675328299241463</v>
      </c>
      <c r="O18" s="374"/>
      <c r="P18" s="374"/>
      <c r="Q18" s="374"/>
      <c r="R18" s="374"/>
      <c r="S18" s="374"/>
      <c r="T18" s="374"/>
      <c r="U18" s="374"/>
      <c r="V18" s="374"/>
      <c r="W18" s="374"/>
      <c r="X18" s="374"/>
      <c r="Y18" s="374"/>
      <c r="Z18" s="374"/>
      <c r="AA18" s="374"/>
      <c r="AB18" s="374"/>
      <c r="AC18" s="374"/>
      <c r="AD18" s="374"/>
      <c r="AE18" s="374"/>
      <c r="AF18" s="374">
        <f t="shared" si="7"/>
        <v>-13832.169999999998</v>
      </c>
    </row>
    <row r="19" spans="1:32" ht="14" x14ac:dyDescent="0.3">
      <c r="A19" s="151">
        <f>IF(C19&lt;&gt;"",COUNTA($C$12:C19),"")</f>
        <v>7</v>
      </c>
      <c r="B19" s="151"/>
      <c r="C19" s="409">
        <v>300</v>
      </c>
      <c r="D19" s="409">
        <f t="shared" si="8"/>
        <v>90000</v>
      </c>
      <c r="E19" s="372">
        <f t="shared" si="9"/>
        <v>6407.38</v>
      </c>
      <c r="F19" s="372">
        <f t="shared" si="0"/>
        <v>11039.4</v>
      </c>
      <c r="G19" s="372">
        <f t="shared" si="1"/>
        <v>17446.78</v>
      </c>
      <c r="H19" s="373"/>
      <c r="I19" s="372">
        <f t="shared" si="2"/>
        <v>6030.05</v>
      </c>
      <c r="J19" s="372">
        <f t="shared" si="3"/>
        <v>14533.2</v>
      </c>
      <c r="K19" s="372">
        <f t="shared" si="4"/>
        <v>20563.25</v>
      </c>
      <c r="L19" s="374"/>
      <c r="M19" s="375">
        <f t="shared" si="5"/>
        <v>3116.4700000000012</v>
      </c>
      <c r="N19" s="376">
        <f t="shared" si="6"/>
        <v>0.17862723092742622</v>
      </c>
      <c r="O19" s="374"/>
      <c r="P19" s="374"/>
      <c r="Q19" s="374"/>
      <c r="R19" s="374"/>
      <c r="S19" s="374"/>
      <c r="T19" s="374"/>
      <c r="U19" s="374"/>
      <c r="V19" s="374"/>
      <c r="W19" s="374"/>
      <c r="X19" s="374"/>
      <c r="Y19" s="374"/>
      <c r="Z19" s="374"/>
      <c r="AA19" s="374"/>
      <c r="AB19" s="374"/>
      <c r="AC19" s="374"/>
      <c r="AD19" s="374"/>
      <c r="AE19" s="374"/>
      <c r="AF19" s="374">
        <f t="shared" si="7"/>
        <v>-20563.25</v>
      </c>
    </row>
    <row r="20" spans="1:32" ht="14" x14ac:dyDescent="0.3">
      <c r="A20" s="151">
        <f>IF(C20&lt;&gt;"",COUNTA($C$12:C20),"")</f>
        <v>8</v>
      </c>
      <c r="B20" s="151"/>
      <c r="C20" s="409">
        <v>500</v>
      </c>
      <c r="D20" s="409">
        <f t="shared" si="8"/>
        <v>150000</v>
      </c>
      <c r="E20" s="372">
        <f t="shared" si="9"/>
        <v>10432.31</v>
      </c>
      <c r="F20" s="372">
        <f t="shared" si="0"/>
        <v>18399</v>
      </c>
      <c r="G20" s="372">
        <f t="shared" si="1"/>
        <v>28831.309999999998</v>
      </c>
      <c r="H20" s="373"/>
      <c r="I20" s="372">
        <f t="shared" si="2"/>
        <v>9803.42</v>
      </c>
      <c r="J20" s="372">
        <f t="shared" si="3"/>
        <v>24222</v>
      </c>
      <c r="K20" s="372">
        <f t="shared" si="4"/>
        <v>34025.42</v>
      </c>
      <c r="L20" s="374"/>
      <c r="M20" s="375">
        <f t="shared" si="5"/>
        <v>5194.1100000000006</v>
      </c>
      <c r="N20" s="376">
        <f t="shared" si="6"/>
        <v>0.18015518545636675</v>
      </c>
      <c r="O20" s="374"/>
      <c r="P20" s="374"/>
      <c r="Q20" s="374"/>
      <c r="R20" s="374"/>
      <c r="S20" s="374"/>
      <c r="T20" s="374"/>
      <c r="U20" s="374"/>
      <c r="V20" s="374"/>
      <c r="W20" s="374"/>
      <c r="X20" s="374"/>
      <c r="Y20" s="374"/>
      <c r="Z20" s="374"/>
      <c r="AA20" s="374"/>
      <c r="AB20" s="374"/>
      <c r="AC20" s="374"/>
      <c r="AD20" s="374"/>
      <c r="AE20" s="374"/>
      <c r="AF20" s="374">
        <f t="shared" si="7"/>
        <v>-34025.42</v>
      </c>
    </row>
    <row r="21" spans="1:32" ht="14" x14ac:dyDescent="0.3">
      <c r="A21" s="151">
        <f>IF(C21&lt;&gt;"",COUNTA($C$12:C21),"")</f>
        <v>9</v>
      </c>
      <c r="B21" s="151" t="s">
        <v>554</v>
      </c>
      <c r="C21" s="409">
        <v>205</v>
      </c>
      <c r="D21" s="409">
        <f t="shared" si="8"/>
        <v>61500</v>
      </c>
      <c r="E21" s="372">
        <f t="shared" si="9"/>
        <v>4495.55</v>
      </c>
      <c r="F21" s="372">
        <f t="shared" si="0"/>
        <v>7543.59</v>
      </c>
      <c r="G21" s="372">
        <f t="shared" si="1"/>
        <v>12039.14</v>
      </c>
      <c r="H21" s="373"/>
      <c r="I21" s="372">
        <f t="shared" si="2"/>
        <v>4237.7</v>
      </c>
      <c r="J21" s="372">
        <f t="shared" si="3"/>
        <v>9931.02</v>
      </c>
      <c r="K21" s="372">
        <f t="shared" si="4"/>
        <v>14168.720000000001</v>
      </c>
      <c r="L21" s="374"/>
      <c r="M21" s="375">
        <f t="shared" si="5"/>
        <v>2129.5800000000017</v>
      </c>
      <c r="N21" s="376">
        <f t="shared" si="6"/>
        <v>0.17688805014311668</v>
      </c>
      <c r="O21" s="374"/>
      <c r="P21" s="374"/>
      <c r="Q21" s="374"/>
      <c r="R21" s="374"/>
      <c r="S21" s="374"/>
      <c r="T21" s="374"/>
      <c r="U21" s="374"/>
      <c r="V21" s="374"/>
      <c r="W21" s="374"/>
      <c r="X21" s="374"/>
      <c r="Y21" s="374"/>
      <c r="Z21" s="374"/>
      <c r="AA21" s="374"/>
      <c r="AB21" s="374"/>
      <c r="AC21" s="374"/>
      <c r="AD21" s="374"/>
      <c r="AE21" s="374"/>
      <c r="AF21" s="374">
        <f t="shared" si="7"/>
        <v>-14168.720000000001</v>
      </c>
    </row>
    <row r="22" spans="1:32" ht="14" x14ac:dyDescent="0.3">
      <c r="A22" s="151" t="str">
        <f>IF(C22&lt;&gt;"",COUNTA($C$12:C22),"")</f>
        <v/>
      </c>
      <c r="B22" s="151"/>
      <c r="C22" s="493"/>
      <c r="D22" s="493"/>
      <c r="E22" s="489"/>
      <c r="F22" s="489"/>
      <c r="G22" s="489"/>
      <c r="H22" s="494"/>
      <c r="I22" s="489"/>
      <c r="J22" s="489"/>
      <c r="K22" s="489"/>
      <c r="L22" s="495"/>
      <c r="M22" s="497"/>
      <c r="N22" s="519"/>
      <c r="P22" s="153"/>
      <c r="Q22" s="374"/>
    </row>
    <row r="23" spans="1:32" ht="14" x14ac:dyDescent="0.3">
      <c r="A23" s="151">
        <f>IF(C23&lt;&gt;"",COUNTA($C$12:C23),"")</f>
        <v>10</v>
      </c>
      <c r="B23" s="151"/>
      <c r="C23" s="496" t="s">
        <v>575</v>
      </c>
      <c r="D23" s="493"/>
      <c r="E23" s="489"/>
      <c r="F23" s="489"/>
      <c r="G23" s="489"/>
      <c r="H23" s="494"/>
      <c r="I23" s="489"/>
      <c r="J23" s="489"/>
      <c r="K23" s="489"/>
      <c r="L23" s="495"/>
      <c r="M23" s="497"/>
      <c r="N23" s="519"/>
    </row>
    <row r="24" spans="1:32" ht="14" x14ac:dyDescent="0.3">
      <c r="A24" s="151">
        <f>IF(C24&lt;&gt;"",COUNTA($C$12:C24),"")</f>
        <v>11</v>
      </c>
      <c r="B24" s="151"/>
      <c r="C24" s="409">
        <f>+C16</f>
        <v>100</v>
      </c>
      <c r="D24" s="409">
        <f>+C24*400</f>
        <v>40000</v>
      </c>
      <c r="E24" s="372">
        <f t="shared" ref="E24:E29" si="10">ROUND($G$42+$C24*SUM($G$43,$G$44)+$D24*$G$45*$E$69+$D24*$G$46*$E$70+$D24*$G$47*$E$71+SUM($G$48:$G$62,$G$63:$G$66)*$D24,2)</f>
        <v>2730.95</v>
      </c>
      <c r="F24" s="372">
        <f t="shared" ref="F24:F29" si="11">ROUND($G$67*$D24,2)</f>
        <v>4906.3999999999996</v>
      </c>
      <c r="G24" s="372">
        <f t="shared" ref="G24:G29" si="12">SUM(E24:F24)</f>
        <v>7637.3499999999995</v>
      </c>
      <c r="H24" s="373"/>
      <c r="I24" s="372">
        <f t="shared" ref="I24:I29" si="13">ROUND($I$42+$C24*SUM($I$43,$I$44)+$D24*$I$45*$E$69+$D24*$I$46*$E$70+$D24*$I$47*$E$71+SUM($I$48:$I$62,$I$63:$I$66)*$D24,2)</f>
        <v>2611.2399999999998</v>
      </c>
      <c r="J24" s="372">
        <f t="shared" ref="J24:J29" si="14">ROUND($I$67*$D24,2)</f>
        <v>6459.2</v>
      </c>
      <c r="K24" s="372">
        <f t="shared" ref="K24:K29" si="15">SUM(I24:J24)</f>
        <v>9070.4399999999987</v>
      </c>
      <c r="L24" s="374"/>
      <c r="M24" s="375">
        <f t="shared" ref="M24:M29" si="16">+K24-G24</f>
        <v>1433.0899999999992</v>
      </c>
      <c r="N24" s="376">
        <f t="shared" ref="N24:N29" si="17">+M24/G24</f>
        <v>0.18764231048727625</v>
      </c>
      <c r="O24" s="374"/>
      <c r="P24" s="374"/>
      <c r="Q24" s="374"/>
      <c r="R24" s="374"/>
      <c r="S24" s="374"/>
      <c r="T24" s="374"/>
      <c r="U24" s="374"/>
      <c r="V24" s="374"/>
      <c r="W24" s="374"/>
      <c r="X24" s="374"/>
      <c r="Y24" s="374"/>
      <c r="Z24" s="374"/>
      <c r="AA24" s="374"/>
      <c r="AB24" s="374"/>
      <c r="AC24" s="374"/>
      <c r="AD24" s="374"/>
      <c r="AE24" s="374"/>
      <c r="AF24" s="374">
        <f t="shared" ref="AF24:AF29" si="18">+AE24-K24</f>
        <v>-9070.4399999999987</v>
      </c>
    </row>
    <row r="25" spans="1:32" ht="14" x14ac:dyDescent="0.3">
      <c r="A25" s="151">
        <f>IF(C25&lt;&gt;"",COUNTA($C$12:C25),"")</f>
        <v>12</v>
      </c>
      <c r="B25" s="151"/>
      <c r="C25" s="409">
        <f>+C17</f>
        <v>150</v>
      </c>
      <c r="D25" s="409">
        <f t="shared" ref="D25:D29" si="19">+C25*400</f>
        <v>60000</v>
      </c>
      <c r="E25" s="372">
        <f t="shared" si="10"/>
        <v>3911.42</v>
      </c>
      <c r="F25" s="372">
        <f t="shared" si="11"/>
        <v>7359.6</v>
      </c>
      <c r="G25" s="372">
        <f t="shared" si="12"/>
        <v>11271.02</v>
      </c>
      <c r="H25" s="373"/>
      <c r="I25" s="372">
        <f t="shared" si="13"/>
        <v>3731.87</v>
      </c>
      <c r="J25" s="372">
        <f t="shared" si="14"/>
        <v>9688.7999999999993</v>
      </c>
      <c r="K25" s="372">
        <f t="shared" si="15"/>
        <v>13420.669999999998</v>
      </c>
      <c r="L25" s="374"/>
      <c r="M25" s="375">
        <f t="shared" si="16"/>
        <v>2149.6499999999978</v>
      </c>
      <c r="N25" s="376">
        <f t="shared" si="17"/>
        <v>0.19072364346793794</v>
      </c>
      <c r="O25" s="374"/>
      <c r="P25" s="374"/>
      <c r="Q25" s="374"/>
      <c r="R25" s="374"/>
      <c r="S25" s="374"/>
      <c r="T25" s="374"/>
      <c r="U25" s="374"/>
      <c r="V25" s="374"/>
      <c r="W25" s="374"/>
      <c r="X25" s="374"/>
      <c r="Y25" s="374"/>
      <c r="Z25" s="374"/>
      <c r="AA25" s="374"/>
      <c r="AB25" s="374"/>
      <c r="AC25" s="374"/>
      <c r="AD25" s="374"/>
      <c r="AE25" s="374"/>
      <c r="AF25" s="374">
        <f t="shared" si="18"/>
        <v>-13420.669999999998</v>
      </c>
    </row>
    <row r="26" spans="1:32" ht="14" x14ac:dyDescent="0.3">
      <c r="A26" s="151">
        <f>IF(C26&lt;&gt;"",COUNTA($C$12:C26),"")</f>
        <v>13</v>
      </c>
      <c r="B26" s="151"/>
      <c r="C26" s="409">
        <f>+C18</f>
        <v>200</v>
      </c>
      <c r="D26" s="409">
        <f t="shared" si="19"/>
        <v>80000</v>
      </c>
      <c r="E26" s="372">
        <f t="shared" si="10"/>
        <v>5091.8999999999996</v>
      </c>
      <c r="F26" s="372">
        <f t="shared" si="11"/>
        <v>9812.7999999999993</v>
      </c>
      <c r="G26" s="372">
        <f t="shared" si="12"/>
        <v>14904.699999999999</v>
      </c>
      <c r="H26" s="373"/>
      <c r="I26" s="372">
        <f t="shared" si="13"/>
        <v>4852.49</v>
      </c>
      <c r="J26" s="372">
        <f t="shared" si="14"/>
        <v>12918.4</v>
      </c>
      <c r="K26" s="372">
        <f t="shared" si="15"/>
        <v>17770.89</v>
      </c>
      <c r="L26" s="374"/>
      <c r="M26" s="375">
        <f t="shared" si="16"/>
        <v>2866.1900000000005</v>
      </c>
      <c r="N26" s="376">
        <f t="shared" si="17"/>
        <v>0.19230108623454351</v>
      </c>
      <c r="O26" s="374"/>
      <c r="P26" s="374"/>
      <c r="Q26" s="374"/>
      <c r="R26" s="374"/>
      <c r="S26" s="374"/>
      <c r="T26" s="374"/>
      <c r="U26" s="374"/>
      <c r="V26" s="374"/>
      <c r="W26" s="374"/>
      <c r="X26" s="374"/>
      <c r="Y26" s="374"/>
      <c r="Z26" s="374"/>
      <c r="AA26" s="374"/>
      <c r="AB26" s="374"/>
      <c r="AC26" s="374"/>
      <c r="AD26" s="374"/>
      <c r="AE26" s="374"/>
      <c r="AF26" s="374">
        <f t="shared" si="18"/>
        <v>-17770.89</v>
      </c>
    </row>
    <row r="27" spans="1:32" ht="14" x14ac:dyDescent="0.3">
      <c r="A27" s="151">
        <f>IF(C27&lt;&gt;"",COUNTA($C$12:C27),"")</f>
        <v>14</v>
      </c>
      <c r="B27" s="151"/>
      <c r="C27" s="409">
        <f>+C19</f>
        <v>300</v>
      </c>
      <c r="D27" s="409">
        <f t="shared" si="19"/>
        <v>120000</v>
      </c>
      <c r="E27" s="372">
        <f t="shared" si="10"/>
        <v>7452.84</v>
      </c>
      <c r="F27" s="372">
        <f t="shared" si="11"/>
        <v>14719.2</v>
      </c>
      <c r="G27" s="372">
        <f t="shared" si="12"/>
        <v>22172.04</v>
      </c>
      <c r="H27" s="373"/>
      <c r="I27" s="372">
        <f t="shared" si="13"/>
        <v>7093.73</v>
      </c>
      <c r="J27" s="372">
        <f t="shared" si="14"/>
        <v>19377.599999999999</v>
      </c>
      <c r="K27" s="372">
        <f t="shared" si="15"/>
        <v>26471.329999999998</v>
      </c>
      <c r="L27" s="374"/>
      <c r="M27" s="375">
        <f t="shared" si="16"/>
        <v>4299.2899999999972</v>
      </c>
      <c r="N27" s="376">
        <f t="shared" si="17"/>
        <v>0.19390592836743922</v>
      </c>
      <c r="O27" s="374"/>
      <c r="P27" s="374"/>
      <c r="Q27" s="374"/>
      <c r="R27" s="374"/>
      <c r="S27" s="374"/>
      <c r="T27" s="374"/>
      <c r="U27" s="374"/>
      <c r="V27" s="374"/>
      <c r="W27" s="374"/>
      <c r="X27" s="374"/>
      <c r="Y27" s="374"/>
      <c r="Z27" s="374"/>
      <c r="AA27" s="374"/>
      <c r="AB27" s="374"/>
      <c r="AC27" s="374"/>
      <c r="AD27" s="374"/>
      <c r="AE27" s="374"/>
      <c r="AF27" s="374">
        <f t="shared" si="18"/>
        <v>-26471.329999999998</v>
      </c>
    </row>
    <row r="28" spans="1:32" ht="14" x14ac:dyDescent="0.3">
      <c r="A28" s="151">
        <f>IF(C28&lt;&gt;"",COUNTA($C$12:C28),"")</f>
        <v>15</v>
      </c>
      <c r="B28" s="151"/>
      <c r="C28" s="409">
        <f>+C20</f>
        <v>500</v>
      </c>
      <c r="D28" s="409">
        <f t="shared" si="19"/>
        <v>200000</v>
      </c>
      <c r="E28" s="372">
        <f t="shared" si="10"/>
        <v>12174.74</v>
      </c>
      <c r="F28" s="372">
        <f t="shared" si="11"/>
        <v>24532</v>
      </c>
      <c r="G28" s="372">
        <f t="shared" si="12"/>
        <v>36706.74</v>
      </c>
      <c r="H28" s="373"/>
      <c r="I28" s="372">
        <f t="shared" si="13"/>
        <v>11576.22</v>
      </c>
      <c r="J28" s="372">
        <f t="shared" si="14"/>
        <v>32296</v>
      </c>
      <c r="K28" s="372">
        <f t="shared" si="15"/>
        <v>43872.22</v>
      </c>
      <c r="L28" s="374"/>
      <c r="M28" s="375">
        <f t="shared" si="16"/>
        <v>7165.4800000000032</v>
      </c>
      <c r="N28" s="376">
        <f t="shared" si="17"/>
        <v>0.19520883630635691</v>
      </c>
      <c r="O28" s="374"/>
      <c r="P28" s="374"/>
      <c r="Q28" s="374"/>
      <c r="R28" s="374"/>
      <c r="S28" s="374"/>
      <c r="T28" s="374"/>
      <c r="U28" s="374"/>
      <c r="V28" s="374"/>
      <c r="W28" s="374"/>
      <c r="X28" s="374"/>
      <c r="Y28" s="374"/>
      <c r="Z28" s="374"/>
      <c r="AA28" s="374"/>
      <c r="AB28" s="374"/>
      <c r="AC28" s="374"/>
      <c r="AD28" s="374"/>
      <c r="AE28" s="374"/>
      <c r="AF28" s="374">
        <f t="shared" si="18"/>
        <v>-43872.22</v>
      </c>
    </row>
    <row r="29" spans="1:32" ht="14" x14ac:dyDescent="0.3">
      <c r="A29" s="151">
        <f>IF(C29&lt;&gt;"",COUNTA($C$12:C29),"")</f>
        <v>16</v>
      </c>
      <c r="B29" s="151" t="s">
        <v>554</v>
      </c>
      <c r="C29" s="409">
        <v>214</v>
      </c>
      <c r="D29" s="409">
        <f t="shared" si="19"/>
        <v>85600</v>
      </c>
      <c r="E29" s="372">
        <f t="shared" si="10"/>
        <v>5422.43</v>
      </c>
      <c r="F29" s="372">
        <f t="shared" si="11"/>
        <v>10499.7</v>
      </c>
      <c r="G29" s="372">
        <f t="shared" si="12"/>
        <v>15922.130000000001</v>
      </c>
      <c r="H29" s="373"/>
      <c r="I29" s="372">
        <f t="shared" si="13"/>
        <v>5166.26</v>
      </c>
      <c r="J29" s="372">
        <f t="shared" si="14"/>
        <v>13822.69</v>
      </c>
      <c r="K29" s="372">
        <f t="shared" si="15"/>
        <v>18988.95</v>
      </c>
      <c r="L29" s="374"/>
      <c r="M29" s="375">
        <f t="shared" si="16"/>
        <v>3066.8199999999997</v>
      </c>
      <c r="N29" s="376">
        <f t="shared" si="17"/>
        <v>0.19261367668772955</v>
      </c>
      <c r="O29" s="374"/>
      <c r="P29" s="374"/>
      <c r="Q29" s="374"/>
      <c r="R29" s="374"/>
      <c r="S29" s="374"/>
      <c r="T29" s="374"/>
      <c r="U29" s="374"/>
      <c r="V29" s="374"/>
      <c r="W29" s="374"/>
      <c r="X29" s="374"/>
      <c r="Y29" s="374"/>
      <c r="Z29" s="374"/>
      <c r="AA29" s="374"/>
      <c r="AB29" s="374"/>
      <c r="AC29" s="374"/>
      <c r="AD29" s="374"/>
      <c r="AE29" s="374"/>
      <c r="AF29" s="374">
        <f t="shared" si="18"/>
        <v>-18988.95</v>
      </c>
    </row>
    <row r="30" spans="1:32" ht="14" x14ac:dyDescent="0.3">
      <c r="A30" s="151" t="str">
        <f>IF(C30&lt;&gt;"",COUNTA($C$12:C30),"")</f>
        <v/>
      </c>
      <c r="B30" s="151"/>
      <c r="C30" s="493"/>
      <c r="D30" s="493"/>
      <c r="E30" s="489"/>
      <c r="F30" s="489"/>
      <c r="G30" s="489"/>
      <c r="H30" s="494"/>
      <c r="I30" s="489"/>
      <c r="J30" s="489"/>
      <c r="K30" s="489"/>
      <c r="L30" s="495"/>
      <c r="M30" s="497"/>
      <c r="N30" s="519"/>
    </row>
    <row r="31" spans="1:32" ht="14" x14ac:dyDescent="0.3">
      <c r="A31" s="151">
        <f>IF(C31&lt;&gt;"",COUNTA($C$12:C31),"")</f>
        <v>17</v>
      </c>
      <c r="B31" s="151"/>
      <c r="C31" s="496" t="s">
        <v>591</v>
      </c>
      <c r="D31" s="293"/>
      <c r="E31" s="448"/>
      <c r="F31" s="448"/>
      <c r="G31" s="448"/>
      <c r="H31" s="448"/>
      <c r="I31" s="374"/>
      <c r="J31" s="374"/>
      <c r="K31" s="374"/>
      <c r="L31" s="374"/>
      <c r="M31" s="374"/>
      <c r="N31" s="163"/>
    </row>
    <row r="32" spans="1:32" ht="14" x14ac:dyDescent="0.3">
      <c r="A32" s="151">
        <f>IF(C32&lt;&gt;"",COUNTA($C$12:C32),"")</f>
        <v>18</v>
      </c>
      <c r="B32" s="151"/>
      <c r="C32" s="409">
        <f>+C24</f>
        <v>100</v>
      </c>
      <c r="D32" s="409">
        <f>+C32*500</f>
        <v>50000</v>
      </c>
      <c r="E32" s="372">
        <f t="shared" ref="E32:E37" si="20">ROUND($G$42+$C32*SUM($G$43,$G$44)+$D32*$G$45*$E$69+$D32*$G$46*$E$70+$D32*$G$47*$E$71+SUM($G$48:$G$62,$G$63:$G$66)*$D32,2)</f>
        <v>3079.44</v>
      </c>
      <c r="F32" s="372">
        <f t="shared" ref="F32:F37" si="21">ROUND($G$67*$D32,2)</f>
        <v>6133</v>
      </c>
      <c r="G32" s="372">
        <f t="shared" ref="G32:G37" si="22">SUM(E32:F32)</f>
        <v>9212.44</v>
      </c>
      <c r="H32" s="373"/>
      <c r="I32" s="372">
        <f t="shared" ref="I32:I37" si="23">ROUND($I$42+$C32*SUM($I$43,$I$44)+$D32*$I$45*$E$69+$D32*$I$46*$E$70+$D32*$I$47*$E$71+SUM($I$48:$I$62,$I$63:$I$66)*$D32,2)</f>
        <v>2965.81</v>
      </c>
      <c r="J32" s="372">
        <f t="shared" ref="J32:J37" si="24">ROUND($I$67*$D32,2)</f>
        <v>8074</v>
      </c>
      <c r="K32" s="372">
        <f t="shared" ref="K32:K37" si="25">SUM(I32:J32)</f>
        <v>11039.81</v>
      </c>
      <c r="L32" s="374"/>
      <c r="M32" s="375">
        <f t="shared" ref="M32:M37" si="26">+K32-G32</f>
        <v>1827.369999999999</v>
      </c>
      <c r="N32" s="376">
        <f t="shared" ref="N32:N37" si="27">+M32/G32</f>
        <v>0.19835895810447601</v>
      </c>
      <c r="O32" s="374"/>
      <c r="P32" s="374"/>
      <c r="Q32" s="374"/>
      <c r="R32" s="374"/>
      <c r="S32" s="374"/>
      <c r="T32" s="374"/>
      <c r="U32" s="374"/>
      <c r="V32" s="374"/>
      <c r="W32" s="374"/>
      <c r="X32" s="374"/>
      <c r="Y32" s="374"/>
      <c r="Z32" s="374"/>
      <c r="AA32" s="374"/>
      <c r="AB32" s="374"/>
      <c r="AC32" s="374"/>
      <c r="AD32" s="374"/>
      <c r="AE32" s="374"/>
      <c r="AF32" s="374">
        <f t="shared" ref="AF32:AF37" si="28">+AE32-K32</f>
        <v>-11039.81</v>
      </c>
    </row>
    <row r="33" spans="1:32" ht="14" x14ac:dyDescent="0.3">
      <c r="A33" s="151">
        <f>IF(C33&lt;&gt;"",COUNTA($C$12:C33),"")</f>
        <v>19</v>
      </c>
      <c r="B33" s="151"/>
      <c r="C33" s="409">
        <f>+C25</f>
        <v>150</v>
      </c>
      <c r="D33" s="409">
        <f t="shared" ref="D33:D37" si="29">+C33*500</f>
        <v>75000</v>
      </c>
      <c r="E33" s="372">
        <f t="shared" si="20"/>
        <v>4434.1499999999996</v>
      </c>
      <c r="F33" s="372">
        <f t="shared" si="21"/>
        <v>9199.5</v>
      </c>
      <c r="G33" s="372">
        <f t="shared" si="22"/>
        <v>13633.65</v>
      </c>
      <c r="H33" s="373"/>
      <c r="I33" s="372">
        <f t="shared" si="23"/>
        <v>4263.71</v>
      </c>
      <c r="J33" s="372">
        <f t="shared" si="24"/>
        <v>12111</v>
      </c>
      <c r="K33" s="372">
        <f t="shared" si="25"/>
        <v>16374.71</v>
      </c>
      <c r="L33" s="374"/>
      <c r="M33" s="375">
        <f t="shared" si="26"/>
        <v>2741.0599999999995</v>
      </c>
      <c r="N33" s="376">
        <f t="shared" si="27"/>
        <v>0.20105107583075696</v>
      </c>
      <c r="O33" s="374"/>
      <c r="P33" s="374"/>
      <c r="Q33" s="374"/>
      <c r="R33" s="374"/>
      <c r="S33" s="374"/>
      <c r="T33" s="374"/>
      <c r="U33" s="374"/>
      <c r="V33" s="374"/>
      <c r="W33" s="374"/>
      <c r="X33" s="374"/>
      <c r="Y33" s="374"/>
      <c r="Z33" s="374"/>
      <c r="AA33" s="374"/>
      <c r="AB33" s="374"/>
      <c r="AC33" s="374"/>
      <c r="AD33" s="374"/>
      <c r="AE33" s="374"/>
      <c r="AF33" s="374">
        <f t="shared" si="28"/>
        <v>-16374.71</v>
      </c>
    </row>
    <row r="34" spans="1:32" ht="14" x14ac:dyDescent="0.3">
      <c r="A34" s="151">
        <f>IF(C34&lt;&gt;"",COUNTA($C$12:C34),"")</f>
        <v>20</v>
      </c>
      <c r="B34" s="151"/>
      <c r="C34" s="409">
        <f>+C26</f>
        <v>200</v>
      </c>
      <c r="D34" s="409">
        <f t="shared" si="29"/>
        <v>100000</v>
      </c>
      <c r="E34" s="372">
        <f t="shared" si="20"/>
        <v>5788.87</v>
      </c>
      <c r="F34" s="372">
        <f t="shared" si="21"/>
        <v>12266</v>
      </c>
      <c r="G34" s="372">
        <f t="shared" si="22"/>
        <v>18054.87</v>
      </c>
      <c r="H34" s="373"/>
      <c r="I34" s="372">
        <f t="shared" si="23"/>
        <v>5561.61</v>
      </c>
      <c r="J34" s="372">
        <f t="shared" si="24"/>
        <v>16148</v>
      </c>
      <c r="K34" s="372">
        <f t="shared" si="25"/>
        <v>21709.61</v>
      </c>
      <c r="L34" s="374"/>
      <c r="M34" s="375">
        <f t="shared" si="26"/>
        <v>3654.7400000000016</v>
      </c>
      <c r="N34" s="376">
        <f t="shared" si="27"/>
        <v>0.2024240551164313</v>
      </c>
      <c r="O34" s="374"/>
      <c r="P34" s="374"/>
      <c r="Q34" s="374"/>
      <c r="R34" s="374"/>
      <c r="S34" s="374"/>
      <c r="T34" s="374"/>
      <c r="U34" s="374"/>
      <c r="V34" s="374"/>
      <c r="W34" s="374"/>
      <c r="X34" s="374"/>
      <c r="Y34" s="374"/>
      <c r="Z34" s="374"/>
      <c r="AA34" s="374"/>
      <c r="AB34" s="374"/>
      <c r="AC34" s="374"/>
      <c r="AD34" s="374"/>
      <c r="AE34" s="374"/>
      <c r="AF34" s="374">
        <f t="shared" si="28"/>
        <v>-21709.61</v>
      </c>
    </row>
    <row r="35" spans="1:32" ht="14" x14ac:dyDescent="0.3">
      <c r="A35" s="151">
        <f>IF(C35&lt;&gt;"",COUNTA($C$12:C35),"")</f>
        <v>21</v>
      </c>
      <c r="B35" s="151"/>
      <c r="C35" s="409">
        <f>+C27</f>
        <v>300</v>
      </c>
      <c r="D35" s="409">
        <f t="shared" si="29"/>
        <v>150000</v>
      </c>
      <c r="E35" s="372">
        <f t="shared" si="20"/>
        <v>8498.31</v>
      </c>
      <c r="F35" s="372">
        <f t="shared" si="21"/>
        <v>18399</v>
      </c>
      <c r="G35" s="372">
        <f t="shared" si="22"/>
        <v>26897.309999999998</v>
      </c>
      <c r="H35" s="373"/>
      <c r="I35" s="372">
        <f t="shared" si="23"/>
        <v>8157.42</v>
      </c>
      <c r="J35" s="372">
        <f t="shared" si="24"/>
        <v>24222</v>
      </c>
      <c r="K35" s="372">
        <f t="shared" si="25"/>
        <v>32379.42</v>
      </c>
      <c r="L35" s="374"/>
      <c r="M35" s="375">
        <f t="shared" si="26"/>
        <v>5482.1100000000006</v>
      </c>
      <c r="N35" s="376">
        <f t="shared" si="27"/>
        <v>0.20381629240991017</v>
      </c>
      <c r="O35" s="374"/>
      <c r="P35" s="374"/>
      <c r="Q35" s="374"/>
      <c r="R35" s="374"/>
      <c r="S35" s="374"/>
      <c r="T35" s="374"/>
      <c r="U35" s="374"/>
      <c r="V35" s="374"/>
      <c r="W35" s="374"/>
      <c r="X35" s="374"/>
      <c r="Y35" s="374"/>
      <c r="Z35" s="374"/>
      <c r="AA35" s="374"/>
      <c r="AB35" s="374"/>
      <c r="AC35" s="374"/>
      <c r="AD35" s="374"/>
      <c r="AE35" s="374"/>
      <c r="AF35" s="374">
        <f t="shared" si="28"/>
        <v>-32379.42</v>
      </c>
    </row>
    <row r="36" spans="1:32" ht="14" x14ac:dyDescent="0.3">
      <c r="A36" s="151">
        <f>IF(C36&lt;&gt;"",COUNTA($C$12:C36),"")</f>
        <v>22</v>
      </c>
      <c r="B36" s="151"/>
      <c r="C36" s="409">
        <f>+C28</f>
        <v>500</v>
      </c>
      <c r="D36" s="409">
        <f t="shared" si="29"/>
        <v>250000</v>
      </c>
      <c r="E36" s="372">
        <f t="shared" si="20"/>
        <v>13917.18</v>
      </c>
      <c r="F36" s="372">
        <f t="shared" si="21"/>
        <v>30665</v>
      </c>
      <c r="G36" s="372">
        <f t="shared" si="22"/>
        <v>44582.18</v>
      </c>
      <c r="H36" s="373"/>
      <c r="I36" s="372">
        <f t="shared" si="23"/>
        <v>13349.03</v>
      </c>
      <c r="J36" s="372">
        <f t="shared" si="24"/>
        <v>40370</v>
      </c>
      <c r="K36" s="372">
        <f t="shared" si="25"/>
        <v>53719.03</v>
      </c>
      <c r="L36" s="374"/>
      <c r="M36" s="375">
        <f t="shared" si="26"/>
        <v>9136.8499999999985</v>
      </c>
      <c r="N36" s="376">
        <f t="shared" si="27"/>
        <v>0.20494399331750934</v>
      </c>
      <c r="O36" s="374"/>
      <c r="P36" s="374"/>
      <c r="Q36" s="374"/>
      <c r="R36" s="374"/>
      <c r="S36" s="374"/>
      <c r="T36" s="374"/>
      <c r="U36" s="374"/>
      <c r="V36" s="374"/>
      <c r="W36" s="374"/>
      <c r="X36" s="374"/>
      <c r="Y36" s="374"/>
      <c r="Z36" s="374"/>
      <c r="AA36" s="374"/>
      <c r="AB36" s="374"/>
      <c r="AC36" s="374"/>
      <c r="AD36" s="374"/>
      <c r="AE36" s="374"/>
      <c r="AF36" s="374">
        <f t="shared" si="28"/>
        <v>-53719.03</v>
      </c>
    </row>
    <row r="37" spans="1:32" ht="14" x14ac:dyDescent="0.3">
      <c r="A37" s="151">
        <f>IF(C37&lt;&gt;"",COUNTA($C$12:C37),"")</f>
        <v>23</v>
      </c>
      <c r="B37" s="151" t="s">
        <v>554</v>
      </c>
      <c r="C37" s="470">
        <v>253</v>
      </c>
      <c r="D37" s="409">
        <f t="shared" si="29"/>
        <v>126500</v>
      </c>
      <c r="E37" s="372">
        <f t="shared" si="20"/>
        <v>7224.87</v>
      </c>
      <c r="F37" s="372">
        <f t="shared" si="21"/>
        <v>15516.49</v>
      </c>
      <c r="G37" s="372">
        <f t="shared" si="22"/>
        <v>22741.360000000001</v>
      </c>
      <c r="H37" s="373"/>
      <c r="I37" s="372">
        <f t="shared" si="23"/>
        <v>6937.39</v>
      </c>
      <c r="J37" s="372">
        <f t="shared" si="24"/>
        <v>20427.22</v>
      </c>
      <c r="K37" s="372">
        <f t="shared" si="25"/>
        <v>27364.61</v>
      </c>
      <c r="L37" s="374"/>
      <c r="M37" s="375">
        <f t="shared" si="26"/>
        <v>4623.25</v>
      </c>
      <c r="N37" s="376">
        <f t="shared" si="27"/>
        <v>0.20329698839471341</v>
      </c>
      <c r="O37" s="374"/>
      <c r="P37" s="374"/>
      <c r="Q37" s="374"/>
      <c r="R37" s="374"/>
      <c r="S37" s="374"/>
      <c r="T37" s="374"/>
      <c r="U37" s="374"/>
      <c r="V37" s="374"/>
      <c r="W37" s="374"/>
      <c r="X37" s="374"/>
      <c r="Y37" s="374"/>
      <c r="Z37" s="374"/>
      <c r="AA37" s="374"/>
      <c r="AB37" s="374"/>
      <c r="AC37" s="374"/>
      <c r="AD37" s="374"/>
      <c r="AE37" s="374"/>
      <c r="AF37" s="374">
        <f t="shared" si="28"/>
        <v>-27364.61</v>
      </c>
    </row>
    <row r="38" spans="1:32" ht="14" x14ac:dyDescent="0.3">
      <c r="A38" s="151" t="str">
        <f>IF(C38&lt;&gt;"",COUNTA($C$12:C38),"")</f>
        <v/>
      </c>
      <c r="B38" s="151"/>
      <c r="C38" s="488"/>
      <c r="D38" s="488"/>
      <c r="E38" s="489"/>
      <c r="F38" s="489"/>
      <c r="G38" s="489"/>
      <c r="H38" s="494"/>
      <c r="I38" s="489"/>
      <c r="J38" s="489"/>
      <c r="K38" s="489"/>
      <c r="L38" s="495"/>
      <c r="M38" s="497"/>
      <c r="N38" s="519"/>
    </row>
    <row r="39" spans="1:32" ht="14" x14ac:dyDescent="0.3">
      <c r="A39" s="151" t="str">
        <f>IF(C39&lt;&gt;"",COUNTA($C$12:C39),"")</f>
        <v/>
      </c>
      <c r="B39" s="151"/>
      <c r="D39" s="371"/>
      <c r="E39" s="372"/>
      <c r="F39" s="372"/>
      <c r="G39" s="372"/>
      <c r="H39" s="373"/>
      <c r="I39" s="374"/>
      <c r="J39" s="374"/>
      <c r="K39" s="374"/>
      <c r="L39" s="374"/>
      <c r="M39" s="374"/>
      <c r="N39" s="374"/>
    </row>
    <row r="40" spans="1:32" ht="14" x14ac:dyDescent="0.3">
      <c r="A40" s="151">
        <f>IF(C40&lt;&gt;"",COUNTA($C$12:C40),"")</f>
        <v>24</v>
      </c>
      <c r="B40" s="151"/>
      <c r="C40" s="293" t="s">
        <v>46</v>
      </c>
      <c r="D40" s="293"/>
      <c r="E40" s="448"/>
      <c r="F40" s="374"/>
      <c r="G40" s="480" t="str">
        <f>+'Bill_South G1'!G43</f>
        <v>Current</v>
      </c>
      <c r="H40" s="480"/>
      <c r="I40" s="480" t="str">
        <f>+'Bill_South G1'!I43</f>
        <v>Proposed</v>
      </c>
      <c r="J40" s="481"/>
      <c r="K40" s="502"/>
      <c r="L40" s="374"/>
      <c r="M40" s="374"/>
      <c r="N40" s="374"/>
    </row>
    <row r="41" spans="1:32" ht="17" x14ac:dyDescent="0.6">
      <c r="A41" s="151">
        <f>IF(C41&lt;&gt;"",COUNTA($C$12:C41),"")</f>
        <v>25</v>
      </c>
      <c r="B41" s="151"/>
      <c r="C41" s="274" t="s">
        <v>46</v>
      </c>
      <c r="D41" s="274"/>
      <c r="E41" s="448"/>
      <c r="F41" s="374"/>
      <c r="G41" s="482" t="str">
        <f>+'Bill_South G1'!G44</f>
        <v>Rates</v>
      </c>
      <c r="H41" s="482"/>
      <c r="I41" s="482" t="str">
        <f>+'Bill_South G1'!I44</f>
        <v>Rates</v>
      </c>
      <c r="J41" s="482" t="str">
        <f>+'Bill_South G1'!J44</f>
        <v>Change</v>
      </c>
      <c r="K41" s="502"/>
      <c r="L41" s="374"/>
      <c r="M41" s="374"/>
      <c r="N41" s="374"/>
    </row>
    <row r="42" spans="1:32" ht="14" x14ac:dyDescent="0.3">
      <c r="A42" s="151">
        <f>IF(C42&lt;&gt;"",COUNTA($C$12:C42),"")</f>
        <v>26</v>
      </c>
      <c r="B42" s="151"/>
      <c r="C42" s="293" t="s">
        <v>296</v>
      </c>
      <c r="D42" s="293"/>
      <c r="E42" s="483"/>
      <c r="F42" s="374"/>
      <c r="G42" s="454">
        <v>370</v>
      </c>
      <c r="H42" s="455" t="s">
        <v>46</v>
      </c>
      <c r="I42" s="454">
        <f>G42</f>
        <v>370</v>
      </c>
      <c r="J42" s="421">
        <f>+I42-G42</f>
        <v>0</v>
      </c>
      <c r="K42" s="502"/>
      <c r="L42" s="374"/>
      <c r="M42" s="374"/>
      <c r="N42" s="374"/>
    </row>
    <row r="43" spans="1:32" ht="14" x14ac:dyDescent="0.3">
      <c r="A43" s="151">
        <f>IF(C43&lt;&gt;"",COUNTA($C$12:C43),"")</f>
        <v>27</v>
      </c>
      <c r="B43" s="151"/>
      <c r="C43" s="232" t="s">
        <v>422</v>
      </c>
      <c r="D43" s="293"/>
      <c r="E43" s="483"/>
      <c r="F43" s="374"/>
      <c r="G43" s="454">
        <v>1.51</v>
      </c>
      <c r="H43" s="455"/>
      <c r="I43" s="454">
        <v>1.58</v>
      </c>
      <c r="J43" s="421">
        <f t="shared" ref="J43:J67" si="30">+I43-G43</f>
        <v>7.0000000000000062E-2</v>
      </c>
      <c r="K43" s="502"/>
      <c r="L43" s="374"/>
      <c r="M43" s="374"/>
      <c r="N43" s="374"/>
    </row>
    <row r="44" spans="1:32" ht="14" x14ac:dyDescent="0.3">
      <c r="A44" s="151">
        <f>IF(C44&lt;&gt;"",COUNTA($C$12:C44),"")</f>
        <v>28</v>
      </c>
      <c r="B44" s="151"/>
      <c r="C44" s="232" t="s">
        <v>408</v>
      </c>
      <c r="D44" s="293"/>
      <c r="E44" s="483"/>
      <c r="F44" s="374"/>
      <c r="G44" s="454">
        <v>8.16</v>
      </c>
      <c r="H44" s="448"/>
      <c r="I44" s="454">
        <v>6.65</v>
      </c>
      <c r="J44" s="421">
        <f>+I44-G44</f>
        <v>-1.5099999999999998</v>
      </c>
      <c r="K44" s="502"/>
      <c r="L44" s="374"/>
      <c r="M44" s="374"/>
      <c r="N44" s="374"/>
    </row>
    <row r="45" spans="1:32" ht="14" x14ac:dyDescent="0.3">
      <c r="A45" s="151">
        <f>IF(C45&lt;&gt;"",COUNTA($C$12:C45),"")</f>
        <v>29</v>
      </c>
      <c r="B45" s="151"/>
      <c r="C45" s="293" t="s">
        <v>449</v>
      </c>
      <c r="D45" s="293"/>
      <c r="E45" s="483"/>
      <c r="F45" s="374"/>
      <c r="G45" s="308">
        <v>1.7690000000000001E-2</v>
      </c>
      <c r="H45" s="484"/>
      <c r="I45" s="308">
        <v>1.8429999999999998E-2</v>
      </c>
      <c r="J45" s="354">
        <f t="shared" si="30"/>
        <v>7.399999999999976E-4</v>
      </c>
      <c r="K45" s="502"/>
      <c r="L45" s="374"/>
      <c r="M45" s="374"/>
      <c r="N45" s="374"/>
    </row>
    <row r="46" spans="1:32" ht="14" x14ac:dyDescent="0.3">
      <c r="A46" s="151">
        <f>IF(C46&lt;&gt;"",COUNTA($C$12:C46),"")</f>
        <v>30</v>
      </c>
      <c r="B46" s="151"/>
      <c r="C46" s="293" t="s">
        <v>498</v>
      </c>
      <c r="D46" s="293"/>
      <c r="E46" s="483"/>
      <c r="F46" s="374"/>
      <c r="G46" s="308">
        <v>1.4880000000000001E-2</v>
      </c>
      <c r="H46" s="484"/>
      <c r="I46" s="308">
        <v>1.5509999999999999E-2</v>
      </c>
      <c r="J46" s="354">
        <f t="shared" si="30"/>
        <v>6.2999999999999862E-4</v>
      </c>
      <c r="K46" s="502"/>
      <c r="L46" s="374"/>
      <c r="M46" s="374"/>
      <c r="N46" s="374"/>
    </row>
    <row r="47" spans="1:32" ht="14" x14ac:dyDescent="0.3">
      <c r="A47" s="151">
        <f>IF(C47&lt;&gt;"",COUNTA($C$12:C47),"")</f>
        <v>31</v>
      </c>
      <c r="B47" s="151"/>
      <c r="C47" s="293" t="s">
        <v>499</v>
      </c>
      <c r="D47" s="293"/>
      <c r="E47" s="483"/>
      <c r="F47" s="374"/>
      <c r="G47" s="308">
        <v>9.6500000000000006E-3</v>
      </c>
      <c r="H47" s="484"/>
      <c r="I47" s="308">
        <v>1.0059999999999999E-2</v>
      </c>
      <c r="J47" s="354">
        <f t="shared" si="30"/>
        <v>4.0999999999999891E-4</v>
      </c>
      <c r="K47" s="502"/>
      <c r="L47" s="374"/>
      <c r="M47" s="374"/>
      <c r="N47" s="374"/>
    </row>
    <row r="48" spans="1:32" ht="14" x14ac:dyDescent="0.3">
      <c r="A48" s="151">
        <f>IF(C48&lt;&gt;"",COUNTA($C$12:C48),"")</f>
        <v>32</v>
      </c>
      <c r="B48" s="151"/>
      <c r="C48" s="293" t="str">
        <f>+'Bill_South G1'!C50</f>
        <v>Revenue Decoupling</v>
      </c>
      <c r="D48" s="293"/>
      <c r="E48" s="483"/>
      <c r="F48" s="374"/>
      <c r="G48" s="277">
        <v>0</v>
      </c>
      <c r="H48" s="400"/>
      <c r="I48" s="277">
        <v>-2.2000000000000001E-4</v>
      </c>
      <c r="J48" s="354">
        <f t="shared" si="30"/>
        <v>-2.2000000000000001E-4</v>
      </c>
      <c r="K48" s="502"/>
      <c r="L48" s="374"/>
      <c r="M48" s="374"/>
      <c r="N48" s="374"/>
    </row>
    <row r="49" spans="1:14" ht="14" x14ac:dyDescent="0.3">
      <c r="A49" s="151">
        <f>IF(C49&lt;&gt;"",COUNTA($C$12:C49),"")</f>
        <v>33</v>
      </c>
      <c r="B49" s="151"/>
      <c r="C49" s="293" t="str">
        <f>+'Bill_South G1'!C51</f>
        <v>Residential Assistance Adjustment Factor</v>
      </c>
      <c r="D49" s="293"/>
      <c r="E49" s="483"/>
      <c r="F49" s="374"/>
      <c r="G49" s="277">
        <v>1.3799999999999999E-3</v>
      </c>
      <c r="H49" s="400"/>
      <c r="I49" s="277">
        <v>1.83E-3</v>
      </c>
      <c r="J49" s="354">
        <f t="shared" si="30"/>
        <v>4.500000000000001E-4</v>
      </c>
      <c r="K49" s="502"/>
      <c r="L49" s="374"/>
      <c r="M49" s="374"/>
      <c r="N49" s="374"/>
    </row>
    <row r="50" spans="1:14" ht="14" x14ac:dyDescent="0.3">
      <c r="A50" s="151">
        <f>IF(C50&lt;&gt;"",COUNTA($C$12:C50),"")</f>
        <v>34</v>
      </c>
      <c r="B50" s="151"/>
      <c r="C50" s="293" t="str">
        <f>+'Bill_South G1'!C52</f>
        <v>Pension Adjustment Factor</v>
      </c>
      <c r="D50" s="293"/>
      <c r="E50" s="483"/>
      <c r="F50" s="374"/>
      <c r="G50" s="277">
        <v>-5.0000000000000002E-5</v>
      </c>
      <c r="H50" s="400"/>
      <c r="I50" s="277">
        <v>4.4000000000000002E-4</v>
      </c>
      <c r="J50" s="354">
        <f t="shared" si="30"/>
        <v>4.8999999999999998E-4</v>
      </c>
      <c r="K50" s="502"/>
      <c r="L50" s="374"/>
      <c r="M50" s="374"/>
      <c r="N50" s="374"/>
    </row>
    <row r="51" spans="1:14" ht="14" x14ac:dyDescent="0.3">
      <c r="A51" s="151">
        <f>IF(C51&lt;&gt;"",COUNTA($C$12:C51),"")</f>
        <v>35</v>
      </c>
      <c r="B51" s="151"/>
      <c r="C51" s="293" t="str">
        <f>+'Bill_South G1'!C53</f>
        <v>Net Metering Recovery Surcharge</v>
      </c>
      <c r="D51" s="293"/>
      <c r="E51" s="483"/>
      <c r="F51" s="374"/>
      <c r="G51" s="277">
        <v>2.7299999999999998E-3</v>
      </c>
      <c r="H51" s="400"/>
      <c r="I51" s="277">
        <v>2.3900000000000002E-3</v>
      </c>
      <c r="J51" s="354">
        <f t="shared" si="30"/>
        <v>-3.3999999999999959E-4</v>
      </c>
      <c r="K51" s="502"/>
      <c r="L51" s="374"/>
      <c r="M51" s="374"/>
      <c r="N51" s="374"/>
    </row>
    <row r="52" spans="1:14" ht="14" x14ac:dyDescent="0.3">
      <c r="A52" s="151">
        <f>IF(C52&lt;&gt;"",COUNTA($C$12:C52),"")</f>
        <v>36</v>
      </c>
      <c r="B52" s="151"/>
      <c r="C52" s="293" t="str">
        <f>+'Bill_South G1'!C54</f>
        <v>Long Term Renewable Contract Adjustment</v>
      </c>
      <c r="D52" s="293"/>
      <c r="E52" s="483"/>
      <c r="F52" s="374"/>
      <c r="G52" s="277">
        <v>2.3600000000000001E-3</v>
      </c>
      <c r="H52" s="400"/>
      <c r="I52" s="277">
        <v>1.74E-3</v>
      </c>
      <c r="J52" s="354">
        <f t="shared" si="30"/>
        <v>-6.2000000000000011E-4</v>
      </c>
      <c r="K52" s="502"/>
      <c r="L52" s="374"/>
      <c r="M52" s="374"/>
      <c r="N52" s="374"/>
    </row>
    <row r="53" spans="1:14" ht="14" x14ac:dyDescent="0.3">
      <c r="A53" s="151">
        <f>IF(C53&lt;&gt;"",COUNTA($C$12:C53),"")</f>
        <v>37</v>
      </c>
      <c r="B53" s="151"/>
      <c r="C53" s="293" t="str">
        <f>+'Bill_South G1'!C55</f>
        <v>AG Consulting Expense</v>
      </c>
      <c r="D53" s="293"/>
      <c r="E53" s="483"/>
      <c r="F53" s="374"/>
      <c r="G53" s="277">
        <v>1.0000000000000001E-5</v>
      </c>
      <c r="H53" s="400"/>
      <c r="I53" s="277">
        <v>0</v>
      </c>
      <c r="J53" s="354">
        <f t="shared" si="30"/>
        <v>-1.0000000000000001E-5</v>
      </c>
      <c r="K53" s="502"/>
      <c r="L53" s="374"/>
      <c r="M53" s="374"/>
      <c r="N53" s="374"/>
    </row>
    <row r="54" spans="1:14" ht="14" x14ac:dyDescent="0.3">
      <c r="A54" s="151">
        <f>IF(C54&lt;&gt;"",COUNTA($C$12:C54),"")</f>
        <v>38</v>
      </c>
      <c r="B54" s="151"/>
      <c r="C54" s="293" t="str">
        <f>+'Bill_South G1'!C56</f>
        <v>Storm Cost Recovery Adjustment Factor</v>
      </c>
      <c r="D54" s="293"/>
      <c r="E54" s="483"/>
      <c r="F54" s="374"/>
      <c r="G54" s="277">
        <v>8.4999999999999995E-4</v>
      </c>
      <c r="H54" s="400"/>
      <c r="I54" s="277">
        <v>1.39E-3</v>
      </c>
      <c r="J54" s="354">
        <f t="shared" si="30"/>
        <v>5.4000000000000001E-4</v>
      </c>
      <c r="K54" s="502"/>
      <c r="L54" s="374"/>
      <c r="M54" s="374"/>
      <c r="N54" s="374"/>
    </row>
    <row r="55" spans="1:14" ht="14" x14ac:dyDescent="0.3">
      <c r="A55" s="151">
        <f>IF(C55&lt;&gt;"",COUNTA($C$12:C55),"")</f>
        <v>39</v>
      </c>
      <c r="B55" s="151"/>
      <c r="C55" s="293" t="str">
        <f>+'Bill_South G1'!C57</f>
        <v>Storm Reserve Adjustment</v>
      </c>
      <c r="D55" s="293"/>
      <c r="E55" s="483"/>
      <c r="F55" s="374"/>
      <c r="G55" s="277">
        <v>0</v>
      </c>
      <c r="H55" s="400"/>
      <c r="I55" s="277">
        <v>0</v>
      </c>
      <c r="J55" s="354">
        <f t="shared" si="30"/>
        <v>0</v>
      </c>
      <c r="K55" s="502"/>
      <c r="L55" s="374"/>
      <c r="M55" s="374"/>
      <c r="N55" s="374"/>
    </row>
    <row r="56" spans="1:14" ht="14" x14ac:dyDescent="0.3">
      <c r="A56" s="151">
        <f>IF(C56&lt;&gt;"",COUNTA($C$12:C56),"")</f>
        <v>40</v>
      </c>
      <c r="B56" s="151"/>
      <c r="C56" s="293" t="str">
        <f>+'Bill_South G1'!C58</f>
        <v>Basic Service Cost True Up Factor</v>
      </c>
      <c r="E56" s="374"/>
      <c r="F56" s="374"/>
      <c r="G56" s="277">
        <v>7.3999999999999999E-4</v>
      </c>
      <c r="H56" s="400"/>
      <c r="I56" s="277">
        <v>-9.0000000000000006E-5</v>
      </c>
      <c r="J56" s="354">
        <f t="shared" si="30"/>
        <v>-8.3000000000000001E-4</v>
      </c>
      <c r="K56" s="502"/>
      <c r="L56" s="374"/>
      <c r="M56" s="374"/>
      <c r="N56" s="374"/>
    </row>
    <row r="57" spans="1:14" ht="14" x14ac:dyDescent="0.3">
      <c r="A57" s="151">
        <f>IF(C57&lt;&gt;"",COUNTA($C$12:C57),"")</f>
        <v>41</v>
      </c>
      <c r="B57" s="151"/>
      <c r="C57" s="293" t="str">
        <f>+'Bill_South G1'!C59</f>
        <v>Solar Program Cost Adjustment Factor</v>
      </c>
      <c r="D57" s="293"/>
      <c r="E57" s="483"/>
      <c r="F57" s="374"/>
      <c r="G57" s="277">
        <v>0</v>
      </c>
      <c r="H57" s="400"/>
      <c r="I57" s="277">
        <v>2.0000000000000002E-5</v>
      </c>
      <c r="J57" s="354">
        <f t="shared" si="30"/>
        <v>2.0000000000000002E-5</v>
      </c>
      <c r="K57" s="502"/>
      <c r="L57" s="374"/>
      <c r="M57" s="374"/>
      <c r="N57" s="374"/>
    </row>
    <row r="58" spans="1:14" ht="14" x14ac:dyDescent="0.3">
      <c r="A58" s="151">
        <f>IF(C58&lt;&gt;"",COUNTA($C$12:C58),"")</f>
        <v>42</v>
      </c>
      <c r="B58" s="151"/>
      <c r="C58" s="293" t="str">
        <f>+'Bill_South G1'!C60</f>
        <v>Solar Expansion Cost Recovery Factor</v>
      </c>
      <c r="D58" s="293"/>
      <c r="E58" s="483"/>
      <c r="F58" s="374"/>
      <c r="G58" s="277">
        <v>0</v>
      </c>
      <c r="H58" s="400"/>
      <c r="I58" s="277">
        <v>2.9E-4</v>
      </c>
      <c r="J58" s="354">
        <f t="shared" si="30"/>
        <v>2.9E-4</v>
      </c>
      <c r="K58" s="502"/>
      <c r="L58" s="374"/>
      <c r="M58" s="374"/>
      <c r="N58" s="374"/>
    </row>
    <row r="59" spans="1:14" ht="14" x14ac:dyDescent="0.3">
      <c r="A59" s="151">
        <f>IF(C59&lt;&gt;"",COUNTA($C$12:C59),"")</f>
        <v>43</v>
      </c>
      <c r="B59" s="151"/>
      <c r="C59" s="293" t="str">
        <f>+'Bill_South G1'!C61</f>
        <v>Vegetation Management</v>
      </c>
      <c r="D59" s="293"/>
      <c r="E59" s="483"/>
      <c r="F59" s="374"/>
      <c r="G59" s="277">
        <v>0</v>
      </c>
      <c r="H59" s="400"/>
      <c r="I59" s="277">
        <v>7.7999999999999999E-4</v>
      </c>
      <c r="J59" s="354">
        <f t="shared" si="30"/>
        <v>7.7999999999999999E-4</v>
      </c>
      <c r="K59" s="502"/>
      <c r="L59" s="374"/>
      <c r="M59" s="374"/>
      <c r="N59" s="374"/>
    </row>
    <row r="60" spans="1:14" ht="14" x14ac:dyDescent="0.3">
      <c r="A60" s="151">
        <f>IF(C60&lt;&gt;"",COUNTA($C$12:C60),"")</f>
        <v>44</v>
      </c>
      <c r="B60" s="151"/>
      <c r="C60" s="293" t="str">
        <f>+'Bill_South G1'!C62</f>
        <v>Solar Massachusetts Renewable Target</v>
      </c>
      <c r="D60" s="339"/>
      <c r="E60" s="339"/>
      <c r="F60" s="277"/>
      <c r="G60" s="277">
        <v>0</v>
      </c>
      <c r="H60" s="277"/>
      <c r="I60" s="277">
        <v>3.3E-4</v>
      </c>
      <c r="J60" s="354">
        <f t="shared" si="30"/>
        <v>3.3E-4</v>
      </c>
      <c r="K60" s="339"/>
      <c r="L60" s="339"/>
    </row>
    <row r="61" spans="1:14" ht="14" x14ac:dyDescent="0.3">
      <c r="A61" s="151">
        <f>IF(C61&lt;&gt;"",COUNTA($C$12:C61),"")</f>
        <v>45</v>
      </c>
      <c r="B61" s="151"/>
      <c r="C61" s="293" t="str">
        <f>+'Bill_South G1'!C63</f>
        <v>Tax Act Credit Factor</v>
      </c>
      <c r="D61" s="339"/>
      <c r="E61" s="339"/>
      <c r="F61" s="277"/>
      <c r="G61" s="277">
        <v>0</v>
      </c>
      <c r="H61" s="277"/>
      <c r="I61" s="277">
        <v>-5.1000000000000004E-4</v>
      </c>
      <c r="J61" s="354">
        <f t="shared" si="30"/>
        <v>-5.1000000000000004E-4</v>
      </c>
      <c r="K61" s="339"/>
      <c r="L61" s="339"/>
    </row>
    <row r="62" spans="1:14" ht="14" x14ac:dyDescent="0.3">
      <c r="A62" s="151">
        <f>IF(C62&lt;&gt;"",COUNTA($C$12:C62),"")</f>
        <v>46</v>
      </c>
      <c r="B62" s="151"/>
      <c r="C62" s="293" t="str">
        <f>+'Bill_South G1'!C64</f>
        <v>Transition</v>
      </c>
      <c r="D62" s="293"/>
      <c r="E62" s="483"/>
      <c r="F62" s="374"/>
      <c r="G62" s="277">
        <v>-6.0999999999999997E-4</v>
      </c>
      <c r="H62" s="400"/>
      <c r="I62" s="277">
        <v>-5.1999999999999995E-4</v>
      </c>
      <c r="J62" s="354">
        <f t="shared" si="30"/>
        <v>9.0000000000000019E-5</v>
      </c>
      <c r="K62" s="502"/>
      <c r="L62" s="374"/>
      <c r="M62" s="374"/>
      <c r="N62" s="374"/>
    </row>
    <row r="63" spans="1:14" ht="14" x14ac:dyDescent="0.3">
      <c r="A63" s="151">
        <f>IF(C63&lt;&gt;"",COUNTA($C$12:C63),"")</f>
        <v>47</v>
      </c>
      <c r="B63" s="151"/>
      <c r="C63" s="293" t="s">
        <v>315</v>
      </c>
      <c r="D63" s="293"/>
      <c r="E63" s="483"/>
      <c r="F63" s="374"/>
      <c r="G63" s="277">
        <v>2.7699999999999999E-3</v>
      </c>
      <c r="H63" s="400"/>
      <c r="I63" s="277">
        <v>2.3600000000000001E-3</v>
      </c>
      <c r="J63" s="354">
        <f t="shared" si="30"/>
        <v>-4.0999999999999977E-4</v>
      </c>
      <c r="K63" s="502"/>
      <c r="L63" s="374"/>
      <c r="M63" s="374"/>
      <c r="N63" s="374"/>
    </row>
    <row r="64" spans="1:14" ht="14" x14ac:dyDescent="0.3">
      <c r="A64" s="151">
        <f>IF(C64&lt;&gt;"",COUNTA($C$12:C64),"")</f>
        <v>48</v>
      </c>
      <c r="B64" s="151"/>
      <c r="C64" s="293" t="str">
        <f>+'Bill_South G1S'!C60</f>
        <v>Energy Efficiency Reconciliation Factor</v>
      </c>
      <c r="D64" s="293"/>
      <c r="E64" s="483"/>
      <c r="F64" s="374"/>
      <c r="G64" s="277">
        <v>8.4600000000000005E-3</v>
      </c>
      <c r="H64" s="400"/>
      <c r="I64" s="308">
        <v>8.4600000000000005E-3</v>
      </c>
      <c r="J64" s="354">
        <f t="shared" si="30"/>
        <v>0</v>
      </c>
      <c r="K64" s="502"/>
      <c r="L64" s="374"/>
      <c r="M64" s="374"/>
      <c r="N64" s="374"/>
    </row>
    <row r="65" spans="1:14" ht="14" x14ac:dyDescent="0.3">
      <c r="A65" s="151">
        <f>IF(C65&lt;&gt;"",COUNTA($C$12:C65),"")</f>
        <v>49</v>
      </c>
      <c r="B65" s="151"/>
      <c r="C65" s="232" t="s">
        <v>318</v>
      </c>
      <c r="D65" s="293"/>
      <c r="E65" s="483"/>
      <c r="F65" s="374"/>
      <c r="G65" s="277">
        <v>2.5000000000000001E-3</v>
      </c>
      <c r="H65" s="400"/>
      <c r="I65" s="308">
        <f>G65</f>
        <v>2.5000000000000001E-3</v>
      </c>
      <c r="J65" s="354">
        <f t="shared" si="30"/>
        <v>0</v>
      </c>
      <c r="K65" s="502"/>
      <c r="L65" s="374"/>
      <c r="M65" s="374"/>
      <c r="N65" s="374"/>
    </row>
    <row r="66" spans="1:14" ht="14" x14ac:dyDescent="0.3">
      <c r="A66" s="151">
        <f>IF(C66&lt;&gt;"",COUNTA($C$12:C66),"")</f>
        <v>50</v>
      </c>
      <c r="B66" s="151"/>
      <c r="C66" s="232" t="s">
        <v>234</v>
      </c>
      <c r="D66" s="293"/>
      <c r="E66" s="483"/>
      <c r="F66" s="374"/>
      <c r="G66" s="277">
        <v>5.0000000000000001E-4</v>
      </c>
      <c r="H66" s="400"/>
      <c r="I66" s="308">
        <f>G66</f>
        <v>5.0000000000000001E-4</v>
      </c>
      <c r="J66" s="354">
        <f t="shared" si="30"/>
        <v>0</v>
      </c>
      <c r="K66" s="502"/>
      <c r="L66" s="374"/>
      <c r="M66" s="374"/>
      <c r="N66" s="374"/>
    </row>
    <row r="67" spans="1:14" ht="14" x14ac:dyDescent="0.3">
      <c r="A67" s="151">
        <f>IF(C67&lt;&gt;"",COUNTA($C$12:C67),"")</f>
        <v>51</v>
      </c>
      <c r="B67" s="151"/>
      <c r="C67" s="293" t="s">
        <v>35</v>
      </c>
      <c r="D67" s="293"/>
      <c r="E67" s="483"/>
      <c r="F67" s="374"/>
      <c r="G67" s="308">
        <v>0.12265999999999999</v>
      </c>
      <c r="H67" s="400"/>
      <c r="I67" s="308">
        <v>0.16148000000000001</v>
      </c>
      <c r="J67" s="354">
        <f t="shared" si="30"/>
        <v>3.8820000000000021E-2</v>
      </c>
      <c r="K67" s="502"/>
      <c r="L67" s="374"/>
      <c r="M67" s="374"/>
      <c r="N67" s="374"/>
    </row>
    <row r="68" spans="1:14" ht="14" x14ac:dyDescent="0.3">
      <c r="A68" s="151" t="str">
        <f>IF(C68&lt;&gt;"",COUNTA($C$12:C68),"")</f>
        <v/>
      </c>
      <c r="B68" s="151"/>
      <c r="I68" s="447"/>
      <c r="J68" s="447"/>
      <c r="K68" s="447"/>
    </row>
    <row r="69" spans="1:14" ht="14" x14ac:dyDescent="0.3">
      <c r="A69" s="151">
        <f>IF(C69&lt;&gt;"",COUNTA($C$12:C69),"")</f>
        <v>52</v>
      </c>
      <c r="B69" s="151"/>
      <c r="C69" s="475" t="s">
        <v>613</v>
      </c>
      <c r="E69" s="476">
        <v>0.28000000000000003</v>
      </c>
      <c r="F69" s="461"/>
      <c r="I69" s="447"/>
      <c r="J69" s="447"/>
      <c r="K69" s="447"/>
    </row>
    <row r="70" spans="1:14" ht="14" x14ac:dyDescent="0.3">
      <c r="A70" s="151">
        <f>IF(C70&lt;&gt;"",COUNTA($C$12:C70),"")</f>
        <v>53</v>
      </c>
      <c r="B70" s="151"/>
      <c r="C70" s="475" t="s">
        <v>614</v>
      </c>
      <c r="E70" s="476">
        <v>0.25</v>
      </c>
      <c r="F70" s="461"/>
      <c r="I70" s="447"/>
      <c r="J70" s="447"/>
      <c r="K70" s="447"/>
    </row>
    <row r="71" spans="1:14" ht="14" x14ac:dyDescent="0.3">
      <c r="A71" s="151">
        <f>IF(C71&lt;&gt;"",COUNTA($C$12:C71),"")</f>
        <v>54</v>
      </c>
      <c r="B71" s="151"/>
      <c r="C71" s="475" t="s">
        <v>615</v>
      </c>
      <c r="E71" s="476">
        <v>0.47</v>
      </c>
      <c r="F71" s="461"/>
      <c r="I71" s="447"/>
      <c r="J71" s="447"/>
      <c r="K71" s="447"/>
    </row>
    <row r="72" spans="1:14" ht="14" x14ac:dyDescent="0.3">
      <c r="A72" s="151" t="str">
        <f>IF(C72&lt;&gt;"",COUNTA($C$12:C72),"")</f>
        <v/>
      </c>
      <c r="B72" s="151"/>
      <c r="I72" s="447"/>
      <c r="J72" s="447"/>
      <c r="K72" s="447"/>
    </row>
    <row r="73" spans="1:14" ht="14" x14ac:dyDescent="0.3">
      <c r="A73" s="151"/>
      <c r="B73" s="151"/>
      <c r="I73" s="447"/>
      <c r="J73" s="447"/>
      <c r="K73" s="447"/>
    </row>
    <row r="74" spans="1:14" ht="14" x14ac:dyDescent="0.3">
      <c r="A74" s="151"/>
      <c r="B74" s="151"/>
      <c r="C74" s="369" t="s">
        <v>599</v>
      </c>
      <c r="G74" s="374">
        <f>+G43+G44</f>
        <v>9.67</v>
      </c>
      <c r="I74" s="374">
        <f>+I43+I44</f>
        <v>8.23</v>
      </c>
      <c r="J74" s="421">
        <f t="shared" ref="J74:J78" si="31">+I74-G74</f>
        <v>-1.4399999999999995</v>
      </c>
      <c r="K74" s="447"/>
    </row>
    <row r="75" spans="1:14" ht="14" x14ac:dyDescent="0.3">
      <c r="A75" s="151"/>
      <c r="B75" s="151"/>
      <c r="C75" s="293" t="s">
        <v>587</v>
      </c>
      <c r="G75" s="403">
        <f>SUM(G45,G$48:G$62,G$63:G$66)</f>
        <v>3.9330000000000004E-2</v>
      </c>
      <c r="I75" s="403">
        <f>SUM(I45,I$48:I$62,I$63:I$66)</f>
        <v>4.0119999999999996E-2</v>
      </c>
      <c r="J75" s="354">
        <f t="shared" si="31"/>
        <v>7.899999999999921E-4</v>
      </c>
      <c r="K75" s="447"/>
    </row>
    <row r="76" spans="1:14" ht="14" x14ac:dyDescent="0.3">
      <c r="A76" s="151"/>
      <c r="B76" s="151"/>
      <c r="C76" s="293" t="s">
        <v>616</v>
      </c>
      <c r="G76" s="403">
        <f>SUM(G46,G$48:G$62,G$63:G$66)</f>
        <v>3.6520000000000004E-2</v>
      </c>
      <c r="I76" s="403">
        <f>SUM(I46,I$48:I$62,I$63:I$66)</f>
        <v>3.7199999999999997E-2</v>
      </c>
      <c r="J76" s="354">
        <f t="shared" si="31"/>
        <v>6.7999999999999311E-4</v>
      </c>
      <c r="K76" s="447"/>
    </row>
    <row r="77" spans="1:14" ht="14" x14ac:dyDescent="0.3">
      <c r="A77" s="151"/>
      <c r="B77" s="151"/>
      <c r="C77" s="293" t="s">
        <v>617</v>
      </c>
      <c r="G77" s="403">
        <f>SUM(G47,G$48:G$62,G$63:G$66)</f>
        <v>3.1289999999999998E-2</v>
      </c>
      <c r="I77" s="403">
        <f>SUM(I47,I$48:I$62,I$63:I$66)</f>
        <v>3.1749999999999994E-2</v>
      </c>
      <c r="J77" s="354">
        <f t="shared" si="31"/>
        <v>4.5999999999999514E-4</v>
      </c>
      <c r="K77" s="447"/>
    </row>
    <row r="78" spans="1:14" ht="14" x14ac:dyDescent="0.3">
      <c r="A78" s="151"/>
      <c r="B78" s="151"/>
      <c r="C78" s="369" t="str">
        <f>+'Bill_South G1S'!C70</f>
        <v>Total Basic Service</v>
      </c>
      <c r="G78" s="403">
        <f>+G67</f>
        <v>0.12265999999999999</v>
      </c>
      <c r="I78" s="403">
        <f>+I67</f>
        <v>0.16148000000000001</v>
      </c>
      <c r="J78" s="354">
        <f t="shared" si="31"/>
        <v>3.8820000000000021E-2</v>
      </c>
      <c r="K78" s="447"/>
    </row>
    <row r="79" spans="1:14" ht="14" x14ac:dyDescent="0.3">
      <c r="A79" s="151"/>
      <c r="B79" s="151"/>
      <c r="I79" s="447"/>
      <c r="J79" s="447"/>
      <c r="K79" s="447"/>
    </row>
    <row r="80" spans="1:14" ht="14" x14ac:dyDescent="0.3">
      <c r="A80" s="151" t="str">
        <f>IF(C80&lt;&gt;"",COUNTA($C$12:C80),"")</f>
        <v/>
      </c>
      <c r="B80" s="151"/>
      <c r="I80" s="447"/>
      <c r="J80" s="447"/>
      <c r="K80" s="447"/>
    </row>
    <row r="81" spans="1:11" ht="14" x14ac:dyDescent="0.3">
      <c r="A81" s="151" t="str">
        <f>IF(C81&lt;&gt;"",COUNTA($C$12:C81),"")</f>
        <v/>
      </c>
      <c r="B81" s="151"/>
      <c r="I81" s="447"/>
      <c r="J81" s="447"/>
      <c r="K81" s="447"/>
    </row>
    <row r="82" spans="1:11" ht="14" x14ac:dyDescent="0.3">
      <c r="A82" s="151" t="str">
        <f>IF(C82&lt;&gt;"",COUNTA($C$12:C82),"")</f>
        <v/>
      </c>
      <c r="B82" s="151"/>
      <c r="I82" s="447"/>
      <c r="J82" s="447"/>
      <c r="K82" s="447"/>
    </row>
    <row r="83" spans="1:11" ht="14" x14ac:dyDescent="0.3">
      <c r="A83" s="151" t="str">
        <f>IF(C83&lt;&gt;"",COUNTA($C$12:C83),"")</f>
        <v/>
      </c>
      <c r="B83" s="151"/>
      <c r="I83" s="447"/>
      <c r="J83" s="447"/>
      <c r="K83" s="447"/>
    </row>
    <row r="84" spans="1:11" ht="14" x14ac:dyDescent="0.3">
      <c r="A84" s="151" t="str">
        <f>IF(C84&lt;&gt;"",COUNTA($C$12:C84),"")</f>
        <v/>
      </c>
      <c r="B84" s="151"/>
      <c r="I84" s="447"/>
      <c r="J84" s="447"/>
      <c r="K84" s="447"/>
    </row>
    <row r="85" spans="1:11" ht="14" x14ac:dyDescent="0.3">
      <c r="A85" s="151" t="str">
        <f>IF(C85&lt;&gt;"",COUNTA($C$12:C85),"")</f>
        <v/>
      </c>
      <c r="B85" s="151"/>
      <c r="I85" s="447"/>
      <c r="J85" s="447"/>
      <c r="K85" s="447"/>
    </row>
    <row r="86" spans="1:11" ht="14" x14ac:dyDescent="0.3">
      <c r="A86" s="151" t="str">
        <f>IF(C86&lt;&gt;"",COUNTA($C$12:C86),"")</f>
        <v/>
      </c>
      <c r="B86" s="151"/>
      <c r="I86" s="447"/>
      <c r="J86" s="447"/>
      <c r="K86" s="447"/>
    </row>
    <row r="87" spans="1:11" ht="14" x14ac:dyDescent="0.3">
      <c r="A87" s="151" t="str">
        <f>IF(C87&lt;&gt;"",COUNTA($C$12:C87),"")</f>
        <v/>
      </c>
      <c r="B87" s="151"/>
      <c r="I87" s="447"/>
      <c r="J87" s="447"/>
      <c r="K87" s="447"/>
    </row>
    <row r="88" spans="1:11" ht="14" x14ac:dyDescent="0.3">
      <c r="A88" s="151" t="str">
        <f>IF(C88&lt;&gt;"",COUNTA($C$12:C88),"")</f>
        <v/>
      </c>
      <c r="B88" s="151"/>
      <c r="I88" s="447"/>
      <c r="J88" s="447"/>
      <c r="K88" s="447"/>
    </row>
    <row r="89" spans="1:11" ht="14" x14ac:dyDescent="0.3">
      <c r="A89" s="151" t="str">
        <f>IF(C89&lt;&gt;"",COUNTA($C$12:C89),"")</f>
        <v/>
      </c>
      <c r="B89" s="151"/>
      <c r="I89" s="447"/>
      <c r="J89" s="447"/>
      <c r="K89" s="447"/>
    </row>
    <row r="90" spans="1:11" ht="14" x14ac:dyDescent="0.3">
      <c r="A90" s="151"/>
      <c r="B90" s="151"/>
      <c r="I90" s="447"/>
      <c r="J90" s="447"/>
      <c r="K90" s="447"/>
    </row>
    <row r="91" spans="1:11" ht="14" x14ac:dyDescent="0.3">
      <c r="A91" s="151"/>
      <c r="B91" s="151"/>
      <c r="I91" s="447"/>
      <c r="J91" s="447"/>
      <c r="K91" s="447"/>
    </row>
    <row r="92" spans="1:11" ht="14" x14ac:dyDescent="0.3">
      <c r="A92" s="151"/>
      <c r="B92" s="151"/>
      <c r="I92" s="447"/>
      <c r="J92" s="447"/>
      <c r="K92" s="447"/>
    </row>
    <row r="93" spans="1:11" ht="14" x14ac:dyDescent="0.3">
      <c r="A93" s="151"/>
      <c r="B93" s="151"/>
      <c r="I93" s="447"/>
      <c r="J93" s="447"/>
      <c r="K93" s="447"/>
    </row>
    <row r="94" spans="1:11" ht="14" x14ac:dyDescent="0.3">
      <c r="A94" s="151"/>
      <c r="B94" s="151"/>
      <c r="I94" s="447"/>
      <c r="J94" s="447"/>
      <c r="K94" s="447"/>
    </row>
    <row r="95" spans="1:11" ht="14" x14ac:dyDescent="0.3">
      <c r="A95" s="151"/>
      <c r="B95" s="151"/>
      <c r="I95" s="447"/>
      <c r="J95" s="447"/>
      <c r="K95" s="447"/>
    </row>
    <row r="96" spans="1:11" ht="14" x14ac:dyDescent="0.3">
      <c r="A96" s="151"/>
      <c r="B96" s="151"/>
      <c r="I96" s="447"/>
      <c r="J96" s="447"/>
      <c r="K96" s="447"/>
    </row>
    <row r="97" spans="1:11" ht="14" x14ac:dyDescent="0.3">
      <c r="A97" s="151"/>
      <c r="B97" s="151"/>
      <c r="I97" s="447"/>
      <c r="J97" s="447"/>
      <c r="K97" s="447"/>
    </row>
    <row r="98" spans="1:11" ht="14" x14ac:dyDescent="0.3">
      <c r="A98" s="151"/>
      <c r="B98" s="151"/>
      <c r="I98" s="447"/>
      <c r="J98" s="447"/>
      <c r="K98" s="447"/>
    </row>
    <row r="99" spans="1:11" ht="14" x14ac:dyDescent="0.3">
      <c r="A99" s="151"/>
      <c r="B99" s="151"/>
      <c r="I99" s="447"/>
      <c r="J99" s="447"/>
      <c r="K99" s="447"/>
    </row>
    <row r="100" spans="1:11" ht="14" x14ac:dyDescent="0.3">
      <c r="A100" s="151"/>
      <c r="B100" s="151"/>
      <c r="I100" s="447"/>
      <c r="J100" s="447"/>
      <c r="K100" s="447"/>
    </row>
    <row r="101" spans="1:11" ht="14" x14ac:dyDescent="0.3">
      <c r="A101" s="151"/>
      <c r="B101" s="151"/>
      <c r="I101" s="447"/>
      <c r="J101" s="447"/>
      <c r="K101" s="447"/>
    </row>
    <row r="102" spans="1:11" ht="14" x14ac:dyDescent="0.3">
      <c r="A102" s="151"/>
      <c r="B102" s="151"/>
      <c r="I102" s="447"/>
      <c r="J102" s="447"/>
      <c r="K102" s="447"/>
    </row>
    <row r="103" spans="1:11" ht="14" x14ac:dyDescent="0.3">
      <c r="A103" s="151"/>
      <c r="B103" s="151"/>
      <c r="I103" s="447"/>
      <c r="J103" s="447"/>
      <c r="K103" s="447"/>
    </row>
    <row r="104" spans="1:11" ht="14" x14ac:dyDescent="0.3">
      <c r="A104" s="151"/>
      <c r="B104" s="151"/>
      <c r="I104" s="447"/>
      <c r="J104" s="447"/>
      <c r="K104" s="447"/>
    </row>
    <row r="105" spans="1:11" ht="14" x14ac:dyDescent="0.3">
      <c r="A105" s="151"/>
      <c r="B105" s="151"/>
      <c r="I105" s="447"/>
      <c r="J105" s="447"/>
      <c r="K105" s="447"/>
    </row>
    <row r="106" spans="1:11" ht="14" x14ac:dyDescent="0.3">
      <c r="A106" s="151"/>
      <c r="B106" s="151"/>
      <c r="I106" s="447"/>
      <c r="J106" s="447"/>
      <c r="K106" s="447"/>
    </row>
    <row r="107" spans="1:11" ht="14" x14ac:dyDescent="0.3">
      <c r="A107" s="151"/>
      <c r="B107" s="151"/>
      <c r="I107" s="447"/>
      <c r="J107" s="447"/>
      <c r="K107" s="447"/>
    </row>
    <row r="108" spans="1:11" ht="14" x14ac:dyDescent="0.3">
      <c r="A108" s="151"/>
      <c r="B108" s="151"/>
      <c r="I108" s="447"/>
      <c r="J108" s="447"/>
      <c r="K108" s="447"/>
    </row>
    <row r="109" spans="1:11" ht="14" x14ac:dyDescent="0.3">
      <c r="A109" s="151"/>
      <c r="B109" s="151"/>
      <c r="I109" s="447"/>
      <c r="J109" s="447"/>
      <c r="K109" s="447"/>
    </row>
    <row r="110" spans="1:11" ht="14" x14ac:dyDescent="0.3">
      <c r="A110" s="151"/>
      <c r="B110" s="151"/>
      <c r="I110" s="447"/>
      <c r="J110" s="447"/>
      <c r="K110" s="447"/>
    </row>
    <row r="111" spans="1:11" ht="14" x14ac:dyDescent="0.3">
      <c r="A111" s="151"/>
      <c r="B111" s="151"/>
      <c r="I111" s="447"/>
      <c r="J111" s="447"/>
      <c r="K111" s="447"/>
    </row>
    <row r="112" spans="1:11" ht="14" x14ac:dyDescent="0.3">
      <c r="A112" s="151"/>
      <c r="B112" s="151"/>
      <c r="I112" s="447"/>
      <c r="J112" s="447"/>
      <c r="K112" s="447"/>
    </row>
    <row r="113" spans="1:11" ht="14" x14ac:dyDescent="0.3">
      <c r="A113" s="151"/>
      <c r="B113" s="151"/>
      <c r="I113" s="447"/>
      <c r="J113" s="447"/>
      <c r="K113" s="447"/>
    </row>
    <row r="114" spans="1:11" ht="14" x14ac:dyDescent="0.3">
      <c r="A114" s="151"/>
      <c r="B114" s="151"/>
      <c r="I114" s="447"/>
      <c r="J114" s="447"/>
      <c r="K114" s="447"/>
    </row>
    <row r="115" spans="1:11" ht="14" x14ac:dyDescent="0.3">
      <c r="A115" s="151"/>
      <c r="B115" s="151"/>
      <c r="I115" s="447"/>
      <c r="J115" s="447"/>
      <c r="K115" s="447"/>
    </row>
    <row r="116" spans="1:11" ht="14" x14ac:dyDescent="0.3">
      <c r="A116" s="151"/>
      <c r="B116" s="151"/>
      <c r="I116" s="447"/>
      <c r="J116" s="447"/>
      <c r="K116" s="447"/>
    </row>
    <row r="117" spans="1:11" ht="14" x14ac:dyDescent="0.3">
      <c r="A117" s="151"/>
      <c r="B117" s="151"/>
      <c r="I117" s="447"/>
      <c r="J117" s="447"/>
      <c r="K117" s="447"/>
    </row>
    <row r="118" spans="1:11" ht="14" x14ac:dyDescent="0.3">
      <c r="A118" s="151"/>
      <c r="B118" s="151"/>
      <c r="I118" s="447"/>
      <c r="J118" s="447"/>
      <c r="K118" s="447"/>
    </row>
    <row r="119" spans="1:11" ht="14" x14ac:dyDescent="0.3">
      <c r="A119" s="151"/>
      <c r="B119" s="151"/>
      <c r="I119" s="447"/>
      <c r="J119" s="447"/>
      <c r="K119" s="447"/>
    </row>
    <row r="120" spans="1:11" ht="14" x14ac:dyDescent="0.3">
      <c r="A120" s="151"/>
      <c r="B120" s="151"/>
      <c r="I120" s="447"/>
      <c r="J120" s="447"/>
      <c r="K120" s="447"/>
    </row>
    <row r="121" spans="1:11" ht="14" x14ac:dyDescent="0.3">
      <c r="A121" s="151"/>
      <c r="B121" s="151"/>
      <c r="I121" s="447"/>
      <c r="J121" s="447"/>
      <c r="K121" s="447"/>
    </row>
    <row r="122" spans="1:11" ht="14" x14ac:dyDescent="0.3">
      <c r="A122" s="151"/>
      <c r="B122" s="151"/>
      <c r="I122" s="447"/>
      <c r="J122" s="447"/>
      <c r="K122" s="447"/>
    </row>
    <row r="123" spans="1:11" ht="14" x14ac:dyDescent="0.3">
      <c r="A123" s="151"/>
      <c r="B123" s="151"/>
      <c r="I123" s="447"/>
      <c r="J123" s="447"/>
      <c r="K123" s="447"/>
    </row>
    <row r="124" spans="1:11" ht="14" x14ac:dyDescent="0.3">
      <c r="A124" s="151"/>
      <c r="B124" s="151"/>
      <c r="I124" s="447"/>
      <c r="J124" s="447"/>
      <c r="K124" s="447"/>
    </row>
    <row r="125" spans="1:11" ht="14" x14ac:dyDescent="0.3">
      <c r="A125" s="151"/>
      <c r="B125" s="151"/>
      <c r="I125" s="447"/>
      <c r="J125" s="447"/>
      <c r="K125" s="447"/>
    </row>
    <row r="126" spans="1:11" ht="14" x14ac:dyDescent="0.3">
      <c r="A126" s="151"/>
      <c r="B126" s="151"/>
      <c r="I126" s="447"/>
      <c r="J126" s="447"/>
      <c r="K126" s="447"/>
    </row>
    <row r="127" spans="1:11" ht="14" x14ac:dyDescent="0.3">
      <c r="A127" s="151"/>
      <c r="B127" s="151"/>
      <c r="I127" s="447"/>
      <c r="J127" s="447"/>
      <c r="K127" s="447"/>
    </row>
    <row r="128" spans="1:11" ht="14" x14ac:dyDescent="0.3">
      <c r="A128" s="151"/>
      <c r="B128" s="151"/>
      <c r="I128" s="447"/>
      <c r="J128" s="447"/>
      <c r="K128" s="447"/>
    </row>
    <row r="129" spans="1:2" ht="14" x14ac:dyDescent="0.3">
      <c r="A129" s="151"/>
      <c r="B129" s="151"/>
    </row>
    <row r="130" spans="1:2" ht="14" x14ac:dyDescent="0.3">
      <c r="A130" s="151"/>
      <c r="B130" s="151"/>
    </row>
    <row r="131" spans="1:2" ht="14" x14ac:dyDescent="0.3">
      <c r="A131" s="151"/>
      <c r="B131" s="151"/>
    </row>
    <row r="132" spans="1:2" ht="14" x14ac:dyDescent="0.3">
      <c r="A132" s="151"/>
      <c r="B132" s="151"/>
    </row>
    <row r="133" spans="1:2" ht="14" x14ac:dyDescent="0.3">
      <c r="A133" s="151"/>
      <c r="B133" s="151"/>
    </row>
    <row r="134" spans="1:2" ht="14" x14ac:dyDescent="0.3">
      <c r="A134" s="151"/>
      <c r="B134" s="151"/>
    </row>
    <row r="135" spans="1:2" ht="14" x14ac:dyDescent="0.3">
      <c r="A135" s="151"/>
      <c r="B135" s="151"/>
    </row>
    <row r="136" spans="1:2" ht="14" x14ac:dyDescent="0.3">
      <c r="A136" s="151"/>
      <c r="B136" s="151"/>
    </row>
    <row r="137" spans="1:2" ht="14" x14ac:dyDescent="0.3">
      <c r="A137" s="151"/>
      <c r="B137" s="151"/>
    </row>
    <row r="138" spans="1:2" ht="14" x14ac:dyDescent="0.3">
      <c r="A138" s="151"/>
      <c r="B138" s="151"/>
    </row>
    <row r="139" spans="1:2" ht="14" x14ac:dyDescent="0.3">
      <c r="A139" s="151"/>
      <c r="B139" s="151"/>
    </row>
    <row r="140" spans="1:2" ht="14" x14ac:dyDescent="0.3">
      <c r="A140" s="151"/>
      <c r="B140" s="151"/>
    </row>
    <row r="141" spans="1:2" ht="14" x14ac:dyDescent="0.3">
      <c r="A141" s="151"/>
      <c r="B141" s="151"/>
    </row>
    <row r="142" spans="1:2" ht="14" x14ac:dyDescent="0.3">
      <c r="A142" s="151"/>
      <c r="B142" s="151"/>
    </row>
  </sheetData>
  <mergeCells count="8">
    <mergeCell ref="E12:G12"/>
    <mergeCell ref="I12:K12"/>
    <mergeCell ref="M12:N12"/>
    <mergeCell ref="A4:N4"/>
    <mergeCell ref="A5:N5"/>
    <mergeCell ref="A6:N6"/>
    <mergeCell ref="A8:N8"/>
    <mergeCell ref="A9:N9"/>
  </mergeCells>
  <pageMargins left="0.7" right="0.7" top="0.75" bottom="0.75" header="0.3" footer="0.3"/>
  <pageSetup scale="64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D1F00-5DBE-4B4E-8725-1F409D818DA7}">
  <sheetPr>
    <tabColor theme="3" tint="0.59999389629810485"/>
    <pageSetUpPr fitToPage="1"/>
  </sheetPr>
  <dimension ref="A4:AF142"/>
  <sheetViews>
    <sheetView zoomScaleNormal="100" workbookViewId="0"/>
  </sheetViews>
  <sheetFormatPr defaultRowHeight="12.5" x14ac:dyDescent="0.25"/>
  <cols>
    <col min="1" max="1" width="4" customWidth="1"/>
    <col min="2" max="2" width="4.453125" bestFit="1" customWidth="1"/>
    <col min="3" max="3" width="9.26953125" customWidth="1"/>
    <col min="4" max="4" width="11.1796875" bestFit="1" customWidth="1"/>
    <col min="5" max="7" width="14.7265625" customWidth="1"/>
    <col min="8" max="8" width="1.7265625" customWidth="1"/>
    <col min="9" max="11" width="14.7265625" customWidth="1"/>
    <col min="12" max="12" width="1.7265625" customWidth="1"/>
    <col min="13" max="13" width="12.54296875" bestFit="1" customWidth="1"/>
    <col min="14" max="14" width="11.7265625" customWidth="1"/>
    <col min="15" max="15" width="10.81640625" bestFit="1" customWidth="1"/>
    <col min="16" max="16" width="13" bestFit="1" customWidth="1"/>
    <col min="17" max="19" width="11.81640625" bestFit="1" customWidth="1"/>
    <col min="20" max="20" width="13" bestFit="1" customWidth="1"/>
    <col min="21" max="21" width="13.7265625" bestFit="1" customWidth="1"/>
    <col min="22" max="22" width="14.1796875" bestFit="1" customWidth="1"/>
    <col min="23" max="23" width="8.453125" bestFit="1" customWidth="1"/>
    <col min="24" max="24" width="10.81640625" bestFit="1" customWidth="1"/>
    <col min="25" max="25" width="12.54296875" bestFit="1" customWidth="1"/>
    <col min="26" max="28" width="11.81640625" bestFit="1" customWidth="1"/>
    <col min="29" max="29" width="12.54296875" bestFit="1" customWidth="1"/>
  </cols>
  <sheetData>
    <row r="4" spans="1:32" ht="14" x14ac:dyDescent="0.3">
      <c r="A4" s="766" t="str">
        <f>'Bill_South G2'!A4:N4</f>
        <v>Eastern Massachusetts</v>
      </c>
      <c r="B4" s="766"/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  <c r="N4" s="766"/>
    </row>
    <row r="5" spans="1:32" ht="14" x14ac:dyDescent="0.3">
      <c r="A5" s="766" t="str">
        <f>+'Bill_Cam G0'!A5</f>
        <v>Calculation of Monthly Typical Bill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</row>
    <row r="6" spans="1:32" ht="14" x14ac:dyDescent="0.3">
      <c r="A6" s="766" t="str">
        <f>+'Bill_Cam G0'!A6</f>
        <v>Proposed January 1, 2019</v>
      </c>
      <c r="B6" s="766"/>
      <c r="C6" s="766"/>
      <c r="D6" s="766"/>
      <c r="E6" s="766"/>
      <c r="F6" s="766"/>
      <c r="G6" s="766"/>
      <c r="H6" s="766"/>
      <c r="I6" s="766"/>
      <c r="J6" s="766"/>
      <c r="K6" s="766"/>
      <c r="L6" s="766"/>
      <c r="M6" s="766"/>
      <c r="N6" s="766"/>
    </row>
    <row r="7" spans="1:32" ht="14" x14ac:dyDescent="0.3">
      <c r="A7" s="521"/>
      <c r="B7" s="521"/>
      <c r="C7" s="293"/>
      <c r="D7" s="293"/>
      <c r="E7" s="468"/>
      <c r="F7" s="243"/>
      <c r="G7" s="469"/>
      <c r="H7" s="293"/>
      <c r="I7" s="369"/>
      <c r="J7" s="369"/>
      <c r="K7" s="369"/>
      <c r="L7" s="369"/>
      <c r="M7" s="369"/>
      <c r="N7" s="369"/>
    </row>
    <row r="8" spans="1:32" ht="14" x14ac:dyDescent="0.3">
      <c r="A8" s="766" t="s">
        <v>476</v>
      </c>
      <c r="B8" s="766"/>
      <c r="C8" s="766"/>
      <c r="D8" s="766"/>
      <c r="E8" s="766"/>
      <c r="F8" s="766"/>
      <c r="G8" s="766"/>
      <c r="H8" s="766"/>
      <c r="I8" s="766"/>
      <c r="J8" s="766"/>
      <c r="K8" s="766"/>
      <c r="L8" s="766"/>
      <c r="M8" s="766"/>
      <c r="N8" s="766"/>
    </row>
    <row r="9" spans="1:32" ht="14" x14ac:dyDescent="0.3">
      <c r="A9" s="766" t="s">
        <v>618</v>
      </c>
      <c r="B9" s="766"/>
      <c r="C9" s="766"/>
      <c r="D9" s="766"/>
      <c r="E9" s="766"/>
      <c r="F9" s="766"/>
      <c r="G9" s="766"/>
      <c r="H9" s="766"/>
      <c r="I9" s="766"/>
      <c r="J9" s="766"/>
      <c r="K9" s="766"/>
      <c r="L9" s="766"/>
      <c r="M9" s="766"/>
      <c r="N9" s="766"/>
    </row>
    <row r="10" spans="1:32" ht="14" x14ac:dyDescent="0.3">
      <c r="A10" s="366"/>
      <c r="B10" s="366"/>
      <c r="D10" s="293"/>
      <c r="E10" s="293"/>
      <c r="F10" s="293"/>
      <c r="G10" s="367"/>
      <c r="H10" s="293"/>
    </row>
    <row r="11" spans="1:32" ht="14" x14ac:dyDescent="0.3">
      <c r="A11" s="366"/>
      <c r="B11" s="366"/>
      <c r="C11" s="293"/>
      <c r="D11" s="293"/>
      <c r="E11" s="293"/>
      <c r="F11" s="293"/>
      <c r="G11" s="368"/>
      <c r="H11" s="293"/>
    </row>
    <row r="12" spans="1:32" ht="14" x14ac:dyDescent="0.3">
      <c r="A12" s="151">
        <f>IF(C12&lt;&gt;"",COUNTA($C$12:C12),"")</f>
        <v>1</v>
      </c>
      <c r="B12" s="151"/>
      <c r="C12" s="366" t="s">
        <v>528</v>
      </c>
      <c r="D12" s="366" t="s">
        <v>528</v>
      </c>
      <c r="E12" s="760" t="str">
        <f>+'Bill_South G1'!E12</f>
        <v>Current Monthly Bill</v>
      </c>
      <c r="F12" s="760"/>
      <c r="G12" s="760"/>
      <c r="H12" s="293"/>
      <c r="I12" s="760" t="str">
        <f>+'Bill_South G1'!I12</f>
        <v>Proposed Monthly Bill</v>
      </c>
      <c r="J12" s="760"/>
      <c r="K12" s="760"/>
      <c r="M12" s="760" t="s">
        <v>550</v>
      </c>
      <c r="N12" s="760"/>
      <c r="O12" s="369"/>
      <c r="P12" s="369"/>
      <c r="Q12" s="369"/>
      <c r="R12" s="369"/>
      <c r="S12" s="369"/>
      <c r="T12" s="369"/>
      <c r="U12" s="369"/>
      <c r="V12" s="369"/>
      <c r="W12" s="369"/>
      <c r="X12" s="369"/>
      <c r="Y12" s="369"/>
      <c r="Z12" s="369"/>
      <c r="AA12" s="369"/>
      <c r="AB12" s="369"/>
      <c r="AC12" s="369"/>
      <c r="AD12" s="369"/>
      <c r="AE12" s="369"/>
      <c r="AF12" s="369"/>
    </row>
    <row r="13" spans="1:32" ht="14" x14ac:dyDescent="0.3">
      <c r="A13" s="151">
        <f>IF(C13&lt;&gt;"",COUNTA($C$12:C13),"")</f>
        <v>2</v>
      </c>
      <c r="B13" s="151"/>
      <c r="C13" s="408" t="s">
        <v>593</v>
      </c>
      <c r="D13" s="370" t="s">
        <v>551</v>
      </c>
      <c r="E13" s="370" t="s">
        <v>552</v>
      </c>
      <c r="F13" s="370" t="s">
        <v>553</v>
      </c>
      <c r="G13" s="370" t="s">
        <v>47</v>
      </c>
      <c r="H13" s="293"/>
      <c r="I13" s="370" t="s">
        <v>552</v>
      </c>
      <c r="J13" s="370" t="s">
        <v>553</v>
      </c>
      <c r="K13" s="370" t="s">
        <v>47</v>
      </c>
      <c r="M13" s="370" t="s">
        <v>65</v>
      </c>
      <c r="N13" s="370" t="s">
        <v>325</v>
      </c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  <c r="AA13" s="369"/>
      <c r="AB13" s="369"/>
      <c r="AC13" s="369"/>
      <c r="AD13" s="369"/>
      <c r="AE13" s="369"/>
      <c r="AF13" s="369"/>
    </row>
    <row r="14" spans="1:32" ht="14" x14ac:dyDescent="0.3">
      <c r="A14" s="151" t="str">
        <f>IF(C14&lt;&gt;"",COUNTA($C$12:C14),"")</f>
        <v/>
      </c>
      <c r="B14" s="151"/>
      <c r="C14" s="408"/>
      <c r="D14" s="370"/>
      <c r="E14" s="370"/>
      <c r="F14" s="370"/>
      <c r="G14" s="370"/>
      <c r="H14" s="293"/>
      <c r="I14" s="370"/>
      <c r="J14" s="370"/>
      <c r="K14" s="370"/>
      <c r="M14" s="370"/>
      <c r="N14" s="370"/>
      <c r="O14" s="369"/>
      <c r="P14" s="369"/>
      <c r="Q14" s="369"/>
      <c r="R14" s="369"/>
      <c r="S14" s="369"/>
      <c r="T14" s="369"/>
      <c r="U14" s="369"/>
      <c r="V14" s="369"/>
      <c r="W14" s="369"/>
      <c r="X14" s="369"/>
      <c r="Y14" s="369"/>
      <c r="Z14" s="369"/>
      <c r="AA14" s="369"/>
      <c r="AB14" s="369"/>
      <c r="AC14" s="369"/>
      <c r="AD14" s="369"/>
      <c r="AE14" s="369"/>
      <c r="AF14" s="369"/>
    </row>
    <row r="15" spans="1:32" ht="14" x14ac:dyDescent="0.3">
      <c r="A15" s="151">
        <f>IF(C15&lt;&gt;"",COUNTA($C$12:C15),"")</f>
        <v>3</v>
      </c>
      <c r="B15" s="151"/>
      <c r="C15" s="405" t="s">
        <v>580</v>
      </c>
      <c r="D15" s="370"/>
      <c r="E15" s="370"/>
      <c r="F15" s="370"/>
      <c r="G15" s="370"/>
      <c r="H15" s="293"/>
      <c r="I15" s="370"/>
      <c r="J15" s="370"/>
      <c r="K15" s="370"/>
      <c r="M15" s="370"/>
      <c r="N15" s="370"/>
      <c r="O15" s="369"/>
      <c r="P15" s="369"/>
      <c r="Q15" s="369"/>
      <c r="R15" s="369"/>
      <c r="S15" s="369"/>
      <c r="T15" s="369"/>
      <c r="U15" s="369"/>
      <c r="V15" s="369"/>
      <c r="W15" s="369"/>
      <c r="X15" s="369"/>
      <c r="Y15" s="369"/>
      <c r="Z15" s="369"/>
      <c r="AA15" s="369"/>
      <c r="AB15" s="369"/>
      <c r="AC15" s="369"/>
      <c r="AD15" s="369"/>
      <c r="AE15" s="369"/>
      <c r="AF15" s="369"/>
    </row>
    <row r="16" spans="1:32" ht="14" x14ac:dyDescent="0.3">
      <c r="A16" s="151">
        <f>IF(C16&lt;&gt;"",COUNTA($C$12:C16),"")</f>
        <v>4</v>
      </c>
      <c r="B16" s="151"/>
      <c r="C16" s="371">
        <v>500</v>
      </c>
      <c r="D16" s="409">
        <f>+C16*350</f>
        <v>175000</v>
      </c>
      <c r="E16" s="372">
        <f t="shared" ref="E16:E21" si="0">ROUND($G$42+$C16*SUM($G$43,$G$44)+$D16*$G$45*$E$69+$D16*$G$46*$E$70+$D16*$G$47*$E$71+SUM($G$48:$G$62,$G$63:$G$66)*$D16,2)</f>
        <v>10190.41</v>
      </c>
      <c r="F16" s="372">
        <f t="shared" ref="F16:F21" si="1">ROUND($G$67*$D16,2)</f>
        <v>21465.5</v>
      </c>
      <c r="G16" s="372">
        <f t="shared" ref="G16:G21" si="2">SUM(E16:F16)</f>
        <v>31655.91</v>
      </c>
      <c r="H16" s="373"/>
      <c r="I16" s="372">
        <f t="shared" ref="I16:I21" si="3">ROUND($I$42+$C16*SUM($I$43,$I$44)+$D16*$I$45*$E$69+$D16*$I$46*$E$70+$D16*$I$47*$E$71+SUM($I$48:$I$62,$I$63:$I$66)*$D16,2)</f>
        <v>9812.48</v>
      </c>
      <c r="J16" s="372">
        <f t="shared" ref="J16:J21" si="4">ROUND($I$67*$D16,2)</f>
        <v>28259</v>
      </c>
      <c r="K16" s="372">
        <f t="shared" ref="K16:K21" si="5">SUM(I16:J16)</f>
        <v>38071.479999999996</v>
      </c>
      <c r="L16" s="374"/>
      <c r="M16" s="375">
        <f t="shared" ref="M16:M21" si="6">+K16-G16</f>
        <v>6415.5699999999961</v>
      </c>
      <c r="N16" s="376">
        <f t="shared" ref="N16:N21" si="7">+M16/G16</f>
        <v>0.2026657897372085</v>
      </c>
      <c r="O16" s="374"/>
      <c r="P16" s="374"/>
      <c r="Q16" s="374"/>
      <c r="R16" s="374"/>
      <c r="S16" s="374"/>
      <c r="T16" s="374"/>
      <c r="U16" s="374"/>
      <c r="V16" s="374"/>
      <c r="W16" s="374"/>
      <c r="X16" s="374"/>
      <c r="Y16" s="374"/>
      <c r="Z16" s="374"/>
      <c r="AA16" s="374"/>
      <c r="AB16" s="374"/>
      <c r="AC16" s="374"/>
      <c r="AD16" s="374"/>
      <c r="AE16" s="374"/>
      <c r="AF16" s="374">
        <f t="shared" ref="AF16:AF21" si="8">+AE16-K16</f>
        <v>-38071.479999999996</v>
      </c>
    </row>
    <row r="17" spans="1:32" ht="14" x14ac:dyDescent="0.3">
      <c r="A17" s="151">
        <f>IF(C17&lt;&gt;"",COUNTA($C$12:C17),"")</f>
        <v>5</v>
      </c>
      <c r="B17" s="151"/>
      <c r="C17" s="371">
        <v>750</v>
      </c>
      <c r="D17" s="409">
        <f t="shared" ref="D17:D21" si="9">+C17*350</f>
        <v>262500</v>
      </c>
      <c r="E17" s="372">
        <f t="shared" si="0"/>
        <v>14820.62</v>
      </c>
      <c r="F17" s="372">
        <f t="shared" si="1"/>
        <v>32198.25</v>
      </c>
      <c r="G17" s="372">
        <f t="shared" si="2"/>
        <v>47018.87</v>
      </c>
      <c r="H17" s="373"/>
      <c r="I17" s="372">
        <f t="shared" si="3"/>
        <v>14253.72</v>
      </c>
      <c r="J17" s="372">
        <f t="shared" si="4"/>
        <v>42388.5</v>
      </c>
      <c r="K17" s="372">
        <f t="shared" si="5"/>
        <v>56642.22</v>
      </c>
      <c r="L17" s="374"/>
      <c r="M17" s="375">
        <f t="shared" si="6"/>
        <v>9623.3499999999985</v>
      </c>
      <c r="N17" s="376">
        <f t="shared" si="7"/>
        <v>0.20466995485004208</v>
      </c>
      <c r="O17" s="374"/>
      <c r="P17" s="374"/>
      <c r="Q17" s="374"/>
      <c r="R17" s="374"/>
      <c r="S17" s="374"/>
      <c r="T17" s="374"/>
      <c r="U17" s="374"/>
      <c r="V17" s="374"/>
      <c r="W17" s="374"/>
      <c r="X17" s="374"/>
      <c r="Y17" s="374"/>
      <c r="Z17" s="374"/>
      <c r="AA17" s="374"/>
      <c r="AB17" s="374"/>
      <c r="AC17" s="374"/>
      <c r="AD17" s="374"/>
      <c r="AE17" s="374"/>
      <c r="AF17" s="374">
        <f t="shared" si="8"/>
        <v>-56642.22</v>
      </c>
    </row>
    <row r="18" spans="1:32" ht="14" x14ac:dyDescent="0.3">
      <c r="A18" s="151">
        <f>IF(C18&lt;&gt;"",COUNTA($C$12:C18),"")</f>
        <v>6</v>
      </c>
      <c r="B18" s="151"/>
      <c r="C18" s="371">
        <v>1000</v>
      </c>
      <c r="D18" s="409">
        <f t="shared" si="9"/>
        <v>350000</v>
      </c>
      <c r="E18" s="372">
        <f t="shared" si="0"/>
        <v>19450.82</v>
      </c>
      <c r="F18" s="372">
        <f t="shared" si="1"/>
        <v>42931</v>
      </c>
      <c r="G18" s="372">
        <f t="shared" si="2"/>
        <v>62381.82</v>
      </c>
      <c r="H18" s="373"/>
      <c r="I18" s="372">
        <f t="shared" si="3"/>
        <v>18694.96</v>
      </c>
      <c r="J18" s="372">
        <f t="shared" si="4"/>
        <v>56518</v>
      </c>
      <c r="K18" s="372">
        <f t="shared" si="5"/>
        <v>75212.959999999992</v>
      </c>
      <c r="L18" s="374"/>
      <c r="M18" s="375">
        <f t="shared" si="6"/>
        <v>12831.139999999992</v>
      </c>
      <c r="N18" s="376">
        <f t="shared" si="7"/>
        <v>0.20568716975554724</v>
      </c>
      <c r="O18" s="374"/>
      <c r="P18" s="374"/>
      <c r="Q18" s="374"/>
      <c r="R18" s="374"/>
      <c r="S18" s="374"/>
      <c r="T18" s="374"/>
      <c r="U18" s="374"/>
      <c r="V18" s="374"/>
      <c r="W18" s="374"/>
      <c r="X18" s="374"/>
      <c r="Y18" s="374"/>
      <c r="Z18" s="374"/>
      <c r="AA18" s="374"/>
      <c r="AB18" s="374"/>
      <c r="AC18" s="374"/>
      <c r="AD18" s="374"/>
      <c r="AE18" s="374"/>
      <c r="AF18" s="374">
        <f t="shared" si="8"/>
        <v>-75212.959999999992</v>
      </c>
    </row>
    <row r="19" spans="1:32" ht="14" x14ac:dyDescent="0.3">
      <c r="A19" s="151">
        <f>IF(C19&lt;&gt;"",COUNTA($C$12:C19),"")</f>
        <v>7</v>
      </c>
      <c r="B19" s="151"/>
      <c r="C19" s="371">
        <v>2000</v>
      </c>
      <c r="D19" s="409">
        <f t="shared" si="9"/>
        <v>700000</v>
      </c>
      <c r="E19" s="372">
        <f t="shared" si="0"/>
        <v>37971.64</v>
      </c>
      <c r="F19" s="372">
        <f t="shared" si="1"/>
        <v>85862</v>
      </c>
      <c r="G19" s="372">
        <f t="shared" si="2"/>
        <v>123833.64</v>
      </c>
      <c r="H19" s="373"/>
      <c r="I19" s="372">
        <f t="shared" si="3"/>
        <v>36459.910000000003</v>
      </c>
      <c r="J19" s="372">
        <f t="shared" si="4"/>
        <v>113036</v>
      </c>
      <c r="K19" s="372">
        <f t="shared" si="5"/>
        <v>149495.91</v>
      </c>
      <c r="L19" s="374"/>
      <c r="M19" s="375">
        <f t="shared" si="6"/>
        <v>25662.270000000004</v>
      </c>
      <c r="N19" s="376">
        <f t="shared" si="7"/>
        <v>0.20723181519981165</v>
      </c>
      <c r="O19" s="374"/>
      <c r="P19" s="374"/>
      <c r="Q19" s="374"/>
      <c r="R19" s="374"/>
      <c r="S19" s="374"/>
      <c r="T19" s="374"/>
      <c r="U19" s="374"/>
      <c r="V19" s="374"/>
      <c r="W19" s="374"/>
      <c r="X19" s="374"/>
      <c r="Y19" s="374"/>
      <c r="Z19" s="374"/>
      <c r="AA19" s="374"/>
      <c r="AB19" s="374"/>
      <c r="AC19" s="374"/>
      <c r="AD19" s="374"/>
      <c r="AE19" s="374"/>
      <c r="AF19" s="374">
        <f t="shared" si="8"/>
        <v>-149495.91</v>
      </c>
    </row>
    <row r="20" spans="1:32" ht="14" x14ac:dyDescent="0.3">
      <c r="A20" s="151">
        <f>IF(C20&lt;&gt;"",COUNTA($C$12:C20),"")</f>
        <v>8</v>
      </c>
      <c r="B20" s="151"/>
      <c r="C20" s="409">
        <v>3000</v>
      </c>
      <c r="D20" s="409">
        <f t="shared" si="9"/>
        <v>1050000</v>
      </c>
      <c r="E20" s="372">
        <f t="shared" si="0"/>
        <v>56492.46</v>
      </c>
      <c r="F20" s="372">
        <f t="shared" si="1"/>
        <v>128793</v>
      </c>
      <c r="G20" s="372">
        <f t="shared" si="2"/>
        <v>185285.46</v>
      </c>
      <c r="H20" s="373"/>
      <c r="I20" s="372">
        <f t="shared" si="3"/>
        <v>54224.87</v>
      </c>
      <c r="J20" s="372">
        <f t="shared" si="4"/>
        <v>169554</v>
      </c>
      <c r="K20" s="372">
        <f t="shared" si="5"/>
        <v>223778.87</v>
      </c>
      <c r="L20" s="374"/>
      <c r="M20" s="375">
        <f t="shared" si="6"/>
        <v>38493.410000000003</v>
      </c>
      <c r="N20" s="376">
        <f t="shared" si="7"/>
        <v>0.2077519196595351</v>
      </c>
      <c r="O20" s="374"/>
      <c r="P20" s="374"/>
      <c r="Q20" s="374"/>
      <c r="R20" s="374"/>
      <c r="S20" s="374"/>
      <c r="T20" s="374"/>
      <c r="U20" s="374"/>
      <c r="V20" s="374"/>
      <c r="W20" s="374"/>
      <c r="X20" s="374"/>
      <c r="Y20" s="374"/>
      <c r="Z20" s="374"/>
      <c r="AA20" s="374"/>
      <c r="AB20" s="374"/>
      <c r="AC20" s="374"/>
      <c r="AD20" s="374"/>
      <c r="AE20" s="374"/>
      <c r="AF20" s="374">
        <f t="shared" si="8"/>
        <v>-223778.87</v>
      </c>
    </row>
    <row r="21" spans="1:32" ht="14" x14ac:dyDescent="0.3">
      <c r="A21" s="151">
        <f>IF(C21&lt;&gt;"",COUNTA($C$12:C21),"")</f>
        <v>9</v>
      </c>
      <c r="B21" s="151" t="s">
        <v>554</v>
      </c>
      <c r="C21" s="409">
        <v>1066</v>
      </c>
      <c r="D21" s="409">
        <f t="shared" si="9"/>
        <v>373100</v>
      </c>
      <c r="E21" s="372">
        <f t="shared" si="0"/>
        <v>20673.189999999999</v>
      </c>
      <c r="F21" s="372">
        <f t="shared" si="1"/>
        <v>45764.45</v>
      </c>
      <c r="G21" s="372">
        <f t="shared" si="2"/>
        <v>66437.64</v>
      </c>
      <c r="H21" s="373"/>
      <c r="I21" s="372">
        <f t="shared" si="3"/>
        <v>19867.439999999999</v>
      </c>
      <c r="J21" s="372">
        <f t="shared" si="4"/>
        <v>60248.19</v>
      </c>
      <c r="K21" s="372">
        <f t="shared" si="5"/>
        <v>80115.63</v>
      </c>
      <c r="L21" s="374"/>
      <c r="M21" s="375">
        <f t="shared" si="6"/>
        <v>13677.990000000005</v>
      </c>
      <c r="N21" s="376">
        <f t="shared" si="7"/>
        <v>0.20587712025893765</v>
      </c>
      <c r="O21" s="374"/>
      <c r="P21" s="374"/>
      <c r="Q21" s="374"/>
      <c r="R21" s="374"/>
      <c r="S21" s="374"/>
      <c r="T21" s="374"/>
      <c r="U21" s="374"/>
      <c r="V21" s="374"/>
      <c r="W21" s="374"/>
      <c r="X21" s="374"/>
      <c r="Y21" s="374"/>
      <c r="Z21" s="374"/>
      <c r="AA21" s="374"/>
      <c r="AB21" s="374"/>
      <c r="AC21" s="374"/>
      <c r="AD21" s="374"/>
      <c r="AE21" s="374"/>
      <c r="AF21" s="374">
        <f t="shared" si="8"/>
        <v>-80115.63</v>
      </c>
    </row>
    <row r="22" spans="1:32" ht="14" x14ac:dyDescent="0.3">
      <c r="A22" s="151" t="str">
        <f>IF(C22&lt;&gt;"",COUNTA($C$12:C22),"")</f>
        <v/>
      </c>
      <c r="B22" s="151"/>
      <c r="C22" s="493"/>
      <c r="D22" s="493"/>
      <c r="E22" s="489"/>
      <c r="F22" s="489"/>
      <c r="G22" s="489"/>
      <c r="H22" s="494"/>
      <c r="I22" s="489"/>
      <c r="J22" s="489"/>
      <c r="K22" s="489"/>
      <c r="L22" s="495"/>
      <c r="M22" s="497"/>
      <c r="N22" s="519"/>
      <c r="P22" s="153"/>
      <c r="Q22" s="374"/>
    </row>
    <row r="23" spans="1:32" ht="14" x14ac:dyDescent="0.3">
      <c r="A23" s="151">
        <f>IF(C23&lt;&gt;"",COUNTA($C$12:C23),"")</f>
        <v>10</v>
      </c>
      <c r="B23" s="151"/>
      <c r="C23" s="496" t="s">
        <v>578</v>
      </c>
      <c r="D23" s="293"/>
      <c r="E23" s="448"/>
      <c r="F23" s="448"/>
      <c r="G23" s="448"/>
      <c r="H23" s="448"/>
      <c r="I23" s="374"/>
      <c r="J23" s="374"/>
      <c r="K23" s="374"/>
      <c r="L23" s="374"/>
      <c r="M23" s="374"/>
      <c r="N23" s="369"/>
    </row>
    <row r="24" spans="1:32" ht="14" x14ac:dyDescent="0.3">
      <c r="A24" s="151">
        <f>IF(C24&lt;&gt;"",COUNTA($C$12:C24),"")</f>
        <v>11</v>
      </c>
      <c r="B24" s="151"/>
      <c r="C24" s="409">
        <f>+C16</f>
        <v>500</v>
      </c>
      <c r="D24" s="409">
        <f>+C24*450</f>
        <v>225000</v>
      </c>
      <c r="E24" s="372">
        <f t="shared" ref="E24:E29" si="10">ROUND($G$42+$C24*SUM($G$43,$G$44)+$D24*$G$45*$E$69+$D24*$G$46*$E$70+$D24*$G$47*$E$71+SUM($G$48:$G$62,$G$63:$G$66)*$D24,2)</f>
        <v>11537.67</v>
      </c>
      <c r="F24" s="372">
        <f t="shared" ref="F24:F29" si="11">ROUND($G$67*$D24,2)</f>
        <v>27598.5</v>
      </c>
      <c r="G24" s="372">
        <f t="shared" ref="G24:G29" si="12">SUM(E24:F24)</f>
        <v>39136.17</v>
      </c>
      <c r="H24" s="373"/>
      <c r="I24" s="372">
        <f t="shared" ref="I24:I29" si="13">ROUND($I$42+$C24*SUM($I$43,$I$44)+$D24*$I$45*$E$69+$D24*$I$46*$E$70+$D24*$I$47*$E$71+SUM($I$48:$I$62,$I$63:$I$66)*$D24,2)</f>
        <v>11196.04</v>
      </c>
      <c r="J24" s="372">
        <f t="shared" ref="J24:J29" si="14">ROUND($I$67*$D24,2)</f>
        <v>36333</v>
      </c>
      <c r="K24" s="372">
        <f t="shared" ref="K24:K29" si="15">SUM(I24:J24)</f>
        <v>47529.04</v>
      </c>
      <c r="L24" s="374"/>
      <c r="M24" s="375">
        <f t="shared" ref="M24:M29" si="16">+K24-G24</f>
        <v>8392.8700000000026</v>
      </c>
      <c r="N24" s="376">
        <f t="shared" ref="N24:N29" si="17">+M24/G24</f>
        <v>0.21445302389068738</v>
      </c>
      <c r="O24" s="374"/>
      <c r="P24" s="374"/>
      <c r="Q24" s="374"/>
      <c r="R24" s="374"/>
      <c r="S24" s="374"/>
      <c r="T24" s="374"/>
      <c r="U24" s="374"/>
      <c r="V24" s="374"/>
      <c r="W24" s="374"/>
      <c r="X24" s="374"/>
      <c r="Y24" s="374"/>
      <c r="Z24" s="374"/>
      <c r="AA24" s="374"/>
      <c r="AB24" s="374"/>
      <c r="AC24" s="374"/>
      <c r="AD24" s="374"/>
      <c r="AE24" s="374"/>
      <c r="AF24" s="374">
        <f t="shared" ref="AF24:AF29" si="18">+AE24-K24</f>
        <v>-47529.04</v>
      </c>
    </row>
    <row r="25" spans="1:32" ht="14" x14ac:dyDescent="0.3">
      <c r="A25" s="151">
        <f>IF(C25&lt;&gt;"",COUNTA($C$12:C25),"")</f>
        <v>12</v>
      </c>
      <c r="B25" s="151"/>
      <c r="C25" s="409">
        <f>+C17</f>
        <v>750</v>
      </c>
      <c r="D25" s="409">
        <f t="shared" ref="D25:D29" si="19">+C25*450</f>
        <v>337500</v>
      </c>
      <c r="E25" s="372">
        <f t="shared" si="10"/>
        <v>16841.509999999998</v>
      </c>
      <c r="F25" s="372">
        <f t="shared" si="11"/>
        <v>41397.75</v>
      </c>
      <c r="G25" s="372">
        <f t="shared" si="12"/>
        <v>58239.259999999995</v>
      </c>
      <c r="H25" s="373"/>
      <c r="I25" s="372">
        <f t="shared" si="13"/>
        <v>16329.06</v>
      </c>
      <c r="J25" s="372">
        <f t="shared" si="14"/>
        <v>54499.5</v>
      </c>
      <c r="K25" s="372">
        <f t="shared" si="15"/>
        <v>70828.56</v>
      </c>
      <c r="L25" s="374"/>
      <c r="M25" s="375">
        <f t="shared" si="16"/>
        <v>12589.300000000003</v>
      </c>
      <c r="N25" s="376">
        <f t="shared" si="17"/>
        <v>0.21616517792293385</v>
      </c>
      <c r="O25" s="374"/>
      <c r="P25" s="374"/>
      <c r="Q25" s="374"/>
      <c r="R25" s="374"/>
      <c r="S25" s="374"/>
      <c r="T25" s="374"/>
      <c r="U25" s="374"/>
      <c r="V25" s="374"/>
      <c r="W25" s="374"/>
      <c r="X25" s="374"/>
      <c r="Y25" s="374"/>
      <c r="Z25" s="374"/>
      <c r="AA25" s="374"/>
      <c r="AB25" s="374"/>
      <c r="AC25" s="374"/>
      <c r="AD25" s="374"/>
      <c r="AE25" s="374"/>
      <c r="AF25" s="374">
        <f t="shared" si="18"/>
        <v>-70828.56</v>
      </c>
    </row>
    <row r="26" spans="1:32" ht="14" x14ac:dyDescent="0.3">
      <c r="A26" s="151">
        <f>IF(C26&lt;&gt;"",COUNTA($C$12:C26),"")</f>
        <v>13</v>
      </c>
      <c r="B26" s="151"/>
      <c r="C26" s="409">
        <f>+C18</f>
        <v>1000</v>
      </c>
      <c r="D26" s="409">
        <f t="shared" si="19"/>
        <v>450000</v>
      </c>
      <c r="E26" s="372">
        <f t="shared" si="10"/>
        <v>22145.34</v>
      </c>
      <c r="F26" s="372">
        <f t="shared" si="11"/>
        <v>55197</v>
      </c>
      <c r="G26" s="372">
        <f t="shared" si="12"/>
        <v>77342.34</v>
      </c>
      <c r="H26" s="373"/>
      <c r="I26" s="372">
        <f t="shared" si="13"/>
        <v>21462.09</v>
      </c>
      <c r="J26" s="372">
        <f t="shared" si="14"/>
        <v>72666</v>
      </c>
      <c r="K26" s="372">
        <f t="shared" si="15"/>
        <v>94128.09</v>
      </c>
      <c r="L26" s="374"/>
      <c r="M26" s="375">
        <f t="shared" si="16"/>
        <v>16785.75</v>
      </c>
      <c r="N26" s="376">
        <f t="shared" si="17"/>
        <v>0.21703183534400433</v>
      </c>
      <c r="O26" s="374"/>
      <c r="P26" s="374"/>
      <c r="Q26" s="374"/>
      <c r="R26" s="374"/>
      <c r="S26" s="374"/>
      <c r="T26" s="374"/>
      <c r="U26" s="374"/>
      <c r="V26" s="374"/>
      <c r="W26" s="374"/>
      <c r="X26" s="374"/>
      <c r="Y26" s="374"/>
      <c r="Z26" s="374"/>
      <c r="AA26" s="374"/>
      <c r="AB26" s="374"/>
      <c r="AC26" s="374"/>
      <c r="AD26" s="374"/>
      <c r="AE26" s="374"/>
      <c r="AF26" s="374">
        <f t="shared" si="18"/>
        <v>-94128.09</v>
      </c>
    </row>
    <row r="27" spans="1:32" ht="14" x14ac:dyDescent="0.3">
      <c r="A27" s="151">
        <f>IF(C27&lt;&gt;"",COUNTA($C$12:C27),"")</f>
        <v>14</v>
      </c>
      <c r="B27" s="151"/>
      <c r="C27" s="409">
        <f>+C19</f>
        <v>2000</v>
      </c>
      <c r="D27" s="409">
        <f t="shared" si="19"/>
        <v>900000</v>
      </c>
      <c r="E27" s="372">
        <f t="shared" si="10"/>
        <v>43360.68</v>
      </c>
      <c r="F27" s="372">
        <f t="shared" si="11"/>
        <v>110394</v>
      </c>
      <c r="G27" s="372">
        <f t="shared" si="12"/>
        <v>153754.68</v>
      </c>
      <c r="H27" s="373"/>
      <c r="I27" s="372">
        <f t="shared" si="13"/>
        <v>41994.17</v>
      </c>
      <c r="J27" s="372">
        <f t="shared" si="14"/>
        <v>145332</v>
      </c>
      <c r="K27" s="372">
        <f t="shared" si="15"/>
        <v>187326.16999999998</v>
      </c>
      <c r="L27" s="374"/>
      <c r="M27" s="375">
        <f t="shared" si="16"/>
        <v>33571.489999999991</v>
      </c>
      <c r="N27" s="376">
        <f t="shared" si="17"/>
        <v>0.21834450827773172</v>
      </c>
      <c r="O27" s="374"/>
      <c r="P27" s="374"/>
      <c r="Q27" s="374"/>
      <c r="R27" s="374"/>
      <c r="S27" s="374"/>
      <c r="T27" s="374"/>
      <c r="U27" s="374"/>
      <c r="V27" s="374"/>
      <c r="W27" s="374"/>
      <c r="X27" s="374"/>
      <c r="Y27" s="374"/>
      <c r="Z27" s="374"/>
      <c r="AA27" s="374"/>
      <c r="AB27" s="374"/>
      <c r="AC27" s="374"/>
      <c r="AD27" s="374"/>
      <c r="AE27" s="374"/>
      <c r="AF27" s="374">
        <f t="shared" si="18"/>
        <v>-187326.16999999998</v>
      </c>
    </row>
    <row r="28" spans="1:32" ht="14" x14ac:dyDescent="0.3">
      <c r="A28" s="151">
        <f>IF(C28&lt;&gt;"",COUNTA($C$12:C28),"")</f>
        <v>15</v>
      </c>
      <c r="B28" s="151"/>
      <c r="C28" s="409">
        <f>+C20</f>
        <v>3000</v>
      </c>
      <c r="D28" s="409">
        <f t="shared" si="19"/>
        <v>1350000</v>
      </c>
      <c r="E28" s="372">
        <f t="shared" si="10"/>
        <v>64576.02</v>
      </c>
      <c r="F28" s="372">
        <f t="shared" si="11"/>
        <v>165591</v>
      </c>
      <c r="G28" s="372">
        <f t="shared" si="12"/>
        <v>230167.02</v>
      </c>
      <c r="H28" s="373"/>
      <c r="I28" s="372">
        <f t="shared" si="13"/>
        <v>62526.26</v>
      </c>
      <c r="J28" s="372">
        <f t="shared" si="14"/>
        <v>217998</v>
      </c>
      <c r="K28" s="372">
        <f t="shared" si="15"/>
        <v>280524.26</v>
      </c>
      <c r="L28" s="374"/>
      <c r="M28" s="375">
        <f t="shared" si="16"/>
        <v>50357.24000000002</v>
      </c>
      <c r="N28" s="376">
        <f t="shared" si="17"/>
        <v>0.21878564531095734</v>
      </c>
      <c r="O28" s="374"/>
      <c r="P28" s="374"/>
      <c r="Q28" s="374"/>
      <c r="R28" s="374"/>
      <c r="S28" s="374"/>
      <c r="T28" s="374"/>
      <c r="U28" s="374"/>
      <c r="V28" s="374"/>
      <c r="W28" s="374"/>
      <c r="X28" s="374"/>
      <c r="Y28" s="374"/>
      <c r="Z28" s="374"/>
      <c r="AA28" s="374"/>
      <c r="AB28" s="374"/>
      <c r="AC28" s="374"/>
      <c r="AD28" s="374"/>
      <c r="AE28" s="374"/>
      <c r="AF28" s="374">
        <f t="shared" si="18"/>
        <v>-280524.26</v>
      </c>
    </row>
    <row r="29" spans="1:32" ht="14" x14ac:dyDescent="0.3">
      <c r="A29" s="151">
        <f>IF(C29&lt;&gt;"",COUNTA($C$12:C29),"")</f>
        <v>16</v>
      </c>
      <c r="B29" s="151" t="s">
        <v>554</v>
      </c>
      <c r="C29" s="409">
        <v>788</v>
      </c>
      <c r="D29" s="409">
        <f t="shared" si="19"/>
        <v>354600</v>
      </c>
      <c r="E29" s="372">
        <f t="shared" si="10"/>
        <v>17647.689999999999</v>
      </c>
      <c r="F29" s="372">
        <f t="shared" si="11"/>
        <v>43495.24</v>
      </c>
      <c r="G29" s="372">
        <f t="shared" si="12"/>
        <v>61142.929999999993</v>
      </c>
      <c r="H29" s="373"/>
      <c r="I29" s="372">
        <f t="shared" si="13"/>
        <v>17109.28</v>
      </c>
      <c r="J29" s="372">
        <f t="shared" si="14"/>
        <v>57260.81</v>
      </c>
      <c r="K29" s="372">
        <f t="shared" si="15"/>
        <v>74370.09</v>
      </c>
      <c r="L29" s="374"/>
      <c r="M29" s="375">
        <f t="shared" si="16"/>
        <v>13227.160000000003</v>
      </c>
      <c r="N29" s="376">
        <f t="shared" si="17"/>
        <v>0.21633179829622173</v>
      </c>
      <c r="O29" s="374"/>
      <c r="P29" s="374"/>
      <c r="Q29" s="374"/>
      <c r="R29" s="374"/>
      <c r="S29" s="374"/>
      <c r="T29" s="374"/>
      <c r="U29" s="374"/>
      <c r="V29" s="374"/>
      <c r="W29" s="374"/>
      <c r="X29" s="374"/>
      <c r="Y29" s="374"/>
      <c r="Z29" s="374"/>
      <c r="AA29" s="374"/>
      <c r="AB29" s="374"/>
      <c r="AC29" s="374"/>
      <c r="AD29" s="374"/>
      <c r="AE29" s="374"/>
      <c r="AF29" s="374">
        <f t="shared" si="18"/>
        <v>-74370.09</v>
      </c>
    </row>
    <row r="30" spans="1:32" ht="14" x14ac:dyDescent="0.3">
      <c r="A30" s="151" t="str">
        <f>IF(C30&lt;&gt;"",COUNTA($C$12:C30),"")</f>
        <v/>
      </c>
      <c r="B30" s="151"/>
      <c r="C30" s="493"/>
      <c r="D30" s="493"/>
      <c r="E30" s="489"/>
      <c r="F30" s="489"/>
      <c r="G30" s="489"/>
      <c r="H30" s="494"/>
      <c r="I30" s="489"/>
      <c r="J30" s="489"/>
      <c r="K30" s="489"/>
      <c r="L30" s="495"/>
      <c r="M30" s="497"/>
      <c r="N30" s="519"/>
    </row>
    <row r="31" spans="1:32" ht="14" x14ac:dyDescent="0.3">
      <c r="A31" s="151">
        <f>IF(C31&lt;&gt;"",COUNTA($C$12:C31),"")</f>
        <v>17</v>
      </c>
      <c r="B31" s="151"/>
      <c r="C31" s="496" t="s">
        <v>583</v>
      </c>
      <c r="D31" s="293"/>
      <c r="E31" s="448"/>
      <c r="F31" s="448"/>
      <c r="G31" s="448"/>
      <c r="H31" s="448"/>
      <c r="I31" s="374"/>
      <c r="J31" s="374"/>
      <c r="K31" s="374"/>
      <c r="L31" s="374"/>
      <c r="M31" s="374"/>
      <c r="N31" s="369"/>
    </row>
    <row r="32" spans="1:32" ht="14" x14ac:dyDescent="0.3">
      <c r="A32" s="151">
        <f>IF(C32&lt;&gt;"",COUNTA($C$12:C32),"")</f>
        <v>18</v>
      </c>
      <c r="B32" s="151"/>
      <c r="C32" s="409">
        <f>+C24</f>
        <v>500</v>
      </c>
      <c r="D32" s="409">
        <f>+C32*550</f>
        <v>275000</v>
      </c>
      <c r="E32" s="372">
        <f t="shared" ref="E32:E37" si="20">ROUND($G$42+$C32*SUM($G$43,$G$44)+$D32*$G$45*$E$69+$D32*$G$46*$E$70+$D32*$G$47*$E$71+SUM($G$48:$G$62,$G$63:$G$66)*$D32,2)</f>
        <v>12884.93</v>
      </c>
      <c r="F32" s="372">
        <f t="shared" ref="F32:F37" si="21">ROUND($G$67*$D32,2)</f>
        <v>33731.5</v>
      </c>
      <c r="G32" s="372">
        <f t="shared" ref="G32:G37" si="22">SUM(E32:F32)</f>
        <v>46616.43</v>
      </c>
      <c r="H32" s="373"/>
      <c r="I32" s="372">
        <f t="shared" ref="I32:I37" si="23">ROUND($I$42+$C32*SUM($I$43,$I$44)+$D32*$I$45*$E$69+$D32*$I$46*$E$70+$D32*$I$47*$E$71+SUM($I$48:$I$62,$I$63:$I$66)*$D32,2)</f>
        <v>12579.61</v>
      </c>
      <c r="J32" s="372">
        <f t="shared" ref="J32:J37" si="24">ROUND($I$67*$D32,2)</f>
        <v>44407</v>
      </c>
      <c r="K32" s="372">
        <f t="shared" ref="K32:K37" si="25">SUM(I32:J32)</f>
        <v>56986.61</v>
      </c>
      <c r="L32" s="374"/>
      <c r="M32" s="375">
        <f t="shared" ref="M32:M37" si="26">+K32-G32</f>
        <v>10370.18</v>
      </c>
      <c r="N32" s="376">
        <f t="shared" ref="N32:N37" si="27">+M32/G32</f>
        <v>0.22245761848344028</v>
      </c>
      <c r="O32" s="374"/>
      <c r="P32" s="374"/>
      <c r="Q32" s="374"/>
      <c r="R32" s="374"/>
      <c r="S32" s="374"/>
      <c r="T32" s="374"/>
      <c r="U32" s="374"/>
      <c r="V32" s="374"/>
      <c r="W32" s="374"/>
      <c r="X32" s="374"/>
      <c r="Y32" s="374"/>
      <c r="Z32" s="374"/>
      <c r="AA32" s="374"/>
      <c r="AB32" s="374"/>
      <c r="AC32" s="374"/>
      <c r="AD32" s="374"/>
      <c r="AE32" s="374"/>
      <c r="AF32" s="374">
        <f t="shared" ref="AF32:AF37" si="28">+AE32-K32</f>
        <v>-56986.61</v>
      </c>
    </row>
    <row r="33" spans="1:32" ht="14" x14ac:dyDescent="0.3">
      <c r="A33" s="151">
        <f>IF(C33&lt;&gt;"",COUNTA($C$12:C33),"")</f>
        <v>19</v>
      </c>
      <c r="B33" s="151"/>
      <c r="C33" s="409">
        <f>+C25</f>
        <v>750</v>
      </c>
      <c r="D33" s="409">
        <f t="shared" ref="D33:D37" si="29">+C33*550</f>
        <v>412500</v>
      </c>
      <c r="E33" s="372">
        <f t="shared" si="20"/>
        <v>18862.400000000001</v>
      </c>
      <c r="F33" s="372">
        <f t="shared" si="21"/>
        <v>50597.25</v>
      </c>
      <c r="G33" s="372">
        <f t="shared" si="22"/>
        <v>69459.649999999994</v>
      </c>
      <c r="H33" s="373"/>
      <c r="I33" s="372">
        <f t="shared" si="23"/>
        <v>18404.41</v>
      </c>
      <c r="J33" s="372">
        <f t="shared" si="24"/>
        <v>66610.5</v>
      </c>
      <c r="K33" s="372">
        <f t="shared" si="25"/>
        <v>85014.91</v>
      </c>
      <c r="L33" s="374"/>
      <c r="M33" s="375">
        <f t="shared" si="26"/>
        <v>15555.260000000009</v>
      </c>
      <c r="N33" s="376">
        <f t="shared" si="27"/>
        <v>0.22394670862867883</v>
      </c>
      <c r="O33" s="374"/>
      <c r="P33" s="374"/>
      <c r="Q33" s="374"/>
      <c r="R33" s="374"/>
      <c r="S33" s="374"/>
      <c r="T33" s="374"/>
      <c r="U33" s="374"/>
      <c r="V33" s="374"/>
      <c r="W33" s="374"/>
      <c r="X33" s="374"/>
      <c r="Y33" s="374"/>
      <c r="Z33" s="374"/>
      <c r="AA33" s="374"/>
      <c r="AB33" s="374"/>
      <c r="AC33" s="374"/>
      <c r="AD33" s="374"/>
      <c r="AE33" s="374"/>
      <c r="AF33" s="374">
        <f t="shared" si="28"/>
        <v>-85014.91</v>
      </c>
    </row>
    <row r="34" spans="1:32" ht="14" x14ac:dyDescent="0.3">
      <c r="A34" s="151">
        <f>IF(C34&lt;&gt;"",COUNTA($C$12:C34),"")</f>
        <v>20</v>
      </c>
      <c r="B34" s="151"/>
      <c r="C34" s="409">
        <f>+C26</f>
        <v>1000</v>
      </c>
      <c r="D34" s="409">
        <f t="shared" si="29"/>
        <v>550000</v>
      </c>
      <c r="E34" s="372">
        <f t="shared" si="20"/>
        <v>24839.86</v>
      </c>
      <c r="F34" s="372">
        <f t="shared" si="21"/>
        <v>67463</v>
      </c>
      <c r="G34" s="372">
        <f t="shared" si="22"/>
        <v>92302.86</v>
      </c>
      <c r="H34" s="373"/>
      <c r="I34" s="372">
        <f t="shared" si="23"/>
        <v>24229.22</v>
      </c>
      <c r="J34" s="372">
        <f t="shared" si="24"/>
        <v>88814</v>
      </c>
      <c r="K34" s="372">
        <f t="shared" si="25"/>
        <v>113043.22</v>
      </c>
      <c r="L34" s="374"/>
      <c r="M34" s="375">
        <f t="shared" si="26"/>
        <v>20740.36</v>
      </c>
      <c r="N34" s="376">
        <f t="shared" si="27"/>
        <v>0.22469899632579099</v>
      </c>
      <c r="O34" s="374"/>
      <c r="P34" s="374"/>
      <c r="Q34" s="374"/>
      <c r="R34" s="374"/>
      <c r="S34" s="374"/>
      <c r="T34" s="374"/>
      <c r="U34" s="374"/>
      <c r="V34" s="374"/>
      <c r="W34" s="374"/>
      <c r="X34" s="374"/>
      <c r="Y34" s="374"/>
      <c r="Z34" s="374"/>
      <c r="AA34" s="374"/>
      <c r="AB34" s="374"/>
      <c r="AC34" s="374"/>
      <c r="AD34" s="374"/>
      <c r="AE34" s="374"/>
      <c r="AF34" s="374">
        <f t="shared" si="28"/>
        <v>-113043.22</v>
      </c>
    </row>
    <row r="35" spans="1:32" ht="14" x14ac:dyDescent="0.3">
      <c r="A35" s="151">
        <f>IF(C35&lt;&gt;"",COUNTA($C$12:C35),"")</f>
        <v>21</v>
      </c>
      <c r="B35" s="151"/>
      <c r="C35" s="409">
        <f>+C27</f>
        <v>2000</v>
      </c>
      <c r="D35" s="409">
        <f t="shared" si="29"/>
        <v>1100000</v>
      </c>
      <c r="E35" s="372">
        <f t="shared" si="20"/>
        <v>48749.72</v>
      </c>
      <c r="F35" s="372">
        <f t="shared" si="21"/>
        <v>134926</v>
      </c>
      <c r="G35" s="372">
        <f t="shared" si="22"/>
        <v>183675.72</v>
      </c>
      <c r="H35" s="373"/>
      <c r="I35" s="372">
        <f t="shared" si="23"/>
        <v>47528.43</v>
      </c>
      <c r="J35" s="372">
        <f t="shared" si="24"/>
        <v>177628</v>
      </c>
      <c r="K35" s="372">
        <f t="shared" si="25"/>
        <v>225156.43</v>
      </c>
      <c r="L35" s="374"/>
      <c r="M35" s="375">
        <f t="shared" si="26"/>
        <v>41480.709999999992</v>
      </c>
      <c r="N35" s="376">
        <f t="shared" si="27"/>
        <v>0.22583665385931245</v>
      </c>
      <c r="O35" s="374"/>
      <c r="P35" s="374"/>
      <c r="Q35" s="374"/>
      <c r="R35" s="374"/>
      <c r="S35" s="374"/>
      <c r="T35" s="374"/>
      <c r="U35" s="374"/>
      <c r="V35" s="374"/>
      <c r="W35" s="374"/>
      <c r="X35" s="374"/>
      <c r="Y35" s="374"/>
      <c r="Z35" s="374"/>
      <c r="AA35" s="374"/>
      <c r="AB35" s="374"/>
      <c r="AC35" s="374"/>
      <c r="AD35" s="374"/>
      <c r="AE35" s="374"/>
      <c r="AF35" s="374">
        <f t="shared" si="28"/>
        <v>-225156.43</v>
      </c>
    </row>
    <row r="36" spans="1:32" ht="14" x14ac:dyDescent="0.3">
      <c r="A36" s="151">
        <f>IF(C36&lt;&gt;"",COUNTA($C$12:C36),"")</f>
        <v>22</v>
      </c>
      <c r="B36" s="151"/>
      <c r="C36" s="409">
        <f>+C28</f>
        <v>3000</v>
      </c>
      <c r="D36" s="409">
        <f t="shared" si="29"/>
        <v>1650000</v>
      </c>
      <c r="E36" s="372">
        <f t="shared" si="20"/>
        <v>72659.58</v>
      </c>
      <c r="F36" s="372">
        <f t="shared" si="21"/>
        <v>202389</v>
      </c>
      <c r="G36" s="372">
        <f t="shared" si="22"/>
        <v>275048.58</v>
      </c>
      <c r="H36" s="373"/>
      <c r="I36" s="372">
        <f t="shared" si="23"/>
        <v>70827.649999999994</v>
      </c>
      <c r="J36" s="372">
        <f t="shared" si="24"/>
        <v>266442</v>
      </c>
      <c r="K36" s="372">
        <f t="shared" si="25"/>
        <v>337269.65</v>
      </c>
      <c r="L36" s="374"/>
      <c r="M36" s="375">
        <f t="shared" si="26"/>
        <v>62221.070000000007</v>
      </c>
      <c r="N36" s="376">
        <f t="shared" si="27"/>
        <v>0.22621847384196639</v>
      </c>
      <c r="O36" s="374"/>
      <c r="P36" s="374"/>
      <c r="Q36" s="374"/>
      <c r="R36" s="374"/>
      <c r="S36" s="374"/>
      <c r="T36" s="374"/>
      <c r="U36" s="374"/>
      <c r="V36" s="374"/>
      <c r="W36" s="374"/>
      <c r="X36" s="374"/>
      <c r="Y36" s="374"/>
      <c r="Z36" s="374"/>
      <c r="AA36" s="374"/>
      <c r="AB36" s="374"/>
      <c r="AC36" s="374"/>
      <c r="AD36" s="374"/>
      <c r="AE36" s="374"/>
      <c r="AF36" s="374">
        <f t="shared" si="28"/>
        <v>-337269.65</v>
      </c>
    </row>
    <row r="37" spans="1:32" ht="14" x14ac:dyDescent="0.3">
      <c r="A37" s="151">
        <f>IF(C37&lt;&gt;"",COUNTA($C$12:C37),"")</f>
        <v>23</v>
      </c>
      <c r="B37" s="151" t="s">
        <v>554</v>
      </c>
      <c r="C37" s="409">
        <v>1118</v>
      </c>
      <c r="D37" s="409">
        <f t="shared" si="29"/>
        <v>614900</v>
      </c>
      <c r="E37" s="372">
        <f t="shared" si="20"/>
        <v>27661.22</v>
      </c>
      <c r="F37" s="372">
        <f t="shared" si="21"/>
        <v>75423.63</v>
      </c>
      <c r="G37" s="372">
        <f t="shared" si="22"/>
        <v>103084.85</v>
      </c>
      <c r="H37" s="373"/>
      <c r="I37" s="372">
        <f t="shared" si="23"/>
        <v>26978.52</v>
      </c>
      <c r="J37" s="372">
        <f t="shared" si="24"/>
        <v>99294.05</v>
      </c>
      <c r="K37" s="372">
        <f t="shared" si="25"/>
        <v>126272.57</v>
      </c>
      <c r="L37" s="374"/>
      <c r="M37" s="375">
        <f t="shared" si="26"/>
        <v>23187.72</v>
      </c>
      <c r="N37" s="376">
        <f t="shared" si="27"/>
        <v>0.2249381941187284</v>
      </c>
      <c r="O37" s="374"/>
      <c r="P37" s="374"/>
      <c r="Q37" s="374"/>
      <c r="R37" s="374"/>
      <c r="S37" s="374"/>
      <c r="T37" s="374"/>
      <c r="U37" s="374"/>
      <c r="V37" s="374"/>
      <c r="W37" s="374"/>
      <c r="X37" s="374"/>
      <c r="Y37" s="374"/>
      <c r="Z37" s="374"/>
      <c r="AA37" s="374"/>
      <c r="AB37" s="374"/>
      <c r="AC37" s="374"/>
      <c r="AD37" s="374"/>
      <c r="AE37" s="374"/>
      <c r="AF37" s="374">
        <f t="shared" si="28"/>
        <v>-126272.57</v>
      </c>
    </row>
    <row r="38" spans="1:32" ht="14" x14ac:dyDescent="0.3">
      <c r="A38" s="151" t="str">
        <f>IF(C38&lt;&gt;"",COUNTA($C$12:C38),"")</f>
        <v/>
      </c>
      <c r="B38" s="151"/>
      <c r="C38" s="488"/>
      <c r="D38" s="488"/>
      <c r="E38" s="489"/>
      <c r="F38" s="489"/>
      <c r="G38" s="489"/>
      <c r="H38" s="494"/>
      <c r="I38" s="489"/>
      <c r="J38" s="489"/>
      <c r="K38" s="489"/>
      <c r="L38" s="495"/>
      <c r="M38" s="497"/>
      <c r="N38" s="519"/>
    </row>
    <row r="39" spans="1:32" ht="14" x14ac:dyDescent="0.3">
      <c r="A39" s="151" t="str">
        <f>IF(C39&lt;&gt;"",COUNTA($C$12:C39),"")</f>
        <v/>
      </c>
      <c r="B39" s="151"/>
      <c r="C39" s="488"/>
      <c r="D39" s="488"/>
      <c r="E39" s="489"/>
      <c r="F39" s="489"/>
      <c r="G39" s="490"/>
      <c r="H39" s="491"/>
      <c r="I39" s="489"/>
      <c r="J39" s="489"/>
      <c r="K39" s="489"/>
      <c r="L39" s="415"/>
      <c r="M39" s="523"/>
      <c r="N39" s="519"/>
    </row>
    <row r="40" spans="1:32" ht="14" x14ac:dyDescent="0.3">
      <c r="A40" s="151">
        <f>IF(C40&lt;&gt;"",COUNTA($C$12:C40),"")</f>
        <v>24</v>
      </c>
      <c r="B40" s="151"/>
      <c r="C40" s="293" t="s">
        <v>46</v>
      </c>
      <c r="D40" s="293"/>
      <c r="E40" s="293"/>
      <c r="G40" s="395" t="str">
        <f>+'Bill_South G2'!G40</f>
        <v>Current</v>
      </c>
      <c r="H40" s="395"/>
      <c r="I40" s="395" t="str">
        <f>+'Bill_South G2'!I40</f>
        <v>Proposed</v>
      </c>
      <c r="J40" s="420"/>
      <c r="K40" s="447"/>
    </row>
    <row r="41" spans="1:32" ht="17" x14ac:dyDescent="0.6">
      <c r="A41" s="151">
        <f>IF(C41&lt;&gt;"",COUNTA($C$12:C41),"")</f>
        <v>25</v>
      </c>
      <c r="B41" s="151"/>
      <c r="C41" s="274" t="s">
        <v>46</v>
      </c>
      <c r="D41" s="274"/>
      <c r="E41" s="293"/>
      <c r="G41" s="396" t="str">
        <f>+'Bill_South G2'!G41</f>
        <v>Rates</v>
      </c>
      <c r="H41" s="396"/>
      <c r="I41" s="396" t="str">
        <f>+'Bill_South G2'!I41</f>
        <v>Rates</v>
      </c>
      <c r="J41" s="396" t="str">
        <f>+'Bill_South G2'!J41</f>
        <v>Change</v>
      </c>
      <c r="K41" s="447"/>
    </row>
    <row r="42" spans="1:32" ht="14" x14ac:dyDescent="0.3">
      <c r="A42" s="151">
        <f>IF(C42&lt;&gt;"",COUNTA($C$12:C42),"")</f>
        <v>26</v>
      </c>
      <c r="B42" s="151"/>
      <c r="C42" s="293" t="s">
        <v>296</v>
      </c>
      <c r="D42" s="293"/>
      <c r="E42" s="274"/>
      <c r="G42" s="454">
        <v>930</v>
      </c>
      <c r="H42" s="455" t="s">
        <v>46</v>
      </c>
      <c r="I42" s="454">
        <f>G42</f>
        <v>930</v>
      </c>
      <c r="J42" s="421">
        <f>+I42-G42</f>
        <v>0</v>
      </c>
      <c r="K42" s="502"/>
      <c r="L42" s="374"/>
      <c r="M42" s="374"/>
      <c r="N42" s="374"/>
    </row>
    <row r="43" spans="1:32" ht="14" x14ac:dyDescent="0.3">
      <c r="A43" s="151">
        <f>IF(C43&lt;&gt;"",COUNTA($C$12:C43),"")</f>
        <v>27</v>
      </c>
      <c r="B43" s="151"/>
      <c r="C43" s="232" t="s">
        <v>422</v>
      </c>
      <c r="D43" s="293"/>
      <c r="E43" s="274"/>
      <c r="G43" s="454">
        <v>0.87</v>
      </c>
      <c r="H43" s="455"/>
      <c r="I43" s="454">
        <v>0.9</v>
      </c>
      <c r="J43" s="421">
        <f t="shared" ref="J43:J67" si="30">+I43-G43</f>
        <v>3.0000000000000027E-2</v>
      </c>
      <c r="K43" s="502"/>
      <c r="L43" s="374"/>
      <c r="M43" s="374"/>
      <c r="N43" s="374"/>
    </row>
    <row r="44" spans="1:32" ht="14" x14ac:dyDescent="0.3">
      <c r="A44" s="151">
        <f>IF(C44&lt;&gt;"",COUNTA($C$12:C44),"")</f>
        <v>28</v>
      </c>
      <c r="B44" s="151"/>
      <c r="C44" s="293" t="str">
        <f>+'Bill_South G2'!C44</f>
        <v>Transmission Demand</v>
      </c>
      <c r="D44" s="293"/>
      <c r="E44" s="274"/>
      <c r="G44" s="454">
        <v>8.2200000000000006</v>
      </c>
      <c r="H44" s="448"/>
      <c r="I44" s="454">
        <v>7.18</v>
      </c>
      <c r="J44" s="421">
        <f>+I44-G44</f>
        <v>-1.0400000000000009</v>
      </c>
      <c r="K44" s="502"/>
      <c r="L44" s="374"/>
      <c r="M44" s="374"/>
      <c r="N44" s="374"/>
    </row>
    <row r="45" spans="1:32" ht="14" x14ac:dyDescent="0.3">
      <c r="A45" s="151">
        <f>IF(C45&lt;&gt;"",COUNTA($C$12:C45),"")</f>
        <v>29</v>
      </c>
      <c r="B45" s="151"/>
      <c r="C45" s="293" t="s">
        <v>449</v>
      </c>
      <c r="D45" s="293"/>
      <c r="E45" s="274"/>
      <c r="G45" s="308">
        <v>1.242E-2</v>
      </c>
      <c r="H45" s="484"/>
      <c r="I45" s="308">
        <v>1.291E-2</v>
      </c>
      <c r="J45" s="354">
        <f t="shared" si="30"/>
        <v>4.8999999999999912E-4</v>
      </c>
      <c r="K45" s="502"/>
      <c r="L45" s="374"/>
      <c r="M45" s="374"/>
      <c r="N45" s="374"/>
    </row>
    <row r="46" spans="1:32" ht="14" x14ac:dyDescent="0.3">
      <c r="A46" s="151">
        <f>IF(C46&lt;&gt;"",COUNTA($C$12:C46),"")</f>
        <v>30</v>
      </c>
      <c r="B46" s="151"/>
      <c r="C46" s="293" t="s">
        <v>498</v>
      </c>
      <c r="D46" s="293"/>
      <c r="E46" s="274"/>
      <c r="G46" s="308">
        <v>1.142E-2</v>
      </c>
      <c r="H46" s="484"/>
      <c r="I46" s="308">
        <v>1.188E-2</v>
      </c>
      <c r="J46" s="354">
        <f t="shared" si="30"/>
        <v>4.6000000000000034E-4</v>
      </c>
      <c r="K46" s="502"/>
      <c r="L46" s="374"/>
      <c r="M46" s="374"/>
      <c r="N46" s="374"/>
    </row>
    <row r="47" spans="1:32" ht="14" x14ac:dyDescent="0.3">
      <c r="A47" s="151">
        <f>IF(C47&lt;&gt;"",COUNTA($C$12:C47),"")</f>
        <v>31</v>
      </c>
      <c r="B47" s="151"/>
      <c r="C47" s="293" t="s">
        <v>499</v>
      </c>
      <c r="D47" s="293"/>
      <c r="E47" s="274"/>
      <c r="G47" s="308">
        <v>7.9100000000000004E-3</v>
      </c>
      <c r="H47" s="484"/>
      <c r="I47" s="308">
        <v>8.2199999999999999E-3</v>
      </c>
      <c r="J47" s="354">
        <f t="shared" si="30"/>
        <v>3.0999999999999951E-4</v>
      </c>
      <c r="K47" s="502"/>
      <c r="L47" s="374"/>
      <c r="M47" s="374"/>
      <c r="N47" s="374"/>
    </row>
    <row r="48" spans="1:32" ht="14" x14ac:dyDescent="0.3">
      <c r="A48" s="151">
        <f>IF(C48&lt;&gt;"",COUNTA($C$12:C48),"")</f>
        <v>32</v>
      </c>
      <c r="B48" s="151"/>
      <c r="C48" s="293" t="str">
        <f>+'Bill_South G2'!C48</f>
        <v>Revenue Decoupling</v>
      </c>
      <c r="D48" s="293"/>
      <c r="E48" s="274"/>
      <c r="G48" s="277">
        <v>0</v>
      </c>
      <c r="H48" s="400"/>
      <c r="I48" s="277">
        <v>-1.4999999999999999E-4</v>
      </c>
      <c r="J48" s="354">
        <f t="shared" si="30"/>
        <v>-1.4999999999999999E-4</v>
      </c>
      <c r="K48" s="502"/>
      <c r="L48" s="374"/>
      <c r="M48" s="374"/>
      <c r="N48" s="374"/>
    </row>
    <row r="49" spans="1:14" ht="14" x14ac:dyDescent="0.3">
      <c r="A49" s="151">
        <f>IF(C49&lt;&gt;"",COUNTA($C$12:C49),"")</f>
        <v>33</v>
      </c>
      <c r="B49" s="151"/>
      <c r="C49" s="293" t="str">
        <f>+'Bill_South G2'!C49</f>
        <v>Residential Assistance Adjustment Factor</v>
      </c>
      <c r="D49" s="293"/>
      <c r="E49" s="274"/>
      <c r="G49" s="277">
        <v>9.1E-4</v>
      </c>
      <c r="H49" s="400"/>
      <c r="I49" s="277">
        <v>1.24E-3</v>
      </c>
      <c r="J49" s="354">
        <f t="shared" si="30"/>
        <v>3.3E-4</v>
      </c>
      <c r="K49" s="502"/>
      <c r="L49" s="374"/>
      <c r="M49" s="374"/>
      <c r="N49" s="374"/>
    </row>
    <row r="50" spans="1:14" ht="14" x14ac:dyDescent="0.3">
      <c r="A50" s="151">
        <f>IF(C50&lt;&gt;"",COUNTA($C$12:C50),"")</f>
        <v>34</v>
      </c>
      <c r="B50" s="151"/>
      <c r="C50" s="293" t="str">
        <f>+'Bill_South G2'!C50</f>
        <v>Pension Adjustment Factor</v>
      </c>
      <c r="D50" s="293"/>
      <c r="E50" s="274"/>
      <c r="G50" s="277">
        <v>-4.0000000000000003E-5</v>
      </c>
      <c r="H50" s="400"/>
      <c r="I50" s="277">
        <v>3.3E-4</v>
      </c>
      <c r="J50" s="354">
        <f t="shared" si="30"/>
        <v>3.6999999999999999E-4</v>
      </c>
      <c r="K50" s="502"/>
      <c r="L50" s="374"/>
      <c r="M50" s="374"/>
      <c r="N50" s="374"/>
    </row>
    <row r="51" spans="1:14" ht="14" x14ac:dyDescent="0.3">
      <c r="A51" s="151">
        <f>IF(C51&lt;&gt;"",COUNTA($C$12:C51),"")</f>
        <v>35</v>
      </c>
      <c r="B51" s="151"/>
      <c r="C51" s="293" t="str">
        <f>+'Bill_South G2'!C51</f>
        <v>Net Metering Recovery Surcharge</v>
      </c>
      <c r="D51" s="293"/>
      <c r="E51" s="274"/>
      <c r="G51" s="277">
        <v>1.8E-3</v>
      </c>
      <c r="H51" s="400"/>
      <c r="I51" s="277">
        <v>1.6100000000000001E-3</v>
      </c>
      <c r="J51" s="354">
        <f t="shared" si="30"/>
        <v>-1.8999999999999985E-4</v>
      </c>
      <c r="K51" s="502"/>
      <c r="L51" s="374"/>
      <c r="M51" s="374"/>
      <c r="N51" s="374"/>
    </row>
    <row r="52" spans="1:14" ht="14" x14ac:dyDescent="0.3">
      <c r="A52" s="151">
        <f>IF(C52&lt;&gt;"",COUNTA($C$12:C52),"")</f>
        <v>36</v>
      </c>
      <c r="B52" s="151"/>
      <c r="C52" s="293" t="str">
        <f>+'Bill_South G2'!C52</f>
        <v>Long Term Renewable Contract Adjustment</v>
      </c>
      <c r="D52" s="293"/>
      <c r="E52" s="274"/>
      <c r="G52" s="277">
        <v>2.3600000000000001E-3</v>
      </c>
      <c r="H52" s="400"/>
      <c r="I52" s="277">
        <v>1.74E-3</v>
      </c>
      <c r="J52" s="354">
        <f t="shared" si="30"/>
        <v>-6.2000000000000011E-4</v>
      </c>
      <c r="K52" s="502"/>
      <c r="L52" s="374"/>
      <c r="M52" s="374"/>
      <c r="N52" s="374"/>
    </row>
    <row r="53" spans="1:14" ht="14" x14ac:dyDescent="0.3">
      <c r="A53" s="151">
        <f>IF(C53&lt;&gt;"",COUNTA($C$12:C53),"")</f>
        <v>37</v>
      </c>
      <c r="B53" s="151"/>
      <c r="C53" s="293" t="str">
        <f>+'Bill_South G2'!C53</f>
        <v>AG Consulting Expense</v>
      </c>
      <c r="D53" s="293"/>
      <c r="E53" s="274"/>
      <c r="G53" s="277">
        <v>1.0000000000000001E-5</v>
      </c>
      <c r="H53" s="400"/>
      <c r="I53" s="277">
        <v>0</v>
      </c>
      <c r="J53" s="354">
        <f t="shared" si="30"/>
        <v>-1.0000000000000001E-5</v>
      </c>
      <c r="K53" s="502"/>
      <c r="L53" s="374"/>
      <c r="M53" s="374"/>
      <c r="N53" s="374"/>
    </row>
    <row r="54" spans="1:14" ht="14" x14ac:dyDescent="0.3">
      <c r="A54" s="151">
        <f>IF(C54&lt;&gt;"",COUNTA($C$12:C54),"")</f>
        <v>38</v>
      </c>
      <c r="B54" s="151"/>
      <c r="C54" s="293" t="str">
        <f>+'Bill_South G2'!C54</f>
        <v>Storm Cost Recovery Adjustment Factor</v>
      </c>
      <c r="D54" s="293"/>
      <c r="E54" s="274"/>
      <c r="G54" s="277">
        <v>5.5999999999999995E-4</v>
      </c>
      <c r="H54" s="400"/>
      <c r="I54" s="277">
        <v>9.3999999999999997E-4</v>
      </c>
      <c r="J54" s="354">
        <f t="shared" si="30"/>
        <v>3.8000000000000002E-4</v>
      </c>
      <c r="K54" s="502"/>
      <c r="L54" s="374"/>
      <c r="M54" s="374"/>
      <c r="N54" s="374"/>
    </row>
    <row r="55" spans="1:14" ht="14" x14ac:dyDescent="0.3">
      <c r="A55" s="151">
        <f>IF(C55&lt;&gt;"",COUNTA($C$12:C55),"")</f>
        <v>39</v>
      </c>
      <c r="B55" s="151"/>
      <c r="C55" s="293" t="str">
        <f>+'Bill_South G2'!C55</f>
        <v>Storm Reserve Adjustment</v>
      </c>
      <c r="D55" s="293"/>
      <c r="E55" s="274"/>
      <c r="G55" s="277">
        <v>0</v>
      </c>
      <c r="H55" s="400"/>
      <c r="I55" s="277">
        <v>0</v>
      </c>
      <c r="J55" s="354">
        <f t="shared" si="30"/>
        <v>0</v>
      </c>
      <c r="K55" s="502"/>
      <c r="L55" s="374"/>
      <c r="M55" s="374"/>
      <c r="N55" s="374"/>
    </row>
    <row r="56" spans="1:14" ht="14" x14ac:dyDescent="0.3">
      <c r="A56" s="151">
        <f>IF(C56&lt;&gt;"",COUNTA($C$12:C56),"")</f>
        <v>40</v>
      </c>
      <c r="B56" s="151"/>
      <c r="C56" s="293" t="str">
        <f>+'Bill_South G2'!C56</f>
        <v>Basic Service Cost True Up Factor</v>
      </c>
      <c r="G56" s="277">
        <v>4.8999999999999998E-4</v>
      </c>
      <c r="H56" s="400"/>
      <c r="I56" s="277">
        <v>-6.0000000000000002E-5</v>
      </c>
      <c r="J56" s="354">
        <f t="shared" si="30"/>
        <v>-5.5000000000000003E-4</v>
      </c>
      <c r="K56" s="502"/>
      <c r="L56" s="374"/>
      <c r="M56" s="374"/>
      <c r="N56" s="374"/>
    </row>
    <row r="57" spans="1:14" ht="14" x14ac:dyDescent="0.3">
      <c r="A57" s="151">
        <f>IF(C57&lt;&gt;"",COUNTA($C$12:C57),"")</f>
        <v>41</v>
      </c>
      <c r="B57" s="151"/>
      <c r="C57" s="293" t="str">
        <f>+'Bill_South G2'!C57</f>
        <v>Solar Program Cost Adjustment Factor</v>
      </c>
      <c r="D57" s="293"/>
      <c r="E57" s="274"/>
      <c r="G57" s="277">
        <v>0</v>
      </c>
      <c r="H57" s="400"/>
      <c r="I57" s="277">
        <v>1.0000000000000001E-5</v>
      </c>
      <c r="J57" s="354">
        <f t="shared" si="30"/>
        <v>1.0000000000000001E-5</v>
      </c>
      <c r="K57" s="502"/>
      <c r="L57" s="374"/>
      <c r="M57" s="374"/>
      <c r="N57" s="374"/>
    </row>
    <row r="58" spans="1:14" ht="14" x14ac:dyDescent="0.3">
      <c r="A58" s="151">
        <f>IF(C58&lt;&gt;"",COUNTA($C$12:C58),"")</f>
        <v>42</v>
      </c>
      <c r="B58" s="151"/>
      <c r="C58" s="293" t="str">
        <f>+'Bill_South G2'!C58</f>
        <v>Solar Expansion Cost Recovery Factor</v>
      </c>
      <c r="D58" s="293"/>
      <c r="E58" s="274"/>
      <c r="G58" s="277">
        <v>0</v>
      </c>
      <c r="H58" s="400"/>
      <c r="I58" s="277">
        <v>1.9000000000000001E-4</v>
      </c>
      <c r="J58" s="354">
        <f t="shared" si="30"/>
        <v>1.9000000000000001E-4</v>
      </c>
      <c r="K58" s="502"/>
      <c r="L58" s="374"/>
      <c r="M58" s="374"/>
      <c r="N58" s="374"/>
    </row>
    <row r="59" spans="1:14" ht="14" x14ac:dyDescent="0.3">
      <c r="A59" s="151">
        <f>IF(C59&lt;&gt;"",COUNTA($C$12:C59),"")</f>
        <v>43</v>
      </c>
      <c r="B59" s="151"/>
      <c r="C59" s="293" t="str">
        <f>+'Bill_South G2'!C59</f>
        <v>Vegetation Management</v>
      </c>
      <c r="D59" s="293"/>
      <c r="E59" s="274"/>
      <c r="G59" s="277">
        <v>0</v>
      </c>
      <c r="H59" s="400"/>
      <c r="I59" s="277">
        <v>5.9000000000000003E-4</v>
      </c>
      <c r="J59" s="354">
        <f t="shared" si="30"/>
        <v>5.9000000000000003E-4</v>
      </c>
      <c r="K59" s="502"/>
      <c r="L59" s="374"/>
      <c r="M59" s="374"/>
      <c r="N59" s="374"/>
    </row>
    <row r="60" spans="1:14" ht="14" x14ac:dyDescent="0.3">
      <c r="A60" s="151">
        <f>IF(C60&lt;&gt;"",COUNTA($C$12:C60),"")</f>
        <v>44</v>
      </c>
      <c r="B60" s="151"/>
      <c r="C60" s="293" t="str">
        <f>+'Bill_South G2'!C60</f>
        <v>Solar Massachusetts Renewable Target</v>
      </c>
      <c r="D60" s="339"/>
      <c r="E60" s="339"/>
      <c r="F60" s="277"/>
      <c r="G60" s="277">
        <v>0</v>
      </c>
      <c r="H60" s="277"/>
      <c r="I60" s="277">
        <v>2.3000000000000001E-4</v>
      </c>
      <c r="J60" s="354">
        <f t="shared" si="30"/>
        <v>2.3000000000000001E-4</v>
      </c>
      <c r="K60" s="339"/>
      <c r="L60" s="339"/>
    </row>
    <row r="61" spans="1:14" ht="14" x14ac:dyDescent="0.3">
      <c r="A61" s="151">
        <f>IF(C61&lt;&gt;"",COUNTA($C$12:C61),"")</f>
        <v>45</v>
      </c>
      <c r="B61" s="151"/>
      <c r="C61" s="293" t="str">
        <f>+'Bill_South G2'!C61</f>
        <v>Tax Act Credit Factor</v>
      </c>
      <c r="D61" s="339"/>
      <c r="E61" s="339"/>
      <c r="F61" s="277"/>
      <c r="G61" s="277">
        <v>0</v>
      </c>
      <c r="H61" s="277"/>
      <c r="I61" s="277">
        <v>-3.4000000000000002E-4</v>
      </c>
      <c r="J61" s="354">
        <f t="shared" si="30"/>
        <v>-3.4000000000000002E-4</v>
      </c>
      <c r="K61" s="339"/>
      <c r="L61" s="339"/>
    </row>
    <row r="62" spans="1:14" ht="14" x14ac:dyDescent="0.3">
      <c r="A62" s="151">
        <f>IF(C62&lt;&gt;"",COUNTA($C$12:C62),"")</f>
        <v>46</v>
      </c>
      <c r="B62" s="151"/>
      <c r="C62" s="293" t="str">
        <f>+'Bill_South G2'!C62</f>
        <v>Transition</v>
      </c>
      <c r="D62" s="293"/>
      <c r="E62" s="274"/>
      <c r="G62" s="277">
        <v>-6.0999999999999997E-4</v>
      </c>
      <c r="H62" s="400"/>
      <c r="I62" s="277">
        <v>-5.1999999999999995E-4</v>
      </c>
      <c r="J62" s="354">
        <f t="shared" si="30"/>
        <v>9.0000000000000019E-5</v>
      </c>
      <c r="K62" s="502"/>
      <c r="L62" s="374"/>
      <c r="M62" s="374"/>
      <c r="N62" s="374"/>
    </row>
    <row r="63" spans="1:14" ht="14" x14ac:dyDescent="0.3">
      <c r="A63" s="151">
        <f>IF(C63&lt;&gt;"",COUNTA($C$12:C63),"")</f>
        <v>47</v>
      </c>
      <c r="B63" s="151"/>
      <c r="C63" s="293" t="str">
        <f>+'Bill_South G2'!C63</f>
        <v>Transmission Energy</v>
      </c>
      <c r="D63" s="293"/>
      <c r="E63" s="274"/>
      <c r="G63" s="277">
        <v>0</v>
      </c>
      <c r="H63" s="400"/>
      <c r="I63" s="277">
        <v>0</v>
      </c>
      <c r="J63" s="354">
        <f t="shared" si="30"/>
        <v>0</v>
      </c>
      <c r="K63" s="502"/>
      <c r="L63" s="374"/>
      <c r="M63" s="374"/>
      <c r="N63" s="374"/>
    </row>
    <row r="64" spans="1:14" ht="14" x14ac:dyDescent="0.3">
      <c r="A64" s="151">
        <f>IF(C64&lt;&gt;"",COUNTA($C$12:C64),"")</f>
        <v>48</v>
      </c>
      <c r="B64" s="151"/>
      <c r="C64" s="293" t="str">
        <f>+'Bill_South G2'!C64</f>
        <v>Energy Efficiency Reconciliation Factor</v>
      </c>
      <c r="D64" s="293"/>
      <c r="E64" s="274"/>
      <c r="G64" s="277">
        <v>8.4600000000000005E-3</v>
      </c>
      <c r="H64" s="400"/>
      <c r="I64" s="308">
        <v>8.4600000000000005E-3</v>
      </c>
      <c r="J64" s="354">
        <f t="shared" si="30"/>
        <v>0</v>
      </c>
      <c r="K64" s="502"/>
      <c r="L64" s="374"/>
      <c r="M64" s="374"/>
      <c r="N64" s="374"/>
    </row>
    <row r="65" spans="1:14" ht="14" x14ac:dyDescent="0.3">
      <c r="A65" s="151">
        <f>IF(C65&lt;&gt;"",COUNTA($C$12:C65),"")</f>
        <v>49</v>
      </c>
      <c r="B65" s="151"/>
      <c r="C65" s="293" t="str">
        <f>+'Bill_South G2'!C65</f>
        <v>System Benefits Charge</v>
      </c>
      <c r="D65" s="293"/>
      <c r="E65" s="274"/>
      <c r="G65" s="277">
        <v>2.5000000000000001E-3</v>
      </c>
      <c r="H65" s="400"/>
      <c r="I65" s="308">
        <f>G65</f>
        <v>2.5000000000000001E-3</v>
      </c>
      <c r="J65" s="354">
        <f t="shared" si="30"/>
        <v>0</v>
      </c>
      <c r="K65" s="502"/>
      <c r="L65" s="374"/>
      <c r="M65" s="374"/>
      <c r="N65" s="374"/>
    </row>
    <row r="66" spans="1:14" ht="14" x14ac:dyDescent="0.3">
      <c r="A66" s="151">
        <f>IF(C66&lt;&gt;"",COUNTA($C$12:C66),"")</f>
        <v>50</v>
      </c>
      <c r="B66" s="151"/>
      <c r="C66" s="293" t="str">
        <f>+'Bill_South G2'!C66</f>
        <v>Renewable Energy</v>
      </c>
      <c r="D66" s="293"/>
      <c r="E66" s="274"/>
      <c r="G66" s="277">
        <v>5.0000000000000001E-4</v>
      </c>
      <c r="H66" s="400"/>
      <c r="I66" s="308">
        <f>G66</f>
        <v>5.0000000000000001E-4</v>
      </c>
      <c r="J66" s="354">
        <f t="shared" si="30"/>
        <v>0</v>
      </c>
      <c r="K66" s="502"/>
      <c r="L66" s="374"/>
      <c r="M66" s="374"/>
      <c r="N66" s="374"/>
    </row>
    <row r="67" spans="1:14" ht="14" x14ac:dyDescent="0.3">
      <c r="A67" s="151">
        <f>IF(C67&lt;&gt;"",COUNTA($C$12:C67),"")</f>
        <v>51</v>
      </c>
      <c r="B67" s="151"/>
      <c r="C67" s="293" t="str">
        <f>+'Bill_South G2'!C67</f>
        <v>Basic Service</v>
      </c>
      <c r="D67" s="293"/>
      <c r="E67" s="274"/>
      <c r="G67" s="308">
        <v>0.12265999999999999</v>
      </c>
      <c r="H67" s="400"/>
      <c r="I67" s="308">
        <v>0.16148000000000001</v>
      </c>
      <c r="J67" s="354">
        <f t="shared" si="30"/>
        <v>3.8820000000000021E-2</v>
      </c>
      <c r="K67" s="502"/>
      <c r="L67" s="374"/>
      <c r="M67" s="374"/>
      <c r="N67" s="374"/>
    </row>
    <row r="68" spans="1:14" ht="14" x14ac:dyDescent="0.3">
      <c r="A68" s="151" t="str">
        <f>IF(C68&lt;&gt;"",COUNTA($C$12:C68),"")</f>
        <v/>
      </c>
      <c r="B68" s="151"/>
      <c r="G68" s="374"/>
      <c r="H68" s="374"/>
      <c r="I68" s="502"/>
      <c r="J68" s="517"/>
      <c r="K68" s="447"/>
    </row>
    <row r="69" spans="1:14" ht="14" x14ac:dyDescent="0.3">
      <c r="A69" s="151">
        <f>IF(C69&lt;&gt;"",COUNTA($C$12:C69),"")</f>
        <v>52</v>
      </c>
      <c r="B69" s="151"/>
      <c r="C69" s="475" t="s">
        <v>613</v>
      </c>
      <c r="E69" s="476">
        <v>0.27</v>
      </c>
      <c r="G69" s="514"/>
      <c r="H69" s="374"/>
      <c r="I69" s="524"/>
      <c r="J69" s="502"/>
      <c r="K69" s="447"/>
    </row>
    <row r="70" spans="1:14" ht="14" x14ac:dyDescent="0.3">
      <c r="A70" s="151">
        <f>IF(C70&lt;&gt;"",COUNTA($C$12:C70),"")</f>
        <v>53</v>
      </c>
      <c r="B70" s="151"/>
      <c r="C70" s="475" t="s">
        <v>614</v>
      </c>
      <c r="E70" s="476">
        <v>0.25</v>
      </c>
      <c r="G70" s="514"/>
      <c r="H70" s="374"/>
      <c r="I70" s="524"/>
      <c r="J70" s="502"/>
      <c r="K70" s="447"/>
    </row>
    <row r="71" spans="1:14" ht="14" x14ac:dyDescent="0.3">
      <c r="A71" s="151">
        <f>IF(C71&lt;&gt;"",COUNTA($C$12:C71),"")</f>
        <v>54</v>
      </c>
      <c r="B71" s="151"/>
      <c r="C71" s="475" t="s">
        <v>615</v>
      </c>
      <c r="E71" s="476">
        <v>0.48</v>
      </c>
      <c r="G71" s="514"/>
      <c r="H71" s="374"/>
      <c r="I71" s="524"/>
      <c r="J71" s="502"/>
      <c r="K71" s="447"/>
    </row>
    <row r="72" spans="1:14" ht="14" x14ac:dyDescent="0.3">
      <c r="A72" s="151" t="str">
        <f>IF(C72&lt;&gt;"",COUNTA($C$12:C72),"")</f>
        <v/>
      </c>
      <c r="B72" s="151"/>
      <c r="C72" s="405"/>
      <c r="G72" s="374"/>
      <c r="H72" s="374"/>
      <c r="I72" s="524"/>
      <c r="J72" s="502"/>
      <c r="K72" s="447"/>
    </row>
    <row r="73" spans="1:14" ht="14" x14ac:dyDescent="0.3">
      <c r="A73" s="151"/>
      <c r="B73" s="151"/>
      <c r="G73" s="374"/>
      <c r="H73" s="374"/>
      <c r="I73" s="502"/>
      <c r="J73" s="502"/>
      <c r="K73" s="447"/>
    </row>
    <row r="74" spans="1:14" ht="14" x14ac:dyDescent="0.3">
      <c r="A74" s="151"/>
      <c r="B74" s="151"/>
      <c r="C74" s="369" t="str">
        <f>+'Bill_South G2'!C74</f>
        <v>Total Demand</v>
      </c>
      <c r="G74" s="374">
        <f>+G43+G44</f>
        <v>9.09</v>
      </c>
      <c r="I74" s="374">
        <f>+I43+I44</f>
        <v>8.08</v>
      </c>
      <c r="J74" s="421">
        <f t="shared" ref="J74:J78" si="31">+I74-G74</f>
        <v>-1.0099999999999998</v>
      </c>
      <c r="K74" s="447"/>
    </row>
    <row r="75" spans="1:14" ht="14" x14ac:dyDescent="0.3">
      <c r="A75" s="151"/>
      <c r="B75" s="151"/>
      <c r="C75" s="369" t="str">
        <f>+'Bill_South G2'!C75</f>
        <v>Total Energy - Peak</v>
      </c>
      <c r="G75" s="403">
        <f>SUM(G45,G$48:G$62,G$63:G$66)</f>
        <v>2.9360000000000001E-2</v>
      </c>
      <c r="I75" s="403">
        <f>SUM(I45,I$48:I$62,I$63:I$66)</f>
        <v>3.0179999999999995E-2</v>
      </c>
      <c r="J75" s="354">
        <f t="shared" si="31"/>
        <v>8.1999999999999434E-4</v>
      </c>
      <c r="K75" s="447"/>
    </row>
    <row r="76" spans="1:14" ht="14" x14ac:dyDescent="0.3">
      <c r="A76" s="151"/>
      <c r="B76" s="151"/>
      <c r="C76" s="369" t="str">
        <f>+'Bill_South G2'!C76</f>
        <v>Total Energy - Low A</v>
      </c>
      <c r="G76" s="403">
        <f>SUM(G46,G$48:G$62,G$63:G$66)</f>
        <v>2.836E-2</v>
      </c>
      <c r="I76" s="403">
        <f>SUM(I46,I$48:I$62,I$63:I$66)</f>
        <v>2.9149999999999999E-2</v>
      </c>
      <c r="J76" s="354">
        <f t="shared" si="31"/>
        <v>7.8999999999999904E-4</v>
      </c>
      <c r="K76" s="447"/>
    </row>
    <row r="77" spans="1:14" ht="14" x14ac:dyDescent="0.3">
      <c r="A77" s="151"/>
      <c r="B77" s="151"/>
      <c r="C77" s="369" t="str">
        <f>+'Bill_South G2'!C77</f>
        <v>Total Energy - Low B</v>
      </c>
      <c r="G77" s="403">
        <f>SUM(G47,G$48:G$62,G$63:G$66)</f>
        <v>2.4850000000000001E-2</v>
      </c>
      <c r="I77" s="403">
        <f>SUM(I47,I$48:I$62,I$63:I$66)</f>
        <v>2.5489999999999999E-2</v>
      </c>
      <c r="J77" s="354">
        <f t="shared" si="31"/>
        <v>6.3999999999999821E-4</v>
      </c>
      <c r="K77" s="447"/>
    </row>
    <row r="78" spans="1:14" ht="14" x14ac:dyDescent="0.3">
      <c r="A78" s="151"/>
      <c r="B78" s="151"/>
      <c r="C78" s="369" t="str">
        <f>+'Bill_South G2'!C78</f>
        <v>Total Basic Service</v>
      </c>
      <c r="G78" s="403">
        <f>+G67</f>
        <v>0.12265999999999999</v>
      </c>
      <c r="I78" s="403">
        <f>+I67</f>
        <v>0.16148000000000001</v>
      </c>
      <c r="J78" s="354">
        <f t="shared" si="31"/>
        <v>3.8820000000000021E-2</v>
      </c>
      <c r="K78" s="447"/>
    </row>
    <row r="79" spans="1:14" ht="14" x14ac:dyDescent="0.3">
      <c r="A79" s="151"/>
      <c r="B79" s="151"/>
      <c r="G79" s="374"/>
      <c r="H79" s="374"/>
      <c r="I79" s="502"/>
      <c r="J79" s="502"/>
      <c r="K79" s="447"/>
    </row>
    <row r="80" spans="1:14" ht="14" x14ac:dyDescent="0.3">
      <c r="A80" s="151"/>
      <c r="B80" s="151"/>
      <c r="G80" s="374"/>
      <c r="H80" s="374"/>
      <c r="I80" s="502"/>
      <c r="J80" s="502"/>
      <c r="K80" s="447"/>
    </row>
    <row r="81" spans="1:11" ht="14" x14ac:dyDescent="0.3">
      <c r="A81" s="151"/>
      <c r="B81" s="151"/>
      <c r="G81" s="374"/>
      <c r="H81" s="374"/>
      <c r="I81" s="502"/>
      <c r="J81" s="502"/>
      <c r="K81" s="447"/>
    </row>
    <row r="82" spans="1:11" ht="14" x14ac:dyDescent="0.3">
      <c r="A82" s="151"/>
      <c r="B82" s="151"/>
      <c r="G82" s="374"/>
      <c r="H82" s="374"/>
      <c r="I82" s="502"/>
      <c r="J82" s="502"/>
      <c r="K82" s="447"/>
    </row>
    <row r="83" spans="1:11" ht="14" x14ac:dyDescent="0.3">
      <c r="A83" s="151"/>
      <c r="B83" s="151"/>
      <c r="G83" s="374"/>
      <c r="H83" s="374"/>
      <c r="I83" s="502"/>
      <c r="J83" s="502"/>
      <c r="K83" s="447"/>
    </row>
    <row r="84" spans="1:11" ht="14" x14ac:dyDescent="0.3">
      <c r="A84" s="151"/>
      <c r="B84" s="151"/>
      <c r="G84" s="374"/>
      <c r="H84" s="374"/>
      <c r="I84" s="502"/>
      <c r="J84" s="502"/>
      <c r="K84" s="447"/>
    </row>
    <row r="85" spans="1:11" ht="14" x14ac:dyDescent="0.3">
      <c r="A85" s="151"/>
      <c r="B85" s="151"/>
      <c r="G85" s="374"/>
      <c r="H85" s="374"/>
      <c r="I85" s="502"/>
      <c r="J85" s="502"/>
      <c r="K85" s="447"/>
    </row>
    <row r="86" spans="1:11" ht="14" x14ac:dyDescent="0.3">
      <c r="A86" s="151"/>
      <c r="B86" s="151"/>
      <c r="G86" s="374"/>
      <c r="H86" s="374"/>
      <c r="I86" s="502"/>
      <c r="J86" s="502"/>
      <c r="K86" s="447"/>
    </row>
    <row r="87" spans="1:11" ht="14" x14ac:dyDescent="0.3">
      <c r="A87" s="151"/>
      <c r="B87" s="151"/>
      <c r="G87" s="374"/>
      <c r="H87" s="374"/>
      <c r="I87" s="502"/>
      <c r="J87" s="502"/>
      <c r="K87" s="447"/>
    </row>
    <row r="88" spans="1:11" ht="14" x14ac:dyDescent="0.3">
      <c r="A88" s="151"/>
      <c r="B88" s="151"/>
      <c r="G88" s="374"/>
      <c r="H88" s="374"/>
      <c r="I88" s="502"/>
      <c r="J88" s="502"/>
      <c r="K88" s="447"/>
    </row>
    <row r="89" spans="1:11" ht="14" x14ac:dyDescent="0.3">
      <c r="A89" s="151"/>
      <c r="B89" s="151"/>
      <c r="G89" s="374"/>
      <c r="H89" s="374"/>
      <c r="I89" s="502"/>
      <c r="J89" s="502"/>
      <c r="K89" s="447"/>
    </row>
    <row r="90" spans="1:11" ht="14" x14ac:dyDescent="0.3">
      <c r="A90" s="151"/>
      <c r="B90" s="151"/>
      <c r="G90" s="374"/>
      <c r="H90" s="374"/>
      <c r="I90" s="502"/>
      <c r="J90" s="502"/>
      <c r="K90" s="447"/>
    </row>
    <row r="91" spans="1:11" ht="14" x14ac:dyDescent="0.3">
      <c r="A91" s="151"/>
      <c r="B91" s="151"/>
      <c r="I91" s="447"/>
      <c r="J91" s="447"/>
      <c r="K91" s="447"/>
    </row>
    <row r="92" spans="1:11" ht="14" x14ac:dyDescent="0.3">
      <c r="A92" s="151"/>
      <c r="B92" s="151"/>
      <c r="I92" s="447"/>
      <c r="J92" s="447"/>
      <c r="K92" s="447"/>
    </row>
    <row r="93" spans="1:11" ht="14" x14ac:dyDescent="0.3">
      <c r="A93" s="151"/>
      <c r="B93" s="151"/>
      <c r="I93" s="447"/>
      <c r="J93" s="447"/>
      <c r="K93" s="447"/>
    </row>
    <row r="94" spans="1:11" ht="14" x14ac:dyDescent="0.3">
      <c r="A94" s="151"/>
      <c r="B94" s="151"/>
      <c r="I94" s="447"/>
      <c r="J94" s="447"/>
      <c r="K94" s="447"/>
    </row>
    <row r="95" spans="1:11" ht="14" x14ac:dyDescent="0.3">
      <c r="A95" s="151"/>
      <c r="B95" s="151"/>
      <c r="I95" s="447"/>
      <c r="J95" s="447"/>
      <c r="K95" s="447"/>
    </row>
    <row r="96" spans="1:11" ht="14" x14ac:dyDescent="0.3">
      <c r="A96" s="151"/>
      <c r="B96" s="151"/>
      <c r="I96" s="447"/>
      <c r="J96" s="447"/>
      <c r="K96" s="447"/>
    </row>
    <row r="97" spans="1:11" ht="14" x14ac:dyDescent="0.3">
      <c r="A97" s="151"/>
      <c r="B97" s="151"/>
      <c r="I97" s="447"/>
      <c r="J97" s="447"/>
      <c r="K97" s="447"/>
    </row>
    <row r="98" spans="1:11" ht="14" x14ac:dyDescent="0.3">
      <c r="A98" s="151"/>
      <c r="B98" s="151"/>
      <c r="I98" s="447"/>
      <c r="J98" s="447"/>
      <c r="K98" s="447"/>
    </row>
    <row r="99" spans="1:11" ht="14" x14ac:dyDescent="0.3">
      <c r="A99" s="151"/>
      <c r="B99" s="151"/>
      <c r="I99" s="447"/>
      <c r="J99" s="447"/>
      <c r="K99" s="447"/>
    </row>
    <row r="100" spans="1:11" ht="14" x14ac:dyDescent="0.3">
      <c r="A100" s="151"/>
      <c r="B100" s="151"/>
      <c r="I100" s="447"/>
      <c r="J100" s="447"/>
      <c r="K100" s="447"/>
    </row>
    <row r="101" spans="1:11" ht="14" x14ac:dyDescent="0.3">
      <c r="A101" s="151"/>
      <c r="B101" s="151"/>
      <c r="I101" s="447"/>
      <c r="J101" s="447"/>
      <c r="K101" s="447"/>
    </row>
    <row r="102" spans="1:11" ht="14" x14ac:dyDescent="0.3">
      <c r="A102" s="151"/>
      <c r="B102" s="151"/>
      <c r="I102" s="447"/>
      <c r="J102" s="447"/>
      <c r="K102" s="447"/>
    </row>
    <row r="103" spans="1:11" ht="14" x14ac:dyDescent="0.3">
      <c r="A103" s="151"/>
      <c r="B103" s="151"/>
      <c r="I103" s="447"/>
      <c r="J103" s="447"/>
      <c r="K103" s="447"/>
    </row>
    <row r="104" spans="1:11" ht="14" x14ac:dyDescent="0.3">
      <c r="A104" s="151"/>
      <c r="B104" s="151"/>
      <c r="I104" s="447"/>
      <c r="J104" s="447"/>
      <c r="K104" s="447"/>
    </row>
    <row r="105" spans="1:11" ht="14" x14ac:dyDescent="0.3">
      <c r="A105" s="151"/>
      <c r="B105" s="151"/>
      <c r="I105" s="447"/>
      <c r="J105" s="447"/>
      <c r="K105" s="447"/>
    </row>
    <row r="106" spans="1:11" ht="14" x14ac:dyDescent="0.3">
      <c r="A106" s="151"/>
      <c r="B106" s="151"/>
      <c r="I106" s="447"/>
      <c r="J106" s="447"/>
      <c r="K106" s="447"/>
    </row>
    <row r="107" spans="1:11" ht="14" x14ac:dyDescent="0.3">
      <c r="A107" s="151"/>
      <c r="B107" s="151"/>
      <c r="I107" s="447"/>
      <c r="J107" s="447"/>
      <c r="K107" s="447"/>
    </row>
    <row r="108" spans="1:11" ht="14" x14ac:dyDescent="0.3">
      <c r="A108" s="151"/>
      <c r="B108" s="151"/>
      <c r="I108" s="447"/>
      <c r="J108" s="447"/>
      <c r="K108" s="447"/>
    </row>
    <row r="109" spans="1:11" ht="14" x14ac:dyDescent="0.3">
      <c r="A109" s="151"/>
      <c r="B109" s="151"/>
      <c r="I109" s="447"/>
      <c r="J109" s="447"/>
      <c r="K109" s="447"/>
    </row>
    <row r="110" spans="1:11" ht="14" x14ac:dyDescent="0.3">
      <c r="A110" s="151"/>
      <c r="B110" s="151"/>
      <c r="I110" s="447"/>
      <c r="J110" s="447"/>
      <c r="K110" s="447"/>
    </row>
    <row r="111" spans="1:11" ht="14" x14ac:dyDescent="0.3">
      <c r="A111" s="151"/>
      <c r="B111" s="151"/>
      <c r="I111" s="447"/>
      <c r="J111" s="447"/>
      <c r="K111" s="447"/>
    </row>
    <row r="112" spans="1:11" ht="14" x14ac:dyDescent="0.3">
      <c r="A112" s="151"/>
      <c r="B112" s="151"/>
      <c r="I112" s="447"/>
      <c r="J112" s="447"/>
      <c r="K112" s="447"/>
    </row>
    <row r="113" spans="1:11" ht="14" x14ac:dyDescent="0.3">
      <c r="A113" s="151"/>
      <c r="B113" s="151"/>
      <c r="I113" s="447"/>
      <c r="J113" s="447"/>
      <c r="K113" s="447"/>
    </row>
    <row r="114" spans="1:11" ht="14" x14ac:dyDescent="0.3">
      <c r="A114" s="151"/>
      <c r="B114" s="151"/>
      <c r="I114" s="447"/>
      <c r="J114" s="447"/>
      <c r="K114" s="447"/>
    </row>
    <row r="115" spans="1:11" ht="14" x14ac:dyDescent="0.3">
      <c r="A115" s="151"/>
      <c r="B115" s="151"/>
      <c r="I115" s="447"/>
      <c r="J115" s="447"/>
      <c r="K115" s="447"/>
    </row>
    <row r="116" spans="1:11" ht="14" x14ac:dyDescent="0.3">
      <c r="A116" s="151"/>
      <c r="B116" s="151"/>
      <c r="I116" s="447"/>
      <c r="J116" s="447"/>
      <c r="K116" s="447"/>
    </row>
    <row r="117" spans="1:11" ht="14" x14ac:dyDescent="0.3">
      <c r="A117" s="151"/>
      <c r="B117" s="151"/>
      <c r="I117" s="447"/>
      <c r="J117" s="447"/>
      <c r="K117" s="447"/>
    </row>
    <row r="118" spans="1:11" ht="14" x14ac:dyDescent="0.3">
      <c r="A118" s="151"/>
      <c r="B118" s="151"/>
      <c r="I118" s="447"/>
      <c r="J118" s="447"/>
      <c r="K118" s="447"/>
    </row>
    <row r="119" spans="1:11" ht="14" x14ac:dyDescent="0.3">
      <c r="A119" s="151"/>
      <c r="B119" s="151"/>
      <c r="I119" s="447"/>
      <c r="J119" s="447"/>
      <c r="K119" s="447"/>
    </row>
    <row r="120" spans="1:11" ht="14" x14ac:dyDescent="0.3">
      <c r="A120" s="151"/>
      <c r="B120" s="151"/>
      <c r="I120" s="447"/>
      <c r="J120" s="447"/>
      <c r="K120" s="447"/>
    </row>
    <row r="121" spans="1:11" ht="14" x14ac:dyDescent="0.3">
      <c r="A121" s="151"/>
      <c r="B121" s="151"/>
      <c r="I121" s="447"/>
      <c r="J121" s="447"/>
      <c r="K121" s="447"/>
    </row>
    <row r="122" spans="1:11" ht="14" x14ac:dyDescent="0.3">
      <c r="A122" s="151"/>
      <c r="B122" s="151"/>
      <c r="I122" s="447"/>
      <c r="J122" s="447"/>
      <c r="K122" s="447"/>
    </row>
    <row r="123" spans="1:11" ht="14" x14ac:dyDescent="0.3">
      <c r="A123" s="151"/>
      <c r="B123" s="151"/>
      <c r="I123" s="447"/>
      <c r="J123" s="447"/>
      <c r="K123" s="447"/>
    </row>
    <row r="124" spans="1:11" ht="14" x14ac:dyDescent="0.3">
      <c r="A124" s="151"/>
      <c r="B124" s="151"/>
      <c r="I124" s="447"/>
      <c r="J124" s="447"/>
      <c r="K124" s="447"/>
    </row>
    <row r="125" spans="1:11" ht="14" x14ac:dyDescent="0.3">
      <c r="A125" s="151"/>
      <c r="B125" s="151"/>
      <c r="I125" s="447"/>
      <c r="J125" s="447"/>
      <c r="K125" s="447"/>
    </row>
    <row r="126" spans="1:11" ht="14" x14ac:dyDescent="0.3">
      <c r="A126" s="151"/>
      <c r="B126" s="151"/>
      <c r="I126" s="447"/>
      <c r="J126" s="447"/>
      <c r="K126" s="447"/>
    </row>
    <row r="127" spans="1:11" ht="14" x14ac:dyDescent="0.3">
      <c r="A127" s="151"/>
      <c r="B127" s="151"/>
      <c r="I127" s="447"/>
      <c r="J127" s="447"/>
      <c r="K127" s="447"/>
    </row>
    <row r="128" spans="1:11" ht="14" x14ac:dyDescent="0.3">
      <c r="A128" s="151"/>
      <c r="B128" s="151"/>
      <c r="I128" s="447"/>
      <c r="J128" s="447"/>
      <c r="K128" s="447"/>
    </row>
    <row r="129" spans="1:2" ht="14" x14ac:dyDescent="0.3">
      <c r="A129" s="151"/>
      <c r="B129" s="151"/>
    </row>
    <row r="130" spans="1:2" ht="14" x14ac:dyDescent="0.3">
      <c r="A130" s="151"/>
      <c r="B130" s="151"/>
    </row>
    <row r="131" spans="1:2" ht="14" x14ac:dyDescent="0.3">
      <c r="A131" s="151"/>
      <c r="B131" s="151"/>
    </row>
    <row r="132" spans="1:2" ht="14" x14ac:dyDescent="0.3">
      <c r="A132" s="151"/>
      <c r="B132" s="151"/>
    </row>
    <row r="133" spans="1:2" ht="14" x14ac:dyDescent="0.3">
      <c r="A133" s="151"/>
      <c r="B133" s="151"/>
    </row>
    <row r="134" spans="1:2" ht="14" x14ac:dyDescent="0.3">
      <c r="A134" s="151"/>
      <c r="B134" s="151"/>
    </row>
    <row r="135" spans="1:2" ht="14" x14ac:dyDescent="0.3">
      <c r="A135" s="151"/>
      <c r="B135" s="151"/>
    </row>
    <row r="136" spans="1:2" ht="14" x14ac:dyDescent="0.3">
      <c r="A136" s="151"/>
      <c r="B136" s="151"/>
    </row>
    <row r="137" spans="1:2" ht="14" x14ac:dyDescent="0.3">
      <c r="A137" s="151"/>
      <c r="B137" s="151"/>
    </row>
    <row r="138" spans="1:2" ht="14" x14ac:dyDescent="0.3">
      <c r="A138" s="151"/>
      <c r="B138" s="151"/>
    </row>
    <row r="139" spans="1:2" ht="14" x14ac:dyDescent="0.3">
      <c r="A139" s="151"/>
      <c r="B139" s="151"/>
    </row>
    <row r="140" spans="1:2" ht="14" x14ac:dyDescent="0.3">
      <c r="A140" s="151"/>
      <c r="B140" s="151"/>
    </row>
    <row r="141" spans="1:2" ht="14" x14ac:dyDescent="0.3">
      <c r="A141" s="151"/>
      <c r="B141" s="151"/>
    </row>
    <row r="142" spans="1:2" ht="14" x14ac:dyDescent="0.3">
      <c r="A142" s="151"/>
      <c r="B142" s="151"/>
    </row>
  </sheetData>
  <mergeCells count="8">
    <mergeCell ref="E12:G12"/>
    <mergeCell ref="I12:K12"/>
    <mergeCell ref="M12:N12"/>
    <mergeCell ref="A4:N4"/>
    <mergeCell ref="A5:N5"/>
    <mergeCell ref="A6:N6"/>
    <mergeCell ref="A8:N8"/>
    <mergeCell ref="A9:N9"/>
  </mergeCells>
  <pageMargins left="0.7" right="0.7" top="0.75" bottom="0.75" header="0.3" footer="0.3"/>
  <pageSetup scale="63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D48CC-5B63-442D-B785-D6F23D23F860}">
  <sheetPr>
    <tabColor theme="9" tint="0.59999389629810485"/>
    <pageSetUpPr fitToPage="1"/>
  </sheetPr>
  <dimension ref="A4:N76"/>
  <sheetViews>
    <sheetView workbookViewId="0"/>
  </sheetViews>
  <sheetFormatPr defaultRowHeight="12.5" x14ac:dyDescent="0.25"/>
  <cols>
    <col min="1" max="1" width="3.26953125" bestFit="1" customWidth="1"/>
    <col min="2" max="2" width="41.7265625" customWidth="1"/>
    <col min="3" max="3" width="8.7265625" customWidth="1"/>
    <col min="4" max="4" width="1.26953125" customWidth="1"/>
    <col min="5" max="5" width="15.7265625" customWidth="1"/>
    <col min="6" max="6" width="1.26953125" customWidth="1"/>
    <col min="7" max="7" width="13.7265625" customWidth="1"/>
    <col min="8" max="8" width="1.26953125" customWidth="1"/>
    <col min="9" max="9" width="15.7265625" customWidth="1"/>
    <col min="10" max="10" width="11" bestFit="1" customWidth="1"/>
    <col min="11" max="11" width="1.26953125" customWidth="1"/>
    <col min="12" max="12" width="13.7265625" customWidth="1"/>
    <col min="13" max="13" width="1.26953125" customWidth="1"/>
    <col min="14" max="14" width="15.7265625" customWidth="1"/>
  </cols>
  <sheetData>
    <row r="4" spans="1:14" ht="14" x14ac:dyDescent="0.3">
      <c r="A4" s="748" t="str">
        <f>'R1 EMA'!A4:N4</f>
        <v>Eastern Massachusetts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</row>
    <row r="5" spans="1:14" ht="14" x14ac:dyDescent="0.3">
      <c r="A5" s="748" t="str">
        <f>'R1 EMA'!A5:N5</f>
        <v>Revenue Simulation at Current and Proposed Rates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</row>
    <row r="6" spans="1:14" ht="14" x14ac:dyDescent="0.3">
      <c r="A6" s="205"/>
      <c r="C6" s="205"/>
      <c r="D6" s="205"/>
      <c r="E6" s="206"/>
      <c r="F6" s="207"/>
      <c r="G6" s="208"/>
      <c r="H6" s="209"/>
      <c r="I6" s="210"/>
      <c r="J6" s="210"/>
      <c r="K6" s="210"/>
      <c r="L6" s="211"/>
      <c r="M6" s="211"/>
      <c r="N6" s="212"/>
    </row>
    <row r="7" spans="1:14" ht="14" x14ac:dyDescent="0.3">
      <c r="A7" s="748" t="s">
        <v>343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</row>
    <row r="8" spans="1:14" ht="14" x14ac:dyDescent="0.3">
      <c r="B8" s="207"/>
      <c r="C8" s="207"/>
      <c r="D8" s="207"/>
      <c r="E8" s="213"/>
      <c r="F8" s="207"/>
      <c r="I8" s="210"/>
      <c r="J8" s="210"/>
      <c r="K8" s="210"/>
      <c r="L8" s="214"/>
      <c r="M8" s="214"/>
      <c r="N8" s="215"/>
    </row>
    <row r="9" spans="1:14" ht="14.5" thickBot="1" x14ac:dyDescent="0.35">
      <c r="A9" s="151"/>
      <c r="B9" s="216" t="s">
        <v>46</v>
      </c>
      <c r="C9" s="216"/>
      <c r="D9" s="216"/>
      <c r="E9" s="217" t="s">
        <v>144</v>
      </c>
      <c r="F9" s="216"/>
      <c r="G9" s="749" t="s">
        <v>63</v>
      </c>
      <c r="H9" s="749"/>
      <c r="I9" s="749"/>
      <c r="J9" s="218"/>
      <c r="K9" s="216"/>
      <c r="L9" s="750" t="s">
        <v>64</v>
      </c>
      <c r="M9" s="750"/>
      <c r="N9" s="750"/>
    </row>
    <row r="10" spans="1:14" ht="14" x14ac:dyDescent="0.3">
      <c r="A10" s="151"/>
      <c r="B10" s="219" t="s">
        <v>293</v>
      </c>
      <c r="C10" s="220" t="s">
        <v>294</v>
      </c>
      <c r="D10" s="220"/>
      <c r="E10" s="221" t="s">
        <v>295</v>
      </c>
      <c r="F10" s="222"/>
      <c r="G10" s="223" t="s">
        <v>211</v>
      </c>
      <c r="H10" s="223"/>
      <c r="I10" s="223" t="s">
        <v>148</v>
      </c>
      <c r="J10" s="224"/>
      <c r="K10" s="222"/>
      <c r="L10" s="225" t="s">
        <v>211</v>
      </c>
      <c r="M10" s="226"/>
      <c r="N10" s="227" t="s">
        <v>148</v>
      </c>
    </row>
    <row r="11" spans="1:14" ht="14" x14ac:dyDescent="0.3">
      <c r="A11" s="151" t="str">
        <f>IF(B11&lt;&gt;"",COUNTA($B$9:B11),"")</f>
        <v/>
      </c>
      <c r="B11" s="228"/>
      <c r="C11" s="220"/>
      <c r="D11" s="220"/>
      <c r="E11" s="213" t="s">
        <v>66</v>
      </c>
      <c r="F11" s="222"/>
      <c r="G11" s="229" t="s">
        <v>67</v>
      </c>
      <c r="H11" s="230"/>
      <c r="I11" s="231" t="s">
        <v>68</v>
      </c>
      <c r="J11" s="231" t="s">
        <v>69</v>
      </c>
      <c r="K11" s="222"/>
      <c r="L11" s="226" t="s">
        <v>70</v>
      </c>
      <c r="M11" s="230"/>
      <c r="N11" s="231" t="s">
        <v>71</v>
      </c>
    </row>
    <row r="12" spans="1:14" ht="14" x14ac:dyDescent="0.3">
      <c r="A12" s="151">
        <f>IF(B12&lt;&gt;"",COUNTA($B$12:B12),"")</f>
        <v>1</v>
      </c>
      <c r="B12" s="232" t="str">
        <f>+'R1 EMA'!B12</f>
        <v>Customer Charge</v>
      </c>
      <c r="C12" s="233" t="str">
        <f>+'R1 EMA'!C12</f>
        <v>CUST</v>
      </c>
      <c r="D12" s="233"/>
      <c r="E12" s="234">
        <v>90486.925093342375</v>
      </c>
      <c r="F12" s="207"/>
      <c r="G12" s="209">
        <v>7</v>
      </c>
      <c r="H12" s="209"/>
      <c r="I12" s="210">
        <f>G12*E12</f>
        <v>633408.47565339669</v>
      </c>
      <c r="J12" s="235"/>
      <c r="K12" s="210"/>
      <c r="L12" s="209">
        <v>7</v>
      </c>
      <c r="M12" s="211"/>
      <c r="N12" s="210">
        <f>L12*E12</f>
        <v>633408.47565339669</v>
      </c>
    </row>
    <row r="13" spans="1:14" ht="14" x14ac:dyDescent="0.3">
      <c r="A13" s="151">
        <f>IF(B13&lt;&gt;"",COUNTA($B$12:B13),"")</f>
        <v>2</v>
      </c>
      <c r="B13" s="232" t="str">
        <f>+'R1 EMA'!B13</f>
        <v>Distribution Energy</v>
      </c>
      <c r="C13" s="233" t="str">
        <f>+'R1 EMA'!C13</f>
        <v>DKWH</v>
      </c>
      <c r="D13" s="233"/>
      <c r="E13" s="234">
        <v>74152189.570720538</v>
      </c>
      <c r="F13" s="207"/>
      <c r="G13" s="236">
        <v>3.8350000000000002E-2</v>
      </c>
      <c r="H13" s="209"/>
      <c r="I13" s="237">
        <f t="shared" ref="I13" si="0">G13*E13</f>
        <v>2843736.470037133</v>
      </c>
      <c r="J13" s="235"/>
      <c r="K13" s="210"/>
      <c r="L13" s="236">
        <v>3.9940000000000003E-2</v>
      </c>
      <c r="M13" s="211"/>
      <c r="N13" s="237">
        <f>L13*E13</f>
        <v>2961638.4514545784</v>
      </c>
    </row>
    <row r="14" spans="1:14" ht="14" x14ac:dyDescent="0.3">
      <c r="A14" s="151">
        <f>IF(B14&lt;&gt;"",COUNTA($B$12:B14),"")</f>
        <v>3</v>
      </c>
      <c r="B14" s="232" t="str">
        <f>+'R1 EMA'!B14</f>
        <v>Total Distribution</v>
      </c>
      <c r="C14" s="233" t="str">
        <f>+'R1 EMA'!C14</f>
        <v>DIST</v>
      </c>
      <c r="D14" s="233"/>
      <c r="E14" s="234"/>
      <c r="F14" s="207"/>
      <c r="G14" s="209"/>
      <c r="H14" s="209"/>
      <c r="I14" s="210">
        <f>SUM(I12:I13)</f>
        <v>3477144.9456905294</v>
      </c>
      <c r="J14" s="235"/>
      <c r="K14" s="210"/>
      <c r="L14" s="238"/>
      <c r="M14" s="211"/>
      <c r="N14" s="210">
        <f>SUM(N12:N13)</f>
        <v>3595046.9271079749</v>
      </c>
    </row>
    <row r="15" spans="1:14" ht="14" x14ac:dyDescent="0.3">
      <c r="A15" s="151" t="str">
        <f>IF(B15&lt;&gt;"",COUNTA($B$12:B15),"")</f>
        <v/>
      </c>
      <c r="B15" s="207"/>
      <c r="C15" s="233"/>
      <c r="D15" s="233"/>
      <c r="E15" s="234"/>
      <c r="F15" s="207"/>
      <c r="G15" s="209"/>
      <c r="H15" s="209"/>
      <c r="I15" s="210"/>
      <c r="J15" s="235"/>
      <c r="K15" s="210"/>
      <c r="L15" s="238"/>
      <c r="M15" s="211"/>
      <c r="N15" s="210"/>
    </row>
    <row r="16" spans="1:14" ht="14" x14ac:dyDescent="0.3">
      <c r="A16" s="151">
        <f>IF(B16&lt;&gt;"",COUNTA($B$12:B16),"")</f>
        <v>4</v>
      </c>
      <c r="B16" s="228" t="s">
        <v>302</v>
      </c>
      <c r="F16" s="239"/>
      <c r="G16" s="240"/>
      <c r="H16" s="211"/>
      <c r="I16" s="210"/>
      <c r="K16" s="210"/>
      <c r="L16" s="241"/>
      <c r="M16" s="211"/>
      <c r="N16" s="210"/>
    </row>
    <row r="17" spans="1:14" ht="14" x14ac:dyDescent="0.3">
      <c r="A17" s="151">
        <f>IF(B17&lt;&gt;"",COUNTA($B$12:B17),"")</f>
        <v>5</v>
      </c>
      <c r="B17" s="207" t="str">
        <f>'R1 EMA'!B17</f>
        <v>Revenue Decoupling</v>
      </c>
      <c r="C17" s="233" t="str">
        <f>+'R1 EMA'!C17</f>
        <v>RDAF</v>
      </c>
      <c r="D17" s="233"/>
      <c r="E17" s="242"/>
      <c r="F17" s="239"/>
      <c r="G17" s="236">
        <v>0</v>
      </c>
      <c r="H17" s="211"/>
      <c r="I17" s="210">
        <f>G17*$E$13</f>
        <v>0</v>
      </c>
      <c r="K17" s="210"/>
      <c r="L17" s="236">
        <v>-4.636470553498867E-4</v>
      </c>
      <c r="M17" s="211"/>
      <c r="N17" s="210">
        <f>$E$13*L17</f>
        <v>-34380.444342211158</v>
      </c>
    </row>
    <row r="18" spans="1:14" ht="14" x14ac:dyDescent="0.3">
      <c r="A18" s="151">
        <f>IF(B18&lt;&gt;"",COUNTA($B$12:B18),"")</f>
        <v>6</v>
      </c>
      <c r="B18" s="207" t="str">
        <f>'R1 EMA'!B18</f>
        <v>Residential Assistance Adjustment Factor</v>
      </c>
      <c r="C18" s="233" t="str">
        <f>+'R1 EMA'!C18</f>
        <v>RAAF</v>
      </c>
      <c r="D18" s="243"/>
      <c r="E18" s="206"/>
      <c r="F18" s="239"/>
      <c r="G18" s="236">
        <v>2.9499999999999999E-3</v>
      </c>
      <c r="H18" s="211"/>
      <c r="I18" s="210">
        <f t="shared" ref="I18:I31" si="1">G18*$E$13</f>
        <v>218748.95923362559</v>
      </c>
      <c r="K18" s="210"/>
      <c r="L18" s="236">
        <v>3.9170150182816542E-3</v>
      </c>
      <c r="M18" s="211"/>
      <c r="N18" s="210">
        <f t="shared" ref="N18:N31" si="2">$E$13*L18</f>
        <v>290455.24018698058</v>
      </c>
    </row>
    <row r="19" spans="1:14" ht="14" x14ac:dyDescent="0.3">
      <c r="A19" s="151">
        <f>IF(B19&lt;&gt;"",COUNTA($B$12:B19),"")</f>
        <v>7</v>
      </c>
      <c r="B19" s="207" t="str">
        <f>'R1 EMA'!B19</f>
        <v>Pension Adjustment Factor</v>
      </c>
      <c r="C19" s="233" t="str">
        <f>+'R1 EMA'!C19</f>
        <v>PAF</v>
      </c>
      <c r="D19" s="243"/>
      <c r="E19" s="206"/>
      <c r="F19" s="239"/>
      <c r="G19" s="236">
        <v>-1E-4</v>
      </c>
      <c r="H19" s="211"/>
      <c r="I19" s="210">
        <f t="shared" si="1"/>
        <v>-7415.2189570720539</v>
      </c>
      <c r="K19" s="210"/>
      <c r="L19" s="236">
        <v>9.1807557129104558E-4</v>
      </c>
      <c r="M19" s="211"/>
      <c r="N19" s="210">
        <f t="shared" si="2"/>
        <v>68077.313802621167</v>
      </c>
    </row>
    <row r="20" spans="1:14" ht="14" x14ac:dyDescent="0.3">
      <c r="A20" s="151">
        <f>IF(B20&lt;&gt;"",COUNTA($B$12:B20),"")</f>
        <v>8</v>
      </c>
      <c r="B20" s="207" t="str">
        <f>'R1 EMA'!B20</f>
        <v>Net Metering Recovery Surcharge</v>
      </c>
      <c r="C20" s="233" t="str">
        <f>+'R1 EMA'!C20</f>
        <v>NMRS</v>
      </c>
      <c r="D20" s="243"/>
      <c r="E20" s="206"/>
      <c r="F20" s="239"/>
      <c r="G20" s="236">
        <v>5.7999999999999996E-3</v>
      </c>
      <c r="H20" s="211"/>
      <c r="I20" s="210">
        <f t="shared" si="1"/>
        <v>430082.69951017911</v>
      </c>
      <c r="K20" s="210"/>
      <c r="L20" s="236">
        <v>5.1074733847265843E-3</v>
      </c>
      <c r="M20" s="211"/>
      <c r="N20" s="210">
        <f t="shared" si="2"/>
        <v>378730.33465165534</v>
      </c>
    </row>
    <row r="21" spans="1:14" ht="14" x14ac:dyDescent="0.3">
      <c r="A21" s="151">
        <f>IF(B21&lt;&gt;"",COUNTA($B$12:B21),"")</f>
        <v>9</v>
      </c>
      <c r="B21" s="207" t="str">
        <f>'R1 EMA'!B21</f>
        <v>Long Term Renewable Contract Adjustment</v>
      </c>
      <c r="C21" s="233" t="str">
        <f>+'R1 EMA'!C21</f>
        <v>LTRCA</v>
      </c>
      <c r="D21" s="243"/>
      <c r="E21" s="206"/>
      <c r="F21" s="239"/>
      <c r="G21" s="236">
        <v>2.3600000000000001E-3</v>
      </c>
      <c r="H21" s="211"/>
      <c r="I21" s="210">
        <f t="shared" si="1"/>
        <v>174999.16738690049</v>
      </c>
      <c r="K21" s="210"/>
      <c r="L21" s="236">
        <v>1.7357128782064517E-3</v>
      </c>
      <c r="M21" s="211"/>
      <c r="N21" s="210">
        <f t="shared" si="2"/>
        <v>128706.91038510577</v>
      </c>
    </row>
    <row r="22" spans="1:14" ht="14" x14ac:dyDescent="0.3">
      <c r="A22" s="151">
        <f>IF(B22&lt;&gt;"",COUNTA($B$12:B22),"")</f>
        <v>10</v>
      </c>
      <c r="B22" s="207" t="str">
        <f>'R1 EMA'!B22</f>
        <v>AG Consulting Expense</v>
      </c>
      <c r="C22" s="233" t="str">
        <f>+'R1 EMA'!C22</f>
        <v>AGCE</v>
      </c>
      <c r="D22" s="243"/>
      <c r="E22" s="206"/>
      <c r="F22" s="239"/>
      <c r="G22" s="236">
        <v>3.0000000000000001E-5</v>
      </c>
      <c r="H22" s="211"/>
      <c r="I22" s="210">
        <f t="shared" si="1"/>
        <v>2224.5656871216161</v>
      </c>
      <c r="K22" s="210"/>
      <c r="L22" s="236">
        <v>8.2242703690137013E-6</v>
      </c>
      <c r="M22" s="211"/>
      <c r="N22" s="210">
        <f t="shared" si="2"/>
        <v>609.84765548396376</v>
      </c>
    </row>
    <row r="23" spans="1:14" ht="14" x14ac:dyDescent="0.3">
      <c r="A23" s="151">
        <f>IF(B23&lt;&gt;"",COUNTA($B$12:B23),"")</f>
        <v>11</v>
      </c>
      <c r="B23" s="207" t="str">
        <f>'R1 EMA'!B23</f>
        <v>Storm Cost Recovery Adjustment Factor</v>
      </c>
      <c r="C23" s="233" t="str">
        <f>+'R1 EMA'!C23</f>
        <v>SCRA</v>
      </c>
      <c r="D23" s="243"/>
      <c r="E23" s="206"/>
      <c r="F23" s="239"/>
      <c r="G23" s="236">
        <v>1.82E-3</v>
      </c>
      <c r="H23" s="211"/>
      <c r="I23" s="210">
        <f t="shared" si="1"/>
        <v>134956.98501871139</v>
      </c>
      <c r="K23" s="210"/>
      <c r="L23" s="236">
        <v>2.9625818337441516E-3</v>
      </c>
      <c r="M23" s="211"/>
      <c r="N23" s="210">
        <f t="shared" si="2"/>
        <v>219681.9297545692</v>
      </c>
    </row>
    <row r="24" spans="1:14" ht="14" x14ac:dyDescent="0.3">
      <c r="A24" s="151">
        <f>IF(B24&lt;&gt;"",COUNTA($B$12:B24),"")</f>
        <v>12</v>
      </c>
      <c r="B24" s="207" t="str">
        <f>'R1 EMA'!B24</f>
        <v>Storm Reserve Adjustment</v>
      </c>
      <c r="C24" s="233" t="str">
        <f>+'R1 EMA'!C24</f>
        <v>SRA</v>
      </c>
      <c r="D24" s="243"/>
      <c r="E24" s="206"/>
      <c r="F24" s="239"/>
      <c r="G24" s="236">
        <v>0</v>
      </c>
      <c r="H24" s="211"/>
      <c r="I24" s="210">
        <f t="shared" si="1"/>
        <v>0</v>
      </c>
      <c r="K24" s="210"/>
      <c r="L24" s="236">
        <v>0</v>
      </c>
      <c r="M24" s="211"/>
      <c r="N24" s="210">
        <f t="shared" si="2"/>
        <v>0</v>
      </c>
    </row>
    <row r="25" spans="1:14" ht="14" x14ac:dyDescent="0.3">
      <c r="A25" s="151">
        <f>IF(B25&lt;&gt;"",COUNTA($B$12:B25),"")</f>
        <v>13</v>
      </c>
      <c r="B25" s="207" t="str">
        <f>'R1 EMA'!B25</f>
        <v>Basic Service Cost True Up Factor</v>
      </c>
      <c r="C25" s="233" t="str">
        <f>+'R1 EMA'!C25</f>
        <v>BSTF</v>
      </c>
      <c r="D25" s="233"/>
      <c r="E25" s="206"/>
      <c r="F25" s="239"/>
      <c r="G25" s="236">
        <v>1.57E-3</v>
      </c>
      <c r="H25" s="211"/>
      <c r="I25" s="210">
        <f t="shared" si="1"/>
        <v>116418.93762603124</v>
      </c>
      <c r="K25" s="210"/>
      <c r="L25" s="236">
        <v>-1.9437188368004869E-4</v>
      </c>
      <c r="M25" s="211"/>
      <c r="N25" s="210">
        <f t="shared" si="2"/>
        <v>-14413.100765861012</v>
      </c>
    </row>
    <row r="26" spans="1:14" ht="14" x14ac:dyDescent="0.3">
      <c r="A26" s="151">
        <f>IF(B26&lt;&gt;"",COUNTA($B$12:B26),"")</f>
        <v>14</v>
      </c>
      <c r="B26" s="207" t="str">
        <f>'R1 EMA'!B26</f>
        <v>Solar Program Cost Adjustment Factor</v>
      </c>
      <c r="C26" s="233" t="str">
        <f>+'R1 EMA'!C26</f>
        <v>SPCA</v>
      </c>
      <c r="D26" s="243"/>
      <c r="E26" s="206"/>
      <c r="F26" s="239"/>
      <c r="G26" s="236">
        <v>0</v>
      </c>
      <c r="H26" s="211"/>
      <c r="I26" s="210">
        <f t="shared" si="1"/>
        <v>0</v>
      </c>
      <c r="K26" s="210"/>
      <c r="L26" s="236">
        <v>3.4591298516964567E-5</v>
      </c>
      <c r="M26" s="211"/>
      <c r="N26" s="210">
        <f t="shared" si="2"/>
        <v>2565.020525127341</v>
      </c>
    </row>
    <row r="27" spans="1:14" ht="14" x14ac:dyDescent="0.3">
      <c r="A27" s="151">
        <f>IF(B27&lt;&gt;"",COUNTA($B$12:B27),"")</f>
        <v>15</v>
      </c>
      <c r="B27" s="207" t="str">
        <f>'R1 EMA'!B27</f>
        <v>Solar Expansion Cost Recovery Factor</v>
      </c>
      <c r="C27" s="233" t="str">
        <f>+'R1 EMA'!C27</f>
        <v>SECRF</v>
      </c>
      <c r="D27" s="243"/>
      <c r="E27" s="206"/>
      <c r="F27" s="239"/>
      <c r="G27" s="236">
        <v>0</v>
      </c>
      <c r="H27" s="211"/>
      <c r="I27" s="210">
        <f t="shared" si="1"/>
        <v>0</v>
      </c>
      <c r="K27" s="210"/>
      <c r="L27" s="236">
        <v>6.1011137043019529E-4</v>
      </c>
      <c r="M27" s="211"/>
      <c r="N27" s="210">
        <f t="shared" si="2"/>
        <v>45241.093999391946</v>
      </c>
    </row>
    <row r="28" spans="1:14" ht="14" x14ac:dyDescent="0.3">
      <c r="A28" s="151">
        <f>IF(B28&lt;&gt;"",COUNTA($B$12:B28),"")</f>
        <v>16</v>
      </c>
      <c r="B28" s="207" t="str">
        <f>'R1 EMA'!B28</f>
        <v>Vegetation Management</v>
      </c>
      <c r="C28" s="233" t="str">
        <f>+'R1 EMA'!C28</f>
        <v>RTWF</v>
      </c>
      <c r="D28" s="243"/>
      <c r="E28" s="206"/>
      <c r="F28" s="239"/>
      <c r="G28" s="236">
        <v>0</v>
      </c>
      <c r="H28" s="211"/>
      <c r="I28" s="210">
        <f t="shared" si="1"/>
        <v>0</v>
      </c>
      <c r="K28" s="210"/>
      <c r="L28" s="236">
        <v>1.6436655676838139E-3</v>
      </c>
      <c r="M28" s="211"/>
      <c r="N28" s="210">
        <f t="shared" si="2"/>
        <v>121881.40076575616</v>
      </c>
    </row>
    <row r="29" spans="1:14" ht="14" x14ac:dyDescent="0.3">
      <c r="A29" s="151">
        <f>IF(B29&lt;&gt;"",COUNTA($B$12:B29),"")</f>
        <v>17</v>
      </c>
      <c r="B29" s="207" t="str">
        <f>'R1 EMA'!B29</f>
        <v>Solar Massachusetts Renewable Target</v>
      </c>
      <c r="C29" s="233" t="str">
        <f>+'R1 EMA'!C29</f>
        <v>SMART</v>
      </c>
      <c r="D29" s="243"/>
      <c r="E29" s="206"/>
      <c r="F29" s="239"/>
      <c r="G29" s="236">
        <v>0</v>
      </c>
      <c r="H29" s="211"/>
      <c r="I29" s="210">
        <f t="shared" si="1"/>
        <v>0</v>
      </c>
      <c r="K29" s="210"/>
      <c r="L29" s="236">
        <v>7.1483108644926168E-4</v>
      </c>
      <c r="M29" s="211"/>
      <c r="N29" s="210">
        <f t="shared" si="2"/>
        <v>53006.290233429776</v>
      </c>
    </row>
    <row r="30" spans="1:14" ht="14" x14ac:dyDescent="0.3">
      <c r="A30" s="151">
        <f>IF(B30&lt;&gt;"",COUNTA($B$12:B30),"")</f>
        <v>18</v>
      </c>
      <c r="B30" s="207" t="str">
        <f>'R1 EMA'!B30</f>
        <v>Tax Act Credit Factor</v>
      </c>
      <c r="C30" s="233" t="str">
        <f>+'R1 EMA'!C30</f>
        <v>TACF</v>
      </c>
      <c r="D30" s="243"/>
      <c r="E30" s="206"/>
      <c r="F30" s="239"/>
      <c r="G30" s="236">
        <v>0</v>
      </c>
      <c r="H30" s="211"/>
      <c r="I30" s="210">
        <f t="shared" si="1"/>
        <v>0</v>
      </c>
      <c r="K30" s="210"/>
      <c r="L30" s="236">
        <v>-1.0821348464114689E-3</v>
      </c>
      <c r="M30" s="211"/>
      <c r="N30" s="210">
        <f t="shared" si="2"/>
        <v>-80242.668272185794</v>
      </c>
    </row>
    <row r="31" spans="1:14" ht="14" x14ac:dyDescent="0.3">
      <c r="A31" s="151">
        <f>IF(B31&lt;&gt;"",COUNTA($B$12:B31),"")</f>
        <v>19</v>
      </c>
      <c r="B31" s="207" t="str">
        <f>'R1 EMA'!B31</f>
        <v>Transition</v>
      </c>
      <c r="C31" s="233" t="str">
        <f>+'R1 EMA'!C31</f>
        <v>TRNSN</v>
      </c>
      <c r="D31" s="233"/>
      <c r="E31" s="206"/>
      <c r="F31" s="239"/>
      <c r="G31" s="236">
        <v>-6.0999999999999997E-4</v>
      </c>
      <c r="H31" s="211"/>
      <c r="I31" s="210">
        <f t="shared" si="1"/>
        <v>-45232.835638139528</v>
      </c>
      <c r="K31" s="210"/>
      <c r="L31" s="236">
        <v>-5.210932140356871E-4</v>
      </c>
      <c r="M31" s="211"/>
      <c r="N31" s="210">
        <f t="shared" si="2"/>
        <v>-38640.202791190321</v>
      </c>
    </row>
    <row r="32" spans="1:14" ht="14" x14ac:dyDescent="0.3">
      <c r="A32" s="151">
        <f>IF(B32&lt;&gt;"",COUNTA($B$12:B32),"")</f>
        <v>20</v>
      </c>
      <c r="B32" s="207" t="str">
        <f>'R1 EMA'!B32</f>
        <v>Transmission Energy</v>
      </c>
      <c r="C32" s="233" t="str">
        <f>+'R1 EMA'!C32</f>
        <v>TMKWH</v>
      </c>
      <c r="D32" s="233"/>
      <c r="E32" s="206"/>
      <c r="F32" s="239"/>
      <c r="G32" s="236">
        <v>2.896E-2</v>
      </c>
      <c r="H32" s="211"/>
      <c r="I32" s="210">
        <f>G32*$E$13</f>
        <v>2147447.409968067</v>
      </c>
      <c r="K32" s="210"/>
      <c r="L32" s="236">
        <v>2.503692470248408E-2</v>
      </c>
      <c r="M32" s="211"/>
      <c r="N32" s="210">
        <f>$E$13*L32</f>
        <v>1856542.7868064553</v>
      </c>
    </row>
    <row r="33" spans="1:14" ht="14" x14ac:dyDescent="0.3">
      <c r="A33" s="151">
        <f>IF(B33&lt;&gt;"",COUNTA($B$12:B33),"")</f>
        <v>21</v>
      </c>
      <c r="B33" s="207" t="str">
        <f>'R1 EMA'!B33</f>
        <v>Energy Efficiency Reconciliation Factor</v>
      </c>
      <c r="C33" s="233" t="str">
        <f>+'R1 EMA'!C33</f>
        <v>EERF</v>
      </c>
      <c r="D33" s="233"/>
      <c r="E33" s="206"/>
      <c r="F33" s="239"/>
      <c r="G33" s="236">
        <v>1.1299999999999999E-3</v>
      </c>
      <c r="H33" s="211"/>
      <c r="I33" s="210">
        <f t="shared" ref="I33:I36" si="3">G33*$E$13</f>
        <v>83791.974214914197</v>
      </c>
      <c r="K33" s="210"/>
      <c r="L33" s="236">
        <v>1.1299999999999999E-3</v>
      </c>
      <c r="M33" s="211"/>
      <c r="N33" s="210">
        <f t="shared" ref="N33:N36" si="4">$E$13*L33</f>
        <v>83791.974214914197</v>
      </c>
    </row>
    <row r="34" spans="1:14" ht="14" x14ac:dyDescent="0.3">
      <c r="A34" s="151">
        <f>IF(B34&lt;&gt;"",COUNTA($B$12:B34),"")</f>
        <v>22</v>
      </c>
      <c r="B34" s="207" t="str">
        <f>'R1 EMA'!B34</f>
        <v>System Benefits Charge</v>
      </c>
      <c r="C34" s="233" t="str">
        <f>+'R1 EMA'!C34</f>
        <v>SBC</v>
      </c>
      <c r="D34" s="233"/>
      <c r="E34" s="206"/>
      <c r="F34" s="239"/>
      <c r="G34" s="236">
        <v>2.5000000000000001E-3</v>
      </c>
      <c r="H34" s="211"/>
      <c r="I34" s="210">
        <f t="shared" si="3"/>
        <v>185380.47392680135</v>
      </c>
      <c r="K34" s="210"/>
      <c r="L34" s="236">
        <f>+G34</f>
        <v>2.5000000000000001E-3</v>
      </c>
      <c r="M34" s="211"/>
      <c r="N34" s="210">
        <f t="shared" si="4"/>
        <v>185380.47392680135</v>
      </c>
    </row>
    <row r="35" spans="1:14" ht="14" x14ac:dyDescent="0.3">
      <c r="A35" s="151">
        <f>IF(B35&lt;&gt;"",COUNTA($B$12:B35),"")</f>
        <v>23</v>
      </c>
      <c r="B35" s="207" t="str">
        <f>'R1 EMA'!B35</f>
        <v>Renewable Energy Charge</v>
      </c>
      <c r="C35" s="233" t="str">
        <f>+'R1 EMA'!C35</f>
        <v>RNEW</v>
      </c>
      <c r="D35" s="233"/>
      <c r="E35" s="206"/>
      <c r="F35" s="239"/>
      <c r="G35" s="236">
        <v>5.0000000000000001E-4</v>
      </c>
      <c r="H35" s="211"/>
      <c r="I35" s="210">
        <f t="shared" si="3"/>
        <v>37076.09478536027</v>
      </c>
      <c r="K35" s="210"/>
      <c r="L35" s="236">
        <f>+G35</f>
        <v>5.0000000000000001E-4</v>
      </c>
      <c r="M35" s="211"/>
      <c r="N35" s="210">
        <f t="shared" si="4"/>
        <v>37076.09478536027</v>
      </c>
    </row>
    <row r="36" spans="1:14" ht="14" x14ac:dyDescent="0.3">
      <c r="A36" s="151">
        <f>IF(B36&lt;&gt;"",COUNTA($B$12:B36),"")</f>
        <v>24</v>
      </c>
      <c r="B36" s="207" t="str">
        <f>'R1 EMA'!B36</f>
        <v>Basic Service Charge</v>
      </c>
      <c r="C36" s="233" t="str">
        <f>+'R1 EMA'!C36</f>
        <v>BS</v>
      </c>
      <c r="D36" s="233"/>
      <c r="E36" s="206"/>
      <c r="F36" s="239"/>
      <c r="G36" s="236">
        <v>0.11397</v>
      </c>
      <c r="H36" s="211"/>
      <c r="I36" s="237">
        <f t="shared" si="3"/>
        <v>8451125.0453750193</v>
      </c>
      <c r="K36" s="210"/>
      <c r="L36" s="236">
        <v>0.13588</v>
      </c>
      <c r="M36" s="211"/>
      <c r="N36" s="237">
        <f t="shared" si="4"/>
        <v>10075799.518869506</v>
      </c>
    </row>
    <row r="37" spans="1:14" ht="14" x14ac:dyDescent="0.3">
      <c r="A37" s="151" t="str">
        <f>IF(B37&lt;&gt;"",COUNTA($B$12:B37),"")</f>
        <v/>
      </c>
      <c r="B37" s="207"/>
      <c r="E37" s="206"/>
      <c r="F37" s="239"/>
      <c r="G37" s="241"/>
      <c r="H37" s="211"/>
      <c r="I37" s="244"/>
      <c r="K37" s="210"/>
      <c r="L37" s="241"/>
      <c r="M37" s="211"/>
      <c r="N37" s="244"/>
    </row>
    <row r="38" spans="1:14" ht="14" x14ac:dyDescent="0.3">
      <c r="A38" s="151">
        <f>IF(B38&lt;&gt;"",COUNTA($B$12:B38),"")</f>
        <v>25</v>
      </c>
      <c r="B38" s="188" t="s">
        <v>46</v>
      </c>
      <c r="E38" s="188"/>
      <c r="G38" s="245" t="s">
        <v>324</v>
      </c>
      <c r="H38" s="246"/>
      <c r="I38" s="154">
        <f>SUM(I14:I37)</f>
        <v>15406749.20382805</v>
      </c>
      <c r="K38" s="247"/>
      <c r="L38" s="245"/>
      <c r="N38" s="154">
        <f>SUM(N14:N37)</f>
        <v>16974916.741499685</v>
      </c>
    </row>
    <row r="39" spans="1:14" ht="14" x14ac:dyDescent="0.3">
      <c r="A39" s="151">
        <f>IF(B39&lt;&gt;"",COUNTA($B$12:B39),"")</f>
        <v>26</v>
      </c>
      <c r="B39" s="188" t="s">
        <v>46</v>
      </c>
      <c r="G39" s="260" t="s">
        <v>337</v>
      </c>
      <c r="I39" s="261">
        <f>0.36*I38</f>
        <v>5546429.7133780979</v>
      </c>
      <c r="J39" s="262"/>
      <c r="K39" s="168"/>
      <c r="L39" s="168"/>
      <c r="M39" s="263"/>
      <c r="N39" s="261">
        <f>0.36*N38</f>
        <v>6110970.0269398866</v>
      </c>
    </row>
    <row r="40" spans="1:14" ht="14" x14ac:dyDescent="0.3">
      <c r="A40" s="151">
        <f>IF(B40&lt;&gt;"",COUNTA($B$12:B40),"")</f>
        <v>27</v>
      </c>
      <c r="B40" s="188" t="s">
        <v>46</v>
      </c>
      <c r="G40" s="245" t="s">
        <v>338</v>
      </c>
      <c r="H40" s="188"/>
      <c r="I40" s="154">
        <f>+I38-I39</f>
        <v>9860319.490449952</v>
      </c>
      <c r="L40" s="252"/>
      <c r="N40" s="154">
        <f>N38-N39</f>
        <v>10863946.714559797</v>
      </c>
    </row>
    <row r="41" spans="1:14" ht="14" x14ac:dyDescent="0.3">
      <c r="A41" s="151" t="str">
        <f>IF(B41&lt;&gt;"",COUNTA($B$12:B41),"")</f>
        <v/>
      </c>
      <c r="E41" s="188"/>
      <c r="H41" s="188"/>
      <c r="I41" s="154"/>
      <c r="L41" s="264"/>
      <c r="N41" s="265"/>
    </row>
    <row r="42" spans="1:14" ht="14" x14ac:dyDescent="0.3">
      <c r="A42" s="151">
        <f>IF(B42&lt;&gt;"",COUNTA($B$12:B42),"")</f>
        <v>28</v>
      </c>
      <c r="B42" s="188" t="s">
        <v>46</v>
      </c>
      <c r="E42" s="188"/>
      <c r="G42" s="188"/>
      <c r="H42" s="188"/>
      <c r="I42" s="188"/>
      <c r="J42" s="188"/>
      <c r="L42" s="266" t="s">
        <v>339</v>
      </c>
      <c r="N42" s="160">
        <f>+N38/I38-1</f>
        <v>0.10178445283460569</v>
      </c>
    </row>
    <row r="43" spans="1:14" ht="14" x14ac:dyDescent="0.3">
      <c r="A43" s="151">
        <f>IF(B43&lt;&gt;"",COUNTA($B$12:B43),"")</f>
        <v>29</v>
      </c>
      <c r="B43" s="188" t="s">
        <v>46</v>
      </c>
      <c r="E43" s="751"/>
      <c r="F43" s="751"/>
      <c r="G43" s="751"/>
      <c r="H43" s="188"/>
      <c r="I43" s="751"/>
      <c r="J43" s="751"/>
      <c r="L43" s="266" t="s">
        <v>340</v>
      </c>
      <c r="M43" s="267"/>
      <c r="N43" s="160">
        <f>+N40/I40-1</f>
        <v>0.10178445283460569</v>
      </c>
    </row>
    <row r="44" spans="1:14" ht="14" x14ac:dyDescent="0.3">
      <c r="A44" s="151" t="str">
        <f>IF(B44&lt;&gt;"",COUNTA($B$12:B44),"")</f>
        <v/>
      </c>
      <c r="E44" s="188"/>
      <c r="G44" s="186"/>
      <c r="H44" s="188"/>
      <c r="I44" s="188"/>
      <c r="L44" s="248"/>
      <c r="N44" s="160"/>
    </row>
    <row r="45" spans="1:14" ht="14.5" thickBot="1" x14ac:dyDescent="0.35">
      <c r="A45" s="151">
        <f>IF(B45&lt;&gt;"",COUNTA($B$12:B45),"")</f>
        <v>30</v>
      </c>
      <c r="B45" s="188" t="s">
        <v>46</v>
      </c>
      <c r="E45" s="747" t="s">
        <v>326</v>
      </c>
      <c r="F45" s="747"/>
      <c r="G45" s="747"/>
      <c r="I45" s="747" t="s">
        <v>327</v>
      </c>
      <c r="J45" s="747"/>
      <c r="K45" s="747"/>
      <c r="L45" s="747" t="s">
        <v>328</v>
      </c>
      <c r="M45" s="747"/>
      <c r="N45" s="747"/>
    </row>
    <row r="46" spans="1:14" ht="14" x14ac:dyDescent="0.3">
      <c r="A46" s="151">
        <f>IF(B46&lt;&gt;"",COUNTA($B$12:B46),"")</f>
        <v>31</v>
      </c>
      <c r="B46" s="144" t="s">
        <v>329</v>
      </c>
      <c r="C46" s="144"/>
      <c r="D46" s="144"/>
      <c r="E46" s="249" t="s">
        <v>148</v>
      </c>
      <c r="F46" s="250"/>
      <c r="G46" s="251" t="s">
        <v>330</v>
      </c>
      <c r="I46" s="249" t="s">
        <v>148</v>
      </c>
      <c r="J46" s="251" t="s">
        <v>330</v>
      </c>
      <c r="K46" s="212"/>
      <c r="L46" s="249" t="s">
        <v>148</v>
      </c>
      <c r="M46" s="252"/>
      <c r="N46" s="251" t="s">
        <v>330</v>
      </c>
    </row>
    <row r="47" spans="1:14" ht="14" x14ac:dyDescent="0.3">
      <c r="A47" s="151">
        <f>IF(B47&lt;&gt;"",COUNTA($B$12:B47),"")</f>
        <v>32</v>
      </c>
      <c r="B47" s="130" t="str">
        <f>+'R1 EMA'!B45</f>
        <v>Distribution</v>
      </c>
      <c r="C47" s="253" t="str">
        <f>+'R1 EMA'!C45</f>
        <v>DIST</v>
      </c>
      <c r="D47" s="253"/>
      <c r="E47" s="154">
        <f>SUMIF($C$12:$C$36,$C47,$I$12:$I$36)-I39</f>
        <v>-2069284.7676875684</v>
      </c>
      <c r="G47" s="254">
        <f>+E47/$E$13*100</f>
        <v>-2.7905915923278934</v>
      </c>
      <c r="I47" s="154">
        <f>SUMIF($C$12:$C$36,$C47,$N$12:$N$36)-N39</f>
        <v>-2515923.0998319117</v>
      </c>
      <c r="J47" s="254">
        <f>+I47/$E$13*100</f>
        <v>-3.392918151705314</v>
      </c>
      <c r="L47" s="154">
        <f t="shared" ref="L47:L67" si="5">I47-E47</f>
        <v>-446638.33214434329</v>
      </c>
      <c r="N47" s="254">
        <f>+L47/$E$13*100</f>
        <v>-0.60232655937742019</v>
      </c>
    </row>
    <row r="48" spans="1:14" ht="14" x14ac:dyDescent="0.3">
      <c r="A48" s="151">
        <f>IF(B48&lt;&gt;"",COUNTA($B$12:B48),"")</f>
        <v>33</v>
      </c>
      <c r="B48" s="130" t="str">
        <f>+'R1 EMA'!B46</f>
        <v>Revenue Decoupling</v>
      </c>
      <c r="C48" s="253" t="str">
        <f>+'R1 EMA'!C46</f>
        <v>RDAF</v>
      </c>
      <c r="D48" s="253"/>
      <c r="E48" s="154">
        <f t="shared" ref="E48:E62" si="6">SUMIF($C$12:$C$36,$C48,$I$12:$I$36)</f>
        <v>0</v>
      </c>
      <c r="G48" s="254">
        <f t="shared" ref="G48:G68" si="7">+E48/$E$13*100</f>
        <v>0</v>
      </c>
      <c r="I48" s="154">
        <f t="shared" ref="I48:I62" si="8">SUMIF($C$12:$C$36,$C48,$N$12:$N$36)</f>
        <v>-34380.444342211158</v>
      </c>
      <c r="J48" s="254">
        <f t="shared" ref="J48:J68" si="9">+I48/$E$13*100</f>
        <v>-4.6364705534988671E-2</v>
      </c>
      <c r="L48" s="154">
        <f>I48-E48</f>
        <v>-34380.444342211158</v>
      </c>
      <c r="N48" s="254">
        <f t="shared" ref="N48:N68" si="10">+L48/$E$13*100</f>
        <v>-4.6364705534988671E-2</v>
      </c>
    </row>
    <row r="49" spans="1:14" ht="14" x14ac:dyDescent="0.3">
      <c r="A49" s="151">
        <f>IF(B49&lt;&gt;"",COUNTA($B$12:B49),"")</f>
        <v>34</v>
      </c>
      <c r="B49" s="130" t="str">
        <f>+'R1 EMA'!B47</f>
        <v>Residential Assistance Adjustment Factor</v>
      </c>
      <c r="C49" s="253" t="str">
        <f>+'R1 EMA'!C47</f>
        <v>RAAF</v>
      </c>
      <c r="D49" s="253"/>
      <c r="E49" s="154">
        <f t="shared" si="6"/>
        <v>218748.95923362559</v>
      </c>
      <c r="G49" s="254">
        <f t="shared" si="7"/>
        <v>0.29499999999999998</v>
      </c>
      <c r="I49" s="154">
        <f t="shared" si="8"/>
        <v>290455.24018698058</v>
      </c>
      <c r="J49" s="254">
        <f t="shared" si="9"/>
        <v>0.39170150182816543</v>
      </c>
      <c r="L49" s="154">
        <f t="shared" si="5"/>
        <v>71706.280953354988</v>
      </c>
      <c r="N49" s="254">
        <f t="shared" si="10"/>
        <v>9.6701501828165393E-2</v>
      </c>
    </row>
    <row r="50" spans="1:14" ht="14" x14ac:dyDescent="0.3">
      <c r="A50" s="151">
        <f>IF(B50&lt;&gt;"",COUNTA($B$12:B50),"")</f>
        <v>35</v>
      </c>
      <c r="B50" s="130" t="str">
        <f>+'R1 EMA'!B48</f>
        <v>Pension Adjustment Factor</v>
      </c>
      <c r="C50" s="253" t="str">
        <f>+'R1 EMA'!C48</f>
        <v>PAF</v>
      </c>
      <c r="D50" s="253"/>
      <c r="E50" s="154">
        <f t="shared" si="6"/>
        <v>-7415.2189570720539</v>
      </c>
      <c r="G50" s="254">
        <f t="shared" si="7"/>
        <v>-0.01</v>
      </c>
      <c r="I50" s="154">
        <f t="shared" si="8"/>
        <v>68077.313802621167</v>
      </c>
      <c r="J50" s="254">
        <f t="shared" si="9"/>
        <v>9.1807557129104558E-2</v>
      </c>
      <c r="L50" s="154">
        <f t="shared" si="5"/>
        <v>75492.532759693218</v>
      </c>
      <c r="N50" s="254">
        <f t="shared" si="10"/>
        <v>0.10180755712910455</v>
      </c>
    </row>
    <row r="51" spans="1:14" ht="14" x14ac:dyDescent="0.3">
      <c r="A51" s="151">
        <f>IF(B51&lt;&gt;"",COUNTA($B$12:B51),"")</f>
        <v>36</v>
      </c>
      <c r="B51" s="130" t="str">
        <f>+'R1 EMA'!B49</f>
        <v>Net Metering Recovery Surcharge</v>
      </c>
      <c r="C51" s="253" t="str">
        <f>+'R1 EMA'!C49</f>
        <v>NMRS</v>
      </c>
      <c r="D51" s="253"/>
      <c r="E51" s="154">
        <f t="shared" si="6"/>
        <v>430082.69951017911</v>
      </c>
      <c r="G51" s="254">
        <f t="shared" si="7"/>
        <v>0.57999999999999996</v>
      </c>
      <c r="I51" s="154">
        <f t="shared" si="8"/>
        <v>378730.33465165534</v>
      </c>
      <c r="J51" s="254">
        <f t="shared" si="9"/>
        <v>0.51074733847265841</v>
      </c>
      <c r="L51" s="154">
        <f t="shared" si="5"/>
        <v>-51352.364858523768</v>
      </c>
      <c r="N51" s="254">
        <f t="shared" si="10"/>
        <v>-6.9252661527341566E-2</v>
      </c>
    </row>
    <row r="52" spans="1:14" ht="14" x14ac:dyDescent="0.3">
      <c r="A52" s="151">
        <f>IF(B52&lt;&gt;"",COUNTA($B$12:B52),"")</f>
        <v>37</v>
      </c>
      <c r="B52" s="130" t="str">
        <f>+'R1 EMA'!B50</f>
        <v>Long Term Renewable Contract Adjustment</v>
      </c>
      <c r="C52" s="253" t="str">
        <f>+'R1 EMA'!C50</f>
        <v>LTRCA</v>
      </c>
      <c r="D52" s="253"/>
      <c r="E52" s="154">
        <f t="shared" si="6"/>
        <v>174999.16738690049</v>
      </c>
      <c r="G52" s="254">
        <f t="shared" si="7"/>
        <v>0.23600000000000002</v>
      </c>
      <c r="I52" s="154">
        <f t="shared" si="8"/>
        <v>128706.91038510577</v>
      </c>
      <c r="J52" s="254">
        <f t="shared" si="9"/>
        <v>0.17357128782064518</v>
      </c>
      <c r="L52" s="154">
        <f t="shared" si="5"/>
        <v>-46292.257001794715</v>
      </c>
      <c r="N52" s="254">
        <f t="shared" si="10"/>
        <v>-6.2428712179354862E-2</v>
      </c>
    </row>
    <row r="53" spans="1:14" ht="14" x14ac:dyDescent="0.3">
      <c r="A53" s="151">
        <f>IF(B53&lt;&gt;"",COUNTA($B$12:B53),"")</f>
        <v>38</v>
      </c>
      <c r="B53" s="130" t="str">
        <f>+'R1 EMA'!B51</f>
        <v>AG Consulting Expense</v>
      </c>
      <c r="C53" s="253" t="str">
        <f>+'R1 EMA'!C51</f>
        <v>AGCE</v>
      </c>
      <c r="D53" s="253"/>
      <c r="E53" s="154">
        <f t="shared" si="6"/>
        <v>2224.5656871216161</v>
      </c>
      <c r="G53" s="254">
        <f t="shared" si="7"/>
        <v>2.9999999999999996E-3</v>
      </c>
      <c r="I53" s="154">
        <f t="shared" si="8"/>
        <v>609.84765548396376</v>
      </c>
      <c r="J53" s="254">
        <f t="shared" si="9"/>
        <v>8.2242703690137012E-4</v>
      </c>
      <c r="L53" s="154">
        <f t="shared" si="5"/>
        <v>-1614.7180316376523</v>
      </c>
      <c r="N53" s="254">
        <f t="shared" si="10"/>
        <v>-2.1775729630986295E-3</v>
      </c>
    </row>
    <row r="54" spans="1:14" ht="14" x14ac:dyDescent="0.3">
      <c r="A54" s="151">
        <f>IF(B54&lt;&gt;"",COUNTA($B$12:B54),"")</f>
        <v>39</v>
      </c>
      <c r="B54" s="130" t="str">
        <f>+'R1 EMA'!B52</f>
        <v>Storm Cost Recovery Adjustment Factor</v>
      </c>
      <c r="C54" s="253" t="str">
        <f>+'R1 EMA'!C52</f>
        <v>SCRA</v>
      </c>
      <c r="D54" s="253"/>
      <c r="E54" s="154">
        <f t="shared" si="6"/>
        <v>134956.98501871139</v>
      </c>
      <c r="G54" s="254">
        <f t="shared" si="7"/>
        <v>0.18200000000000002</v>
      </c>
      <c r="I54" s="154">
        <f t="shared" si="8"/>
        <v>219681.9297545692</v>
      </c>
      <c r="J54" s="254">
        <f t="shared" si="9"/>
        <v>0.29625818337441517</v>
      </c>
      <c r="L54" s="154">
        <f>I54-E54</f>
        <v>84724.944735857804</v>
      </c>
      <c r="N54" s="254">
        <f t="shared" si="10"/>
        <v>0.11425818337441514</v>
      </c>
    </row>
    <row r="55" spans="1:14" ht="14" x14ac:dyDescent="0.3">
      <c r="A55" s="151">
        <f>IF(B55&lt;&gt;"",COUNTA($B$12:B55),"")</f>
        <v>40</v>
      </c>
      <c r="B55" s="130" t="str">
        <f>+'R1 EMA'!B53</f>
        <v>Storm Reserve Adjustment</v>
      </c>
      <c r="C55" s="253" t="str">
        <f>+'R1 EMA'!C53</f>
        <v>SRA</v>
      </c>
      <c r="D55" s="253"/>
      <c r="E55" s="154">
        <f t="shared" si="6"/>
        <v>0</v>
      </c>
      <c r="G55" s="254">
        <f t="shared" si="7"/>
        <v>0</v>
      </c>
      <c r="I55" s="154">
        <f t="shared" si="8"/>
        <v>0</v>
      </c>
      <c r="J55" s="254">
        <f t="shared" si="9"/>
        <v>0</v>
      </c>
      <c r="L55" s="154">
        <f>I55-E55</f>
        <v>0</v>
      </c>
      <c r="N55" s="254">
        <f t="shared" si="10"/>
        <v>0</v>
      </c>
    </row>
    <row r="56" spans="1:14" ht="14" x14ac:dyDescent="0.3">
      <c r="A56" s="151">
        <f>IF(B56&lt;&gt;"",COUNTA($B$12:B56),"")</f>
        <v>41</v>
      </c>
      <c r="B56" s="130" t="str">
        <f>+'R1 EMA'!B54</f>
        <v>Basic Service Cost True Up Factor</v>
      </c>
      <c r="C56" s="253" t="str">
        <f>+'R1 EMA'!C54</f>
        <v>BSTF</v>
      </c>
      <c r="D56" s="253"/>
      <c r="E56" s="154">
        <f t="shared" si="6"/>
        <v>116418.93762603124</v>
      </c>
      <c r="G56" s="254">
        <f t="shared" si="7"/>
        <v>0.157</v>
      </c>
      <c r="I56" s="154">
        <f t="shared" si="8"/>
        <v>-14413.100765861012</v>
      </c>
      <c r="J56" s="254">
        <f t="shared" si="9"/>
        <v>-1.9437188368004871E-2</v>
      </c>
      <c r="L56" s="154">
        <f t="shared" ref="L56:L62" si="11">I56-E56</f>
        <v>-130832.03839189226</v>
      </c>
      <c r="N56" s="254">
        <f t="shared" si="10"/>
        <v>-0.17643718836800487</v>
      </c>
    </row>
    <row r="57" spans="1:14" ht="14" x14ac:dyDescent="0.3">
      <c r="A57" s="151">
        <f>IF(B57&lt;&gt;"",COUNTA($B$12:B57),"")</f>
        <v>42</v>
      </c>
      <c r="B57" s="130" t="str">
        <f>+'R1 EMA'!B55</f>
        <v>Solar Program Cost Adjustment Factor</v>
      </c>
      <c r="C57" s="253" t="str">
        <f>+'R1 EMA'!C55</f>
        <v>SPCA</v>
      </c>
      <c r="D57" s="253"/>
      <c r="E57" s="154">
        <f t="shared" si="6"/>
        <v>0</v>
      </c>
      <c r="G57" s="254">
        <f t="shared" si="7"/>
        <v>0</v>
      </c>
      <c r="I57" s="154">
        <f t="shared" si="8"/>
        <v>2565.020525127341</v>
      </c>
      <c r="J57" s="254">
        <f t="shared" si="9"/>
        <v>3.4591298516964569E-3</v>
      </c>
      <c r="L57" s="154">
        <f t="shared" si="11"/>
        <v>2565.020525127341</v>
      </c>
      <c r="N57" s="254">
        <f t="shared" si="10"/>
        <v>3.4591298516964569E-3</v>
      </c>
    </row>
    <row r="58" spans="1:14" ht="14" x14ac:dyDescent="0.3">
      <c r="A58" s="151">
        <f>IF(B58&lt;&gt;"",COUNTA($B$12:B58),"")</f>
        <v>43</v>
      </c>
      <c r="B58" s="130" t="str">
        <f>+'R1 EMA'!B56</f>
        <v>Solar Expansion Cost Recovery Factor</v>
      </c>
      <c r="C58" s="253" t="str">
        <f>+'R1 EMA'!C56</f>
        <v>SECRF</v>
      </c>
      <c r="D58" s="253"/>
      <c r="E58" s="154">
        <f t="shared" si="6"/>
        <v>0</v>
      </c>
      <c r="G58" s="254">
        <f t="shared" si="7"/>
        <v>0</v>
      </c>
      <c r="I58" s="154">
        <f t="shared" si="8"/>
        <v>45241.093999391946</v>
      </c>
      <c r="J58" s="254">
        <f t="shared" si="9"/>
        <v>6.1011137043019532E-2</v>
      </c>
      <c r="L58" s="154">
        <f t="shared" si="11"/>
        <v>45241.093999391946</v>
      </c>
      <c r="N58" s="254">
        <f t="shared" si="10"/>
        <v>6.1011137043019532E-2</v>
      </c>
    </row>
    <row r="59" spans="1:14" ht="14" x14ac:dyDescent="0.3">
      <c r="A59" s="151">
        <f>IF(B59&lt;&gt;"",COUNTA($B$12:B59),"")</f>
        <v>44</v>
      </c>
      <c r="B59" s="130" t="str">
        <f>+'R1 EMA'!B57</f>
        <v>Vegetation Management</v>
      </c>
      <c r="C59" s="253" t="str">
        <f>+'R1 EMA'!C57</f>
        <v>RTWF</v>
      </c>
      <c r="D59" s="253"/>
      <c r="E59" s="154">
        <f t="shared" si="6"/>
        <v>0</v>
      </c>
      <c r="G59" s="254">
        <f t="shared" si="7"/>
        <v>0</v>
      </c>
      <c r="I59" s="154">
        <f t="shared" si="8"/>
        <v>121881.40076575616</v>
      </c>
      <c r="J59" s="254">
        <f t="shared" si="9"/>
        <v>0.16436655676838138</v>
      </c>
      <c r="L59" s="154">
        <f t="shared" si="11"/>
        <v>121881.40076575616</v>
      </c>
      <c r="N59" s="254">
        <f t="shared" si="10"/>
        <v>0.16436655676838138</v>
      </c>
    </row>
    <row r="60" spans="1:14" ht="14" x14ac:dyDescent="0.3">
      <c r="A60" s="151">
        <f>IF(B60&lt;&gt;"",COUNTA($B$12:B60),"")</f>
        <v>45</v>
      </c>
      <c r="B60" s="130" t="str">
        <f>+'R1 EMA'!B58</f>
        <v>Solar Massachusetts Renewable Target</v>
      </c>
      <c r="C60" s="253" t="str">
        <f>+'R1 EMA'!C58</f>
        <v>SMART</v>
      </c>
      <c r="D60" s="253"/>
      <c r="E60" s="154">
        <f t="shared" si="6"/>
        <v>0</v>
      </c>
      <c r="G60" s="254">
        <f t="shared" si="7"/>
        <v>0</v>
      </c>
      <c r="I60" s="154">
        <f t="shared" si="8"/>
        <v>53006.290233429776</v>
      </c>
      <c r="J60" s="254">
        <f t="shared" si="9"/>
        <v>7.1483108644926172E-2</v>
      </c>
      <c r="L60" s="154">
        <f t="shared" si="11"/>
        <v>53006.290233429776</v>
      </c>
      <c r="N60" s="254">
        <f t="shared" si="10"/>
        <v>7.1483108644926172E-2</v>
      </c>
    </row>
    <row r="61" spans="1:14" ht="14" x14ac:dyDescent="0.3">
      <c r="A61" s="151">
        <f>IF(B61&lt;&gt;"",COUNTA($B$12:B61),"")</f>
        <v>46</v>
      </c>
      <c r="B61" s="130" t="str">
        <f>+'R1 EMA'!B59</f>
        <v>Tax Act Credit Factor</v>
      </c>
      <c r="C61" s="253" t="str">
        <f>+'R1 EMA'!C59</f>
        <v>TACF</v>
      </c>
      <c r="D61" s="253"/>
      <c r="E61" s="154">
        <f t="shared" si="6"/>
        <v>0</v>
      </c>
      <c r="G61" s="254">
        <f t="shared" si="7"/>
        <v>0</v>
      </c>
      <c r="I61" s="154">
        <f t="shared" si="8"/>
        <v>-80242.668272185794</v>
      </c>
      <c r="J61" s="254">
        <f t="shared" si="9"/>
        <v>-0.10821348464114688</v>
      </c>
      <c r="L61" s="154">
        <f t="shared" si="11"/>
        <v>-80242.668272185794</v>
      </c>
      <c r="N61" s="254">
        <f t="shared" si="10"/>
        <v>-0.10821348464114688</v>
      </c>
    </row>
    <row r="62" spans="1:14" ht="14" x14ac:dyDescent="0.3">
      <c r="A62" s="151">
        <f>IF(B62&lt;&gt;"",COUNTA($B$12:B62),"")</f>
        <v>47</v>
      </c>
      <c r="B62" s="130" t="str">
        <f>+'R1 EMA'!B60</f>
        <v>Transition</v>
      </c>
      <c r="C62" s="253" t="str">
        <f>+'R1 EMA'!C60</f>
        <v>TRNSN</v>
      </c>
      <c r="D62" s="253"/>
      <c r="E62" s="154">
        <f t="shared" si="6"/>
        <v>-45232.835638139528</v>
      </c>
      <c r="G62" s="254">
        <f t="shared" si="7"/>
        <v>-6.0999999999999999E-2</v>
      </c>
      <c r="I62" s="154">
        <f t="shared" si="8"/>
        <v>-38640.202791190321</v>
      </c>
      <c r="J62" s="254">
        <f t="shared" si="9"/>
        <v>-5.2109321403568713E-2</v>
      </c>
      <c r="L62" s="154">
        <f t="shared" si="11"/>
        <v>6592.6328469492073</v>
      </c>
      <c r="N62" s="254">
        <f t="shared" si="10"/>
        <v>8.8906785964312906E-3</v>
      </c>
    </row>
    <row r="63" spans="1:14" ht="14" x14ac:dyDescent="0.3">
      <c r="A63" s="151">
        <f>IF(B63&lt;&gt;"",COUNTA($B$12:B63),"")</f>
        <v>48</v>
      </c>
      <c r="B63" s="130" t="str">
        <f>+'R1 EMA'!B61</f>
        <v>Transmission</v>
      </c>
      <c r="C63" s="253" t="str">
        <f>+'R1 EMA'!C61</f>
        <v>TRNSM</v>
      </c>
      <c r="D63" s="253"/>
      <c r="E63" s="154">
        <f>SUM(SUMIF($C$12:$C$36,{"TMKW","TMKWH"},$I$12:$I$36))</f>
        <v>2147447.409968067</v>
      </c>
      <c r="G63" s="254">
        <f t="shared" si="7"/>
        <v>2.8960000000000004</v>
      </c>
      <c r="I63" s="154">
        <f>SUM(SUMIF($C$12:$C$36,{"TMKW","TMKWH"},$N$12:$N$36))</f>
        <v>1856542.7868064553</v>
      </c>
      <c r="J63" s="254">
        <f t="shared" si="9"/>
        <v>2.5036924702484078</v>
      </c>
      <c r="L63" s="154">
        <f t="shared" si="5"/>
        <v>-290904.62316161161</v>
      </c>
      <c r="N63" s="254">
        <f t="shared" si="10"/>
        <v>-0.39230752975159233</v>
      </c>
    </row>
    <row r="64" spans="1:14" ht="14" x14ac:dyDescent="0.3">
      <c r="A64" s="151">
        <f>IF(B64&lt;&gt;"",COUNTA($B$12:B64),"")</f>
        <v>49</v>
      </c>
      <c r="B64" s="130" t="str">
        <f>+'R1 EMA'!B62</f>
        <v>Energy Efficiency Reconciliation Factor</v>
      </c>
      <c r="C64" s="253" t="str">
        <f>+'R1 EMA'!C62</f>
        <v>EERF</v>
      </c>
      <c r="D64" s="253"/>
      <c r="E64" s="154">
        <f>SUMIF($C$12:$C$36,$C64,$I$12:$I$36)</f>
        <v>83791.974214914197</v>
      </c>
      <c r="G64" s="254">
        <f t="shared" si="7"/>
        <v>0.11299999999999999</v>
      </c>
      <c r="I64" s="154">
        <f>SUMIF($C$12:$C$36,$C64,$N$12:$N$36)</f>
        <v>83791.974214914197</v>
      </c>
      <c r="J64" s="254">
        <f t="shared" si="9"/>
        <v>0.11299999999999999</v>
      </c>
      <c r="L64" s="154">
        <f t="shared" si="5"/>
        <v>0</v>
      </c>
      <c r="N64" s="254">
        <f t="shared" si="10"/>
        <v>0</v>
      </c>
    </row>
    <row r="65" spans="1:14" ht="14" x14ac:dyDescent="0.3">
      <c r="A65" s="151">
        <f>IF(B65&lt;&gt;"",COUNTA($B$12:B65),"")</f>
        <v>50</v>
      </c>
      <c r="B65" s="130" t="str">
        <f>+'R1 EMA'!B63</f>
        <v>System Benefits Charge</v>
      </c>
      <c r="C65" s="253" t="str">
        <f>+'R1 EMA'!C63</f>
        <v>SBC</v>
      </c>
      <c r="D65" s="253"/>
      <c r="E65" s="154">
        <f>SUMIF($C$12:$C$36,$C65,$I$12:$I$36)</f>
        <v>185380.47392680135</v>
      </c>
      <c r="G65" s="254">
        <f t="shared" si="7"/>
        <v>0.25</v>
      </c>
      <c r="I65" s="154">
        <f>SUMIF($C$12:$C$36,$C65,$N$12:$N$36)</f>
        <v>185380.47392680135</v>
      </c>
      <c r="J65" s="254">
        <f t="shared" si="9"/>
        <v>0.25</v>
      </c>
      <c r="L65" s="154">
        <f t="shared" si="5"/>
        <v>0</v>
      </c>
      <c r="N65" s="254">
        <f t="shared" si="10"/>
        <v>0</v>
      </c>
    </row>
    <row r="66" spans="1:14" ht="14" x14ac:dyDescent="0.3">
      <c r="A66" s="151">
        <f>IF(B66&lt;&gt;"",COUNTA($B$12:B66),"")</f>
        <v>51</v>
      </c>
      <c r="B66" s="130" t="str">
        <f>+'R1 EMA'!B64</f>
        <v>Renewable Energy Charge</v>
      </c>
      <c r="C66" s="253" t="str">
        <f>+'R1 EMA'!C64</f>
        <v>RNEW</v>
      </c>
      <c r="D66" s="253"/>
      <c r="E66" s="154">
        <f>SUMIF($C$12:$C$36,$C66,$I$12:$I$36)</f>
        <v>37076.09478536027</v>
      </c>
      <c r="G66" s="254">
        <f t="shared" si="7"/>
        <v>0.05</v>
      </c>
      <c r="I66" s="154">
        <f>SUMIF($C$12:$C$36,$C66,$N$12:$N$36)</f>
        <v>37076.09478536027</v>
      </c>
      <c r="J66" s="254">
        <f t="shared" si="9"/>
        <v>0.05</v>
      </c>
      <c r="L66" s="154">
        <f>I66-E66</f>
        <v>0</v>
      </c>
      <c r="N66" s="254">
        <f t="shared" si="10"/>
        <v>0</v>
      </c>
    </row>
    <row r="67" spans="1:14" ht="14" x14ac:dyDescent="0.3">
      <c r="A67" s="151">
        <f>IF(B67&lt;&gt;"",COUNTA($B$12:B67),"")</f>
        <v>52</v>
      </c>
      <c r="B67" s="130" t="str">
        <f>+'R1 EMA'!B65</f>
        <v>Basic Service Charge</v>
      </c>
      <c r="C67" s="253" t="str">
        <f>+'R1 EMA'!C65</f>
        <v>BS</v>
      </c>
      <c r="D67" s="253"/>
      <c r="E67" s="255">
        <f>SUMIF($C$12:$C$36,$C67,$I$12:$I$36)</f>
        <v>8451125.0453750193</v>
      </c>
      <c r="F67" s="256"/>
      <c r="G67" s="257">
        <f t="shared" si="7"/>
        <v>11.396999999999998</v>
      </c>
      <c r="H67" s="258"/>
      <c r="I67" s="255">
        <f>SUMIF($C$12:$C$36,$C67,$N$12:$N$36)</f>
        <v>10075799.518869506</v>
      </c>
      <c r="J67" s="257">
        <f t="shared" si="9"/>
        <v>13.588000000000001</v>
      </c>
      <c r="K67" s="255"/>
      <c r="L67" s="255">
        <f t="shared" si="5"/>
        <v>1624674.4734944869</v>
      </c>
      <c r="M67" s="259"/>
      <c r="N67" s="257">
        <f t="shared" si="10"/>
        <v>2.1909999999999998</v>
      </c>
    </row>
    <row r="68" spans="1:14" ht="14" x14ac:dyDescent="0.3">
      <c r="A68" s="151">
        <f>IF(B68&lt;&gt;"",COUNTA($B$12:B68),"")</f>
        <v>53</v>
      </c>
      <c r="B68" s="130" t="str">
        <f>+'R1 EMA'!B66</f>
        <v>Total</v>
      </c>
      <c r="C68" s="130"/>
      <c r="D68" s="130"/>
      <c r="E68" s="154">
        <f>SUM(E47:E67)</f>
        <v>9860319.4904499501</v>
      </c>
      <c r="G68" s="254">
        <f t="shared" si="7"/>
        <v>13.297408407672103</v>
      </c>
      <c r="I68" s="154">
        <f>SUM(I47:I67)</f>
        <v>10863946.714559799</v>
      </c>
      <c r="J68" s="254">
        <f t="shared" si="9"/>
        <v>14.650877846565299</v>
      </c>
      <c r="L68" s="154">
        <f>SUM(L47:L67)</f>
        <v>1003627.2241098471</v>
      </c>
      <c r="N68" s="254">
        <f t="shared" si="10"/>
        <v>1.3534694388931918</v>
      </c>
    </row>
    <row r="69" spans="1:14" ht="14" x14ac:dyDescent="0.3">
      <c r="A69" s="151" t="str">
        <f>IF(B69&lt;&gt;"",COUNTA($B$9:B69),"")</f>
        <v/>
      </c>
    </row>
    <row r="70" spans="1:14" ht="14" x14ac:dyDescent="0.3">
      <c r="A70" s="151"/>
      <c r="B70" s="256" t="s">
        <v>164</v>
      </c>
      <c r="E70" s="188"/>
      <c r="G70" s="188"/>
      <c r="H70" s="188"/>
      <c r="I70" s="188"/>
      <c r="J70" s="188"/>
      <c r="K70" s="188"/>
      <c r="L70" s="188"/>
      <c r="M70" s="188"/>
      <c r="N70" s="188"/>
    </row>
    <row r="71" spans="1:14" ht="14" x14ac:dyDescent="0.3">
      <c r="A71" s="151"/>
      <c r="B71" s="188" t="str">
        <f>'R2 EMA'!B71</f>
        <v>Col. (a): Company's forecast</v>
      </c>
    </row>
    <row r="72" spans="1:14" ht="14" x14ac:dyDescent="0.3">
      <c r="A72" s="151"/>
      <c r="B72" s="188" t="str">
        <f>'R2 EMA'!B72</f>
        <v>Col. (b): Current rates</v>
      </c>
    </row>
    <row r="73" spans="1:14" ht="14" x14ac:dyDescent="0.3">
      <c r="A73" s="151"/>
      <c r="B73" s="188" t="str">
        <f>'R2 EMA'!B73</f>
        <v>Col. (c): Col. (a) x Col. (b)</v>
      </c>
    </row>
    <row r="74" spans="1:14" ht="14" x14ac:dyDescent="0.3">
      <c r="A74" s="151"/>
      <c r="B74" s="188" t="str">
        <f>'R2 EMA'!B74</f>
        <v>Col. (e): Proposed rates</v>
      </c>
    </row>
    <row r="75" spans="1:14" ht="14" x14ac:dyDescent="0.3">
      <c r="A75" s="151"/>
      <c r="B75" s="188" t="str">
        <f>'R2 EMA'!B75</f>
        <v>Col. (f): Col. (a), Line 1 or Line 2  x Col. (e)</v>
      </c>
    </row>
    <row r="76" spans="1:14" ht="14" x14ac:dyDescent="0.3">
      <c r="A76" s="151"/>
      <c r="B76" s="188" t="str">
        <f>'R2 EMA'!B76</f>
        <v>Col. (f) (Low Income Discount): Col. (f), Line 24 x 36.0%</v>
      </c>
    </row>
  </sheetData>
  <mergeCells count="10">
    <mergeCell ref="E45:G45"/>
    <mergeCell ref="I45:K45"/>
    <mergeCell ref="L45:N45"/>
    <mergeCell ref="A4:N4"/>
    <mergeCell ref="A5:N5"/>
    <mergeCell ref="A7:N7"/>
    <mergeCell ref="G9:I9"/>
    <mergeCell ref="L9:N9"/>
    <mergeCell ref="E43:G43"/>
    <mergeCell ref="I43:J43"/>
  </mergeCells>
  <pageMargins left="0.7" right="0.7" top="0.75" bottom="0.75" header="0.3" footer="0.3"/>
  <pageSetup scale="63" orientation="portrait" r:id="rId1"/>
  <headerFooter>
    <oddHeader>&amp;RNSTAR Electric Company
d/b/a Eversource Energy
D.P.U. 18-120 (Dec. 26, 2018)
Exhibit ES-MQ-9 (Revised)
Page &amp;P of &amp;N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A5605-C6EE-4F59-BC09-049839ED1B66}">
  <sheetPr>
    <tabColor theme="3" tint="0.59999389629810485"/>
    <pageSetUpPr fitToPage="1"/>
  </sheetPr>
  <dimension ref="A4:Z142"/>
  <sheetViews>
    <sheetView zoomScaleNormal="100" workbookViewId="0"/>
  </sheetViews>
  <sheetFormatPr defaultRowHeight="12.5" x14ac:dyDescent="0.25"/>
  <cols>
    <col min="1" max="1" width="4" customWidth="1"/>
    <col min="2" max="2" width="4.453125" bestFit="1" customWidth="1"/>
    <col min="3" max="3" width="9.26953125" customWidth="1"/>
    <col min="4" max="4" width="9.7265625" customWidth="1"/>
    <col min="5" max="7" width="14.7265625" customWidth="1"/>
    <col min="8" max="8" width="1.7265625" customWidth="1"/>
    <col min="9" max="11" width="14.7265625" customWidth="1"/>
    <col min="12" max="12" width="1.7265625" customWidth="1"/>
    <col min="13" max="14" width="11.7265625" customWidth="1"/>
    <col min="15" max="15" width="10.81640625" bestFit="1" customWidth="1"/>
    <col min="16" max="16" width="10.1796875" bestFit="1" customWidth="1"/>
    <col min="17" max="17" width="11.26953125" bestFit="1" customWidth="1"/>
    <col min="18" max="19" width="11.81640625" bestFit="1" customWidth="1"/>
    <col min="20" max="20" width="8" bestFit="1" customWidth="1"/>
    <col min="21" max="21" width="10.81640625" bestFit="1" customWidth="1"/>
    <col min="22" max="22" width="10.1796875" bestFit="1" customWidth="1"/>
    <col min="23" max="23" width="11.26953125" bestFit="1" customWidth="1"/>
    <col min="24" max="25" width="11.81640625" bestFit="1" customWidth="1"/>
    <col min="26" max="26" width="8.453125" bestFit="1" customWidth="1"/>
  </cols>
  <sheetData>
    <row r="4" spans="1:26" ht="14" x14ac:dyDescent="0.3">
      <c r="A4" s="766" t="str">
        <f>'Bill_South G3'!A4:N4</f>
        <v>Eastern Massachusetts</v>
      </c>
      <c r="B4" s="766"/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  <c r="N4" s="766"/>
    </row>
    <row r="5" spans="1:26" ht="14" x14ac:dyDescent="0.3">
      <c r="A5" s="766" t="str">
        <f>+'Bill_Cam G0'!A5</f>
        <v>Calculation of Monthly Typical Bill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</row>
    <row r="6" spans="1:26" ht="14" x14ac:dyDescent="0.3">
      <c r="A6" s="766" t="str">
        <f>+'Bill_Cam G0'!A6</f>
        <v>Proposed January 1, 2019</v>
      </c>
      <c r="B6" s="766"/>
      <c r="C6" s="766"/>
      <c r="D6" s="766"/>
      <c r="E6" s="766"/>
      <c r="F6" s="766"/>
      <c r="G6" s="766"/>
      <c r="H6" s="766"/>
      <c r="I6" s="766"/>
      <c r="J6" s="766"/>
      <c r="K6" s="766"/>
      <c r="L6" s="766"/>
      <c r="M6" s="766"/>
      <c r="N6" s="766"/>
    </row>
    <row r="7" spans="1:26" ht="14" x14ac:dyDescent="0.3">
      <c r="A7" s="521"/>
      <c r="B7" s="521"/>
      <c r="C7" s="525"/>
      <c r="D7" s="293"/>
      <c r="E7" s="468"/>
      <c r="F7" s="243"/>
      <c r="G7" s="469"/>
      <c r="H7" s="293"/>
      <c r="I7" s="369"/>
      <c r="J7" s="369"/>
      <c r="K7" s="369"/>
      <c r="L7" s="369"/>
      <c r="M7" s="369"/>
      <c r="N7" s="369"/>
    </row>
    <row r="8" spans="1:26" ht="14" x14ac:dyDescent="0.3">
      <c r="A8" s="766" t="s">
        <v>476</v>
      </c>
      <c r="B8" s="766"/>
      <c r="C8" s="766"/>
      <c r="D8" s="766"/>
      <c r="E8" s="766"/>
      <c r="F8" s="766"/>
      <c r="G8" s="766"/>
      <c r="H8" s="766"/>
      <c r="I8" s="766"/>
      <c r="J8" s="766"/>
      <c r="K8" s="766"/>
      <c r="L8" s="766"/>
      <c r="M8" s="766"/>
      <c r="N8" s="766"/>
    </row>
    <row r="9" spans="1:26" ht="14" x14ac:dyDescent="0.3">
      <c r="A9" s="766" t="s">
        <v>502</v>
      </c>
      <c r="B9" s="766"/>
      <c r="C9" s="766"/>
      <c r="D9" s="766"/>
      <c r="E9" s="766"/>
      <c r="F9" s="766"/>
      <c r="G9" s="766"/>
      <c r="H9" s="766"/>
      <c r="I9" s="766"/>
      <c r="J9" s="766"/>
      <c r="K9" s="766"/>
      <c r="L9" s="766"/>
      <c r="M9" s="766"/>
      <c r="N9" s="766"/>
    </row>
    <row r="10" spans="1:26" ht="14" x14ac:dyDescent="0.3">
      <c r="A10" s="366"/>
      <c r="B10" s="366"/>
      <c r="C10" s="293"/>
      <c r="D10" s="293"/>
      <c r="E10" s="293"/>
      <c r="F10" s="293"/>
      <c r="G10" s="368"/>
      <c r="H10" s="293"/>
    </row>
    <row r="11" spans="1:26" ht="14" x14ac:dyDescent="0.3">
      <c r="A11" s="151"/>
      <c r="B11" s="151"/>
      <c r="C11" s="293"/>
      <c r="D11" s="293"/>
      <c r="E11" s="293"/>
      <c r="F11" s="293"/>
      <c r="G11" s="368"/>
      <c r="H11" s="293"/>
    </row>
    <row r="12" spans="1:26" ht="14" x14ac:dyDescent="0.3">
      <c r="A12" s="151">
        <f>IF(C12&lt;&gt;"",COUNTA($C$12:C12),"")</f>
        <v>1</v>
      </c>
      <c r="B12" s="151"/>
      <c r="C12" s="366" t="s">
        <v>528</v>
      </c>
      <c r="D12" s="366" t="s">
        <v>528</v>
      </c>
      <c r="E12" s="760" t="str">
        <f>+'Bill_South G1'!E12</f>
        <v>Current Monthly Bill</v>
      </c>
      <c r="F12" s="760"/>
      <c r="G12" s="760"/>
      <c r="H12" s="293"/>
      <c r="I12" s="760" t="str">
        <f>+'Bill_South G1'!I12</f>
        <v>Proposed Monthly Bill</v>
      </c>
      <c r="J12" s="760"/>
      <c r="K12" s="760"/>
      <c r="M12" s="760" t="s">
        <v>550</v>
      </c>
      <c r="N12" s="760"/>
      <c r="O12" s="369"/>
      <c r="P12" s="369"/>
      <c r="Q12" s="369"/>
      <c r="R12" s="369"/>
      <c r="S12" s="369"/>
      <c r="T12" s="369"/>
      <c r="U12" s="369"/>
      <c r="V12" s="369"/>
      <c r="W12" s="369"/>
      <c r="X12" s="369"/>
      <c r="Y12" s="369"/>
      <c r="Z12" s="369"/>
    </row>
    <row r="13" spans="1:26" ht="14" x14ac:dyDescent="0.3">
      <c r="A13" s="151">
        <f>IF(C13&lt;&gt;"",COUNTA($C$12:C13),"")</f>
        <v>2</v>
      </c>
      <c r="B13" s="151"/>
      <c r="C13" s="408" t="s">
        <v>534</v>
      </c>
      <c r="D13" s="370" t="s">
        <v>551</v>
      </c>
      <c r="E13" s="370" t="s">
        <v>552</v>
      </c>
      <c r="F13" s="370" t="s">
        <v>553</v>
      </c>
      <c r="G13" s="370" t="s">
        <v>47</v>
      </c>
      <c r="H13" s="293"/>
      <c r="I13" s="370" t="s">
        <v>552</v>
      </c>
      <c r="J13" s="370" t="s">
        <v>553</v>
      </c>
      <c r="K13" s="370" t="s">
        <v>47</v>
      </c>
      <c r="M13" s="370" t="s">
        <v>65</v>
      </c>
      <c r="N13" s="370" t="s">
        <v>325</v>
      </c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</row>
    <row r="14" spans="1:26" ht="14" x14ac:dyDescent="0.3">
      <c r="A14" s="151" t="str">
        <f>IF(C14&lt;&gt;"",COUNTA($C$12:C14),"")</f>
        <v/>
      </c>
      <c r="B14" s="151"/>
      <c r="C14" s="408"/>
      <c r="D14" s="370"/>
      <c r="E14" s="370"/>
      <c r="F14" s="370"/>
      <c r="G14" s="370"/>
      <c r="H14" s="293"/>
      <c r="I14" s="370"/>
      <c r="J14" s="370"/>
      <c r="K14" s="370"/>
      <c r="M14" s="370"/>
      <c r="N14" s="370"/>
      <c r="O14" s="369"/>
      <c r="P14" s="369"/>
      <c r="Q14" s="369"/>
      <c r="R14" s="369"/>
      <c r="S14" s="369"/>
      <c r="T14" s="369"/>
      <c r="U14" s="369"/>
      <c r="V14" s="369"/>
      <c r="W14" s="369"/>
      <c r="X14" s="369"/>
      <c r="Y14" s="369"/>
      <c r="Z14" s="369"/>
    </row>
    <row r="15" spans="1:26" ht="14" x14ac:dyDescent="0.3">
      <c r="A15" s="151">
        <f>IF(C15&lt;&gt;"",COUNTA($C$12:C15),"")</f>
        <v>3</v>
      </c>
      <c r="B15" s="151"/>
      <c r="C15" s="293" t="s">
        <v>609</v>
      </c>
      <c r="D15" s="370"/>
      <c r="E15" s="370"/>
      <c r="F15" s="370"/>
      <c r="G15" s="370"/>
      <c r="H15" s="293"/>
      <c r="I15" s="370"/>
      <c r="J15" s="370"/>
      <c r="K15" s="370"/>
      <c r="M15" s="370"/>
      <c r="N15" s="370"/>
      <c r="O15" s="369"/>
      <c r="P15" s="369"/>
      <c r="Q15" s="369"/>
      <c r="R15" s="369"/>
      <c r="S15" s="369"/>
      <c r="T15" s="369"/>
      <c r="U15" s="369"/>
      <c r="V15" s="369"/>
      <c r="W15" s="369"/>
      <c r="X15" s="369"/>
      <c r="Y15" s="369"/>
      <c r="Z15" s="369"/>
    </row>
    <row r="16" spans="1:26" ht="14" x14ac:dyDescent="0.3">
      <c r="A16" s="151">
        <f>IF(C16&lt;&gt;"",COUNTA($C$12:C16),"")</f>
        <v>4</v>
      </c>
      <c r="B16" s="151"/>
      <c r="C16" s="406">
        <v>20</v>
      </c>
      <c r="D16" s="409">
        <f>+C16*150</f>
        <v>3000</v>
      </c>
      <c r="E16" s="372">
        <f t="shared" ref="E16:E21" si="0">ROUND($G$42+$C16*SUM($G$43,$G$44)+SUM($G$45:$G$60,$G$61:$G$64)*$D16,2)</f>
        <v>228.79</v>
      </c>
      <c r="F16" s="372">
        <f t="shared" ref="F16:F21" si="1">ROUND($G$65*$D16,2)</f>
        <v>342.09</v>
      </c>
      <c r="G16" s="372">
        <f t="shared" ref="G16:G21" si="2">SUM(E16:F16)</f>
        <v>570.88</v>
      </c>
      <c r="H16" s="373"/>
      <c r="I16" s="372">
        <f t="shared" ref="I16:I21" si="3">ROUND($I$42+$C16*SUM($I$43,$I$44)+SUM($I$45:$I$60,$I$61:$I$64)*$D16,2)</f>
        <v>232.59</v>
      </c>
      <c r="J16" s="372">
        <f t="shared" ref="J16:J21" si="4">ROUND($I$65*$D16,2)</f>
        <v>395.55</v>
      </c>
      <c r="K16" s="372">
        <f t="shared" ref="K16:K21" si="5">SUM(I16:J16)</f>
        <v>628.14</v>
      </c>
      <c r="L16" s="374"/>
      <c r="M16" s="375">
        <f t="shared" ref="M16:M21" si="6">+K16-G16</f>
        <v>57.259999999999991</v>
      </c>
      <c r="N16" s="376">
        <f t="shared" ref="N16:N21" si="7">+M16/G16</f>
        <v>0.10030128923766815</v>
      </c>
      <c r="O16" s="374"/>
      <c r="P16" s="374"/>
      <c r="Q16" s="374"/>
      <c r="R16" s="374"/>
      <c r="S16" s="374"/>
      <c r="T16" s="374"/>
      <c r="U16" s="374"/>
      <c r="V16" s="374"/>
      <c r="W16" s="374"/>
      <c r="X16" s="374"/>
      <c r="Y16" s="374"/>
      <c r="Z16" s="374"/>
    </row>
    <row r="17" spans="1:26" ht="14" x14ac:dyDescent="0.3">
      <c r="A17" s="151">
        <f>IF(C17&lt;&gt;"",COUNTA($C$12:C17),"")</f>
        <v>5</v>
      </c>
      <c r="B17" s="151"/>
      <c r="C17" s="406">
        <v>30</v>
      </c>
      <c r="D17" s="409">
        <f t="shared" ref="D17:D21" si="8">+C17*150</f>
        <v>4500</v>
      </c>
      <c r="E17" s="372">
        <f t="shared" si="0"/>
        <v>340.19</v>
      </c>
      <c r="F17" s="372">
        <f t="shared" si="1"/>
        <v>513.14</v>
      </c>
      <c r="G17" s="372">
        <f t="shared" si="2"/>
        <v>853.32999999999993</v>
      </c>
      <c r="H17" s="373"/>
      <c r="I17" s="372">
        <f t="shared" si="3"/>
        <v>345.89</v>
      </c>
      <c r="J17" s="372">
        <f t="shared" si="4"/>
        <v>593.33000000000004</v>
      </c>
      <c r="K17" s="372">
        <f t="shared" si="5"/>
        <v>939.22</v>
      </c>
      <c r="L17" s="374"/>
      <c r="M17" s="375">
        <f t="shared" si="6"/>
        <v>85.8900000000001</v>
      </c>
      <c r="N17" s="376">
        <f t="shared" si="7"/>
        <v>0.10065273692475374</v>
      </c>
      <c r="O17" s="374"/>
      <c r="P17" s="374"/>
      <c r="Q17" s="374"/>
      <c r="R17" s="374"/>
      <c r="S17" s="374"/>
      <c r="T17" s="374"/>
      <c r="U17" s="374"/>
      <c r="V17" s="374"/>
      <c r="W17" s="374"/>
      <c r="X17" s="374"/>
      <c r="Y17" s="374"/>
      <c r="Z17" s="374"/>
    </row>
    <row r="18" spans="1:26" ht="14" x14ac:dyDescent="0.3">
      <c r="A18" s="151">
        <f>IF(C18&lt;&gt;"",COUNTA($C$12:C18),"")</f>
        <v>6</v>
      </c>
      <c r="B18" s="151"/>
      <c r="C18" s="406">
        <v>40</v>
      </c>
      <c r="D18" s="409">
        <f t="shared" si="8"/>
        <v>6000</v>
      </c>
      <c r="E18" s="372">
        <f t="shared" si="0"/>
        <v>451.58</v>
      </c>
      <c r="F18" s="372">
        <f t="shared" si="1"/>
        <v>684.18</v>
      </c>
      <c r="G18" s="372">
        <f t="shared" si="2"/>
        <v>1135.76</v>
      </c>
      <c r="H18" s="373"/>
      <c r="I18" s="372">
        <f t="shared" si="3"/>
        <v>459.18</v>
      </c>
      <c r="J18" s="372">
        <f t="shared" si="4"/>
        <v>791.1</v>
      </c>
      <c r="K18" s="372">
        <f t="shared" si="5"/>
        <v>1250.28</v>
      </c>
      <c r="L18" s="374"/>
      <c r="M18" s="375">
        <f t="shared" si="6"/>
        <v>114.51999999999998</v>
      </c>
      <c r="N18" s="376">
        <f t="shared" si="7"/>
        <v>0.10083116151299569</v>
      </c>
      <c r="O18" s="374"/>
      <c r="P18" s="374"/>
      <c r="Q18" s="374"/>
      <c r="R18" s="374"/>
      <c r="S18" s="374"/>
      <c r="T18" s="374"/>
      <c r="U18" s="374"/>
      <c r="V18" s="374"/>
      <c r="W18" s="374"/>
      <c r="X18" s="374"/>
      <c r="Y18" s="374"/>
      <c r="Z18" s="374"/>
    </row>
    <row r="19" spans="1:26" ht="14" x14ac:dyDescent="0.3">
      <c r="A19" s="151">
        <f>IF(C19&lt;&gt;"",COUNTA($C$12:C19),"")</f>
        <v>7</v>
      </c>
      <c r="B19" s="151"/>
      <c r="C19" s="406">
        <v>70</v>
      </c>
      <c r="D19" s="409">
        <f t="shared" si="8"/>
        <v>10500</v>
      </c>
      <c r="E19" s="372">
        <f t="shared" si="0"/>
        <v>785.77</v>
      </c>
      <c r="F19" s="372">
        <f t="shared" si="1"/>
        <v>1197.32</v>
      </c>
      <c r="G19" s="372">
        <f t="shared" si="2"/>
        <v>1983.09</v>
      </c>
      <c r="H19" s="373"/>
      <c r="I19" s="372">
        <f t="shared" si="3"/>
        <v>799.07</v>
      </c>
      <c r="J19" s="372">
        <f t="shared" si="4"/>
        <v>1384.43</v>
      </c>
      <c r="K19" s="372">
        <f t="shared" si="5"/>
        <v>2183.5</v>
      </c>
      <c r="L19" s="374"/>
      <c r="M19" s="375">
        <f t="shared" si="6"/>
        <v>200.41000000000008</v>
      </c>
      <c r="N19" s="376">
        <f t="shared" si="7"/>
        <v>0.10105945771498021</v>
      </c>
      <c r="O19" s="374"/>
      <c r="P19" s="374"/>
      <c r="Q19" s="374"/>
      <c r="R19" s="374"/>
      <c r="S19" s="374"/>
      <c r="T19" s="374"/>
      <c r="U19" s="374"/>
      <c r="V19" s="374"/>
      <c r="W19" s="374"/>
      <c r="X19" s="374"/>
      <c r="Y19" s="374"/>
      <c r="Z19" s="374"/>
    </row>
    <row r="20" spans="1:26" ht="14" x14ac:dyDescent="0.3">
      <c r="A20" s="151">
        <f>IF(C20&lt;&gt;"",COUNTA($C$12:C20),"")</f>
        <v>8</v>
      </c>
      <c r="B20" s="151"/>
      <c r="C20" s="366">
        <v>100</v>
      </c>
      <c r="D20" s="409">
        <f t="shared" si="8"/>
        <v>15000</v>
      </c>
      <c r="E20" s="372">
        <f t="shared" si="0"/>
        <v>1119.95</v>
      </c>
      <c r="F20" s="372">
        <f t="shared" si="1"/>
        <v>1710.45</v>
      </c>
      <c r="G20" s="372">
        <f t="shared" si="2"/>
        <v>2830.4</v>
      </c>
      <c r="H20" s="373"/>
      <c r="I20" s="372">
        <f t="shared" si="3"/>
        <v>1138.95</v>
      </c>
      <c r="J20" s="372">
        <f t="shared" si="4"/>
        <v>1977.75</v>
      </c>
      <c r="K20" s="372">
        <f t="shared" si="5"/>
        <v>3116.7</v>
      </c>
      <c r="L20" s="374"/>
      <c r="M20" s="375">
        <f t="shared" si="6"/>
        <v>286.29999999999973</v>
      </c>
      <c r="N20" s="376">
        <f t="shared" si="7"/>
        <v>0.10115178066704343</v>
      </c>
      <c r="O20" s="374"/>
      <c r="P20" s="374"/>
      <c r="Q20" s="374"/>
      <c r="R20" s="374"/>
      <c r="S20" s="374"/>
      <c r="T20" s="374"/>
      <c r="U20" s="374"/>
      <c r="V20" s="374"/>
      <c r="W20" s="374"/>
      <c r="X20" s="374"/>
      <c r="Y20" s="374"/>
      <c r="Z20" s="374"/>
    </row>
    <row r="21" spans="1:26" ht="14" x14ac:dyDescent="0.3">
      <c r="A21" s="151">
        <f>IF(C21&lt;&gt;"",COUNTA($C$12:C21),"")</f>
        <v>9</v>
      </c>
      <c r="B21" s="151" t="s">
        <v>554</v>
      </c>
      <c r="C21" s="366">
        <v>52</v>
      </c>
      <c r="D21" s="409">
        <f t="shared" si="8"/>
        <v>7800</v>
      </c>
      <c r="E21" s="372">
        <f t="shared" si="0"/>
        <v>585.25</v>
      </c>
      <c r="F21" s="372">
        <f t="shared" si="1"/>
        <v>889.43</v>
      </c>
      <c r="G21" s="372">
        <f t="shared" si="2"/>
        <v>1474.6799999999998</v>
      </c>
      <c r="H21" s="373"/>
      <c r="I21" s="372">
        <f t="shared" si="3"/>
        <v>595.13</v>
      </c>
      <c r="J21" s="372">
        <f t="shared" si="4"/>
        <v>1028.43</v>
      </c>
      <c r="K21" s="372">
        <f t="shared" si="5"/>
        <v>1623.56</v>
      </c>
      <c r="L21" s="374"/>
      <c r="M21" s="375">
        <f t="shared" si="6"/>
        <v>148.88000000000011</v>
      </c>
      <c r="N21" s="376">
        <f t="shared" si="7"/>
        <v>0.10095749586350945</v>
      </c>
      <c r="O21" s="374"/>
      <c r="P21" s="374"/>
      <c r="Q21" s="374"/>
      <c r="R21" s="374"/>
      <c r="S21" s="374"/>
      <c r="T21" s="374"/>
      <c r="U21" s="374"/>
      <c r="V21" s="374"/>
      <c r="W21" s="374"/>
      <c r="X21" s="374"/>
      <c r="Y21" s="374"/>
      <c r="Z21" s="374"/>
    </row>
    <row r="22" spans="1:26" ht="14" x14ac:dyDescent="0.3">
      <c r="A22" s="151" t="str">
        <f>IF(C22&lt;&gt;"",COUNTA($C$12:C22),"")</f>
        <v/>
      </c>
      <c r="B22" s="151"/>
      <c r="C22" s="365"/>
      <c r="D22" s="493"/>
      <c r="E22" s="489"/>
      <c r="F22" s="489"/>
      <c r="G22" s="489"/>
      <c r="H22" s="494"/>
      <c r="I22" s="489"/>
      <c r="J22" s="489"/>
      <c r="K22" s="489"/>
      <c r="L22" s="495"/>
      <c r="M22" s="497"/>
      <c r="N22" s="519"/>
    </row>
    <row r="23" spans="1:26" ht="14" x14ac:dyDescent="0.3">
      <c r="A23" s="151">
        <f>IF(C23&lt;&gt;"",COUNTA($C$12:C23),"")</f>
        <v>10</v>
      </c>
      <c r="B23" s="151"/>
      <c r="C23" s="293" t="s">
        <v>574</v>
      </c>
      <c r="D23" s="293"/>
      <c r="E23" s="448"/>
      <c r="F23" s="448"/>
      <c r="G23" s="448"/>
      <c r="H23" s="448"/>
      <c r="I23" s="374"/>
      <c r="J23" s="374"/>
      <c r="K23" s="374"/>
      <c r="L23" s="374"/>
      <c r="M23" s="374"/>
      <c r="N23" s="369"/>
    </row>
    <row r="24" spans="1:26" ht="14" x14ac:dyDescent="0.3">
      <c r="A24" s="151">
        <f>IF(C24&lt;&gt;"",COUNTA($C$12:C24),"")</f>
        <v>11</v>
      </c>
      <c r="B24" s="151"/>
      <c r="C24" s="366">
        <f>+C16</f>
        <v>20</v>
      </c>
      <c r="D24" s="409">
        <f>+C24*250</f>
        <v>5000</v>
      </c>
      <c r="E24" s="372">
        <f t="shared" ref="E24:E29" si="9">ROUND($G$42+$C24*SUM($G$43,$G$44)+SUM($G$45:$G$60,$G$61:$G$64)*$D24,2)</f>
        <v>318.25</v>
      </c>
      <c r="F24" s="372">
        <f t="shared" ref="F24:F29" si="10">ROUND($G$65*$D24,2)</f>
        <v>570.15</v>
      </c>
      <c r="G24" s="372">
        <f t="shared" ref="G24:G29" si="11">SUM(E24:F24)</f>
        <v>888.4</v>
      </c>
      <c r="H24" s="373"/>
      <c r="I24" s="372">
        <f t="shared" ref="I24:I29" si="12">ROUND($I$42+$C24*SUM($I$43,$I$44)+SUM($I$45:$I$60,$I$61:$I$64)*$D24,2)</f>
        <v>326.85000000000002</v>
      </c>
      <c r="J24" s="372">
        <f t="shared" ref="J24:J29" si="13">ROUND($I$65*$D24,2)</f>
        <v>659.25</v>
      </c>
      <c r="K24" s="372">
        <f t="shared" ref="K24:K29" si="14">SUM(I24:J24)</f>
        <v>986.1</v>
      </c>
      <c r="L24" s="374"/>
      <c r="M24" s="375">
        <f t="shared" ref="M24:M29" si="15">+K24-G24</f>
        <v>97.700000000000045</v>
      </c>
      <c r="N24" s="376">
        <f t="shared" ref="N24:N29" si="16">+M24/G24</f>
        <v>0.10997298514182806</v>
      </c>
      <c r="O24" s="374"/>
      <c r="P24" s="374"/>
      <c r="Q24" s="374"/>
      <c r="R24" s="374"/>
      <c r="S24" s="374"/>
      <c r="T24" s="374"/>
      <c r="U24" s="374"/>
      <c r="V24" s="374"/>
      <c r="W24" s="374"/>
      <c r="X24" s="374"/>
      <c r="Y24" s="374"/>
      <c r="Z24" s="374"/>
    </row>
    <row r="25" spans="1:26" ht="14" x14ac:dyDescent="0.3">
      <c r="A25" s="151">
        <f>IF(C25&lt;&gt;"",COUNTA($C$12:C25),"")</f>
        <v>12</v>
      </c>
      <c r="B25" s="151"/>
      <c r="C25" s="366">
        <f>+C17</f>
        <v>30</v>
      </c>
      <c r="D25" s="409">
        <f t="shared" ref="D25:D29" si="17">+C25*250</f>
        <v>7500</v>
      </c>
      <c r="E25" s="372">
        <f t="shared" si="9"/>
        <v>474.38</v>
      </c>
      <c r="F25" s="380">
        <f t="shared" si="10"/>
        <v>855.23</v>
      </c>
      <c r="G25" s="380">
        <f t="shared" si="11"/>
        <v>1329.6100000000001</v>
      </c>
      <c r="H25" s="381"/>
      <c r="I25" s="372">
        <f t="shared" si="12"/>
        <v>487.28</v>
      </c>
      <c r="J25" s="380">
        <f t="shared" si="13"/>
        <v>988.88</v>
      </c>
      <c r="K25" s="380">
        <f t="shared" si="14"/>
        <v>1476.1599999999999</v>
      </c>
      <c r="L25" s="374"/>
      <c r="M25" s="375">
        <f t="shared" si="15"/>
        <v>146.54999999999973</v>
      </c>
      <c r="N25" s="376">
        <f t="shared" si="16"/>
        <v>0.11022029016027235</v>
      </c>
      <c r="O25" s="374"/>
      <c r="P25" s="374"/>
      <c r="Q25" s="374"/>
      <c r="R25" s="374"/>
      <c r="S25" s="374"/>
      <c r="T25" s="374"/>
      <c r="U25" s="374"/>
      <c r="V25" s="374"/>
      <c r="W25" s="374"/>
      <c r="X25" s="374"/>
      <c r="Y25" s="374"/>
      <c r="Z25" s="374"/>
    </row>
    <row r="26" spans="1:26" ht="14" x14ac:dyDescent="0.3">
      <c r="A26" s="151">
        <f>IF(C26&lt;&gt;"",COUNTA($C$12:C26),"")</f>
        <v>13</v>
      </c>
      <c r="B26" s="151"/>
      <c r="C26" s="366">
        <f>+C18</f>
        <v>40</v>
      </c>
      <c r="D26" s="409">
        <f t="shared" si="17"/>
        <v>10000</v>
      </c>
      <c r="E26" s="372">
        <f t="shared" si="9"/>
        <v>630.5</v>
      </c>
      <c r="F26" s="372">
        <f t="shared" si="10"/>
        <v>1140.3</v>
      </c>
      <c r="G26" s="372">
        <f t="shared" si="11"/>
        <v>1770.8</v>
      </c>
      <c r="H26" s="373"/>
      <c r="I26" s="372">
        <f t="shared" si="12"/>
        <v>647.70000000000005</v>
      </c>
      <c r="J26" s="372">
        <f t="shared" si="13"/>
        <v>1318.5</v>
      </c>
      <c r="K26" s="372">
        <f t="shared" si="14"/>
        <v>1966.2</v>
      </c>
      <c r="L26" s="374"/>
      <c r="M26" s="375">
        <f t="shared" si="15"/>
        <v>195.40000000000009</v>
      </c>
      <c r="N26" s="376">
        <f t="shared" si="16"/>
        <v>0.11034560650553428</v>
      </c>
      <c r="O26" s="374"/>
      <c r="P26" s="374"/>
      <c r="Q26" s="374"/>
      <c r="R26" s="374"/>
      <c r="S26" s="374"/>
      <c r="T26" s="374"/>
      <c r="U26" s="374"/>
      <c r="V26" s="374"/>
      <c r="W26" s="374"/>
      <c r="X26" s="374"/>
      <c r="Y26" s="374"/>
      <c r="Z26" s="374"/>
    </row>
    <row r="27" spans="1:26" ht="14" x14ac:dyDescent="0.3">
      <c r="A27" s="151">
        <f>IF(C27&lt;&gt;"",COUNTA($C$12:C27),"")</f>
        <v>14</v>
      </c>
      <c r="B27" s="151"/>
      <c r="C27" s="366">
        <f>+C19</f>
        <v>70</v>
      </c>
      <c r="D27" s="409">
        <f t="shared" si="17"/>
        <v>17500</v>
      </c>
      <c r="E27" s="372">
        <f t="shared" si="9"/>
        <v>1098.8800000000001</v>
      </c>
      <c r="F27" s="372">
        <f t="shared" si="10"/>
        <v>1995.53</v>
      </c>
      <c r="G27" s="372">
        <f t="shared" si="11"/>
        <v>3094.41</v>
      </c>
      <c r="H27" s="373"/>
      <c r="I27" s="372">
        <f t="shared" si="12"/>
        <v>1128.98</v>
      </c>
      <c r="J27" s="372">
        <f t="shared" si="13"/>
        <v>2307.38</v>
      </c>
      <c r="K27" s="372">
        <f t="shared" si="14"/>
        <v>3436.36</v>
      </c>
      <c r="L27" s="374"/>
      <c r="M27" s="375">
        <f t="shared" si="15"/>
        <v>341.95000000000027</v>
      </c>
      <c r="N27" s="376">
        <f t="shared" si="16"/>
        <v>0.11050571837603947</v>
      </c>
      <c r="O27" s="374"/>
      <c r="P27" s="374"/>
      <c r="Q27" s="374"/>
      <c r="R27" s="374"/>
      <c r="S27" s="374"/>
      <c r="T27" s="374"/>
      <c r="U27" s="374"/>
      <c r="V27" s="374"/>
      <c r="W27" s="374"/>
      <c r="X27" s="374"/>
      <c r="Y27" s="374"/>
      <c r="Z27" s="374"/>
    </row>
    <row r="28" spans="1:26" ht="14" x14ac:dyDescent="0.3">
      <c r="A28" s="151">
        <f>IF(C28&lt;&gt;"",COUNTA($C$12:C28),"")</f>
        <v>15</v>
      </c>
      <c r="B28" s="151"/>
      <c r="C28" s="366">
        <f>+C20</f>
        <v>100</v>
      </c>
      <c r="D28" s="409">
        <f t="shared" si="17"/>
        <v>25000</v>
      </c>
      <c r="E28" s="372">
        <f t="shared" si="9"/>
        <v>1567.25</v>
      </c>
      <c r="F28" s="372">
        <f t="shared" si="10"/>
        <v>2850.75</v>
      </c>
      <c r="G28" s="372">
        <f t="shared" si="11"/>
        <v>4418</v>
      </c>
      <c r="H28" s="373"/>
      <c r="I28" s="372">
        <f t="shared" si="12"/>
        <v>1610.25</v>
      </c>
      <c r="J28" s="372">
        <f t="shared" si="13"/>
        <v>3296.25</v>
      </c>
      <c r="K28" s="372">
        <f t="shared" si="14"/>
        <v>4906.5</v>
      </c>
      <c r="L28" s="374"/>
      <c r="M28" s="375">
        <f t="shared" si="15"/>
        <v>488.5</v>
      </c>
      <c r="N28" s="376">
        <f t="shared" si="16"/>
        <v>0.11057039384336804</v>
      </c>
      <c r="O28" s="374"/>
      <c r="P28" s="374"/>
      <c r="Q28" s="374"/>
      <c r="R28" s="374"/>
      <c r="S28" s="374"/>
      <c r="T28" s="374"/>
      <c r="U28" s="374"/>
      <c r="V28" s="374"/>
      <c r="W28" s="374"/>
      <c r="X28" s="374"/>
      <c r="Y28" s="374"/>
      <c r="Z28" s="374"/>
    </row>
    <row r="29" spans="1:26" ht="14" x14ac:dyDescent="0.3">
      <c r="A29" s="151">
        <f>IF(C29&lt;&gt;"",COUNTA($C$12:C29),"")</f>
        <v>16</v>
      </c>
      <c r="B29" s="151" t="s">
        <v>554</v>
      </c>
      <c r="C29" s="366">
        <v>27</v>
      </c>
      <c r="D29" s="409">
        <f t="shared" si="17"/>
        <v>6750</v>
      </c>
      <c r="E29" s="372">
        <f t="shared" si="9"/>
        <v>427.54</v>
      </c>
      <c r="F29" s="372">
        <f t="shared" si="10"/>
        <v>769.7</v>
      </c>
      <c r="G29" s="372">
        <f t="shared" si="11"/>
        <v>1197.24</v>
      </c>
      <c r="H29" s="373"/>
      <c r="I29" s="372">
        <f t="shared" si="12"/>
        <v>439.15</v>
      </c>
      <c r="J29" s="372">
        <f t="shared" si="13"/>
        <v>889.99</v>
      </c>
      <c r="K29" s="372">
        <f t="shared" si="14"/>
        <v>1329.1399999999999</v>
      </c>
      <c r="L29" s="374"/>
      <c r="M29" s="375">
        <f t="shared" si="15"/>
        <v>131.89999999999986</v>
      </c>
      <c r="N29" s="376">
        <f t="shared" si="16"/>
        <v>0.11017005779960565</v>
      </c>
      <c r="O29" s="374"/>
      <c r="P29" s="374"/>
      <c r="Q29" s="374"/>
      <c r="R29" s="374"/>
      <c r="S29" s="374"/>
      <c r="T29" s="374"/>
      <c r="U29" s="374"/>
      <c r="V29" s="374"/>
      <c r="W29" s="374"/>
      <c r="X29" s="374"/>
      <c r="Y29" s="374"/>
      <c r="Z29" s="374"/>
    </row>
    <row r="30" spans="1:26" ht="14" x14ac:dyDescent="0.3">
      <c r="A30" s="151" t="str">
        <f>IF(C30&lt;&gt;"",COUNTA($C$12:C30),"")</f>
        <v/>
      </c>
      <c r="B30" s="151"/>
      <c r="C30" s="365"/>
      <c r="D30" s="493"/>
      <c r="E30" s="489"/>
      <c r="F30" s="489"/>
      <c r="G30" s="489"/>
      <c r="H30" s="494"/>
      <c r="I30" s="489"/>
      <c r="J30" s="489"/>
      <c r="K30" s="489"/>
      <c r="L30" s="495"/>
      <c r="M30" s="497"/>
      <c r="N30" s="519"/>
    </row>
    <row r="31" spans="1:26" ht="14" x14ac:dyDescent="0.3">
      <c r="A31" s="151">
        <f>IF(C31&lt;&gt;"",COUNTA($C$12:C31),"")</f>
        <v>17</v>
      </c>
      <c r="B31" s="151"/>
      <c r="C31" s="293" t="s">
        <v>580</v>
      </c>
      <c r="D31" s="293"/>
      <c r="E31" s="448"/>
      <c r="F31" s="448"/>
      <c r="G31" s="448"/>
      <c r="H31" s="448"/>
      <c r="I31" s="374"/>
      <c r="J31" s="374"/>
      <c r="K31" s="374"/>
      <c r="L31" s="374"/>
      <c r="M31" s="374"/>
      <c r="N31" s="369"/>
    </row>
    <row r="32" spans="1:26" ht="14" x14ac:dyDescent="0.3">
      <c r="A32" s="151">
        <f>IF(C32&lt;&gt;"",COUNTA($C$12:C32),"")</f>
        <v>18</v>
      </c>
      <c r="B32" s="151"/>
      <c r="C32" s="366">
        <f>+C24</f>
        <v>20</v>
      </c>
      <c r="D32" s="409">
        <f>+C32*350</f>
        <v>7000</v>
      </c>
      <c r="E32" s="372">
        <f t="shared" ref="E32:E37" si="18">ROUND($G$42+$C32*SUM($G$43,$G$44)+SUM($G$45:$G$60,$G$61:$G$64)*$D32,2)</f>
        <v>407.71</v>
      </c>
      <c r="F32" s="372">
        <f t="shared" ref="F32:F37" si="19">ROUND($G$65*$D32,2)</f>
        <v>798.21</v>
      </c>
      <c r="G32" s="372">
        <f t="shared" ref="G32:G37" si="20">SUM(E32:F32)</f>
        <v>1205.92</v>
      </c>
      <c r="H32" s="373"/>
      <c r="I32" s="372">
        <f t="shared" ref="I32:I37" si="21">ROUND($I$42+$C32*SUM($I$43,$I$44)+SUM($I$45:$I$60,$I$61:$I$64)*$D32,2)</f>
        <v>421.11</v>
      </c>
      <c r="J32" s="372">
        <f t="shared" ref="J32:J37" si="22">ROUND($I$65*$D32,2)</f>
        <v>922.95</v>
      </c>
      <c r="K32" s="372">
        <f t="shared" ref="K32:K37" si="23">SUM(I32:J32)</f>
        <v>1344.06</v>
      </c>
      <c r="L32" s="374"/>
      <c r="M32" s="375">
        <f t="shared" ref="M32:M37" si="24">+K32-G32</f>
        <v>138.13999999999987</v>
      </c>
      <c r="N32" s="376">
        <f t="shared" ref="N32:N37" si="25">+M32/G32</f>
        <v>0.11455154570784121</v>
      </c>
      <c r="O32" s="374"/>
      <c r="P32" s="374"/>
      <c r="Q32" s="374"/>
      <c r="R32" s="374"/>
      <c r="S32" s="374"/>
      <c r="T32" s="374"/>
      <c r="U32" s="374"/>
      <c r="V32" s="374"/>
      <c r="W32" s="374"/>
      <c r="X32" s="374"/>
      <c r="Y32" s="374"/>
      <c r="Z32" s="374"/>
    </row>
    <row r="33" spans="1:26" ht="14" x14ac:dyDescent="0.3">
      <c r="A33" s="151">
        <f>IF(C33&lt;&gt;"",COUNTA($C$12:C33),"")</f>
        <v>19</v>
      </c>
      <c r="B33" s="151"/>
      <c r="C33" s="366">
        <f>+C25</f>
        <v>30</v>
      </c>
      <c r="D33" s="409">
        <f t="shared" ref="D33:D37" si="26">+C33*350</f>
        <v>10500</v>
      </c>
      <c r="E33" s="372">
        <f t="shared" si="18"/>
        <v>608.57000000000005</v>
      </c>
      <c r="F33" s="372">
        <f t="shared" si="19"/>
        <v>1197.32</v>
      </c>
      <c r="G33" s="372">
        <f t="shared" si="20"/>
        <v>1805.8899999999999</v>
      </c>
      <c r="H33" s="373"/>
      <c r="I33" s="372">
        <f t="shared" si="21"/>
        <v>628.66999999999996</v>
      </c>
      <c r="J33" s="372">
        <f t="shared" si="22"/>
        <v>1384.43</v>
      </c>
      <c r="K33" s="372">
        <f t="shared" si="23"/>
        <v>2013.1</v>
      </c>
      <c r="L33" s="374"/>
      <c r="M33" s="375">
        <f t="shared" si="24"/>
        <v>207.21000000000004</v>
      </c>
      <c r="N33" s="376">
        <f t="shared" si="25"/>
        <v>0.11474120793625307</v>
      </c>
      <c r="O33" s="374"/>
      <c r="P33" s="374"/>
      <c r="Q33" s="374"/>
      <c r="R33" s="374"/>
      <c r="S33" s="374"/>
      <c r="T33" s="374"/>
      <c r="U33" s="374"/>
      <c r="V33" s="374"/>
      <c r="W33" s="374"/>
      <c r="X33" s="374"/>
      <c r="Y33" s="374"/>
      <c r="Z33" s="374"/>
    </row>
    <row r="34" spans="1:26" ht="14" x14ac:dyDescent="0.3">
      <c r="A34" s="151">
        <f>IF(C34&lt;&gt;"",COUNTA($C$12:C34),"")</f>
        <v>20</v>
      </c>
      <c r="B34" s="151"/>
      <c r="C34" s="366">
        <f>+C26</f>
        <v>40</v>
      </c>
      <c r="D34" s="409">
        <f t="shared" si="26"/>
        <v>14000</v>
      </c>
      <c r="E34" s="372">
        <f t="shared" si="18"/>
        <v>809.42</v>
      </c>
      <c r="F34" s="372">
        <f t="shared" si="19"/>
        <v>1596.42</v>
      </c>
      <c r="G34" s="372">
        <f t="shared" si="20"/>
        <v>2405.84</v>
      </c>
      <c r="H34" s="373"/>
      <c r="I34" s="372">
        <f t="shared" si="21"/>
        <v>836.22</v>
      </c>
      <c r="J34" s="372">
        <f t="shared" si="22"/>
        <v>1845.9</v>
      </c>
      <c r="K34" s="372">
        <f t="shared" si="23"/>
        <v>2682.12</v>
      </c>
      <c r="L34" s="374"/>
      <c r="M34" s="375">
        <f t="shared" si="24"/>
        <v>276.27999999999975</v>
      </c>
      <c r="N34" s="376">
        <f t="shared" si="25"/>
        <v>0.11483722940843935</v>
      </c>
      <c r="O34" s="374"/>
      <c r="P34" s="374"/>
      <c r="Q34" s="374"/>
      <c r="R34" s="374"/>
      <c r="S34" s="374"/>
      <c r="T34" s="374"/>
      <c r="U34" s="374"/>
      <c r="V34" s="374"/>
      <c r="W34" s="374"/>
      <c r="X34" s="374"/>
      <c r="Y34" s="374"/>
      <c r="Z34" s="374"/>
    </row>
    <row r="35" spans="1:26" ht="14" x14ac:dyDescent="0.3">
      <c r="A35" s="151">
        <f>IF(C35&lt;&gt;"",COUNTA($C$12:C35),"")</f>
        <v>21</v>
      </c>
      <c r="B35" s="151"/>
      <c r="C35" s="366">
        <f>+C27</f>
        <v>70</v>
      </c>
      <c r="D35" s="409">
        <f t="shared" si="26"/>
        <v>24500</v>
      </c>
      <c r="E35" s="372">
        <f t="shared" si="18"/>
        <v>1411.99</v>
      </c>
      <c r="F35" s="372">
        <f t="shared" si="19"/>
        <v>2793.74</v>
      </c>
      <c r="G35" s="372">
        <f t="shared" si="20"/>
        <v>4205.7299999999996</v>
      </c>
      <c r="H35" s="373"/>
      <c r="I35" s="372">
        <f t="shared" si="21"/>
        <v>1458.89</v>
      </c>
      <c r="J35" s="372">
        <f t="shared" si="22"/>
        <v>3230.33</v>
      </c>
      <c r="K35" s="372">
        <f t="shared" si="23"/>
        <v>4689.22</v>
      </c>
      <c r="L35" s="374"/>
      <c r="M35" s="375">
        <f t="shared" si="24"/>
        <v>483.49000000000069</v>
      </c>
      <c r="N35" s="376">
        <f t="shared" si="25"/>
        <v>0.11495982861477097</v>
      </c>
      <c r="O35" s="374"/>
      <c r="P35" s="374"/>
      <c r="Q35" s="374"/>
      <c r="R35" s="374"/>
      <c r="S35" s="374"/>
      <c r="T35" s="374"/>
      <c r="U35" s="374"/>
      <c r="V35" s="374"/>
      <c r="W35" s="374"/>
      <c r="X35" s="374"/>
      <c r="Y35" s="374"/>
      <c r="Z35" s="374"/>
    </row>
    <row r="36" spans="1:26" ht="14" x14ac:dyDescent="0.3">
      <c r="A36" s="151">
        <f>IF(C36&lt;&gt;"",COUNTA($C$12:C36),"")</f>
        <v>22</v>
      </c>
      <c r="B36" s="151"/>
      <c r="C36" s="366">
        <f>+C28</f>
        <v>100</v>
      </c>
      <c r="D36" s="409">
        <f t="shared" si="26"/>
        <v>35000</v>
      </c>
      <c r="E36" s="372">
        <f t="shared" si="18"/>
        <v>2014.55</v>
      </c>
      <c r="F36" s="372">
        <f t="shared" si="19"/>
        <v>3991.05</v>
      </c>
      <c r="G36" s="372">
        <f t="shared" si="20"/>
        <v>6005.6</v>
      </c>
      <c r="H36" s="373"/>
      <c r="I36" s="372">
        <f t="shared" si="21"/>
        <v>2081.5500000000002</v>
      </c>
      <c r="J36" s="372">
        <f t="shared" si="22"/>
        <v>4614.75</v>
      </c>
      <c r="K36" s="372">
        <f t="shared" si="23"/>
        <v>6696.3</v>
      </c>
      <c r="L36" s="374"/>
      <c r="M36" s="375">
        <f t="shared" si="24"/>
        <v>690.69999999999982</v>
      </c>
      <c r="N36" s="376">
        <f t="shared" si="25"/>
        <v>0.11500932463034498</v>
      </c>
      <c r="O36" s="374"/>
      <c r="P36" s="374"/>
      <c r="Q36" s="374"/>
      <c r="R36" s="374"/>
      <c r="S36" s="374"/>
      <c r="T36" s="374"/>
      <c r="U36" s="374"/>
      <c r="V36" s="374"/>
      <c r="W36" s="374"/>
      <c r="X36" s="374"/>
      <c r="Y36" s="374"/>
      <c r="Z36" s="374"/>
    </row>
    <row r="37" spans="1:26" ht="14" x14ac:dyDescent="0.3">
      <c r="A37" s="151">
        <f>IF(C37&lt;&gt;"",COUNTA($C$12:C37),"")</f>
        <v>23</v>
      </c>
      <c r="B37" s="151" t="s">
        <v>554</v>
      </c>
      <c r="C37" s="366">
        <v>27</v>
      </c>
      <c r="D37" s="409">
        <f t="shared" si="26"/>
        <v>9450</v>
      </c>
      <c r="E37" s="372">
        <f t="shared" si="18"/>
        <v>548.30999999999995</v>
      </c>
      <c r="F37" s="372">
        <f t="shared" si="19"/>
        <v>1077.58</v>
      </c>
      <c r="G37" s="372">
        <f t="shared" si="20"/>
        <v>1625.8899999999999</v>
      </c>
      <c r="H37" s="373"/>
      <c r="I37" s="372">
        <f t="shared" si="21"/>
        <v>566.4</v>
      </c>
      <c r="J37" s="372">
        <f t="shared" si="22"/>
        <v>1245.98</v>
      </c>
      <c r="K37" s="372">
        <f t="shared" si="23"/>
        <v>1812.38</v>
      </c>
      <c r="L37" s="374"/>
      <c r="M37" s="375">
        <f t="shared" si="24"/>
        <v>186.49000000000024</v>
      </c>
      <c r="N37" s="376">
        <f t="shared" si="25"/>
        <v>0.11470025647491543</v>
      </c>
      <c r="O37" s="374"/>
      <c r="P37" s="374"/>
      <c r="Q37" s="374"/>
      <c r="R37" s="374"/>
      <c r="S37" s="374"/>
      <c r="T37" s="374"/>
      <c r="U37" s="374"/>
      <c r="V37" s="374"/>
      <c r="W37" s="374"/>
      <c r="X37" s="374"/>
      <c r="Y37" s="374"/>
      <c r="Z37" s="374"/>
    </row>
    <row r="38" spans="1:26" ht="14" x14ac:dyDescent="0.3">
      <c r="A38" s="151" t="str">
        <f>IF(C38&lt;&gt;"",COUNTA($C$12:C38),"")</f>
        <v/>
      </c>
      <c r="B38" s="151"/>
      <c r="C38" s="501"/>
      <c r="D38" s="488"/>
      <c r="E38" s="489"/>
      <c r="F38" s="489"/>
      <c r="G38" s="490"/>
      <c r="H38" s="491"/>
      <c r="I38" s="489"/>
      <c r="J38" s="489"/>
      <c r="K38" s="489"/>
      <c r="L38" s="415"/>
      <c r="M38" s="523"/>
      <c r="N38" s="519"/>
    </row>
    <row r="39" spans="1:26" ht="14" x14ac:dyDescent="0.3">
      <c r="A39" s="151" t="str">
        <f>IF(C39&lt;&gt;"",COUNTA($C$12:C39),"")</f>
        <v/>
      </c>
      <c r="B39" s="151"/>
      <c r="D39" s="371"/>
      <c r="E39" s="372"/>
      <c r="F39" s="372"/>
      <c r="G39" s="450"/>
      <c r="H39" s="451"/>
    </row>
    <row r="40" spans="1:26" ht="14" x14ac:dyDescent="0.3">
      <c r="A40" s="151">
        <f>IF(C40&lt;&gt;"",COUNTA($C$12:C40),"")</f>
        <v>24</v>
      </c>
      <c r="B40" s="151"/>
      <c r="C40" s="293" t="s">
        <v>46</v>
      </c>
      <c r="D40" s="293"/>
      <c r="E40" s="293"/>
      <c r="G40" s="395" t="str">
        <f>+'Bill_South G3'!G40</f>
        <v>Current</v>
      </c>
      <c r="H40" s="395"/>
      <c r="I40" s="395" t="str">
        <f>+'Bill_South G3'!I40</f>
        <v>Proposed</v>
      </c>
      <c r="J40" s="420"/>
    </row>
    <row r="41" spans="1:26" ht="17" x14ac:dyDescent="0.6">
      <c r="A41" s="151">
        <f>IF(C41&lt;&gt;"",COUNTA($C$12:C41),"")</f>
        <v>25</v>
      </c>
      <c r="B41" s="151"/>
      <c r="C41" s="274" t="s">
        <v>46</v>
      </c>
      <c r="D41" s="274"/>
      <c r="E41" s="293"/>
      <c r="G41" s="396" t="str">
        <f>+'Bill_South G3'!G41</f>
        <v>Rates</v>
      </c>
      <c r="H41" s="396"/>
      <c r="I41" s="396" t="str">
        <f>+'Bill_South G3'!I41</f>
        <v>Rates</v>
      </c>
      <c r="J41" s="396" t="str">
        <f>+'Bill_South G3'!J41</f>
        <v>Change</v>
      </c>
    </row>
    <row r="42" spans="1:26" ht="14" x14ac:dyDescent="0.3">
      <c r="A42" s="151">
        <f>IF(C42&lt;&gt;"",COUNTA($C$12:C42),"")</f>
        <v>26</v>
      </c>
      <c r="B42" s="151"/>
      <c r="C42" s="293" t="s">
        <v>296</v>
      </c>
      <c r="D42" s="293"/>
      <c r="E42" s="274"/>
      <c r="G42" s="454">
        <v>6</v>
      </c>
      <c r="H42" s="455" t="s">
        <v>46</v>
      </c>
      <c r="I42" s="454">
        <f>G42</f>
        <v>6</v>
      </c>
      <c r="J42" s="421">
        <f>+I42-G42</f>
        <v>0</v>
      </c>
    </row>
    <row r="43" spans="1:26" ht="14" x14ac:dyDescent="0.3">
      <c r="A43" s="151">
        <f>IF(C43&lt;&gt;"",COUNTA($C$12:C43),"")</f>
        <v>27</v>
      </c>
      <c r="B43" s="151"/>
      <c r="C43" s="293" t="s">
        <v>422</v>
      </c>
      <c r="D43" s="293"/>
      <c r="E43" s="274"/>
      <c r="G43" s="454">
        <v>1.74</v>
      </c>
      <c r="H43" s="455"/>
      <c r="I43" s="454">
        <v>1.8</v>
      </c>
      <c r="J43" s="421">
        <f t="shared" ref="J43:J65" si="27">+I43-G43</f>
        <v>6.0000000000000053E-2</v>
      </c>
    </row>
    <row r="44" spans="1:26" ht="14" x14ac:dyDescent="0.3">
      <c r="A44" s="151">
        <f>IF(C44&lt;&gt;"",COUNTA($C$12:C44),"")</f>
        <v>28</v>
      </c>
      <c r="B44" s="151"/>
      <c r="C44" s="293" t="str">
        <f>+'Bill_South G3'!C44</f>
        <v>Transmission Demand</v>
      </c>
      <c r="D44" s="293"/>
      <c r="E44" s="274"/>
      <c r="G44" s="454">
        <v>2.69</v>
      </c>
      <c r="H44" s="448"/>
      <c r="I44" s="454">
        <v>2.46</v>
      </c>
      <c r="J44" s="421">
        <f>+I44-G44</f>
        <v>-0.22999999999999998</v>
      </c>
    </row>
    <row r="45" spans="1:26" ht="14" x14ac:dyDescent="0.3">
      <c r="A45" s="151">
        <f>IF(C45&lt;&gt;"",COUNTA($C$12:C45),"")</f>
        <v>29</v>
      </c>
      <c r="B45" s="151"/>
      <c r="C45" s="293" t="s">
        <v>298</v>
      </c>
      <c r="D45" s="293"/>
      <c r="E45" s="274"/>
      <c r="G45" s="308">
        <v>1.9980000000000001E-2</v>
      </c>
      <c r="H45" s="403"/>
      <c r="I45" s="308">
        <v>2.0670000000000001E-2</v>
      </c>
      <c r="J45" s="354">
        <f t="shared" si="27"/>
        <v>6.8999999999999964E-4</v>
      </c>
    </row>
    <row r="46" spans="1:26" ht="14" x14ac:dyDescent="0.3">
      <c r="A46" s="151">
        <f>IF(C46&lt;&gt;"",COUNTA($C$12:C46),"")</f>
        <v>30</v>
      </c>
      <c r="B46" s="151"/>
      <c r="C46" s="293" t="str">
        <f>+'Bill_South G3'!C48</f>
        <v>Revenue Decoupling</v>
      </c>
      <c r="G46" s="308">
        <v>0</v>
      </c>
      <c r="H46" s="400"/>
      <c r="I46" s="277">
        <v>-3.4000000000000002E-4</v>
      </c>
      <c r="J46" s="354">
        <f t="shared" si="27"/>
        <v>-3.4000000000000002E-4</v>
      </c>
    </row>
    <row r="47" spans="1:26" ht="14" x14ac:dyDescent="0.3">
      <c r="A47" s="151">
        <f>IF(C47&lt;&gt;"",COUNTA($C$12:C47),"")</f>
        <v>31</v>
      </c>
      <c r="B47" s="151"/>
      <c r="C47" s="293" t="str">
        <f>+'Bill_South G3'!C49</f>
        <v>Residential Assistance Adjustment Factor</v>
      </c>
      <c r="D47" s="293"/>
      <c r="E47" s="274"/>
      <c r="G47" s="277">
        <v>2.0200000000000001E-3</v>
      </c>
      <c r="H47" s="400"/>
      <c r="I47" s="277">
        <v>2.8900000000000002E-3</v>
      </c>
      <c r="J47" s="354">
        <f t="shared" si="27"/>
        <v>8.7000000000000011E-4</v>
      </c>
    </row>
    <row r="48" spans="1:26" ht="14" x14ac:dyDescent="0.3">
      <c r="A48" s="151">
        <f>IF(C48&lt;&gt;"",COUNTA($C$12:C48),"")</f>
        <v>32</v>
      </c>
      <c r="B48" s="151"/>
      <c r="C48" s="293" t="str">
        <f>+'Bill_South G3'!C50</f>
        <v>Pension Adjustment Factor</v>
      </c>
      <c r="D48" s="293"/>
      <c r="E48" s="274"/>
      <c r="G48" s="277">
        <v>-8.0000000000000007E-5</v>
      </c>
      <c r="H48" s="400"/>
      <c r="I48" s="277">
        <v>7.7999999999999999E-4</v>
      </c>
      <c r="J48" s="354">
        <f t="shared" si="27"/>
        <v>8.5999999999999998E-4</v>
      </c>
    </row>
    <row r="49" spans="1:12" ht="14" x14ac:dyDescent="0.3">
      <c r="A49" s="151">
        <f>IF(C49&lt;&gt;"",COUNTA($C$12:C49),"")</f>
        <v>33</v>
      </c>
      <c r="B49" s="151"/>
      <c r="C49" s="293" t="str">
        <f>+'Bill_South G3'!C51</f>
        <v>Net Metering Recovery Surcharge</v>
      </c>
      <c r="D49" s="293"/>
      <c r="E49" s="274"/>
      <c r="G49" s="277">
        <v>3.9899999999999996E-3</v>
      </c>
      <c r="H49" s="400"/>
      <c r="I49" s="277">
        <v>3.7599999999999999E-3</v>
      </c>
      <c r="J49" s="354">
        <f t="shared" si="27"/>
        <v>-2.2999999999999974E-4</v>
      </c>
    </row>
    <row r="50" spans="1:12" ht="14" x14ac:dyDescent="0.3">
      <c r="A50" s="151">
        <f>IF(C50&lt;&gt;"",COUNTA($C$12:C50),"")</f>
        <v>34</v>
      </c>
      <c r="B50" s="151"/>
      <c r="C50" s="293" t="str">
        <f>+'Bill_South G3'!C52</f>
        <v>Long Term Renewable Contract Adjustment</v>
      </c>
      <c r="D50" s="293"/>
      <c r="E50" s="274"/>
      <c r="G50" s="277">
        <v>2.3600000000000001E-3</v>
      </c>
      <c r="H50" s="400"/>
      <c r="I50" s="277">
        <v>1.74E-3</v>
      </c>
      <c r="J50" s="354">
        <f t="shared" si="27"/>
        <v>-6.2000000000000011E-4</v>
      </c>
    </row>
    <row r="51" spans="1:12" ht="14" x14ac:dyDescent="0.3">
      <c r="A51" s="151">
        <f>IF(C51&lt;&gt;"",COUNTA($C$12:C51),"")</f>
        <v>35</v>
      </c>
      <c r="B51" s="151"/>
      <c r="C51" s="293" t="str">
        <f>+'Bill_South G3'!C53</f>
        <v>AG Consulting Expense</v>
      </c>
      <c r="D51" s="293"/>
      <c r="E51" s="274"/>
      <c r="G51" s="277">
        <v>2.0000000000000002E-5</v>
      </c>
      <c r="H51" s="400"/>
      <c r="I51" s="277">
        <v>1.0000000000000001E-5</v>
      </c>
      <c r="J51" s="354">
        <f t="shared" si="27"/>
        <v>-1.0000000000000001E-5</v>
      </c>
    </row>
    <row r="52" spans="1:12" ht="14" x14ac:dyDescent="0.3">
      <c r="A52" s="151">
        <f>IF(C52&lt;&gt;"",COUNTA($C$12:C52),"")</f>
        <v>36</v>
      </c>
      <c r="B52" s="151"/>
      <c r="C52" s="293" t="str">
        <f>+'Bill_South G3'!C54</f>
        <v>Storm Cost Recovery Adjustment Factor</v>
      </c>
      <c r="D52" s="293"/>
      <c r="E52" s="274"/>
      <c r="G52" s="277">
        <v>1.25E-3</v>
      </c>
      <c r="H52" s="400"/>
      <c r="I52" s="277">
        <v>2.15E-3</v>
      </c>
      <c r="J52" s="354">
        <f t="shared" si="27"/>
        <v>8.9999999999999998E-4</v>
      </c>
    </row>
    <row r="53" spans="1:12" ht="14" x14ac:dyDescent="0.3">
      <c r="A53" s="151">
        <f>IF(C53&lt;&gt;"",COUNTA($C$12:C53),"")</f>
        <v>37</v>
      </c>
      <c r="B53" s="151"/>
      <c r="C53" s="293" t="str">
        <f>+'Bill_South G3'!C55</f>
        <v>Storm Reserve Adjustment</v>
      </c>
      <c r="D53" s="293"/>
      <c r="E53" s="274"/>
      <c r="G53" s="277">
        <v>0</v>
      </c>
      <c r="H53" s="400"/>
      <c r="I53" s="277">
        <v>0</v>
      </c>
      <c r="J53" s="354">
        <f t="shared" si="27"/>
        <v>0</v>
      </c>
    </row>
    <row r="54" spans="1:12" ht="14" x14ac:dyDescent="0.3">
      <c r="A54" s="151">
        <f>IF(C54&lt;&gt;"",COUNTA($C$12:C54),"")</f>
        <v>38</v>
      </c>
      <c r="B54" s="151"/>
      <c r="C54" s="293" t="str">
        <f>+'Bill_South G3'!C56</f>
        <v>Basic Service Cost True Up Factor</v>
      </c>
      <c r="D54" s="293"/>
      <c r="E54" s="274"/>
      <c r="G54" s="277">
        <v>1.08E-3</v>
      </c>
      <c r="H54" s="400"/>
      <c r="I54" s="277">
        <v>-1.3999999999999999E-4</v>
      </c>
      <c r="J54" s="354">
        <f t="shared" si="27"/>
        <v>-1.2199999999999999E-3</v>
      </c>
    </row>
    <row r="55" spans="1:12" ht="14" x14ac:dyDescent="0.3">
      <c r="A55" s="151">
        <f>IF(C55&lt;&gt;"",COUNTA($C$12:C55),"")</f>
        <v>39</v>
      </c>
      <c r="B55" s="151"/>
      <c r="C55" s="293" t="str">
        <f>+'Bill_South G3'!C57</f>
        <v>Solar Program Cost Adjustment Factor</v>
      </c>
      <c r="D55" s="232"/>
      <c r="E55" s="274"/>
      <c r="G55" s="277">
        <v>0</v>
      </c>
      <c r="H55" s="400"/>
      <c r="I55" s="277">
        <v>3.0000000000000001E-5</v>
      </c>
      <c r="J55" s="354">
        <f t="shared" si="27"/>
        <v>3.0000000000000001E-5</v>
      </c>
    </row>
    <row r="56" spans="1:12" ht="14" x14ac:dyDescent="0.3">
      <c r="A56" s="151">
        <f>IF(C56&lt;&gt;"",COUNTA($C$12:C56),"")</f>
        <v>40</v>
      </c>
      <c r="B56" s="151"/>
      <c r="C56" s="293" t="str">
        <f>+'Bill_South G3'!C58</f>
        <v>Solar Expansion Cost Recovery Factor</v>
      </c>
      <c r="D56" s="232"/>
      <c r="E56" s="274"/>
      <c r="G56" s="277">
        <v>0</v>
      </c>
      <c r="H56" s="400"/>
      <c r="I56" s="277">
        <v>4.4999999999999999E-4</v>
      </c>
      <c r="J56" s="354">
        <f t="shared" si="27"/>
        <v>4.4999999999999999E-4</v>
      </c>
    </row>
    <row r="57" spans="1:12" ht="14" x14ac:dyDescent="0.3">
      <c r="A57" s="151">
        <f>IF(C57&lt;&gt;"",COUNTA($C$12:C57),"")</f>
        <v>41</v>
      </c>
      <c r="B57" s="151"/>
      <c r="C57" s="293" t="str">
        <f>+'Bill_South G3'!C59</f>
        <v>Vegetation Management</v>
      </c>
      <c r="D57" s="232"/>
      <c r="E57" s="274"/>
      <c r="G57" s="277">
        <v>0</v>
      </c>
      <c r="H57" s="400"/>
      <c r="I57" s="277">
        <v>1.39E-3</v>
      </c>
      <c r="J57" s="354">
        <f t="shared" si="27"/>
        <v>1.39E-3</v>
      </c>
    </row>
    <row r="58" spans="1:12" ht="14" x14ac:dyDescent="0.3">
      <c r="A58" s="151">
        <f>IF(C58&lt;&gt;"",COUNTA($C$12:C58),"")</f>
        <v>42</v>
      </c>
      <c r="B58" s="151"/>
      <c r="C58" s="293" t="str">
        <f>+'Bill_South G3'!C60</f>
        <v>Solar Massachusetts Renewable Target</v>
      </c>
      <c r="D58" s="339"/>
      <c r="E58" s="339"/>
      <c r="F58" s="277"/>
      <c r="G58" s="277">
        <v>0</v>
      </c>
      <c r="H58" s="277"/>
      <c r="I58" s="277">
        <v>5.2999999999999998E-4</v>
      </c>
      <c r="J58" s="354">
        <f t="shared" si="27"/>
        <v>5.2999999999999998E-4</v>
      </c>
      <c r="K58" s="339"/>
      <c r="L58" s="339"/>
    </row>
    <row r="59" spans="1:12" ht="14" x14ac:dyDescent="0.3">
      <c r="A59" s="151">
        <f>IF(C59&lt;&gt;"",COUNTA($C$12:C59),"")</f>
        <v>43</v>
      </c>
      <c r="B59" s="151"/>
      <c r="C59" s="293" t="str">
        <f>+'Bill_South G3'!C61</f>
        <v>Tax Act Credit Factor</v>
      </c>
      <c r="D59" s="339"/>
      <c r="E59" s="339"/>
      <c r="F59" s="277"/>
      <c r="G59" s="277">
        <v>0</v>
      </c>
      <c r="H59" s="277"/>
      <c r="I59" s="277">
        <v>-8.0000000000000004E-4</v>
      </c>
      <c r="J59" s="354">
        <f t="shared" si="27"/>
        <v>-8.0000000000000004E-4</v>
      </c>
      <c r="K59" s="339"/>
      <c r="L59" s="339"/>
    </row>
    <row r="60" spans="1:12" ht="14" x14ac:dyDescent="0.3">
      <c r="A60" s="151">
        <f>IF(C60&lt;&gt;"",COUNTA($C$12:C60),"")</f>
        <v>44</v>
      </c>
      <c r="B60" s="151"/>
      <c r="C60" s="293" t="str">
        <f>+'Bill_South G3'!C62</f>
        <v>Transition</v>
      </c>
      <c r="D60" s="293"/>
      <c r="E60" s="274"/>
      <c r="G60" s="308">
        <v>-6.0999999999999997E-4</v>
      </c>
      <c r="H60" s="400"/>
      <c r="I60" s="277">
        <v>-5.1999999999999995E-4</v>
      </c>
      <c r="J60" s="354">
        <f t="shared" si="27"/>
        <v>9.0000000000000019E-5</v>
      </c>
    </row>
    <row r="61" spans="1:12" ht="14" x14ac:dyDescent="0.3">
      <c r="A61" s="151">
        <f>IF(C61&lt;&gt;"",COUNTA($C$12:C61),"")</f>
        <v>45</v>
      </c>
      <c r="B61" s="151"/>
      <c r="C61" s="293" t="str">
        <f>+'Bill_South G3'!C63</f>
        <v>Transmission Energy</v>
      </c>
      <c r="D61" s="293"/>
      <c r="E61" s="274"/>
      <c r="G61" s="308">
        <v>3.2599999999999999E-3</v>
      </c>
      <c r="H61" s="400"/>
      <c r="I61" s="308">
        <v>3.0699999999999998E-3</v>
      </c>
      <c r="J61" s="354">
        <f t="shared" si="27"/>
        <v>-1.9000000000000006E-4</v>
      </c>
    </row>
    <row r="62" spans="1:12" ht="14" x14ac:dyDescent="0.3">
      <c r="A62" s="151">
        <f>IF(C62&lt;&gt;"",COUNTA($C$12:C62),"")</f>
        <v>46</v>
      </c>
      <c r="B62" s="151"/>
      <c r="C62" s="293" t="str">
        <f>+'Bill_South G3'!C64</f>
        <v>Energy Efficiency Reconciliation Factor</v>
      </c>
      <c r="D62" s="293"/>
      <c r="E62" s="274"/>
      <c r="G62" s="308">
        <v>8.4600000000000005E-3</v>
      </c>
      <c r="H62" s="400"/>
      <c r="I62" s="308">
        <v>8.4600000000000005E-3</v>
      </c>
      <c r="J62" s="354">
        <f t="shared" si="27"/>
        <v>0</v>
      </c>
    </row>
    <row r="63" spans="1:12" ht="14" x14ac:dyDescent="0.3">
      <c r="A63" s="151">
        <f>IF(C63&lt;&gt;"",COUNTA($C$12:C63),"")</f>
        <v>47</v>
      </c>
      <c r="B63" s="151"/>
      <c r="C63" s="293" t="str">
        <f>+'Bill_South G3'!C65</f>
        <v>System Benefits Charge</v>
      </c>
      <c r="D63" s="232"/>
      <c r="E63" s="274"/>
      <c r="G63" s="308">
        <v>2.5000000000000001E-3</v>
      </c>
      <c r="H63" s="400"/>
      <c r="I63" s="308">
        <f>G63</f>
        <v>2.5000000000000001E-3</v>
      </c>
      <c r="J63" s="354">
        <f t="shared" si="27"/>
        <v>0</v>
      </c>
    </row>
    <row r="64" spans="1:12" ht="14" x14ac:dyDescent="0.3">
      <c r="A64" s="151">
        <f>IF(C64&lt;&gt;"",COUNTA($C$12:C64),"")</f>
        <v>48</v>
      </c>
      <c r="B64" s="151"/>
      <c r="C64" s="293" t="str">
        <f>+'Bill_South G3'!C66</f>
        <v>Renewable Energy</v>
      </c>
      <c r="D64" s="232"/>
      <c r="E64" s="274"/>
      <c r="G64" s="308">
        <v>5.0000000000000001E-4</v>
      </c>
      <c r="H64" s="400"/>
      <c r="I64" s="308">
        <f>G64</f>
        <v>5.0000000000000001E-4</v>
      </c>
      <c r="J64" s="354">
        <f t="shared" si="27"/>
        <v>0</v>
      </c>
    </row>
    <row r="65" spans="1:10" ht="14" x14ac:dyDescent="0.3">
      <c r="A65" s="151">
        <f>IF(C65&lt;&gt;"",COUNTA($C$12:C65),"")</f>
        <v>49</v>
      </c>
      <c r="B65" s="151"/>
      <c r="C65" s="293" t="str">
        <f>+'Bill_South G3'!C67</f>
        <v>Basic Service</v>
      </c>
      <c r="D65" s="293"/>
      <c r="E65" s="274"/>
      <c r="G65" s="308">
        <v>0.11403000000000001</v>
      </c>
      <c r="H65" s="400"/>
      <c r="I65" s="308">
        <v>0.13185000000000002</v>
      </c>
      <c r="J65" s="354">
        <f t="shared" si="27"/>
        <v>1.7820000000000016E-2</v>
      </c>
    </row>
    <row r="66" spans="1:10" ht="14" x14ac:dyDescent="0.3">
      <c r="A66" s="151"/>
      <c r="B66" s="151"/>
      <c r="F66" s="293"/>
      <c r="G66" s="448"/>
      <c r="H66" s="374"/>
      <c r="I66" s="502"/>
      <c r="J66" s="502"/>
    </row>
    <row r="67" spans="1:10" ht="14" x14ac:dyDescent="0.3">
      <c r="A67" s="151"/>
      <c r="B67" s="151"/>
      <c r="F67" s="293"/>
      <c r="G67" s="448"/>
      <c r="H67" s="374"/>
      <c r="I67" s="502"/>
      <c r="J67" s="502"/>
    </row>
    <row r="68" spans="1:10" ht="14" x14ac:dyDescent="0.3">
      <c r="A68" s="151"/>
      <c r="B68" s="151"/>
      <c r="C68" s="369" t="str">
        <f>+'Bill_Cam G4'!C67</f>
        <v>Total Demand</v>
      </c>
      <c r="G68" s="374">
        <f>+G43+G44</f>
        <v>4.43</v>
      </c>
      <c r="H68" s="374"/>
      <c r="I68" s="374">
        <f>+I43+I44</f>
        <v>4.26</v>
      </c>
      <c r="J68" s="421">
        <f t="shared" ref="J68:J70" si="28">+I68-G68</f>
        <v>-0.16999999999999993</v>
      </c>
    </row>
    <row r="69" spans="1:10" ht="14" x14ac:dyDescent="0.3">
      <c r="A69" s="151"/>
      <c r="B69" s="151"/>
      <c r="C69" s="369" t="str">
        <f>+'Bill_Cam G4'!C68</f>
        <v>Total Energy</v>
      </c>
      <c r="G69" s="403">
        <f>SUM(G45:G60,G61:G64)</f>
        <v>4.4730000000000013E-2</v>
      </c>
      <c r="H69" s="403"/>
      <c r="I69" s="403">
        <f>SUM(I45:I60,I61:I64)</f>
        <v>4.7130000000000012E-2</v>
      </c>
      <c r="J69" s="354">
        <f t="shared" si="28"/>
        <v>2.3999999999999994E-3</v>
      </c>
    </row>
    <row r="70" spans="1:10" ht="14" x14ac:dyDescent="0.3">
      <c r="A70" s="151"/>
      <c r="B70" s="151"/>
      <c r="C70" s="369" t="str">
        <f>+'Bill_Cam G4'!C69</f>
        <v>Total Basic Service</v>
      </c>
      <c r="G70" s="403">
        <f>+G65</f>
        <v>0.11403000000000001</v>
      </c>
      <c r="H70" s="403"/>
      <c r="I70" s="403">
        <f>+I65</f>
        <v>0.13185000000000002</v>
      </c>
      <c r="J70" s="354">
        <f t="shared" si="28"/>
        <v>1.7820000000000016E-2</v>
      </c>
    </row>
    <row r="71" spans="1:10" ht="14" x14ac:dyDescent="0.3">
      <c r="A71" s="151"/>
      <c r="B71" s="151"/>
      <c r="G71" s="374"/>
      <c r="H71" s="374"/>
      <c r="I71" s="502"/>
      <c r="J71" s="502"/>
    </row>
    <row r="72" spans="1:10" ht="14" x14ac:dyDescent="0.3">
      <c r="A72" s="151"/>
      <c r="B72" s="151"/>
      <c r="G72" s="374"/>
      <c r="H72" s="374"/>
      <c r="I72" s="502"/>
      <c r="J72" s="502"/>
    </row>
    <row r="73" spans="1:10" ht="14" x14ac:dyDescent="0.3">
      <c r="A73" s="151"/>
      <c r="B73" s="151"/>
      <c r="G73" s="374"/>
      <c r="H73" s="374"/>
      <c r="I73" s="502"/>
      <c r="J73" s="502"/>
    </row>
    <row r="74" spans="1:10" ht="14" x14ac:dyDescent="0.3">
      <c r="A74" s="151"/>
      <c r="B74" s="151"/>
      <c r="G74" s="374"/>
      <c r="H74" s="374"/>
      <c r="I74" s="502"/>
      <c r="J74" s="502"/>
    </row>
    <row r="75" spans="1:10" ht="14" x14ac:dyDescent="0.3">
      <c r="A75" s="151"/>
      <c r="B75" s="151"/>
      <c r="I75" s="447"/>
      <c r="J75" s="447"/>
    </row>
    <row r="76" spans="1:10" ht="14" x14ac:dyDescent="0.3">
      <c r="A76" s="151"/>
      <c r="B76" s="151"/>
      <c r="I76" s="447"/>
      <c r="J76" s="447"/>
    </row>
    <row r="77" spans="1:10" ht="14" x14ac:dyDescent="0.3">
      <c r="A77" s="151"/>
      <c r="B77" s="151"/>
      <c r="I77" s="447"/>
      <c r="J77" s="447"/>
    </row>
    <row r="78" spans="1:10" ht="14" x14ac:dyDescent="0.3">
      <c r="A78" s="151"/>
      <c r="B78" s="151"/>
      <c r="I78" s="447"/>
      <c r="J78" s="447"/>
    </row>
    <row r="79" spans="1:10" ht="14" x14ac:dyDescent="0.3">
      <c r="A79" s="151"/>
      <c r="B79" s="151"/>
      <c r="I79" s="447"/>
      <c r="J79" s="447"/>
    </row>
    <row r="80" spans="1:10" ht="14" x14ac:dyDescent="0.3">
      <c r="A80" s="151"/>
      <c r="B80" s="151"/>
      <c r="I80" s="447"/>
      <c r="J80" s="447"/>
    </row>
    <row r="81" spans="1:10" ht="14" x14ac:dyDescent="0.3">
      <c r="A81" s="151"/>
      <c r="B81" s="151"/>
      <c r="I81" s="447"/>
      <c r="J81" s="447"/>
    </row>
    <row r="82" spans="1:10" ht="14" x14ac:dyDescent="0.3">
      <c r="A82" s="151"/>
      <c r="B82" s="151"/>
      <c r="I82" s="447"/>
      <c r="J82" s="447"/>
    </row>
    <row r="83" spans="1:10" ht="14" x14ac:dyDescent="0.3">
      <c r="A83" s="151"/>
      <c r="B83" s="151"/>
      <c r="I83" s="447"/>
      <c r="J83" s="447"/>
    </row>
    <row r="84" spans="1:10" ht="14" x14ac:dyDescent="0.3">
      <c r="A84" s="151"/>
      <c r="B84" s="151"/>
      <c r="I84" s="447"/>
      <c r="J84" s="447"/>
    </row>
    <row r="85" spans="1:10" ht="14" x14ac:dyDescent="0.3">
      <c r="A85" s="151"/>
      <c r="B85" s="151"/>
      <c r="I85" s="447"/>
      <c r="J85" s="447"/>
    </row>
    <row r="86" spans="1:10" ht="14" x14ac:dyDescent="0.3">
      <c r="A86" s="151"/>
      <c r="B86" s="151"/>
      <c r="I86" s="447"/>
      <c r="J86" s="447"/>
    </row>
    <row r="87" spans="1:10" ht="14" x14ac:dyDescent="0.3">
      <c r="A87" s="151"/>
      <c r="B87" s="151"/>
      <c r="I87" s="447"/>
      <c r="J87" s="447"/>
    </row>
    <row r="88" spans="1:10" ht="14" x14ac:dyDescent="0.3">
      <c r="A88" s="151"/>
      <c r="B88" s="151"/>
      <c r="I88" s="447"/>
      <c r="J88" s="447"/>
    </row>
    <row r="89" spans="1:10" ht="14" x14ac:dyDescent="0.3">
      <c r="A89" s="151"/>
      <c r="B89" s="151"/>
      <c r="I89" s="447"/>
      <c r="J89" s="447"/>
    </row>
    <row r="90" spans="1:10" ht="14" x14ac:dyDescent="0.3">
      <c r="A90" s="151"/>
      <c r="B90" s="151"/>
      <c r="I90" s="447"/>
      <c r="J90" s="447"/>
    </row>
    <row r="91" spans="1:10" ht="14" x14ac:dyDescent="0.3">
      <c r="A91" s="151"/>
      <c r="B91" s="151"/>
      <c r="I91" s="447"/>
      <c r="J91" s="447"/>
    </row>
    <row r="92" spans="1:10" ht="14" x14ac:dyDescent="0.3">
      <c r="A92" s="151"/>
      <c r="B92" s="151"/>
      <c r="I92" s="447"/>
      <c r="J92" s="447"/>
    </row>
    <row r="93" spans="1:10" ht="14" x14ac:dyDescent="0.3">
      <c r="A93" s="151"/>
      <c r="B93" s="151"/>
      <c r="I93" s="447"/>
      <c r="J93" s="447"/>
    </row>
    <row r="94" spans="1:10" ht="14" x14ac:dyDescent="0.3">
      <c r="A94" s="151"/>
      <c r="B94" s="151"/>
      <c r="I94" s="447"/>
      <c r="J94" s="447"/>
    </row>
    <row r="95" spans="1:10" ht="14" x14ac:dyDescent="0.3">
      <c r="A95" s="151"/>
      <c r="B95" s="151"/>
      <c r="I95" s="447"/>
      <c r="J95" s="447"/>
    </row>
    <row r="96" spans="1:10" ht="14" x14ac:dyDescent="0.3">
      <c r="A96" s="151"/>
      <c r="B96" s="151"/>
      <c r="I96" s="447"/>
      <c r="J96" s="447"/>
    </row>
    <row r="97" spans="1:10" ht="14" x14ac:dyDescent="0.3">
      <c r="A97" s="151"/>
      <c r="B97" s="151"/>
      <c r="I97" s="447"/>
      <c r="J97" s="447"/>
    </row>
    <row r="98" spans="1:10" ht="14" x14ac:dyDescent="0.3">
      <c r="A98" s="151"/>
      <c r="B98" s="151"/>
      <c r="I98" s="447"/>
      <c r="J98" s="447"/>
    </row>
    <row r="99" spans="1:10" ht="14" x14ac:dyDescent="0.3">
      <c r="A99" s="151"/>
      <c r="B99" s="151"/>
      <c r="I99" s="447"/>
      <c r="J99" s="447"/>
    </row>
    <row r="100" spans="1:10" ht="14" x14ac:dyDescent="0.3">
      <c r="A100" s="151"/>
      <c r="B100" s="151"/>
      <c r="I100" s="447"/>
      <c r="J100" s="447"/>
    </row>
    <row r="101" spans="1:10" ht="14" x14ac:dyDescent="0.3">
      <c r="A101" s="151"/>
      <c r="B101" s="151"/>
      <c r="I101" s="447"/>
      <c r="J101" s="447"/>
    </row>
    <row r="102" spans="1:10" ht="14" x14ac:dyDescent="0.3">
      <c r="A102" s="151"/>
      <c r="B102" s="151"/>
      <c r="I102" s="447"/>
      <c r="J102" s="447"/>
    </row>
    <row r="103" spans="1:10" ht="14" x14ac:dyDescent="0.3">
      <c r="A103" s="151"/>
      <c r="B103" s="151"/>
      <c r="I103" s="447"/>
      <c r="J103" s="447"/>
    </row>
    <row r="104" spans="1:10" ht="14" x14ac:dyDescent="0.3">
      <c r="A104" s="151"/>
      <c r="B104" s="151"/>
      <c r="I104" s="447"/>
      <c r="J104" s="447"/>
    </row>
    <row r="105" spans="1:10" ht="14" x14ac:dyDescent="0.3">
      <c r="A105" s="151"/>
      <c r="B105" s="151"/>
      <c r="I105" s="447"/>
      <c r="J105" s="447"/>
    </row>
    <row r="106" spans="1:10" ht="14" x14ac:dyDescent="0.3">
      <c r="A106" s="151"/>
      <c r="B106" s="151"/>
      <c r="I106" s="447"/>
      <c r="J106" s="447"/>
    </row>
    <row r="107" spans="1:10" ht="14" x14ac:dyDescent="0.3">
      <c r="A107" s="151"/>
      <c r="B107" s="151"/>
      <c r="I107" s="447"/>
      <c r="J107" s="447"/>
    </row>
    <row r="108" spans="1:10" ht="14" x14ac:dyDescent="0.3">
      <c r="A108" s="151"/>
      <c r="B108" s="151"/>
      <c r="I108" s="447"/>
      <c r="J108" s="447"/>
    </row>
    <row r="109" spans="1:10" ht="14" x14ac:dyDescent="0.3">
      <c r="A109" s="151"/>
      <c r="B109" s="151"/>
      <c r="I109" s="447"/>
      <c r="J109" s="447"/>
    </row>
    <row r="110" spans="1:10" ht="14" x14ac:dyDescent="0.3">
      <c r="A110" s="151"/>
      <c r="B110" s="151"/>
      <c r="I110" s="447"/>
      <c r="J110" s="447"/>
    </row>
    <row r="111" spans="1:10" ht="14" x14ac:dyDescent="0.3">
      <c r="A111" s="151"/>
      <c r="B111" s="151"/>
      <c r="I111" s="447"/>
      <c r="J111" s="447"/>
    </row>
    <row r="112" spans="1:10" ht="14" x14ac:dyDescent="0.3">
      <c r="A112" s="151"/>
      <c r="B112" s="151"/>
      <c r="I112" s="447"/>
      <c r="J112" s="447"/>
    </row>
    <row r="113" spans="1:10" ht="14" x14ac:dyDescent="0.3">
      <c r="A113" s="151"/>
      <c r="B113" s="151"/>
      <c r="I113" s="447"/>
      <c r="J113" s="447"/>
    </row>
    <row r="114" spans="1:10" ht="14" x14ac:dyDescent="0.3">
      <c r="A114" s="151"/>
      <c r="B114" s="151"/>
      <c r="I114" s="447"/>
      <c r="J114" s="447"/>
    </row>
    <row r="115" spans="1:10" ht="14" x14ac:dyDescent="0.3">
      <c r="A115" s="151"/>
      <c r="B115" s="151"/>
      <c r="I115" s="447"/>
      <c r="J115" s="447"/>
    </row>
    <row r="116" spans="1:10" ht="14" x14ac:dyDescent="0.3">
      <c r="A116" s="151"/>
      <c r="B116" s="151"/>
      <c r="I116" s="447"/>
      <c r="J116" s="447"/>
    </row>
    <row r="117" spans="1:10" ht="14" x14ac:dyDescent="0.3">
      <c r="A117" s="151"/>
      <c r="B117" s="151"/>
      <c r="I117" s="447"/>
      <c r="J117" s="447"/>
    </row>
    <row r="118" spans="1:10" ht="14" x14ac:dyDescent="0.3">
      <c r="A118" s="151"/>
      <c r="B118" s="151"/>
    </row>
    <row r="119" spans="1:10" ht="14" x14ac:dyDescent="0.3">
      <c r="A119" s="151"/>
      <c r="B119" s="151"/>
    </row>
    <row r="120" spans="1:10" ht="14" x14ac:dyDescent="0.3">
      <c r="A120" s="151"/>
      <c r="B120" s="151"/>
    </row>
    <row r="121" spans="1:10" ht="14" x14ac:dyDescent="0.3">
      <c r="A121" s="151"/>
      <c r="B121" s="151"/>
    </row>
    <row r="122" spans="1:10" ht="14" x14ac:dyDescent="0.3">
      <c r="A122" s="151"/>
      <c r="B122" s="151"/>
    </row>
    <row r="123" spans="1:10" ht="14" x14ac:dyDescent="0.3">
      <c r="A123" s="151"/>
      <c r="B123" s="151"/>
    </row>
    <row r="124" spans="1:10" ht="14" x14ac:dyDescent="0.3">
      <c r="A124" s="151"/>
      <c r="B124" s="151"/>
    </row>
    <row r="125" spans="1:10" ht="14" x14ac:dyDescent="0.3">
      <c r="A125" s="151"/>
      <c r="B125" s="151"/>
    </row>
    <row r="126" spans="1:10" ht="14" x14ac:dyDescent="0.3">
      <c r="A126" s="151"/>
      <c r="B126" s="151"/>
    </row>
    <row r="127" spans="1:10" ht="14" x14ac:dyDescent="0.3">
      <c r="A127" s="151"/>
      <c r="B127" s="151"/>
    </row>
    <row r="128" spans="1:10" ht="14" x14ac:dyDescent="0.3">
      <c r="A128" s="151"/>
      <c r="B128" s="151"/>
    </row>
    <row r="129" spans="1:2" ht="14" x14ac:dyDescent="0.3">
      <c r="A129" s="151"/>
      <c r="B129" s="151"/>
    </row>
    <row r="130" spans="1:2" ht="14" x14ac:dyDescent="0.3">
      <c r="A130" s="151"/>
      <c r="B130" s="151"/>
    </row>
    <row r="131" spans="1:2" ht="14" x14ac:dyDescent="0.3">
      <c r="A131" s="151"/>
      <c r="B131" s="151"/>
    </row>
    <row r="132" spans="1:2" ht="14" x14ac:dyDescent="0.3">
      <c r="A132" s="151"/>
      <c r="B132" s="151"/>
    </row>
    <row r="133" spans="1:2" ht="14" x14ac:dyDescent="0.3">
      <c r="A133" s="151"/>
      <c r="B133" s="151"/>
    </row>
    <row r="134" spans="1:2" ht="14" x14ac:dyDescent="0.3">
      <c r="A134" s="151"/>
      <c r="B134" s="151"/>
    </row>
    <row r="135" spans="1:2" ht="14" x14ac:dyDescent="0.3">
      <c r="A135" s="151"/>
      <c r="B135" s="151"/>
    </row>
    <row r="136" spans="1:2" ht="14" x14ac:dyDescent="0.3">
      <c r="A136" s="151"/>
      <c r="B136" s="151"/>
    </row>
    <row r="137" spans="1:2" ht="14" x14ac:dyDescent="0.3">
      <c r="A137" s="151"/>
      <c r="B137" s="151"/>
    </row>
    <row r="138" spans="1:2" ht="14" x14ac:dyDescent="0.3">
      <c r="A138" s="151"/>
      <c r="B138" s="151"/>
    </row>
    <row r="139" spans="1:2" ht="14" x14ac:dyDescent="0.3">
      <c r="A139" s="151"/>
      <c r="B139" s="151"/>
    </row>
    <row r="140" spans="1:2" ht="14" x14ac:dyDescent="0.3">
      <c r="A140" s="151"/>
      <c r="B140" s="151"/>
    </row>
    <row r="141" spans="1:2" ht="14" x14ac:dyDescent="0.3">
      <c r="A141" s="151"/>
      <c r="B141" s="151"/>
    </row>
    <row r="142" spans="1:2" ht="14" x14ac:dyDescent="0.3">
      <c r="A142" s="151"/>
      <c r="B142" s="151"/>
    </row>
  </sheetData>
  <mergeCells count="8">
    <mergeCell ref="E12:G12"/>
    <mergeCell ref="I12:K12"/>
    <mergeCell ref="M12:N12"/>
    <mergeCell ref="A4:N4"/>
    <mergeCell ref="A5:N5"/>
    <mergeCell ref="A6:N6"/>
    <mergeCell ref="A8:N8"/>
    <mergeCell ref="A9:N9"/>
  </mergeCells>
  <pageMargins left="0.7" right="0.7" top="0.75" bottom="0.75" header="0.3" footer="0.3"/>
  <pageSetup scale="64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FA782-FB35-4C8C-94D8-B5825E076C1F}">
  <sheetPr>
    <tabColor theme="3" tint="0.59999389629810485"/>
    <pageSetUpPr fitToPage="1"/>
  </sheetPr>
  <dimension ref="A4:X161"/>
  <sheetViews>
    <sheetView zoomScaleNormal="100" workbookViewId="0"/>
  </sheetViews>
  <sheetFormatPr defaultRowHeight="12.5" x14ac:dyDescent="0.25"/>
  <cols>
    <col min="1" max="1" width="4" customWidth="1"/>
    <col min="2" max="2" width="4.453125" bestFit="1" customWidth="1"/>
    <col min="3" max="3" width="9.7265625" customWidth="1"/>
    <col min="4" max="6" width="14.7265625" customWidth="1"/>
    <col min="7" max="7" width="1.7265625" customWidth="1"/>
    <col min="8" max="10" width="14.7265625" customWidth="1"/>
    <col min="11" max="11" width="1.7265625" customWidth="1"/>
    <col min="12" max="13" width="11.1796875" customWidth="1"/>
    <col min="15" max="15" width="9.26953125" bestFit="1" customWidth="1"/>
    <col min="16" max="17" width="10.1796875" bestFit="1" customWidth="1"/>
    <col min="18" max="18" width="11.26953125" bestFit="1" customWidth="1"/>
    <col min="19" max="19" width="9.26953125" bestFit="1" customWidth="1"/>
  </cols>
  <sheetData>
    <row r="4" spans="1:24" ht="14" x14ac:dyDescent="0.3">
      <c r="A4" s="766" t="str">
        <f>'Bill_South G4'!A4:N4</f>
        <v>Eastern Massachusetts</v>
      </c>
      <c r="B4" s="766"/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</row>
    <row r="5" spans="1:24" ht="14" x14ac:dyDescent="0.3">
      <c r="A5" s="766" t="str">
        <f>+'Bill_Cam G0'!A5</f>
        <v>Calculation of Monthly Typical Bill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</row>
    <row r="6" spans="1:24" ht="14" x14ac:dyDescent="0.3">
      <c r="A6" s="766" t="str">
        <f>+'Bill_Cam G0'!A6</f>
        <v>Proposed January 1, 2019</v>
      </c>
      <c r="B6" s="766"/>
      <c r="C6" s="766"/>
      <c r="D6" s="766"/>
      <c r="E6" s="766"/>
      <c r="F6" s="766"/>
      <c r="G6" s="766"/>
      <c r="H6" s="766"/>
      <c r="I6" s="766"/>
      <c r="J6" s="766"/>
      <c r="K6" s="766"/>
      <c r="L6" s="766"/>
      <c r="M6" s="766"/>
    </row>
    <row r="7" spans="1:24" ht="14" x14ac:dyDescent="0.3">
      <c r="A7" s="521"/>
      <c r="B7" s="521"/>
      <c r="C7" s="293"/>
      <c r="D7" s="468"/>
      <c r="E7" s="243"/>
      <c r="F7" s="469"/>
      <c r="G7" s="293"/>
      <c r="H7" s="369"/>
      <c r="I7" s="369"/>
      <c r="J7" s="369"/>
      <c r="K7" s="369"/>
      <c r="L7" s="369"/>
      <c r="M7" s="369"/>
    </row>
    <row r="8" spans="1:24" ht="14" x14ac:dyDescent="0.3">
      <c r="A8" s="766" t="s">
        <v>476</v>
      </c>
      <c r="B8" s="766"/>
      <c r="C8" s="766"/>
      <c r="D8" s="766"/>
      <c r="E8" s="766"/>
      <c r="F8" s="766"/>
      <c r="G8" s="766"/>
      <c r="H8" s="766"/>
      <c r="I8" s="766"/>
      <c r="J8" s="766"/>
      <c r="K8" s="766"/>
      <c r="L8" s="766"/>
      <c r="M8" s="766"/>
    </row>
    <row r="9" spans="1:24" ht="14" x14ac:dyDescent="0.3">
      <c r="A9" s="766" t="s">
        <v>440</v>
      </c>
      <c r="B9" s="766"/>
      <c r="C9" s="766"/>
      <c r="D9" s="766"/>
      <c r="E9" s="766"/>
      <c r="F9" s="766"/>
      <c r="G9" s="766"/>
      <c r="H9" s="766"/>
      <c r="I9" s="766"/>
      <c r="J9" s="766"/>
      <c r="K9" s="766"/>
      <c r="L9" s="766"/>
      <c r="M9" s="766"/>
    </row>
    <row r="10" spans="1:24" ht="14" x14ac:dyDescent="0.3">
      <c r="A10" s="366"/>
      <c r="B10" s="366"/>
      <c r="C10" s="293"/>
      <c r="D10" s="293"/>
      <c r="E10" s="293"/>
      <c r="F10" s="367"/>
      <c r="G10" s="293"/>
    </row>
    <row r="11" spans="1:24" ht="14" x14ac:dyDescent="0.3">
      <c r="A11" s="366"/>
      <c r="B11" s="366"/>
      <c r="C11" s="293"/>
      <c r="D11" s="293"/>
      <c r="E11" s="293"/>
      <c r="F11" s="368"/>
      <c r="G11" s="293"/>
    </row>
    <row r="12" spans="1:24" ht="14" x14ac:dyDescent="0.3">
      <c r="A12" s="151">
        <f>IF(C12&lt;&gt;"",COUNTA($C12:C$12),"")</f>
        <v>1</v>
      </c>
      <c r="B12" s="151"/>
      <c r="C12" s="366" t="s">
        <v>528</v>
      </c>
      <c r="D12" s="760" t="str">
        <f>+'Bill_South G1'!E12</f>
        <v>Current Monthly Bill</v>
      </c>
      <c r="E12" s="760"/>
      <c r="F12" s="760"/>
      <c r="G12" s="293"/>
      <c r="H12" s="760" t="str">
        <f>+'Bill_South G1'!I12</f>
        <v>Proposed Monthly Bill</v>
      </c>
      <c r="I12" s="760"/>
      <c r="J12" s="760"/>
      <c r="L12" s="760" t="s">
        <v>550</v>
      </c>
      <c r="M12" s="760"/>
      <c r="O12" s="335"/>
      <c r="P12" s="335"/>
      <c r="Q12" s="335"/>
      <c r="R12" s="335"/>
      <c r="S12" s="335"/>
      <c r="T12" s="335"/>
      <c r="U12" s="335"/>
      <c r="V12" s="335"/>
      <c r="W12" s="335"/>
      <c r="X12" s="335"/>
    </row>
    <row r="13" spans="1:24" ht="14" x14ac:dyDescent="0.3">
      <c r="A13" s="151">
        <f>IF(C13&lt;&gt;"",COUNTA($C$12:C13),"")</f>
        <v>2</v>
      </c>
      <c r="B13" s="151"/>
      <c r="C13" s="370" t="s">
        <v>551</v>
      </c>
      <c r="D13" s="370" t="s">
        <v>552</v>
      </c>
      <c r="E13" s="370" t="s">
        <v>553</v>
      </c>
      <c r="F13" s="370" t="s">
        <v>47</v>
      </c>
      <c r="G13" s="293"/>
      <c r="H13" s="370" t="s">
        <v>552</v>
      </c>
      <c r="I13" s="370" t="s">
        <v>553</v>
      </c>
      <c r="J13" s="370" t="s">
        <v>47</v>
      </c>
      <c r="L13" s="370" t="s">
        <v>65</v>
      </c>
      <c r="M13" s="370" t="s">
        <v>325</v>
      </c>
      <c r="O13" s="335"/>
      <c r="P13" s="335"/>
      <c r="Q13" s="335"/>
      <c r="R13" s="335"/>
      <c r="S13" s="335"/>
      <c r="T13" s="335"/>
      <c r="U13" s="335"/>
      <c r="V13" s="335"/>
      <c r="W13" s="335"/>
      <c r="X13" s="335"/>
    </row>
    <row r="14" spans="1:24" ht="14" x14ac:dyDescent="0.3">
      <c r="A14" s="151">
        <f>IF(C14&lt;&gt;"",COUNTA($C$12:C14),"")</f>
        <v>3</v>
      </c>
      <c r="B14" s="151"/>
      <c r="C14" s="371">
        <v>100</v>
      </c>
      <c r="D14" s="372">
        <f t="shared" ref="D14:D23" si="0">ROUND(F$28+C14*SUM(F$29:F$48),2)</f>
        <v>15.15</v>
      </c>
      <c r="E14" s="372">
        <f t="shared" ref="E14:E23" si="1">ROUND(F$49*C14,2)</f>
        <v>11.4</v>
      </c>
      <c r="F14" s="372">
        <f t="shared" ref="F14:F23" si="2">SUM(D14:E14)</f>
        <v>26.55</v>
      </c>
      <c r="G14" s="373"/>
      <c r="H14" s="372">
        <f t="shared" ref="H14:H23" si="3">ROUND(H$28+C14*SUM(H$29:H$48),2)</f>
        <v>14.86</v>
      </c>
      <c r="I14" s="372">
        <f t="shared" ref="I14:I23" si="4">ROUND(H$49*C14,2)</f>
        <v>13.19</v>
      </c>
      <c r="J14" s="372">
        <f t="shared" ref="J14:J23" si="5">SUM(H14:I14)</f>
        <v>28.049999999999997</v>
      </c>
      <c r="K14" s="374"/>
      <c r="L14" s="375">
        <f t="shared" ref="L14:L23" si="6">+J14-F14</f>
        <v>1.4999999999999964</v>
      </c>
      <c r="M14" s="376">
        <f t="shared" ref="M14:M23" si="7">+L14/F14</f>
        <v>5.6497175141242806E-2</v>
      </c>
      <c r="O14" s="339"/>
      <c r="P14" s="339"/>
      <c r="Q14" s="339"/>
      <c r="R14" s="339"/>
      <c r="S14" s="339"/>
      <c r="T14" s="339"/>
      <c r="U14" s="339"/>
      <c r="V14" s="339"/>
      <c r="W14" s="339"/>
      <c r="X14" s="339"/>
    </row>
    <row r="15" spans="1:24" ht="14" x14ac:dyDescent="0.3">
      <c r="A15" s="151">
        <f>IF(C15&lt;&gt;"",COUNTA($C$12:C15),"")</f>
        <v>4</v>
      </c>
      <c r="B15" s="151"/>
      <c r="C15" s="371">
        <v>200</v>
      </c>
      <c r="D15" s="372">
        <f t="shared" si="0"/>
        <v>24.3</v>
      </c>
      <c r="E15" s="372">
        <f t="shared" si="1"/>
        <v>22.81</v>
      </c>
      <c r="F15" s="372">
        <f t="shared" si="2"/>
        <v>47.11</v>
      </c>
      <c r="G15" s="373"/>
      <c r="H15" s="372">
        <f t="shared" si="3"/>
        <v>23.72</v>
      </c>
      <c r="I15" s="372">
        <f t="shared" si="4"/>
        <v>26.37</v>
      </c>
      <c r="J15" s="372">
        <f t="shared" si="5"/>
        <v>50.09</v>
      </c>
      <c r="K15" s="374"/>
      <c r="L15" s="375">
        <f t="shared" si="6"/>
        <v>2.980000000000004</v>
      </c>
      <c r="M15" s="376">
        <f t="shared" si="7"/>
        <v>6.3256208872850855E-2</v>
      </c>
      <c r="O15" s="339"/>
      <c r="P15" s="339"/>
      <c r="Q15" s="339"/>
      <c r="R15" s="339"/>
      <c r="S15" s="339"/>
      <c r="T15" s="339"/>
      <c r="U15" s="339"/>
      <c r="V15" s="339"/>
      <c r="W15" s="339"/>
      <c r="X15" s="339"/>
    </row>
    <row r="16" spans="1:24" ht="14" x14ac:dyDescent="0.3">
      <c r="A16" s="151">
        <f>IF(C16&lt;&gt;"",COUNTA($C$12:C16),"")</f>
        <v>5</v>
      </c>
      <c r="B16" s="151"/>
      <c r="C16" s="371">
        <v>300</v>
      </c>
      <c r="D16" s="372">
        <f t="shared" si="0"/>
        <v>33.450000000000003</v>
      </c>
      <c r="E16" s="372">
        <f t="shared" si="1"/>
        <v>34.21</v>
      </c>
      <c r="F16" s="372">
        <f t="shared" si="2"/>
        <v>67.66</v>
      </c>
      <c r="G16" s="373"/>
      <c r="H16" s="372">
        <f t="shared" si="3"/>
        <v>32.58</v>
      </c>
      <c r="I16" s="372">
        <f t="shared" si="4"/>
        <v>39.56</v>
      </c>
      <c r="J16" s="372">
        <f t="shared" si="5"/>
        <v>72.14</v>
      </c>
      <c r="K16" s="374"/>
      <c r="L16" s="375">
        <f t="shared" si="6"/>
        <v>4.480000000000004</v>
      </c>
      <c r="M16" s="376">
        <f t="shared" si="7"/>
        <v>6.6213420041383447E-2</v>
      </c>
      <c r="O16" s="339"/>
      <c r="P16" s="339"/>
      <c r="Q16" s="339"/>
      <c r="R16" s="339"/>
      <c r="S16" s="339"/>
      <c r="T16" s="339"/>
      <c r="U16" s="339"/>
      <c r="V16" s="339"/>
      <c r="W16" s="339"/>
      <c r="X16" s="339"/>
    </row>
    <row r="17" spans="1:24" ht="14" x14ac:dyDescent="0.3">
      <c r="A17" s="151">
        <f>IF(C17&lt;&gt;"",COUNTA($C$12:C17),"")</f>
        <v>6</v>
      </c>
      <c r="B17" s="151"/>
      <c r="C17" s="371">
        <v>500</v>
      </c>
      <c r="D17" s="372">
        <f t="shared" si="0"/>
        <v>51.75</v>
      </c>
      <c r="E17" s="372">
        <f t="shared" si="1"/>
        <v>57.02</v>
      </c>
      <c r="F17" s="372">
        <f t="shared" si="2"/>
        <v>108.77000000000001</v>
      </c>
      <c r="G17" s="373"/>
      <c r="H17" s="372">
        <f t="shared" si="3"/>
        <v>50.3</v>
      </c>
      <c r="I17" s="372">
        <f t="shared" si="4"/>
        <v>65.930000000000007</v>
      </c>
      <c r="J17" s="372">
        <f t="shared" si="5"/>
        <v>116.23</v>
      </c>
      <c r="K17" s="374"/>
      <c r="L17" s="375">
        <f t="shared" si="6"/>
        <v>7.4599999999999937</v>
      </c>
      <c r="M17" s="376">
        <f t="shared" si="7"/>
        <v>6.858508779994478E-2</v>
      </c>
      <c r="O17" s="339"/>
      <c r="P17" s="339"/>
      <c r="Q17" s="339"/>
      <c r="R17" s="339"/>
      <c r="S17" s="339"/>
      <c r="T17" s="339"/>
      <c r="U17" s="339"/>
      <c r="V17" s="339"/>
      <c r="W17" s="339"/>
      <c r="X17" s="339"/>
    </row>
    <row r="18" spans="1:24" ht="14" x14ac:dyDescent="0.3">
      <c r="A18" s="151">
        <f>IF(C18&lt;&gt;"",COUNTA($C$12:C18),"")</f>
        <v>7</v>
      </c>
      <c r="B18" s="151"/>
      <c r="C18" s="371">
        <v>750</v>
      </c>
      <c r="D18" s="372">
        <f t="shared" si="0"/>
        <v>74.63</v>
      </c>
      <c r="E18" s="372">
        <f t="shared" si="1"/>
        <v>85.52</v>
      </c>
      <c r="F18" s="372">
        <f t="shared" si="2"/>
        <v>160.14999999999998</v>
      </c>
      <c r="G18" s="373"/>
      <c r="H18" s="372">
        <f t="shared" si="3"/>
        <v>72.44</v>
      </c>
      <c r="I18" s="372">
        <f t="shared" si="4"/>
        <v>98.89</v>
      </c>
      <c r="J18" s="372">
        <f t="shared" si="5"/>
        <v>171.32999999999998</v>
      </c>
      <c r="K18" s="374"/>
      <c r="L18" s="375">
        <f t="shared" si="6"/>
        <v>11.180000000000007</v>
      </c>
      <c r="M18" s="376">
        <f t="shared" si="7"/>
        <v>6.9809553543552977E-2</v>
      </c>
      <c r="O18" s="339"/>
      <c r="P18" s="339"/>
      <c r="Q18" s="339"/>
      <c r="R18" s="339"/>
      <c r="S18" s="339"/>
      <c r="T18" s="339"/>
      <c r="U18" s="339"/>
      <c r="V18" s="339"/>
      <c r="W18" s="339"/>
      <c r="X18" s="339"/>
    </row>
    <row r="19" spans="1:24" ht="14" x14ac:dyDescent="0.3">
      <c r="A19" s="151">
        <f>IF(C19&lt;&gt;"",COUNTA($C$12:C19),"")</f>
        <v>8</v>
      </c>
      <c r="B19" s="151"/>
      <c r="C19" s="371">
        <v>1000</v>
      </c>
      <c r="D19" s="372">
        <f t="shared" si="0"/>
        <v>97.5</v>
      </c>
      <c r="E19" s="372">
        <f t="shared" si="1"/>
        <v>114.03</v>
      </c>
      <c r="F19" s="372">
        <f t="shared" si="2"/>
        <v>211.53</v>
      </c>
      <c r="G19" s="373"/>
      <c r="H19" s="372">
        <f t="shared" si="3"/>
        <v>94.59</v>
      </c>
      <c r="I19" s="372">
        <f t="shared" si="4"/>
        <v>131.85</v>
      </c>
      <c r="J19" s="372">
        <f t="shared" si="5"/>
        <v>226.44</v>
      </c>
      <c r="K19" s="374"/>
      <c r="L19" s="375">
        <f t="shared" si="6"/>
        <v>14.909999999999997</v>
      </c>
      <c r="M19" s="376">
        <f t="shared" si="7"/>
        <v>7.0486455821869215E-2</v>
      </c>
      <c r="O19" s="339"/>
      <c r="P19" s="339"/>
      <c r="Q19" s="339"/>
      <c r="R19" s="339"/>
      <c r="S19" s="339"/>
      <c r="T19" s="339"/>
      <c r="U19" s="339"/>
      <c r="V19" s="339"/>
      <c r="W19" s="339"/>
      <c r="X19" s="339"/>
    </row>
    <row r="20" spans="1:24" ht="14" x14ac:dyDescent="0.3">
      <c r="A20" s="151">
        <f>IF(C20&lt;&gt;"",COUNTA($C$12:C20),"")</f>
        <v>9</v>
      </c>
      <c r="B20" s="151"/>
      <c r="C20" s="379">
        <v>1500</v>
      </c>
      <c r="D20" s="380">
        <f t="shared" si="0"/>
        <v>143.25</v>
      </c>
      <c r="E20" s="380">
        <f t="shared" si="1"/>
        <v>171.05</v>
      </c>
      <c r="F20" s="380">
        <f t="shared" si="2"/>
        <v>314.3</v>
      </c>
      <c r="G20" s="381"/>
      <c r="H20" s="380">
        <f t="shared" si="3"/>
        <v>138.88999999999999</v>
      </c>
      <c r="I20" s="380">
        <f t="shared" si="4"/>
        <v>197.78</v>
      </c>
      <c r="J20" s="380">
        <f t="shared" si="5"/>
        <v>336.66999999999996</v>
      </c>
      <c r="K20" s="374"/>
      <c r="L20" s="375">
        <f t="shared" si="6"/>
        <v>22.369999999999948</v>
      </c>
      <c r="M20" s="376">
        <f t="shared" si="7"/>
        <v>7.1174037543747848E-2</v>
      </c>
      <c r="O20" s="339"/>
      <c r="P20" s="339"/>
      <c r="Q20" s="339"/>
      <c r="R20" s="339"/>
      <c r="S20" s="339"/>
      <c r="T20" s="339"/>
      <c r="U20" s="339"/>
      <c r="V20" s="339"/>
      <c r="W20" s="339"/>
      <c r="X20" s="339"/>
    </row>
    <row r="21" spans="1:24" ht="14" x14ac:dyDescent="0.3">
      <c r="A21" s="151">
        <f>IF(C21&lt;&gt;"",COUNTA($C$12:C21),"")</f>
        <v>10</v>
      </c>
      <c r="B21" s="151"/>
      <c r="C21" s="371">
        <v>3000</v>
      </c>
      <c r="D21" s="372">
        <f t="shared" si="0"/>
        <v>280.5</v>
      </c>
      <c r="E21" s="372">
        <f t="shared" si="1"/>
        <v>342.09</v>
      </c>
      <c r="F21" s="372">
        <f t="shared" si="2"/>
        <v>622.58999999999992</v>
      </c>
      <c r="G21" s="373"/>
      <c r="H21" s="372">
        <f t="shared" si="3"/>
        <v>271.77</v>
      </c>
      <c r="I21" s="372">
        <f t="shared" si="4"/>
        <v>395.55</v>
      </c>
      <c r="J21" s="372">
        <f t="shared" si="5"/>
        <v>667.31999999999994</v>
      </c>
      <c r="K21" s="374"/>
      <c r="L21" s="375">
        <f t="shared" si="6"/>
        <v>44.730000000000018</v>
      </c>
      <c r="M21" s="376">
        <f t="shared" si="7"/>
        <v>7.1845034452850232E-2</v>
      </c>
      <c r="O21" s="339"/>
      <c r="P21" s="339"/>
      <c r="Q21" s="339"/>
      <c r="R21" s="339"/>
      <c r="S21" s="339"/>
      <c r="T21" s="339"/>
      <c r="U21" s="339"/>
      <c r="V21" s="339"/>
      <c r="W21" s="339"/>
      <c r="X21" s="339"/>
    </row>
    <row r="22" spans="1:24" ht="14" x14ac:dyDescent="0.3">
      <c r="A22" s="151">
        <f>IF(C22&lt;&gt;"",COUNTA($C$12:C22),"")</f>
        <v>11</v>
      </c>
      <c r="B22" s="151"/>
      <c r="C22" s="371">
        <v>5000</v>
      </c>
      <c r="D22" s="372">
        <f t="shared" si="0"/>
        <v>463.5</v>
      </c>
      <c r="E22" s="372">
        <f t="shared" si="1"/>
        <v>570.15</v>
      </c>
      <c r="F22" s="372">
        <f t="shared" si="2"/>
        <v>1033.6500000000001</v>
      </c>
      <c r="G22" s="373"/>
      <c r="H22" s="372">
        <f t="shared" si="3"/>
        <v>448.95</v>
      </c>
      <c r="I22" s="372">
        <f t="shared" si="4"/>
        <v>659.25</v>
      </c>
      <c r="J22" s="372">
        <f t="shared" si="5"/>
        <v>1108.2</v>
      </c>
      <c r="K22" s="374"/>
      <c r="L22" s="375">
        <f t="shared" si="6"/>
        <v>74.549999999999955</v>
      </c>
      <c r="M22" s="376">
        <f t="shared" si="7"/>
        <v>7.2123059062545306E-2</v>
      </c>
      <c r="O22" s="339"/>
      <c r="P22" s="339"/>
      <c r="Q22" s="339"/>
      <c r="R22" s="339"/>
      <c r="S22" s="339"/>
      <c r="T22" s="339"/>
      <c r="U22" s="339"/>
      <c r="V22" s="339"/>
      <c r="W22" s="339"/>
      <c r="X22" s="339"/>
    </row>
    <row r="23" spans="1:24" ht="14" x14ac:dyDescent="0.3">
      <c r="A23" s="151">
        <f>IF(C23&lt;&gt;"",COUNTA($C$12:C23),"")</f>
        <v>12</v>
      </c>
      <c r="B23" s="151" t="s">
        <v>554</v>
      </c>
      <c r="C23" s="371">
        <v>1472</v>
      </c>
      <c r="D23" s="372">
        <f t="shared" si="0"/>
        <v>140.69</v>
      </c>
      <c r="E23" s="372">
        <f t="shared" si="1"/>
        <v>167.85</v>
      </c>
      <c r="F23" s="372">
        <f t="shared" si="2"/>
        <v>308.53999999999996</v>
      </c>
      <c r="G23" s="373"/>
      <c r="H23" s="372">
        <f t="shared" si="3"/>
        <v>136.4</v>
      </c>
      <c r="I23" s="372">
        <f t="shared" si="4"/>
        <v>194.08</v>
      </c>
      <c r="J23" s="372">
        <f t="shared" si="5"/>
        <v>330.48</v>
      </c>
      <c r="K23" s="374"/>
      <c r="L23" s="375">
        <f t="shared" si="6"/>
        <v>21.940000000000055</v>
      </c>
      <c r="M23" s="376">
        <f t="shared" si="7"/>
        <v>7.1109094444804746E-2</v>
      </c>
      <c r="O23" s="339"/>
      <c r="P23" s="339"/>
      <c r="Q23" s="339"/>
      <c r="R23" s="339"/>
      <c r="S23" s="339"/>
      <c r="T23" s="339"/>
      <c r="U23" s="339"/>
      <c r="V23" s="339"/>
      <c r="W23" s="339"/>
      <c r="X23" s="339"/>
    </row>
    <row r="24" spans="1:24" ht="14" x14ac:dyDescent="0.3">
      <c r="A24" s="151" t="str">
        <f>IF(C24&lt;&gt;"",COUNTA($C$12:C24),"")</f>
        <v/>
      </c>
      <c r="B24" s="151"/>
      <c r="C24" s="488"/>
      <c r="D24" s="489"/>
      <c r="E24" s="489"/>
      <c r="F24" s="490"/>
      <c r="G24" s="491"/>
      <c r="H24" s="489"/>
      <c r="I24" s="489"/>
      <c r="J24" s="415"/>
      <c r="K24" s="415"/>
      <c r="L24" s="415"/>
      <c r="M24" s="415"/>
    </row>
    <row r="25" spans="1:24" ht="14" x14ac:dyDescent="0.3">
      <c r="A25" s="151" t="str">
        <f>IF(C25&lt;&gt;"",COUNTA($C$12:C25),"")</f>
        <v/>
      </c>
      <c r="B25" s="151"/>
      <c r="C25" s="371"/>
      <c r="D25" s="452"/>
      <c r="E25" s="452"/>
      <c r="F25" s="450"/>
      <c r="G25" s="451"/>
    </row>
    <row r="26" spans="1:24" ht="14" x14ac:dyDescent="0.3">
      <c r="A26" s="151">
        <f>IF(C26&lt;&gt;"",COUNTA($C$12:C26),"")</f>
        <v>13</v>
      </c>
      <c r="B26" s="151"/>
      <c r="C26" s="293" t="s">
        <v>46</v>
      </c>
      <c r="D26" s="293"/>
      <c r="F26" s="395" t="str">
        <f>+'Bill_South G1'!G43</f>
        <v>Current</v>
      </c>
      <c r="G26" s="395"/>
      <c r="H26" s="395" t="str">
        <f>+'Bill_South G1'!I43</f>
        <v>Proposed</v>
      </c>
      <c r="I26" s="420"/>
    </row>
    <row r="27" spans="1:24" ht="17" x14ac:dyDescent="0.6">
      <c r="A27" s="151">
        <f>IF(C27&lt;&gt;"",COUNTA($C$12:C27),"")</f>
        <v>14</v>
      </c>
      <c r="B27" s="151"/>
      <c r="C27" s="274" t="s">
        <v>46</v>
      </c>
      <c r="D27" s="293"/>
      <c r="F27" s="396" t="str">
        <f>+'Bill_South G1'!G44</f>
        <v>Rates</v>
      </c>
      <c r="G27" s="396"/>
      <c r="H27" s="396" t="str">
        <f>+'Bill_South G1'!I44</f>
        <v>Rates</v>
      </c>
      <c r="I27" s="396" t="str">
        <f>+'Bill_South G1'!J44</f>
        <v>Change</v>
      </c>
    </row>
    <row r="28" spans="1:24" ht="14" x14ac:dyDescent="0.3">
      <c r="A28" s="151">
        <f>IF(C28&lt;&gt;"",COUNTA($C$12:C28),"")</f>
        <v>15</v>
      </c>
      <c r="B28" s="151"/>
      <c r="C28" s="293" t="s">
        <v>296</v>
      </c>
      <c r="D28" s="274"/>
      <c r="F28" s="454">
        <v>6</v>
      </c>
      <c r="G28" s="398" t="s">
        <v>46</v>
      </c>
      <c r="H28" s="397">
        <f>F28</f>
        <v>6</v>
      </c>
      <c r="I28" s="354">
        <f>+H28-F28</f>
        <v>0</v>
      </c>
    </row>
    <row r="29" spans="1:24" ht="14" x14ac:dyDescent="0.3">
      <c r="A29" s="151">
        <f>IF(C29&lt;&gt;"",COUNTA($C$12:C29),"")</f>
        <v>16</v>
      </c>
      <c r="B29" s="151"/>
      <c r="C29" s="293" t="s">
        <v>298</v>
      </c>
      <c r="D29" s="274"/>
      <c r="F29" s="308">
        <v>3.5630000000000002E-2</v>
      </c>
      <c r="G29" s="400"/>
      <c r="H29" s="308">
        <v>3.6970000000000003E-2</v>
      </c>
      <c r="I29" s="354">
        <f t="shared" ref="I29:I49" si="8">+H29-F29</f>
        <v>1.3400000000000009E-3</v>
      </c>
    </row>
    <row r="30" spans="1:24" ht="14" x14ac:dyDescent="0.3">
      <c r="A30" s="151">
        <f>IF(C30&lt;&gt;"",COUNTA($C$12:C30),"")</f>
        <v>17</v>
      </c>
      <c r="B30" s="151"/>
      <c r="C30" s="293" t="str">
        <f>+'Bill_South G1'!C50</f>
        <v>Revenue Decoupling</v>
      </c>
      <c r="F30" s="308">
        <v>0</v>
      </c>
      <c r="G30" s="400"/>
      <c r="H30" s="277">
        <v>-4.0000000000000002E-4</v>
      </c>
      <c r="I30" s="354">
        <f t="shared" si="8"/>
        <v>-4.0000000000000002E-4</v>
      </c>
    </row>
    <row r="31" spans="1:24" ht="14" x14ac:dyDescent="0.3">
      <c r="A31" s="151">
        <f>IF(C31&lt;&gt;"",COUNTA($C$12:C31),"")</f>
        <v>18</v>
      </c>
      <c r="B31" s="151"/>
      <c r="C31" s="293" t="str">
        <f>+'Bill_South G1'!C51</f>
        <v>Residential Assistance Adjustment Factor</v>
      </c>
      <c r="D31" s="274"/>
      <c r="F31" s="277">
        <v>2.4499999999999999E-3</v>
      </c>
      <c r="G31" s="400"/>
      <c r="H31" s="277">
        <v>3.3700000000000002E-3</v>
      </c>
      <c r="I31" s="354">
        <f t="shared" si="8"/>
        <v>9.2000000000000024E-4</v>
      </c>
    </row>
    <row r="32" spans="1:24" ht="14" x14ac:dyDescent="0.3">
      <c r="A32" s="151">
        <f>IF(C32&lt;&gt;"",COUNTA($C$12:C32),"")</f>
        <v>19</v>
      </c>
      <c r="B32" s="151"/>
      <c r="C32" s="293" t="str">
        <f>+'Bill_South G1'!C52</f>
        <v>Pension Adjustment Factor</v>
      </c>
      <c r="D32" s="274"/>
      <c r="F32" s="277">
        <v>-1.3999999999999999E-4</v>
      </c>
      <c r="G32" s="400"/>
      <c r="H32" s="277">
        <v>1.2899999999999999E-3</v>
      </c>
      <c r="I32" s="354">
        <f t="shared" si="8"/>
        <v>1.4299999999999998E-3</v>
      </c>
    </row>
    <row r="33" spans="1:12" ht="14" x14ac:dyDescent="0.3">
      <c r="A33" s="151">
        <f>IF(C33&lt;&gt;"",COUNTA($C$12:C33),"")</f>
        <v>20</v>
      </c>
      <c r="B33" s="151"/>
      <c r="C33" s="293" t="str">
        <f>+'Bill_South G1'!C53</f>
        <v>Net Metering Recovery Surcharge</v>
      </c>
      <c r="D33" s="274"/>
      <c r="F33" s="277">
        <v>4.8300000000000001E-3</v>
      </c>
      <c r="G33" s="400"/>
      <c r="H33" s="277">
        <v>4.3899999999999998E-3</v>
      </c>
      <c r="I33" s="354">
        <f t="shared" si="8"/>
        <v>-4.4000000000000029E-4</v>
      </c>
    </row>
    <row r="34" spans="1:12" ht="14" x14ac:dyDescent="0.3">
      <c r="A34" s="151">
        <f>IF(C34&lt;&gt;"",COUNTA($C$12:C34),"")</f>
        <v>21</v>
      </c>
      <c r="B34" s="151"/>
      <c r="C34" s="293" t="str">
        <f>+'Bill_South G1'!C54</f>
        <v>Long Term Renewable Contract Adjustment</v>
      </c>
      <c r="D34" s="274"/>
      <c r="F34" s="277">
        <v>2.3600000000000001E-3</v>
      </c>
      <c r="G34" s="400"/>
      <c r="H34" s="277">
        <v>1.74E-3</v>
      </c>
      <c r="I34" s="354">
        <f t="shared" si="8"/>
        <v>-6.2000000000000011E-4</v>
      </c>
    </row>
    <row r="35" spans="1:12" ht="14" x14ac:dyDescent="0.3">
      <c r="A35" s="151">
        <f>IF(C35&lt;&gt;"",COUNTA($C$12:C35),"")</f>
        <v>22</v>
      </c>
      <c r="B35" s="151"/>
      <c r="C35" s="293" t="str">
        <f>+'Bill_South G1'!C55</f>
        <v>AG Consulting Expense</v>
      </c>
      <c r="D35" s="274"/>
      <c r="F35" s="277">
        <v>3.0000000000000001E-5</v>
      </c>
      <c r="G35" s="400"/>
      <c r="H35" s="277">
        <v>1.0000000000000001E-5</v>
      </c>
      <c r="I35" s="354">
        <f t="shared" si="8"/>
        <v>-1.9999999999999998E-5</v>
      </c>
    </row>
    <row r="36" spans="1:12" ht="14" x14ac:dyDescent="0.3">
      <c r="A36" s="151">
        <f>IF(C36&lt;&gt;"",COUNTA($C$12:C36),"")</f>
        <v>23</v>
      </c>
      <c r="B36" s="151"/>
      <c r="C36" s="293" t="str">
        <f>+'Bill_South G1'!C56</f>
        <v>Storm Cost Recovery Adjustment Factor</v>
      </c>
      <c r="D36" s="274"/>
      <c r="F36" s="277">
        <v>1.5100000000000001E-3</v>
      </c>
      <c r="G36" s="400"/>
      <c r="H36" s="277">
        <v>2.5500000000000002E-3</v>
      </c>
      <c r="I36" s="354">
        <f t="shared" si="8"/>
        <v>1.0400000000000001E-3</v>
      </c>
    </row>
    <row r="37" spans="1:12" ht="14" x14ac:dyDescent="0.3">
      <c r="A37" s="151">
        <f>IF(C37&lt;&gt;"",COUNTA($C$12:C37),"")</f>
        <v>24</v>
      </c>
      <c r="B37" s="151"/>
      <c r="C37" s="293" t="str">
        <f>+'Bill_South G1'!C57</f>
        <v>Storm Reserve Adjustment</v>
      </c>
      <c r="D37" s="274"/>
      <c r="F37" s="277">
        <v>0</v>
      </c>
      <c r="G37" s="400"/>
      <c r="H37" s="277">
        <v>0</v>
      </c>
      <c r="I37" s="354">
        <f t="shared" si="8"/>
        <v>0</v>
      </c>
    </row>
    <row r="38" spans="1:12" ht="14" x14ac:dyDescent="0.3">
      <c r="A38" s="151">
        <f>IF(C38&lt;&gt;"",COUNTA($C$12:C38),"")</f>
        <v>25</v>
      </c>
      <c r="B38" s="151"/>
      <c r="C38" s="293" t="str">
        <f>+'Bill_South G1'!C58</f>
        <v>Basic Service Cost True Up Factor</v>
      </c>
      <c r="F38" s="277">
        <v>1.31E-3</v>
      </c>
      <c r="G38" s="400"/>
      <c r="H38" s="277">
        <v>-1.7000000000000001E-4</v>
      </c>
      <c r="I38" s="354">
        <f t="shared" si="8"/>
        <v>-1.48E-3</v>
      </c>
    </row>
    <row r="39" spans="1:12" ht="14" x14ac:dyDescent="0.3">
      <c r="A39" s="151">
        <f>IF(C39&lt;&gt;"",COUNTA($C$12:C39),"")</f>
        <v>26</v>
      </c>
      <c r="B39" s="151"/>
      <c r="C39" s="293" t="str">
        <f>+'Bill_South G1'!C59</f>
        <v>Solar Program Cost Adjustment Factor</v>
      </c>
      <c r="D39" s="274"/>
      <c r="F39" s="277">
        <v>0</v>
      </c>
      <c r="G39" s="400"/>
      <c r="H39" s="277">
        <v>3.0000000000000001E-5</v>
      </c>
      <c r="I39" s="354">
        <f t="shared" si="8"/>
        <v>3.0000000000000001E-5</v>
      </c>
    </row>
    <row r="40" spans="1:12" ht="14" x14ac:dyDescent="0.3">
      <c r="A40" s="151">
        <f>IF(C40&lt;&gt;"",COUNTA($C$12:C40),"")</f>
        <v>27</v>
      </c>
      <c r="B40" s="151"/>
      <c r="C40" s="293" t="str">
        <f>+'Bill_South G1'!C60</f>
        <v>Solar Expansion Cost Recovery Factor</v>
      </c>
      <c r="D40" s="274"/>
      <c r="F40" s="277">
        <v>0</v>
      </c>
      <c r="G40" s="400"/>
      <c r="H40" s="277">
        <v>5.1999999999999995E-4</v>
      </c>
      <c r="I40" s="354">
        <f t="shared" si="8"/>
        <v>5.1999999999999995E-4</v>
      </c>
    </row>
    <row r="41" spans="1:12" ht="14" x14ac:dyDescent="0.3">
      <c r="A41" s="151">
        <f>IF(C41&lt;&gt;"",COUNTA($C$12:C41),"")</f>
        <v>28</v>
      </c>
      <c r="B41" s="151"/>
      <c r="C41" s="293" t="str">
        <f>+'Bill_South G1'!C61</f>
        <v>Vegetation Management</v>
      </c>
      <c r="D41" s="274"/>
      <c r="F41" s="277">
        <v>0</v>
      </c>
      <c r="G41" s="400"/>
      <c r="H41" s="277">
        <v>2.31E-3</v>
      </c>
      <c r="I41" s="354">
        <f t="shared" si="8"/>
        <v>2.31E-3</v>
      </c>
    </row>
    <row r="42" spans="1:12" ht="14" x14ac:dyDescent="0.3">
      <c r="A42" s="151">
        <f>IF(C42&lt;&gt;"",COUNTA($C$12:C42),"")</f>
        <v>29</v>
      </c>
      <c r="B42" s="151"/>
      <c r="C42" s="293" t="str">
        <f>+'Bill_South G1'!C62</f>
        <v>Solar Massachusetts Renewable Target</v>
      </c>
      <c r="D42" s="339"/>
      <c r="E42" s="339"/>
      <c r="F42" s="277">
        <v>0</v>
      </c>
      <c r="G42" s="277"/>
      <c r="H42" s="277">
        <v>6.0999999999999997E-4</v>
      </c>
      <c r="I42" s="354">
        <f t="shared" si="8"/>
        <v>6.0999999999999997E-4</v>
      </c>
      <c r="J42" s="339"/>
      <c r="K42" s="339"/>
      <c r="L42" s="339"/>
    </row>
    <row r="43" spans="1:12" ht="14" x14ac:dyDescent="0.3">
      <c r="A43" s="151">
        <f>IF(C43&lt;&gt;"",COUNTA($C$12:C43),"")</f>
        <v>30</v>
      </c>
      <c r="B43" s="151"/>
      <c r="C43" s="293" t="str">
        <f>+'Bill_South G1'!C63</f>
        <v>Tax Act Credit Factor</v>
      </c>
      <c r="D43" s="339"/>
      <c r="E43" s="339"/>
      <c r="F43" s="277">
        <v>0</v>
      </c>
      <c r="G43" s="277"/>
      <c r="H43" s="277">
        <v>-9.3000000000000005E-4</v>
      </c>
      <c r="I43" s="354">
        <f t="shared" si="8"/>
        <v>-9.3000000000000005E-4</v>
      </c>
      <c r="J43" s="339"/>
      <c r="K43" s="339"/>
      <c r="L43" s="339"/>
    </row>
    <row r="44" spans="1:12" ht="14" x14ac:dyDescent="0.3">
      <c r="A44" s="151">
        <f>IF(C44&lt;&gt;"",COUNTA($C$12:C44),"")</f>
        <v>31</v>
      </c>
      <c r="B44" s="151"/>
      <c r="C44" s="293" t="str">
        <f>+'Bill_South G1'!C64</f>
        <v>Transition</v>
      </c>
      <c r="D44" s="274"/>
      <c r="F44" s="308">
        <v>-6.0999999999999997E-4</v>
      </c>
      <c r="G44" s="400"/>
      <c r="H44" s="277">
        <v>-5.1999999999999995E-4</v>
      </c>
      <c r="I44" s="354">
        <f t="shared" si="8"/>
        <v>9.0000000000000019E-5</v>
      </c>
    </row>
    <row r="45" spans="1:12" ht="14" x14ac:dyDescent="0.3">
      <c r="A45" s="151">
        <f>IF(C45&lt;&gt;"",COUNTA($C$12:C45),"")</f>
        <v>32</v>
      </c>
      <c r="B45" s="151"/>
      <c r="C45" s="293" t="str">
        <f>+'Bill_South G1'!C65</f>
        <v>Transmission Energy</v>
      </c>
      <c r="D45" s="274"/>
      <c r="F45" s="308">
        <v>3.2669999999999998E-2</v>
      </c>
      <c r="G45" s="400"/>
      <c r="H45" s="308">
        <v>2.5360000000000001E-2</v>
      </c>
      <c r="I45" s="354">
        <f t="shared" si="8"/>
        <v>-7.3099999999999971E-3</v>
      </c>
    </row>
    <row r="46" spans="1:12" ht="14" x14ac:dyDescent="0.3">
      <c r="A46" s="151">
        <f>IF(C46&lt;&gt;"",COUNTA($C$12:C46),"")</f>
        <v>33</v>
      </c>
      <c r="B46" s="151"/>
      <c r="C46" s="293" t="str">
        <f>+'Bill_South G1'!C66</f>
        <v>Energy Efficiency Reconciliation Factor</v>
      </c>
      <c r="D46" s="274"/>
      <c r="F46" s="308">
        <v>8.4600000000000005E-3</v>
      </c>
      <c r="G46" s="400"/>
      <c r="H46" s="308">
        <v>8.4600000000000005E-3</v>
      </c>
      <c r="I46" s="354">
        <f t="shared" si="8"/>
        <v>0</v>
      </c>
    </row>
    <row r="47" spans="1:12" ht="14" x14ac:dyDescent="0.3">
      <c r="A47" s="151">
        <f>IF(C47&lt;&gt;"",COUNTA($C$12:C47),"")</f>
        <v>34</v>
      </c>
      <c r="B47" s="151"/>
      <c r="C47" s="293" t="str">
        <f>+'Bill_South G1'!C67</f>
        <v>System Benefits Charge</v>
      </c>
      <c r="D47" s="274"/>
      <c r="F47" s="308">
        <v>2.5000000000000001E-3</v>
      </c>
      <c r="G47" s="403"/>
      <c r="H47" s="308">
        <f>F47</f>
        <v>2.5000000000000001E-3</v>
      </c>
      <c r="I47" s="354">
        <f t="shared" si="8"/>
        <v>0</v>
      </c>
    </row>
    <row r="48" spans="1:12" ht="14" x14ac:dyDescent="0.3">
      <c r="A48" s="151">
        <f>IF(C48&lt;&gt;"",COUNTA($C$12:C48),"")</f>
        <v>35</v>
      </c>
      <c r="B48" s="151"/>
      <c r="C48" s="293" t="str">
        <f>+'Bill_South G1'!C68</f>
        <v>Renewable Energy Charge</v>
      </c>
      <c r="D48" s="274"/>
      <c r="F48" s="308">
        <v>5.0000000000000001E-4</v>
      </c>
      <c r="G48" s="403"/>
      <c r="H48" s="308">
        <f>F48</f>
        <v>5.0000000000000001E-4</v>
      </c>
      <c r="I48" s="354">
        <f t="shared" si="8"/>
        <v>0</v>
      </c>
    </row>
    <row r="49" spans="1:9" ht="14" x14ac:dyDescent="0.3">
      <c r="A49" s="151">
        <f>IF(C49&lt;&gt;"",COUNTA($C$12:C49),"")</f>
        <v>36</v>
      </c>
      <c r="B49" s="151"/>
      <c r="C49" s="293" t="str">
        <f>+'Bill_South G1'!C69</f>
        <v>Basic Service Charge</v>
      </c>
      <c r="D49" s="274"/>
      <c r="F49" s="308">
        <v>0.11403000000000001</v>
      </c>
      <c r="G49" s="403"/>
      <c r="H49" s="308">
        <v>0.13185000000000002</v>
      </c>
      <c r="I49" s="354">
        <f t="shared" si="8"/>
        <v>1.7820000000000016E-2</v>
      </c>
    </row>
    <row r="50" spans="1:9" ht="14" x14ac:dyDescent="0.3">
      <c r="A50" s="151"/>
      <c r="B50" s="151"/>
      <c r="F50" s="293"/>
      <c r="H50" s="368"/>
      <c r="I50" s="354"/>
    </row>
    <row r="51" spans="1:9" ht="14" x14ac:dyDescent="0.3">
      <c r="A51" s="151"/>
      <c r="B51" s="151"/>
      <c r="I51" s="354"/>
    </row>
    <row r="52" spans="1:9" ht="14" x14ac:dyDescent="0.3">
      <c r="A52" s="151"/>
      <c r="B52" s="151"/>
      <c r="C52" s="369" t="str">
        <f>+'Bill_Cam G0'!C53</f>
        <v>Total Energy</v>
      </c>
      <c r="F52" s="427">
        <f>SUM(F29:F48)</f>
        <v>9.1499999999999998E-2</v>
      </c>
      <c r="H52" s="427">
        <f>SUM(H29:H48)</f>
        <v>8.8590000000000002E-2</v>
      </c>
      <c r="I52" s="354">
        <f t="shared" ref="I52:I53" si="9">+H52-F52</f>
        <v>-2.9099999999999959E-3</v>
      </c>
    </row>
    <row r="53" spans="1:9" ht="14" x14ac:dyDescent="0.3">
      <c r="A53" s="151"/>
      <c r="B53" s="151"/>
      <c r="C53" s="369" t="str">
        <f>+'Bill_Cam G0'!C54</f>
        <v>Total Basic Service</v>
      </c>
      <c r="F53" s="427">
        <f>+F49</f>
        <v>0.11403000000000001</v>
      </c>
      <c r="H53" s="427">
        <f>+H49</f>
        <v>0.13185000000000002</v>
      </c>
      <c r="I53" s="354">
        <f t="shared" si="9"/>
        <v>1.7820000000000016E-2</v>
      </c>
    </row>
    <row r="54" spans="1:9" ht="14" x14ac:dyDescent="0.3">
      <c r="A54" s="151"/>
      <c r="B54" s="151"/>
      <c r="I54" s="354"/>
    </row>
    <row r="55" spans="1:9" ht="14" x14ac:dyDescent="0.3">
      <c r="A55" s="151"/>
      <c r="B55" s="151"/>
    </row>
    <row r="56" spans="1:9" ht="14" x14ac:dyDescent="0.3">
      <c r="A56" s="151"/>
      <c r="B56" s="151"/>
    </row>
    <row r="57" spans="1:9" ht="14" x14ac:dyDescent="0.3">
      <c r="A57" s="151"/>
      <c r="B57" s="151"/>
    </row>
    <row r="58" spans="1:9" ht="14" x14ac:dyDescent="0.3">
      <c r="A58" s="151"/>
      <c r="B58" s="151"/>
    </row>
    <row r="59" spans="1:9" ht="14" x14ac:dyDescent="0.3">
      <c r="A59" s="151"/>
      <c r="B59" s="151"/>
    </row>
    <row r="60" spans="1:9" ht="14" x14ac:dyDescent="0.3">
      <c r="A60" s="151"/>
      <c r="B60" s="151"/>
    </row>
    <row r="61" spans="1:9" ht="14" x14ac:dyDescent="0.3">
      <c r="A61" s="151"/>
      <c r="B61" s="151"/>
    </row>
    <row r="62" spans="1:9" ht="14" x14ac:dyDescent="0.3">
      <c r="A62" s="151"/>
      <c r="B62" s="151"/>
    </row>
    <row r="63" spans="1:9" ht="14" x14ac:dyDescent="0.3">
      <c r="A63" s="151"/>
      <c r="B63" s="151"/>
    </row>
    <row r="64" spans="1:9" ht="14" x14ac:dyDescent="0.3">
      <c r="A64" s="151"/>
      <c r="B64" s="151"/>
    </row>
    <row r="65" spans="1:2" ht="14" x14ac:dyDescent="0.3">
      <c r="A65" s="151"/>
      <c r="B65" s="151"/>
    </row>
    <row r="66" spans="1:2" ht="14" x14ac:dyDescent="0.3">
      <c r="A66" s="151"/>
      <c r="B66" s="151"/>
    </row>
    <row r="67" spans="1:2" ht="14" x14ac:dyDescent="0.3">
      <c r="A67" s="151"/>
      <c r="B67" s="151"/>
    </row>
    <row r="68" spans="1:2" ht="14" x14ac:dyDescent="0.3">
      <c r="A68" s="151"/>
      <c r="B68" s="151"/>
    </row>
    <row r="69" spans="1:2" ht="14" x14ac:dyDescent="0.3">
      <c r="A69" s="151"/>
      <c r="B69" s="151"/>
    </row>
    <row r="70" spans="1:2" ht="14" x14ac:dyDescent="0.3">
      <c r="A70" s="151"/>
      <c r="B70" s="151"/>
    </row>
    <row r="71" spans="1:2" ht="14" x14ac:dyDescent="0.3">
      <c r="A71" s="151"/>
      <c r="B71" s="151"/>
    </row>
    <row r="72" spans="1:2" ht="14" x14ac:dyDescent="0.3">
      <c r="A72" s="151"/>
      <c r="B72" s="151"/>
    </row>
    <row r="73" spans="1:2" ht="14" x14ac:dyDescent="0.3">
      <c r="A73" s="151"/>
      <c r="B73" s="151"/>
    </row>
    <row r="74" spans="1:2" ht="14" x14ac:dyDescent="0.3">
      <c r="A74" s="151"/>
      <c r="B74" s="151"/>
    </row>
    <row r="75" spans="1:2" ht="14" x14ac:dyDescent="0.3">
      <c r="A75" s="151"/>
      <c r="B75" s="151"/>
    </row>
    <row r="76" spans="1:2" ht="14" x14ac:dyDescent="0.3">
      <c r="A76" s="151"/>
      <c r="B76" s="151"/>
    </row>
    <row r="77" spans="1:2" ht="14" x14ac:dyDescent="0.3">
      <c r="A77" s="151"/>
      <c r="B77" s="151"/>
    </row>
    <row r="78" spans="1:2" ht="14" x14ac:dyDescent="0.3">
      <c r="A78" s="151"/>
      <c r="B78" s="151"/>
    </row>
    <row r="79" spans="1:2" ht="14" x14ac:dyDescent="0.3">
      <c r="A79" s="151"/>
      <c r="B79" s="151"/>
    </row>
    <row r="80" spans="1:2" ht="14" x14ac:dyDescent="0.3">
      <c r="A80" s="151"/>
      <c r="B80" s="151"/>
    </row>
    <row r="81" spans="1:2" ht="14" x14ac:dyDescent="0.3">
      <c r="A81" s="151"/>
      <c r="B81" s="151"/>
    </row>
    <row r="82" spans="1:2" ht="14" x14ac:dyDescent="0.3">
      <c r="A82" s="151"/>
      <c r="B82" s="151"/>
    </row>
    <row r="83" spans="1:2" ht="14" x14ac:dyDescent="0.3">
      <c r="A83" s="151"/>
      <c r="B83" s="151"/>
    </row>
    <row r="84" spans="1:2" ht="14" x14ac:dyDescent="0.3">
      <c r="A84" s="151"/>
      <c r="B84" s="151"/>
    </row>
    <row r="85" spans="1:2" ht="14" x14ac:dyDescent="0.3">
      <c r="A85" s="151"/>
      <c r="B85" s="151"/>
    </row>
    <row r="86" spans="1:2" ht="14" x14ac:dyDescent="0.3">
      <c r="A86" s="151"/>
      <c r="B86" s="151"/>
    </row>
    <row r="87" spans="1:2" ht="14" x14ac:dyDescent="0.3">
      <c r="A87" s="151"/>
      <c r="B87" s="151"/>
    </row>
    <row r="88" spans="1:2" ht="14" x14ac:dyDescent="0.3">
      <c r="A88" s="151"/>
      <c r="B88" s="151"/>
    </row>
    <row r="89" spans="1:2" ht="14" x14ac:dyDescent="0.3">
      <c r="A89" s="151"/>
      <c r="B89" s="151"/>
    </row>
    <row r="90" spans="1:2" ht="14" x14ac:dyDescent="0.3">
      <c r="A90" s="151"/>
      <c r="B90" s="151"/>
    </row>
    <row r="91" spans="1:2" ht="14" x14ac:dyDescent="0.3">
      <c r="A91" s="151"/>
      <c r="B91" s="151"/>
    </row>
    <row r="92" spans="1:2" ht="14" x14ac:dyDescent="0.3">
      <c r="A92" s="151"/>
      <c r="B92" s="151"/>
    </row>
    <row r="93" spans="1:2" ht="14" x14ac:dyDescent="0.3">
      <c r="A93" s="151"/>
      <c r="B93" s="151"/>
    </row>
    <row r="94" spans="1:2" ht="14" x14ac:dyDescent="0.3">
      <c r="A94" s="151"/>
      <c r="B94" s="151"/>
    </row>
    <row r="95" spans="1:2" ht="14" x14ac:dyDescent="0.3">
      <c r="A95" s="151"/>
      <c r="B95" s="151"/>
    </row>
    <row r="96" spans="1:2" ht="14" x14ac:dyDescent="0.3">
      <c r="A96" s="151"/>
      <c r="B96" s="151"/>
    </row>
    <row r="97" spans="1:2" ht="14" x14ac:dyDescent="0.3">
      <c r="A97" s="151"/>
      <c r="B97" s="151"/>
    </row>
    <row r="98" spans="1:2" ht="14" x14ac:dyDescent="0.3">
      <c r="A98" s="151"/>
      <c r="B98" s="151"/>
    </row>
    <row r="99" spans="1:2" ht="14" x14ac:dyDescent="0.3">
      <c r="A99" s="151"/>
      <c r="B99" s="151"/>
    </row>
    <row r="100" spans="1:2" ht="14" x14ac:dyDescent="0.3">
      <c r="A100" s="151"/>
      <c r="B100" s="151"/>
    </row>
    <row r="101" spans="1:2" ht="14" x14ac:dyDescent="0.3">
      <c r="A101" s="151"/>
      <c r="B101" s="151"/>
    </row>
    <row r="102" spans="1:2" ht="14" x14ac:dyDescent="0.3">
      <c r="A102" s="151"/>
      <c r="B102" s="151"/>
    </row>
    <row r="103" spans="1:2" ht="14" x14ac:dyDescent="0.3">
      <c r="A103" s="151"/>
      <c r="B103" s="151"/>
    </row>
    <row r="104" spans="1:2" ht="14" x14ac:dyDescent="0.3">
      <c r="A104" s="151"/>
      <c r="B104" s="151"/>
    </row>
    <row r="105" spans="1:2" ht="14" x14ac:dyDescent="0.3">
      <c r="A105" s="151"/>
      <c r="B105" s="151"/>
    </row>
    <row r="106" spans="1:2" ht="14" x14ac:dyDescent="0.3">
      <c r="A106" s="151"/>
      <c r="B106" s="151"/>
    </row>
    <row r="107" spans="1:2" ht="14" x14ac:dyDescent="0.3">
      <c r="A107" s="151"/>
      <c r="B107" s="151"/>
    </row>
    <row r="108" spans="1:2" ht="14" x14ac:dyDescent="0.3">
      <c r="A108" s="151"/>
      <c r="B108" s="151"/>
    </row>
    <row r="109" spans="1:2" ht="14" x14ac:dyDescent="0.3">
      <c r="A109" s="151"/>
      <c r="B109" s="151"/>
    </row>
    <row r="110" spans="1:2" ht="14" x14ac:dyDescent="0.3">
      <c r="A110" s="151"/>
      <c r="B110" s="151"/>
    </row>
    <row r="111" spans="1:2" ht="14" x14ac:dyDescent="0.3">
      <c r="A111" s="151"/>
      <c r="B111" s="151"/>
    </row>
    <row r="112" spans="1:2" ht="14" x14ac:dyDescent="0.3">
      <c r="A112" s="151"/>
      <c r="B112" s="151"/>
    </row>
    <row r="113" spans="1:2" ht="14" x14ac:dyDescent="0.3">
      <c r="A113" s="151"/>
      <c r="B113" s="151"/>
    </row>
    <row r="114" spans="1:2" ht="14" x14ac:dyDescent="0.3">
      <c r="A114" s="151"/>
      <c r="B114" s="151"/>
    </row>
    <row r="115" spans="1:2" ht="14" x14ac:dyDescent="0.3">
      <c r="A115" s="151"/>
      <c r="B115" s="151"/>
    </row>
    <row r="116" spans="1:2" ht="14" x14ac:dyDescent="0.3">
      <c r="A116" s="151"/>
      <c r="B116" s="151"/>
    </row>
    <row r="117" spans="1:2" ht="14" x14ac:dyDescent="0.3">
      <c r="A117" s="151"/>
      <c r="B117" s="151"/>
    </row>
    <row r="118" spans="1:2" ht="14" x14ac:dyDescent="0.3">
      <c r="A118" s="151"/>
      <c r="B118" s="151"/>
    </row>
    <row r="119" spans="1:2" ht="14" x14ac:dyDescent="0.3">
      <c r="A119" s="151"/>
      <c r="B119" s="151"/>
    </row>
    <row r="120" spans="1:2" ht="14" x14ac:dyDescent="0.3">
      <c r="A120" s="151"/>
      <c r="B120" s="151"/>
    </row>
    <row r="121" spans="1:2" ht="14" x14ac:dyDescent="0.3">
      <c r="A121" s="151"/>
      <c r="B121" s="151"/>
    </row>
    <row r="122" spans="1:2" ht="14" x14ac:dyDescent="0.3">
      <c r="A122" s="151"/>
      <c r="B122" s="151"/>
    </row>
    <row r="123" spans="1:2" ht="14" x14ac:dyDescent="0.3">
      <c r="A123" s="151"/>
      <c r="B123" s="151"/>
    </row>
    <row r="124" spans="1:2" ht="14" x14ac:dyDescent="0.3">
      <c r="A124" s="151"/>
      <c r="B124" s="151"/>
    </row>
    <row r="125" spans="1:2" ht="14" x14ac:dyDescent="0.3">
      <c r="A125" s="151"/>
      <c r="B125" s="151"/>
    </row>
    <row r="126" spans="1:2" ht="14" x14ac:dyDescent="0.3">
      <c r="A126" s="151"/>
      <c r="B126" s="151"/>
    </row>
    <row r="127" spans="1:2" ht="14" x14ac:dyDescent="0.3">
      <c r="A127" s="151"/>
      <c r="B127" s="151"/>
    </row>
    <row r="128" spans="1:2" ht="14" x14ac:dyDescent="0.3">
      <c r="A128" s="151"/>
      <c r="B128" s="151"/>
    </row>
    <row r="129" spans="1:2" ht="14" x14ac:dyDescent="0.3">
      <c r="A129" s="151"/>
      <c r="B129" s="151"/>
    </row>
    <row r="130" spans="1:2" ht="14" x14ac:dyDescent="0.3">
      <c r="A130" s="151"/>
      <c r="B130" s="151"/>
    </row>
    <row r="131" spans="1:2" ht="14" x14ac:dyDescent="0.3">
      <c r="A131" s="151"/>
      <c r="B131" s="151"/>
    </row>
    <row r="132" spans="1:2" ht="14" x14ac:dyDescent="0.3">
      <c r="A132" s="151"/>
      <c r="B132" s="151"/>
    </row>
    <row r="133" spans="1:2" ht="14" x14ac:dyDescent="0.3">
      <c r="A133" s="151"/>
      <c r="B133" s="151"/>
    </row>
    <row r="134" spans="1:2" ht="14" x14ac:dyDescent="0.3">
      <c r="A134" s="151"/>
      <c r="B134" s="151"/>
    </row>
    <row r="135" spans="1:2" ht="14" x14ac:dyDescent="0.3">
      <c r="A135" s="151"/>
      <c r="B135" s="151"/>
    </row>
    <row r="136" spans="1:2" ht="14" x14ac:dyDescent="0.3">
      <c r="A136" s="151"/>
      <c r="B136" s="151"/>
    </row>
    <row r="137" spans="1:2" ht="14" x14ac:dyDescent="0.3">
      <c r="A137" s="151"/>
      <c r="B137" s="151"/>
    </row>
    <row r="138" spans="1:2" ht="14" x14ac:dyDescent="0.3">
      <c r="A138" s="151"/>
      <c r="B138" s="151"/>
    </row>
    <row r="139" spans="1:2" ht="14" x14ac:dyDescent="0.3">
      <c r="A139" s="151"/>
      <c r="B139" s="151"/>
    </row>
    <row r="140" spans="1:2" ht="14" x14ac:dyDescent="0.3">
      <c r="A140" s="151"/>
      <c r="B140" s="151"/>
    </row>
    <row r="141" spans="1:2" ht="14" x14ac:dyDescent="0.3">
      <c r="A141" s="151"/>
      <c r="B141" s="151"/>
    </row>
    <row r="142" spans="1:2" ht="14" x14ac:dyDescent="0.3">
      <c r="A142" s="151"/>
      <c r="B142" s="151"/>
    </row>
    <row r="143" spans="1:2" ht="14" x14ac:dyDescent="0.3">
      <c r="A143" s="151"/>
      <c r="B143" s="151"/>
    </row>
    <row r="144" spans="1:2" ht="14" x14ac:dyDescent="0.3">
      <c r="A144" s="151"/>
      <c r="B144" s="151"/>
    </row>
    <row r="145" spans="1:2" ht="14" x14ac:dyDescent="0.3">
      <c r="A145" s="151"/>
      <c r="B145" s="151"/>
    </row>
    <row r="146" spans="1:2" ht="14" x14ac:dyDescent="0.3">
      <c r="A146" s="151"/>
      <c r="B146" s="151"/>
    </row>
    <row r="147" spans="1:2" ht="14" x14ac:dyDescent="0.3">
      <c r="A147" s="151"/>
      <c r="B147" s="151"/>
    </row>
    <row r="148" spans="1:2" ht="14" x14ac:dyDescent="0.3">
      <c r="A148" s="151"/>
      <c r="B148" s="151"/>
    </row>
    <row r="149" spans="1:2" ht="14" x14ac:dyDescent="0.3">
      <c r="A149" s="151"/>
      <c r="B149" s="151"/>
    </row>
    <row r="150" spans="1:2" ht="14" x14ac:dyDescent="0.3">
      <c r="A150" s="151"/>
      <c r="B150" s="151"/>
    </row>
    <row r="151" spans="1:2" ht="14" x14ac:dyDescent="0.3">
      <c r="A151" s="151"/>
      <c r="B151" s="151"/>
    </row>
    <row r="152" spans="1:2" ht="14" x14ac:dyDescent="0.3">
      <c r="A152" s="151"/>
      <c r="B152" s="151"/>
    </row>
    <row r="153" spans="1:2" ht="14" x14ac:dyDescent="0.3">
      <c r="A153" s="151"/>
      <c r="B153" s="151"/>
    </row>
    <row r="154" spans="1:2" ht="14" x14ac:dyDescent="0.3">
      <c r="A154" s="151"/>
      <c r="B154" s="151"/>
    </row>
    <row r="155" spans="1:2" ht="14" x14ac:dyDescent="0.3">
      <c r="A155" s="151"/>
      <c r="B155" s="151"/>
    </row>
    <row r="156" spans="1:2" ht="14" x14ac:dyDescent="0.3">
      <c r="A156" s="151"/>
      <c r="B156" s="151"/>
    </row>
    <row r="157" spans="1:2" ht="14" x14ac:dyDescent="0.3">
      <c r="A157" s="151"/>
      <c r="B157" s="151"/>
    </row>
    <row r="158" spans="1:2" ht="14" x14ac:dyDescent="0.3">
      <c r="A158" s="151"/>
      <c r="B158" s="151"/>
    </row>
    <row r="159" spans="1:2" ht="14" x14ac:dyDescent="0.3">
      <c r="A159" s="151"/>
      <c r="B159" s="151"/>
    </row>
    <row r="160" spans="1:2" ht="14" x14ac:dyDescent="0.3">
      <c r="A160" s="151"/>
      <c r="B160" s="151"/>
    </row>
    <row r="161" spans="1:2" ht="14" x14ac:dyDescent="0.3">
      <c r="A161" s="151"/>
      <c r="B161" s="151"/>
    </row>
  </sheetData>
  <mergeCells count="8">
    <mergeCell ref="D12:F12"/>
    <mergeCell ref="H12:J12"/>
    <mergeCell ref="L12:M12"/>
    <mergeCell ref="A4:M4"/>
    <mergeCell ref="A5:M5"/>
    <mergeCell ref="A6:M6"/>
    <mergeCell ref="A8:M8"/>
    <mergeCell ref="A9:M9"/>
  </mergeCells>
  <pageMargins left="0.7" right="0.7" top="0.75" bottom="0.75" header="0.3" footer="0.3"/>
  <pageSetup scale="69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BBF25-5B0A-4E05-BA67-5396579BF862}">
  <sheetPr>
    <tabColor theme="3" tint="0.59999389629810485"/>
    <pageSetUpPr fitToPage="1"/>
  </sheetPr>
  <dimension ref="A4:X157"/>
  <sheetViews>
    <sheetView zoomScaleNormal="100" workbookViewId="0"/>
  </sheetViews>
  <sheetFormatPr defaultRowHeight="12.5" x14ac:dyDescent="0.25"/>
  <cols>
    <col min="1" max="1" width="4" customWidth="1"/>
    <col min="2" max="2" width="4.453125" bestFit="1" customWidth="1"/>
    <col min="3" max="3" width="9.7265625" customWidth="1"/>
    <col min="4" max="6" width="14.7265625" customWidth="1"/>
    <col min="7" max="7" width="1.7265625" customWidth="1"/>
    <col min="8" max="10" width="14.7265625" customWidth="1"/>
    <col min="11" max="11" width="1.7265625" customWidth="1"/>
    <col min="12" max="13" width="11.1796875" customWidth="1"/>
    <col min="15" max="15" width="9.26953125" bestFit="1" customWidth="1"/>
    <col min="16" max="16" width="11.81640625" bestFit="1" customWidth="1"/>
    <col min="17" max="17" width="12" bestFit="1" customWidth="1"/>
  </cols>
  <sheetData>
    <row r="4" spans="1:24" ht="14" x14ac:dyDescent="0.3">
      <c r="A4" s="766" t="str">
        <f>'Bill_South G5'!A4:M4</f>
        <v>Eastern Massachusetts</v>
      </c>
      <c r="B4" s="766"/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</row>
    <row r="5" spans="1:24" ht="14" x14ac:dyDescent="0.3">
      <c r="A5" s="766" t="str">
        <f>+'Bill_Cam G0'!A5</f>
        <v>Calculation of Monthly Typical Bill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</row>
    <row r="6" spans="1:24" ht="14" x14ac:dyDescent="0.3">
      <c r="A6" s="766" t="str">
        <f>+'Bill_Cam G0'!A6</f>
        <v>Proposed January 1, 2019</v>
      </c>
      <c r="B6" s="766"/>
      <c r="C6" s="766"/>
      <c r="D6" s="766"/>
      <c r="E6" s="766"/>
      <c r="F6" s="766"/>
      <c r="G6" s="766"/>
      <c r="H6" s="766"/>
      <c r="I6" s="766"/>
      <c r="J6" s="766"/>
      <c r="K6" s="766"/>
      <c r="L6" s="766"/>
      <c r="M6" s="766"/>
    </row>
    <row r="7" spans="1:24" ht="14" x14ac:dyDescent="0.3">
      <c r="A7" s="521"/>
      <c r="B7" s="521"/>
      <c r="C7" s="293"/>
      <c r="D7" s="468"/>
      <c r="E7" s="243"/>
      <c r="F7" s="469"/>
      <c r="G7" s="293"/>
      <c r="H7" s="369"/>
      <c r="I7" s="369"/>
      <c r="J7" s="369"/>
      <c r="K7" s="369"/>
      <c r="L7" s="369"/>
      <c r="M7" s="369"/>
    </row>
    <row r="8" spans="1:24" ht="14" x14ac:dyDescent="0.3">
      <c r="A8" s="766" t="s">
        <v>476</v>
      </c>
      <c r="B8" s="766"/>
      <c r="C8" s="766"/>
      <c r="D8" s="766"/>
      <c r="E8" s="766"/>
      <c r="F8" s="766"/>
      <c r="G8" s="766"/>
      <c r="H8" s="766"/>
      <c r="I8" s="766"/>
      <c r="J8" s="766"/>
      <c r="K8" s="766"/>
      <c r="L8" s="766"/>
      <c r="M8" s="766"/>
    </row>
    <row r="9" spans="1:24" ht="14" x14ac:dyDescent="0.3">
      <c r="A9" s="766" t="s">
        <v>619</v>
      </c>
      <c r="B9" s="766"/>
      <c r="C9" s="766"/>
      <c r="D9" s="766"/>
      <c r="E9" s="766"/>
      <c r="F9" s="766"/>
      <c r="G9" s="766"/>
      <c r="H9" s="766"/>
      <c r="I9" s="766"/>
      <c r="J9" s="766"/>
      <c r="K9" s="766"/>
      <c r="L9" s="766"/>
      <c r="M9" s="766"/>
    </row>
    <row r="10" spans="1:24" ht="14" x14ac:dyDescent="0.3">
      <c r="A10" s="366"/>
      <c r="B10" s="366"/>
      <c r="C10" s="293"/>
      <c r="D10" s="293"/>
      <c r="E10" s="293"/>
      <c r="F10" s="367"/>
      <c r="G10" s="293"/>
    </row>
    <row r="11" spans="1:24" ht="14" x14ac:dyDescent="0.3">
      <c r="A11" s="366"/>
      <c r="B11" s="366"/>
      <c r="C11" s="293"/>
      <c r="D11" s="293"/>
      <c r="E11" s="293"/>
      <c r="F11" s="368"/>
      <c r="G11" s="293"/>
    </row>
    <row r="12" spans="1:24" ht="14" x14ac:dyDescent="0.3">
      <c r="A12" s="151">
        <f>IF(C12&lt;&gt;"",COUNTA($C12:C$12),"")</f>
        <v>1</v>
      </c>
      <c r="B12" s="151"/>
      <c r="C12" s="366" t="s">
        <v>528</v>
      </c>
      <c r="D12" s="760" t="str">
        <f>+'Bill_South G1'!E12</f>
        <v>Current Monthly Bill</v>
      </c>
      <c r="E12" s="760"/>
      <c r="F12" s="760"/>
      <c r="G12" s="293"/>
      <c r="H12" s="760" t="str">
        <f>+'Bill_South G1'!I12</f>
        <v>Proposed Monthly Bill</v>
      </c>
      <c r="I12" s="760"/>
      <c r="J12" s="760"/>
      <c r="L12" s="760" t="s">
        <v>550</v>
      </c>
      <c r="M12" s="760"/>
      <c r="O12" s="335"/>
      <c r="P12" s="335"/>
      <c r="Q12" s="335"/>
      <c r="R12" s="335"/>
      <c r="S12" s="335"/>
      <c r="T12" s="335"/>
      <c r="U12" s="335"/>
      <c r="V12" s="335"/>
      <c r="W12" s="335"/>
      <c r="X12" s="335"/>
    </row>
    <row r="13" spans="1:24" ht="14" x14ac:dyDescent="0.3">
      <c r="A13" s="151">
        <f>IF(C13&lt;&gt;"",COUNTA($C$12:C13),"")</f>
        <v>2</v>
      </c>
      <c r="B13" s="151"/>
      <c r="C13" s="370" t="s">
        <v>551</v>
      </c>
      <c r="D13" s="370" t="s">
        <v>552</v>
      </c>
      <c r="E13" s="370" t="s">
        <v>553</v>
      </c>
      <c r="F13" s="370" t="s">
        <v>47</v>
      </c>
      <c r="G13" s="293"/>
      <c r="H13" s="370" t="s">
        <v>552</v>
      </c>
      <c r="I13" s="370" t="s">
        <v>553</v>
      </c>
      <c r="J13" s="370" t="s">
        <v>47</v>
      </c>
      <c r="L13" s="370" t="s">
        <v>65</v>
      </c>
      <c r="M13" s="370" t="s">
        <v>325</v>
      </c>
      <c r="O13" s="335"/>
      <c r="P13" s="335"/>
      <c r="Q13" s="335"/>
      <c r="R13" s="335"/>
      <c r="S13" s="335"/>
      <c r="T13" s="335"/>
      <c r="U13" s="335"/>
      <c r="V13" s="335"/>
      <c r="W13" s="335"/>
      <c r="X13" s="335"/>
    </row>
    <row r="14" spans="1:24" ht="14" x14ac:dyDescent="0.3">
      <c r="A14" s="151">
        <f>IF(C14&lt;&gt;"",COUNTA($C$12:C14),"")</f>
        <v>3</v>
      </c>
      <c r="B14" s="151"/>
      <c r="C14" s="371">
        <v>25000</v>
      </c>
      <c r="D14" s="372">
        <f t="shared" ref="D14:D19" si="0">ROUND(F$24+C14*SUM(F$25:F$44),2)</f>
        <v>1551</v>
      </c>
      <c r="E14" s="372">
        <f t="shared" ref="E14:E19" si="1">ROUND(F$45*C14,2)</f>
        <v>2850.75</v>
      </c>
      <c r="F14" s="372">
        <f t="shared" ref="F14:F19" si="2">SUM(D14:E14)</f>
        <v>4401.75</v>
      </c>
      <c r="G14" s="373"/>
      <c r="H14" s="372">
        <f t="shared" ref="H14:H19" si="3">ROUND(H$24+C14*SUM(H$25:H$44),2)</f>
        <v>1549.75</v>
      </c>
      <c r="I14" s="372">
        <f t="shared" ref="I14:I19" si="4">ROUND(H$45*C14,2)</f>
        <v>3296.25</v>
      </c>
      <c r="J14" s="372">
        <f t="shared" ref="J14:J19" si="5">SUM(H14:I14)</f>
        <v>4846</v>
      </c>
      <c r="K14" s="374"/>
      <c r="L14" s="375">
        <f t="shared" ref="L14:L19" si="6">+J14-F14</f>
        <v>444.25</v>
      </c>
      <c r="M14" s="376">
        <f t="shared" ref="M14:M19" si="7">+L14/F14</f>
        <v>0.10092576816039076</v>
      </c>
      <c r="O14" s="339"/>
      <c r="P14" s="339"/>
      <c r="Q14" s="339"/>
      <c r="R14" s="339"/>
      <c r="S14" s="339"/>
      <c r="T14" s="339"/>
      <c r="U14" s="339"/>
      <c r="V14" s="339"/>
      <c r="W14" s="339"/>
      <c r="X14" s="339"/>
    </row>
    <row r="15" spans="1:24" ht="14" x14ac:dyDescent="0.3">
      <c r="A15" s="151">
        <f>IF(C15&lt;&gt;"",COUNTA($C$12:C15),"")</f>
        <v>4</v>
      </c>
      <c r="B15" s="151"/>
      <c r="C15" s="371">
        <v>40000</v>
      </c>
      <c r="D15" s="372">
        <f t="shared" si="0"/>
        <v>2463.6</v>
      </c>
      <c r="E15" s="372">
        <f t="shared" si="1"/>
        <v>4561.2</v>
      </c>
      <c r="F15" s="372">
        <f t="shared" si="2"/>
        <v>7024.7999999999993</v>
      </c>
      <c r="G15" s="373"/>
      <c r="H15" s="372">
        <f t="shared" si="3"/>
        <v>2461.6</v>
      </c>
      <c r="I15" s="372">
        <f t="shared" si="4"/>
        <v>5274</v>
      </c>
      <c r="J15" s="372">
        <f t="shared" si="5"/>
        <v>7735.6</v>
      </c>
      <c r="K15" s="374"/>
      <c r="L15" s="375">
        <f t="shared" si="6"/>
        <v>710.80000000000109</v>
      </c>
      <c r="M15" s="376">
        <f t="shared" si="7"/>
        <v>0.10118437535588218</v>
      </c>
      <c r="O15" s="339"/>
      <c r="P15" s="339"/>
      <c r="Q15" s="339"/>
      <c r="R15" s="339"/>
      <c r="S15" s="339"/>
      <c r="T15" s="339"/>
      <c r="U15" s="339"/>
      <c r="V15" s="339"/>
      <c r="W15" s="339"/>
      <c r="X15" s="339"/>
    </row>
    <row r="16" spans="1:24" ht="14" x14ac:dyDescent="0.3">
      <c r="A16" s="151">
        <f>IF(C16&lt;&gt;"",COUNTA($C$12:C16),"")</f>
        <v>5</v>
      </c>
      <c r="B16" s="151"/>
      <c r="C16" s="379">
        <v>50000</v>
      </c>
      <c r="D16" s="380">
        <f t="shared" si="0"/>
        <v>3072</v>
      </c>
      <c r="E16" s="380">
        <f t="shared" si="1"/>
        <v>5701.5</v>
      </c>
      <c r="F16" s="380">
        <f t="shared" si="2"/>
        <v>8773.5</v>
      </c>
      <c r="G16" s="381"/>
      <c r="H16" s="380">
        <f t="shared" si="3"/>
        <v>3069.5</v>
      </c>
      <c r="I16" s="380">
        <f t="shared" si="4"/>
        <v>6592.5</v>
      </c>
      <c r="J16" s="380">
        <f t="shared" si="5"/>
        <v>9662</v>
      </c>
      <c r="K16" s="382"/>
      <c r="L16" s="383">
        <f t="shared" si="6"/>
        <v>888.5</v>
      </c>
      <c r="M16" s="376">
        <f t="shared" si="7"/>
        <v>0.10127087251382003</v>
      </c>
      <c r="O16" s="339"/>
      <c r="P16" s="339"/>
      <c r="Q16" s="339"/>
      <c r="R16" s="339"/>
      <c r="S16" s="339"/>
      <c r="T16" s="339"/>
      <c r="U16" s="339"/>
      <c r="V16" s="339"/>
      <c r="W16" s="339"/>
      <c r="X16" s="339"/>
    </row>
    <row r="17" spans="1:24" ht="14" x14ac:dyDescent="0.3">
      <c r="A17" s="151">
        <f>IF(C17&lt;&gt;"",COUNTA($C$12:C17),"")</f>
        <v>6</v>
      </c>
      <c r="B17" s="151"/>
      <c r="C17" s="379">
        <v>60000</v>
      </c>
      <c r="D17" s="380">
        <f t="shared" si="0"/>
        <v>3680.4</v>
      </c>
      <c r="E17" s="380">
        <f t="shared" si="1"/>
        <v>6841.8</v>
      </c>
      <c r="F17" s="380">
        <f t="shared" si="2"/>
        <v>10522.2</v>
      </c>
      <c r="G17" s="381"/>
      <c r="H17" s="380">
        <f t="shared" si="3"/>
        <v>3677.4</v>
      </c>
      <c r="I17" s="380">
        <f t="shared" si="4"/>
        <v>7911</v>
      </c>
      <c r="J17" s="380">
        <f t="shared" si="5"/>
        <v>11588.4</v>
      </c>
      <c r="K17" s="382"/>
      <c r="L17" s="383">
        <f t="shared" si="6"/>
        <v>1066.1999999999989</v>
      </c>
      <c r="M17" s="376">
        <f t="shared" si="7"/>
        <v>0.10132861949022057</v>
      </c>
      <c r="O17" s="339"/>
      <c r="P17" s="339"/>
      <c r="Q17" s="339"/>
      <c r="R17" s="339"/>
      <c r="S17" s="339"/>
      <c r="T17" s="339"/>
      <c r="U17" s="339"/>
      <c r="V17" s="339"/>
      <c r="W17" s="339"/>
      <c r="X17" s="339"/>
    </row>
    <row r="18" spans="1:24" ht="14" x14ac:dyDescent="0.3">
      <c r="A18" s="151">
        <f>IF(C18&lt;&gt;"",COUNTA($C$12:C18),"")</f>
        <v>7</v>
      </c>
      <c r="B18" s="151"/>
      <c r="C18" s="379">
        <v>150000</v>
      </c>
      <c r="D18" s="380">
        <f t="shared" si="0"/>
        <v>9156</v>
      </c>
      <c r="E18" s="380">
        <f t="shared" si="1"/>
        <v>17104.5</v>
      </c>
      <c r="F18" s="380">
        <f t="shared" si="2"/>
        <v>26260.5</v>
      </c>
      <c r="G18" s="381"/>
      <c r="H18" s="380">
        <f t="shared" si="3"/>
        <v>9148.5</v>
      </c>
      <c r="I18" s="380">
        <f t="shared" si="4"/>
        <v>19777.5</v>
      </c>
      <c r="J18" s="380">
        <f t="shared" si="5"/>
        <v>28926</v>
      </c>
      <c r="K18" s="382"/>
      <c r="L18" s="383">
        <f t="shared" si="6"/>
        <v>2665.5</v>
      </c>
      <c r="M18" s="376">
        <f t="shared" si="7"/>
        <v>0.10150225624036099</v>
      </c>
      <c r="O18" s="339"/>
      <c r="P18" s="339"/>
      <c r="Q18" s="339"/>
      <c r="R18" s="339"/>
      <c r="S18" s="339"/>
      <c r="T18" s="339"/>
      <c r="U18" s="339"/>
      <c r="V18" s="339"/>
      <c r="W18" s="339"/>
      <c r="X18" s="339"/>
    </row>
    <row r="19" spans="1:24" ht="14" x14ac:dyDescent="0.3">
      <c r="A19" s="151">
        <f>IF(C19&lt;&gt;"",COUNTA($C$12:C19),"")</f>
        <v>8</v>
      </c>
      <c r="B19" s="151" t="s">
        <v>554</v>
      </c>
      <c r="C19" s="379">
        <v>60748</v>
      </c>
      <c r="D19" s="380">
        <f t="shared" si="0"/>
        <v>3725.91</v>
      </c>
      <c r="E19" s="380">
        <f t="shared" si="1"/>
        <v>6927.09</v>
      </c>
      <c r="F19" s="380">
        <f t="shared" si="2"/>
        <v>10653</v>
      </c>
      <c r="G19" s="381"/>
      <c r="H19" s="380">
        <f t="shared" si="3"/>
        <v>3722.87</v>
      </c>
      <c r="I19" s="380">
        <f t="shared" si="4"/>
        <v>8009.62</v>
      </c>
      <c r="J19" s="380">
        <f t="shared" si="5"/>
        <v>11732.49</v>
      </c>
      <c r="K19" s="382"/>
      <c r="L19" s="383">
        <f t="shared" si="6"/>
        <v>1079.4899999999998</v>
      </c>
      <c r="M19" s="376">
        <f t="shared" si="7"/>
        <v>0.10133201914953532</v>
      </c>
      <c r="O19" s="339"/>
      <c r="P19" s="339"/>
      <c r="Q19" s="339"/>
      <c r="R19" s="339"/>
      <c r="S19" s="339"/>
      <c r="T19" s="339"/>
      <c r="U19" s="339"/>
      <c r="V19" s="339"/>
      <c r="W19" s="339"/>
      <c r="X19" s="339"/>
    </row>
    <row r="20" spans="1:24" ht="14" x14ac:dyDescent="0.3">
      <c r="A20" s="151" t="str">
        <f>IF(C20&lt;&gt;"",COUNTA($C$12:C20),"")</f>
        <v/>
      </c>
      <c r="B20" s="151"/>
      <c r="C20" s="488"/>
      <c r="D20" s="489"/>
      <c r="E20" s="489"/>
      <c r="F20" s="490"/>
      <c r="G20" s="491"/>
      <c r="H20" s="489"/>
      <c r="I20" s="489"/>
      <c r="J20" s="415"/>
      <c r="K20" s="415"/>
      <c r="L20" s="415"/>
      <c r="M20" s="415"/>
    </row>
    <row r="21" spans="1:24" ht="14" x14ac:dyDescent="0.3">
      <c r="A21" s="151" t="str">
        <f>IF(C21&lt;&gt;"",COUNTA($C$12:C21),"")</f>
        <v/>
      </c>
      <c r="B21" s="151"/>
      <c r="C21" s="371"/>
      <c r="D21" s="372"/>
      <c r="E21" s="372"/>
      <c r="F21" s="450"/>
      <c r="G21" s="451"/>
    </row>
    <row r="22" spans="1:24" ht="14" x14ac:dyDescent="0.3">
      <c r="A22" s="151">
        <f>IF(C22&lt;&gt;"",COUNTA($C$12:C22),"")</f>
        <v>9</v>
      </c>
      <c r="B22" s="151"/>
      <c r="C22" s="293" t="s">
        <v>46</v>
      </c>
      <c r="D22" s="293"/>
      <c r="F22" s="395" t="str">
        <f>+'Bill_South G5'!F26</f>
        <v>Current</v>
      </c>
      <c r="G22" s="395"/>
      <c r="H22" s="395" t="str">
        <f>+'Bill_South G5'!H26</f>
        <v>Proposed</v>
      </c>
      <c r="I22" s="420"/>
    </row>
    <row r="23" spans="1:24" ht="17" x14ac:dyDescent="0.6">
      <c r="A23" s="151">
        <f>IF(C23&lt;&gt;"",COUNTA($C$12:C23),"")</f>
        <v>10</v>
      </c>
      <c r="B23" s="151"/>
      <c r="C23" s="274" t="s">
        <v>46</v>
      </c>
      <c r="D23" s="293"/>
      <c r="F23" s="396" t="str">
        <f>+'Bill_South G5'!F27</f>
        <v>Rates</v>
      </c>
      <c r="G23" s="396"/>
      <c r="H23" s="396" t="str">
        <f>+'Bill_South G5'!H27</f>
        <v>Rates</v>
      </c>
      <c r="I23" s="396" t="str">
        <f>+'Bill_South G5'!I27</f>
        <v>Change</v>
      </c>
    </row>
    <row r="24" spans="1:24" ht="14" x14ac:dyDescent="0.3">
      <c r="A24" s="151">
        <f>IF(C24&lt;&gt;"",COUNTA($C$12:C24),"")</f>
        <v>11</v>
      </c>
      <c r="B24" s="151"/>
      <c r="C24" s="293" t="s">
        <v>296</v>
      </c>
      <c r="D24" s="274"/>
      <c r="F24" s="454">
        <v>30</v>
      </c>
      <c r="G24" s="398" t="s">
        <v>46</v>
      </c>
      <c r="H24" s="397">
        <f>F24</f>
        <v>30</v>
      </c>
      <c r="I24" s="354">
        <f>+H24-F24</f>
        <v>0</v>
      </c>
    </row>
    <row r="25" spans="1:24" ht="14" x14ac:dyDescent="0.3">
      <c r="A25" s="151">
        <f>IF(C25&lt;&gt;"",COUNTA($C$12:C25),"")</f>
        <v>12</v>
      </c>
      <c r="B25" s="151"/>
      <c r="C25" s="293" t="s">
        <v>298</v>
      </c>
      <c r="D25" s="274"/>
      <c r="F25" s="308">
        <v>1.6330000000000001E-2</v>
      </c>
      <c r="G25" s="400"/>
      <c r="H25" s="308">
        <v>1.6889999999999999E-2</v>
      </c>
      <c r="I25" s="354">
        <f t="shared" ref="I25:I45" si="8">+H25-F25</f>
        <v>5.59999999999998E-4</v>
      </c>
    </row>
    <row r="26" spans="1:24" ht="14" x14ac:dyDescent="0.3">
      <c r="A26" s="151">
        <f>IF(C26&lt;&gt;"",COUNTA($C$12:C26),"")</f>
        <v>13</v>
      </c>
      <c r="B26" s="151"/>
      <c r="C26" s="293" t="str">
        <f>+'Bill_South G5'!C30</f>
        <v>Revenue Decoupling</v>
      </c>
      <c r="F26" s="308">
        <v>0</v>
      </c>
      <c r="G26" s="400"/>
      <c r="H26" s="277">
        <v>-1.8000000000000001E-4</v>
      </c>
      <c r="I26" s="354">
        <f t="shared" si="8"/>
        <v>-1.8000000000000001E-4</v>
      </c>
    </row>
    <row r="27" spans="1:24" ht="14" x14ac:dyDescent="0.3">
      <c r="A27" s="151">
        <f>IF(C27&lt;&gt;"",COUNTA($C$12:C27),"")</f>
        <v>14</v>
      </c>
      <c r="B27" s="151"/>
      <c r="C27" s="293" t="str">
        <f>+'Bill_South G5'!C31</f>
        <v>Residential Assistance Adjustment Factor</v>
      </c>
      <c r="D27" s="274"/>
      <c r="F27" s="277">
        <v>1.14E-3</v>
      </c>
      <c r="G27" s="400"/>
      <c r="H27" s="277">
        <v>1.56E-3</v>
      </c>
      <c r="I27" s="354">
        <f t="shared" si="8"/>
        <v>4.2000000000000002E-4</v>
      </c>
    </row>
    <row r="28" spans="1:24" ht="14" x14ac:dyDescent="0.3">
      <c r="A28" s="151">
        <f>IF(C28&lt;&gt;"",COUNTA($C$12:C28),"")</f>
        <v>15</v>
      </c>
      <c r="B28" s="151"/>
      <c r="C28" s="293" t="str">
        <f>+'Bill_South G5'!C32</f>
        <v>Pension Adjustment Factor</v>
      </c>
      <c r="D28" s="274"/>
      <c r="F28" s="277">
        <v>-6.9999999999999994E-5</v>
      </c>
      <c r="G28" s="400"/>
      <c r="H28" s="277">
        <v>6.7000000000000002E-4</v>
      </c>
      <c r="I28" s="354">
        <f t="shared" si="8"/>
        <v>7.3999999999999999E-4</v>
      </c>
    </row>
    <row r="29" spans="1:24" ht="14" x14ac:dyDescent="0.3">
      <c r="A29" s="151">
        <f>IF(C29&lt;&gt;"",COUNTA($C$12:C29),"")</f>
        <v>16</v>
      </c>
      <c r="B29" s="151"/>
      <c r="C29" s="293" t="str">
        <f>+'Bill_South G5'!C33</f>
        <v>Net Metering Recovery Surcharge</v>
      </c>
      <c r="D29" s="274"/>
      <c r="F29" s="277">
        <v>2.2499999999999998E-3</v>
      </c>
      <c r="G29" s="400"/>
      <c r="H29" s="277">
        <v>2.0300000000000001E-3</v>
      </c>
      <c r="I29" s="354">
        <f t="shared" si="8"/>
        <v>-2.1999999999999971E-4</v>
      </c>
    </row>
    <row r="30" spans="1:24" ht="14" x14ac:dyDescent="0.3">
      <c r="A30" s="151">
        <f>IF(C30&lt;&gt;"",COUNTA($C$12:C30),"")</f>
        <v>17</v>
      </c>
      <c r="B30" s="151"/>
      <c r="C30" s="293" t="str">
        <f>+'Bill_South G5'!C34</f>
        <v>Long Term Renewable Contract Adjustment</v>
      </c>
      <c r="D30" s="274"/>
      <c r="F30" s="277">
        <v>2.3600000000000001E-3</v>
      </c>
      <c r="G30" s="400"/>
      <c r="H30" s="277">
        <v>1.74E-3</v>
      </c>
      <c r="I30" s="354">
        <f t="shared" si="8"/>
        <v>-6.2000000000000011E-4</v>
      </c>
    </row>
    <row r="31" spans="1:24" ht="14" x14ac:dyDescent="0.3">
      <c r="A31" s="151">
        <f>IF(C31&lt;&gt;"",COUNTA($C$12:C31),"")</f>
        <v>18</v>
      </c>
      <c r="B31" s="151"/>
      <c r="C31" s="293" t="str">
        <f>+'Bill_South G5'!C35</f>
        <v>AG Consulting Expense</v>
      </c>
      <c r="D31" s="274"/>
      <c r="F31" s="277">
        <v>1.0000000000000001E-5</v>
      </c>
      <c r="G31" s="400"/>
      <c r="H31" s="277">
        <v>0</v>
      </c>
      <c r="I31" s="354">
        <f t="shared" si="8"/>
        <v>-1.0000000000000001E-5</v>
      </c>
    </row>
    <row r="32" spans="1:24" ht="14" x14ac:dyDescent="0.3">
      <c r="A32" s="151">
        <f>IF(C32&lt;&gt;"",COUNTA($C$12:C32),"")</f>
        <v>19</v>
      </c>
      <c r="B32" s="151"/>
      <c r="C32" s="293" t="str">
        <f>+'Bill_South G5'!C36</f>
        <v>Storm Cost Recovery Adjustment Factor</v>
      </c>
      <c r="D32" s="274"/>
      <c r="F32" s="277">
        <v>6.9999999999999999E-4</v>
      </c>
      <c r="G32" s="400"/>
      <c r="H32" s="277">
        <v>1.16E-3</v>
      </c>
      <c r="I32" s="354">
        <f t="shared" si="8"/>
        <v>4.6000000000000001E-4</v>
      </c>
    </row>
    <row r="33" spans="1:12" ht="14" x14ac:dyDescent="0.3">
      <c r="A33" s="151">
        <f>IF(C33&lt;&gt;"",COUNTA($C$12:C33),"")</f>
        <v>20</v>
      </c>
      <c r="B33" s="151"/>
      <c r="C33" s="293" t="str">
        <f>+'Bill_South G5'!C37</f>
        <v>Storm Reserve Adjustment</v>
      </c>
      <c r="D33" s="274"/>
      <c r="F33" s="277">
        <v>0</v>
      </c>
      <c r="G33" s="400"/>
      <c r="H33" s="277">
        <v>0</v>
      </c>
      <c r="I33" s="354">
        <f t="shared" si="8"/>
        <v>0</v>
      </c>
    </row>
    <row r="34" spans="1:12" ht="14" x14ac:dyDescent="0.3">
      <c r="A34" s="151">
        <f>IF(C34&lt;&gt;"",COUNTA($C$12:C34),"")</f>
        <v>21</v>
      </c>
      <c r="B34" s="151"/>
      <c r="C34" s="293" t="str">
        <f>+'Bill_South G5'!C38</f>
        <v>Basic Service Cost True Up Factor</v>
      </c>
      <c r="F34" s="277">
        <v>6.0999999999999997E-4</v>
      </c>
      <c r="G34" s="400"/>
      <c r="H34" s="277">
        <v>-8.0000000000000007E-5</v>
      </c>
      <c r="I34" s="354">
        <f t="shared" si="8"/>
        <v>-6.8999999999999997E-4</v>
      </c>
    </row>
    <row r="35" spans="1:12" ht="14" x14ac:dyDescent="0.3">
      <c r="A35" s="151">
        <f>IF(C35&lt;&gt;"",COUNTA($C$12:C35),"")</f>
        <v>22</v>
      </c>
      <c r="B35" s="151"/>
      <c r="C35" s="293" t="str">
        <f>+'Bill_South G5'!C39</f>
        <v>Solar Program Cost Adjustment Factor</v>
      </c>
      <c r="D35" s="274"/>
      <c r="F35" s="277">
        <v>0</v>
      </c>
      <c r="G35" s="400"/>
      <c r="H35" s="277">
        <v>1.0000000000000001E-5</v>
      </c>
      <c r="I35" s="354">
        <f t="shared" si="8"/>
        <v>1.0000000000000001E-5</v>
      </c>
    </row>
    <row r="36" spans="1:12" ht="14" x14ac:dyDescent="0.3">
      <c r="A36" s="151">
        <f>IF(C36&lt;&gt;"",COUNTA($C$12:C36),"")</f>
        <v>23</v>
      </c>
      <c r="B36" s="151"/>
      <c r="C36" s="293" t="str">
        <f>+'Bill_South G5'!C40</f>
        <v>Solar Expansion Cost Recovery Factor</v>
      </c>
      <c r="D36" s="274"/>
      <c r="F36" s="277">
        <v>0</v>
      </c>
      <c r="G36" s="400"/>
      <c r="H36" s="277">
        <v>2.4000000000000001E-4</v>
      </c>
      <c r="I36" s="354">
        <f t="shared" si="8"/>
        <v>2.4000000000000001E-4</v>
      </c>
    </row>
    <row r="37" spans="1:12" ht="14" x14ac:dyDescent="0.3">
      <c r="A37" s="151">
        <f>IF(C37&lt;&gt;"",COUNTA($C$12:C37),"")</f>
        <v>24</v>
      </c>
      <c r="B37" s="151"/>
      <c r="C37" s="293" t="str">
        <f>+'Bill_South G5'!C41</f>
        <v>Vegetation Management</v>
      </c>
      <c r="D37" s="274"/>
      <c r="F37" s="277">
        <v>0</v>
      </c>
      <c r="G37" s="400"/>
      <c r="H37" s="277">
        <v>1.1900000000000001E-3</v>
      </c>
      <c r="I37" s="354">
        <f t="shared" si="8"/>
        <v>1.1900000000000001E-3</v>
      </c>
    </row>
    <row r="38" spans="1:12" ht="14" x14ac:dyDescent="0.3">
      <c r="A38" s="151">
        <f>IF(C38&lt;&gt;"",COUNTA($C$12:C38),"")</f>
        <v>25</v>
      </c>
      <c r="B38" s="151"/>
      <c r="C38" s="293" t="str">
        <f>+'Bill_South G5'!C42</f>
        <v>Solar Massachusetts Renewable Target</v>
      </c>
      <c r="D38" s="339"/>
      <c r="E38" s="339"/>
      <c r="F38" s="277">
        <v>0</v>
      </c>
      <c r="G38" s="277"/>
      <c r="H38" s="277">
        <v>2.7999999999999998E-4</v>
      </c>
      <c r="I38" s="354">
        <f t="shared" si="8"/>
        <v>2.7999999999999998E-4</v>
      </c>
      <c r="J38" s="339"/>
      <c r="K38" s="339"/>
      <c r="L38" s="339"/>
    </row>
    <row r="39" spans="1:12" ht="14" x14ac:dyDescent="0.3">
      <c r="A39" s="151">
        <f>IF(C39&lt;&gt;"",COUNTA($C$12:C39),"")</f>
        <v>26</v>
      </c>
      <c r="B39" s="151"/>
      <c r="C39" s="293" t="str">
        <f>+'Bill_South G5'!C43</f>
        <v>Tax Act Credit Factor</v>
      </c>
      <c r="D39" s="339"/>
      <c r="E39" s="339"/>
      <c r="F39" s="277">
        <v>0</v>
      </c>
      <c r="G39" s="277"/>
      <c r="H39" s="277">
        <v>-4.2999999999999999E-4</v>
      </c>
      <c r="I39" s="354">
        <f t="shared" si="8"/>
        <v>-4.2999999999999999E-4</v>
      </c>
      <c r="J39" s="339"/>
      <c r="K39" s="339"/>
      <c r="L39" s="339"/>
    </row>
    <row r="40" spans="1:12" ht="14" x14ac:dyDescent="0.3">
      <c r="A40" s="151">
        <f>IF(C40&lt;&gt;"",COUNTA($C$12:C40),"")</f>
        <v>27</v>
      </c>
      <c r="B40" s="151"/>
      <c r="C40" s="293" t="str">
        <f>+'Bill_South G5'!C44</f>
        <v>Transition</v>
      </c>
      <c r="D40" s="274"/>
      <c r="F40" s="308">
        <v>-6.0999999999999997E-4</v>
      </c>
      <c r="G40" s="400"/>
      <c r="H40" s="277">
        <v>-5.1999999999999995E-4</v>
      </c>
      <c r="I40" s="354">
        <f t="shared" si="8"/>
        <v>9.0000000000000019E-5</v>
      </c>
    </row>
    <row r="41" spans="1:12" ht="14" x14ac:dyDescent="0.3">
      <c r="A41" s="151">
        <f>IF(C41&lt;&gt;"",COUNTA($C$12:C41),"")</f>
        <v>28</v>
      </c>
      <c r="B41" s="151"/>
      <c r="C41" s="293" t="str">
        <f>+'Bill_South G5'!C45</f>
        <v>Transmission Energy</v>
      </c>
      <c r="D41" s="274"/>
      <c r="F41" s="308">
        <v>2.666E-2</v>
      </c>
      <c r="G41" s="400"/>
      <c r="H41" s="308">
        <v>2.477E-2</v>
      </c>
      <c r="I41" s="354">
        <f t="shared" si="8"/>
        <v>-1.8899999999999993E-3</v>
      </c>
    </row>
    <row r="42" spans="1:12" ht="14" x14ac:dyDescent="0.3">
      <c r="A42" s="151">
        <f>IF(C42&lt;&gt;"",COUNTA($C$12:C42),"")</f>
        <v>29</v>
      </c>
      <c r="B42" s="151"/>
      <c r="C42" s="293" t="str">
        <f>+'Bill_South G5'!C46</f>
        <v>Energy Efficiency Reconciliation Factor</v>
      </c>
      <c r="D42" s="274"/>
      <c r="F42" s="308">
        <v>8.4600000000000005E-3</v>
      </c>
      <c r="G42" s="400"/>
      <c r="H42" s="308">
        <v>8.4600000000000005E-3</v>
      </c>
      <c r="I42" s="354">
        <f t="shared" si="8"/>
        <v>0</v>
      </c>
    </row>
    <row r="43" spans="1:12" ht="14" x14ac:dyDescent="0.3">
      <c r="A43" s="151">
        <f>IF(C43&lt;&gt;"",COUNTA($C$12:C43),"")</f>
        <v>30</v>
      </c>
      <c r="B43" s="151"/>
      <c r="C43" s="293" t="str">
        <f>+'Bill_South G5'!C47</f>
        <v>System Benefits Charge</v>
      </c>
      <c r="D43" s="274"/>
      <c r="F43" s="308">
        <v>2.5000000000000001E-3</v>
      </c>
      <c r="G43" s="403"/>
      <c r="H43" s="308">
        <f>F43</f>
        <v>2.5000000000000001E-3</v>
      </c>
      <c r="I43" s="354">
        <f t="shared" si="8"/>
        <v>0</v>
      </c>
    </row>
    <row r="44" spans="1:12" ht="14" x14ac:dyDescent="0.3">
      <c r="A44" s="151">
        <f>IF(C44&lt;&gt;"",COUNTA($C$12:C44),"")</f>
        <v>31</v>
      </c>
      <c r="B44" s="151"/>
      <c r="C44" s="293" t="str">
        <f>+'Bill_South G5'!C48</f>
        <v>Renewable Energy Charge</v>
      </c>
      <c r="D44" s="274"/>
      <c r="F44" s="308">
        <v>5.0000000000000001E-4</v>
      </c>
      <c r="G44" s="403"/>
      <c r="H44" s="308">
        <f>F44</f>
        <v>5.0000000000000001E-4</v>
      </c>
      <c r="I44" s="354">
        <f t="shared" si="8"/>
        <v>0</v>
      </c>
    </row>
    <row r="45" spans="1:12" ht="14" x14ac:dyDescent="0.3">
      <c r="A45" s="151">
        <f>IF(C45&lt;&gt;"",COUNTA($C$12:C45),"")</f>
        <v>32</v>
      </c>
      <c r="B45" s="151"/>
      <c r="C45" s="293" t="str">
        <f>+'Bill_South G5'!C49</f>
        <v>Basic Service Charge</v>
      </c>
      <c r="D45" s="274"/>
      <c r="F45" s="308">
        <v>0.11403000000000001</v>
      </c>
      <c r="G45" s="403"/>
      <c r="H45" s="308">
        <v>0.13185000000000002</v>
      </c>
      <c r="I45" s="354">
        <f t="shared" si="8"/>
        <v>1.7820000000000016E-2</v>
      </c>
    </row>
    <row r="46" spans="1:12" ht="14" x14ac:dyDescent="0.3">
      <c r="A46" s="151"/>
      <c r="B46" s="151"/>
      <c r="F46" s="293"/>
      <c r="H46" s="368"/>
      <c r="I46" s="354"/>
    </row>
    <row r="47" spans="1:12" ht="14" x14ac:dyDescent="0.3">
      <c r="A47" s="151"/>
      <c r="B47" s="151"/>
      <c r="E47" s="293"/>
      <c r="F47" s="368"/>
      <c r="I47" s="354"/>
    </row>
    <row r="48" spans="1:12" ht="14" x14ac:dyDescent="0.3">
      <c r="A48" s="151"/>
      <c r="B48" s="151"/>
      <c r="C48" s="369" t="str">
        <f>+'Bill_South G5'!C52</f>
        <v>Total Energy</v>
      </c>
      <c r="E48" s="293"/>
      <c r="F48" s="427">
        <f>SUM(F25:F44)</f>
        <v>6.0839999999999998E-2</v>
      </c>
      <c r="H48" s="427">
        <f>SUM(H25:H44)</f>
        <v>6.0790000000000004E-2</v>
      </c>
      <c r="I48" s="354">
        <f t="shared" ref="I48:I49" si="9">+H48-F48</f>
        <v>-4.9999999999994493E-5</v>
      </c>
    </row>
    <row r="49" spans="1:9" ht="14" x14ac:dyDescent="0.3">
      <c r="A49" s="151"/>
      <c r="B49" s="151"/>
      <c r="C49" s="369" t="str">
        <f>+'Bill_South G5'!C53</f>
        <v>Total Basic Service</v>
      </c>
      <c r="E49" s="293"/>
      <c r="F49" s="427">
        <f>+F45</f>
        <v>0.11403000000000001</v>
      </c>
      <c r="H49" s="427">
        <f>+H45</f>
        <v>0.13185000000000002</v>
      </c>
      <c r="I49" s="354">
        <f t="shared" si="9"/>
        <v>1.7820000000000016E-2</v>
      </c>
    </row>
    <row r="50" spans="1:9" ht="14" x14ac:dyDescent="0.3">
      <c r="A50" s="151"/>
      <c r="B50" s="151"/>
      <c r="E50" s="293"/>
      <c r="F50" s="368"/>
      <c r="I50" s="354"/>
    </row>
    <row r="51" spans="1:9" ht="14" x14ac:dyDescent="0.3">
      <c r="A51" s="151"/>
      <c r="B51" s="151"/>
      <c r="E51" s="293"/>
      <c r="F51" s="368"/>
    </row>
    <row r="52" spans="1:9" ht="14" x14ac:dyDescent="0.3">
      <c r="A52" s="151"/>
      <c r="B52" s="151"/>
      <c r="E52" s="293"/>
      <c r="F52" s="368"/>
    </row>
    <row r="53" spans="1:9" ht="14" x14ac:dyDescent="0.3">
      <c r="A53" s="151"/>
      <c r="B53" s="151"/>
      <c r="E53" s="293"/>
      <c r="F53" s="368"/>
    </row>
    <row r="54" spans="1:9" ht="14" x14ac:dyDescent="0.3">
      <c r="A54" s="151"/>
      <c r="B54" s="151"/>
      <c r="E54" s="293"/>
      <c r="F54" s="368"/>
    </row>
    <row r="55" spans="1:9" ht="14" x14ac:dyDescent="0.3">
      <c r="A55" s="151"/>
      <c r="B55" s="151"/>
    </row>
    <row r="56" spans="1:9" ht="14" x14ac:dyDescent="0.3">
      <c r="A56" s="151"/>
      <c r="B56" s="151"/>
    </row>
    <row r="57" spans="1:9" ht="14" x14ac:dyDescent="0.3">
      <c r="A57" s="151"/>
      <c r="B57" s="151"/>
    </row>
    <row r="58" spans="1:9" ht="14" x14ac:dyDescent="0.3">
      <c r="A58" s="151"/>
      <c r="B58" s="151"/>
    </row>
    <row r="59" spans="1:9" ht="14" x14ac:dyDescent="0.3">
      <c r="A59" s="151"/>
      <c r="B59" s="151"/>
    </row>
    <row r="60" spans="1:9" ht="14" x14ac:dyDescent="0.3">
      <c r="A60" s="151"/>
      <c r="B60" s="151"/>
    </row>
    <row r="61" spans="1:9" ht="14" x14ac:dyDescent="0.3">
      <c r="A61" s="151"/>
      <c r="B61" s="151"/>
    </row>
    <row r="62" spans="1:9" ht="14" x14ac:dyDescent="0.3">
      <c r="A62" s="151"/>
      <c r="B62" s="151"/>
    </row>
    <row r="63" spans="1:9" ht="14" x14ac:dyDescent="0.3">
      <c r="A63" s="151"/>
      <c r="B63" s="151"/>
    </row>
    <row r="64" spans="1:9" ht="14" x14ac:dyDescent="0.3">
      <c r="A64" s="151"/>
      <c r="B64" s="151"/>
    </row>
    <row r="65" spans="1:2" ht="14" x14ac:dyDescent="0.3">
      <c r="A65" s="151"/>
      <c r="B65" s="151"/>
    </row>
    <row r="66" spans="1:2" ht="14" x14ac:dyDescent="0.3">
      <c r="A66" s="151"/>
      <c r="B66" s="151"/>
    </row>
    <row r="67" spans="1:2" ht="14" x14ac:dyDescent="0.3">
      <c r="A67" s="151"/>
      <c r="B67" s="151"/>
    </row>
    <row r="68" spans="1:2" ht="14" x14ac:dyDescent="0.3">
      <c r="A68" s="151"/>
      <c r="B68" s="151"/>
    </row>
    <row r="69" spans="1:2" ht="14" x14ac:dyDescent="0.3">
      <c r="A69" s="151"/>
      <c r="B69" s="151"/>
    </row>
    <row r="70" spans="1:2" ht="14" x14ac:dyDescent="0.3">
      <c r="A70" s="151"/>
      <c r="B70" s="151"/>
    </row>
    <row r="71" spans="1:2" ht="14" x14ac:dyDescent="0.3">
      <c r="A71" s="151"/>
      <c r="B71" s="151"/>
    </row>
    <row r="72" spans="1:2" ht="14" x14ac:dyDescent="0.3">
      <c r="A72" s="151"/>
      <c r="B72" s="151"/>
    </row>
    <row r="73" spans="1:2" ht="14" x14ac:dyDescent="0.3">
      <c r="A73" s="151"/>
      <c r="B73" s="151"/>
    </row>
    <row r="74" spans="1:2" ht="14" x14ac:dyDescent="0.3">
      <c r="A74" s="151"/>
      <c r="B74" s="151"/>
    </row>
    <row r="75" spans="1:2" ht="14" x14ac:dyDescent="0.3">
      <c r="A75" s="151"/>
      <c r="B75" s="151"/>
    </row>
    <row r="76" spans="1:2" ht="14" x14ac:dyDescent="0.3">
      <c r="A76" s="151"/>
      <c r="B76" s="151"/>
    </row>
    <row r="77" spans="1:2" ht="14" x14ac:dyDescent="0.3">
      <c r="A77" s="151"/>
      <c r="B77" s="151"/>
    </row>
    <row r="78" spans="1:2" ht="14" x14ac:dyDescent="0.3">
      <c r="A78" s="151"/>
      <c r="B78" s="151"/>
    </row>
    <row r="79" spans="1:2" ht="14" x14ac:dyDescent="0.3">
      <c r="A79" s="151"/>
      <c r="B79" s="151"/>
    </row>
    <row r="80" spans="1:2" ht="14" x14ac:dyDescent="0.3">
      <c r="A80" s="151"/>
      <c r="B80" s="151"/>
    </row>
    <row r="81" spans="1:2" ht="14" x14ac:dyDescent="0.3">
      <c r="A81" s="151"/>
      <c r="B81" s="151"/>
    </row>
    <row r="82" spans="1:2" ht="14" x14ac:dyDescent="0.3">
      <c r="A82" s="151"/>
      <c r="B82" s="151"/>
    </row>
    <row r="83" spans="1:2" ht="14" x14ac:dyDescent="0.3">
      <c r="A83" s="151"/>
      <c r="B83" s="151"/>
    </row>
    <row r="84" spans="1:2" ht="14" x14ac:dyDescent="0.3">
      <c r="A84" s="151"/>
      <c r="B84" s="151"/>
    </row>
    <row r="85" spans="1:2" ht="14" x14ac:dyDescent="0.3">
      <c r="A85" s="151"/>
      <c r="B85" s="151"/>
    </row>
    <row r="86" spans="1:2" ht="14" x14ac:dyDescent="0.3">
      <c r="A86" s="151"/>
      <c r="B86" s="151"/>
    </row>
    <row r="87" spans="1:2" ht="14" x14ac:dyDescent="0.3">
      <c r="A87" s="151"/>
      <c r="B87" s="151"/>
    </row>
    <row r="88" spans="1:2" ht="14" x14ac:dyDescent="0.3">
      <c r="A88" s="151"/>
      <c r="B88" s="151"/>
    </row>
    <row r="89" spans="1:2" ht="14" x14ac:dyDescent="0.3">
      <c r="A89" s="151"/>
      <c r="B89" s="151"/>
    </row>
    <row r="90" spans="1:2" ht="14" x14ac:dyDescent="0.3">
      <c r="A90" s="151"/>
      <c r="B90" s="151"/>
    </row>
    <row r="91" spans="1:2" ht="14" x14ac:dyDescent="0.3">
      <c r="A91" s="151"/>
      <c r="B91" s="151"/>
    </row>
    <row r="92" spans="1:2" ht="14" x14ac:dyDescent="0.3">
      <c r="A92" s="151"/>
      <c r="B92" s="151"/>
    </row>
    <row r="93" spans="1:2" ht="14" x14ac:dyDescent="0.3">
      <c r="A93" s="151"/>
      <c r="B93" s="151"/>
    </row>
    <row r="94" spans="1:2" ht="14" x14ac:dyDescent="0.3">
      <c r="A94" s="151"/>
      <c r="B94" s="151"/>
    </row>
    <row r="95" spans="1:2" ht="14" x14ac:dyDescent="0.3">
      <c r="A95" s="151"/>
      <c r="B95" s="151"/>
    </row>
    <row r="96" spans="1:2" ht="14" x14ac:dyDescent="0.3">
      <c r="A96" s="151"/>
      <c r="B96" s="151"/>
    </row>
    <row r="97" spans="1:2" ht="14" x14ac:dyDescent="0.3">
      <c r="A97" s="151"/>
      <c r="B97" s="151"/>
    </row>
    <row r="98" spans="1:2" ht="14" x14ac:dyDescent="0.3">
      <c r="A98" s="151"/>
      <c r="B98" s="151"/>
    </row>
    <row r="99" spans="1:2" ht="14" x14ac:dyDescent="0.3">
      <c r="A99" s="151"/>
      <c r="B99" s="151"/>
    </row>
    <row r="100" spans="1:2" ht="14" x14ac:dyDescent="0.3">
      <c r="A100" s="151"/>
      <c r="B100" s="151"/>
    </row>
    <row r="101" spans="1:2" ht="14" x14ac:dyDescent="0.3">
      <c r="A101" s="151"/>
      <c r="B101" s="151"/>
    </row>
    <row r="102" spans="1:2" ht="14" x14ac:dyDescent="0.3">
      <c r="A102" s="151"/>
      <c r="B102" s="151"/>
    </row>
    <row r="103" spans="1:2" ht="14" x14ac:dyDescent="0.3">
      <c r="A103" s="151"/>
      <c r="B103" s="151"/>
    </row>
    <row r="104" spans="1:2" ht="14" x14ac:dyDescent="0.3">
      <c r="A104" s="151"/>
      <c r="B104" s="151"/>
    </row>
    <row r="105" spans="1:2" ht="14" x14ac:dyDescent="0.3">
      <c r="A105" s="151"/>
      <c r="B105" s="151"/>
    </row>
    <row r="106" spans="1:2" ht="14" x14ac:dyDescent="0.3">
      <c r="A106" s="151"/>
      <c r="B106" s="151"/>
    </row>
    <row r="107" spans="1:2" ht="14" x14ac:dyDescent="0.3">
      <c r="A107" s="151"/>
      <c r="B107" s="151"/>
    </row>
    <row r="108" spans="1:2" ht="14" x14ac:dyDescent="0.3">
      <c r="A108" s="151"/>
      <c r="B108" s="151"/>
    </row>
    <row r="109" spans="1:2" ht="14" x14ac:dyDescent="0.3">
      <c r="A109" s="151"/>
      <c r="B109" s="151"/>
    </row>
    <row r="110" spans="1:2" ht="14" x14ac:dyDescent="0.3">
      <c r="A110" s="151"/>
      <c r="B110" s="151"/>
    </row>
    <row r="111" spans="1:2" ht="14" x14ac:dyDescent="0.3">
      <c r="A111" s="151"/>
      <c r="B111" s="151"/>
    </row>
    <row r="112" spans="1:2" ht="14" x14ac:dyDescent="0.3">
      <c r="A112" s="151"/>
      <c r="B112" s="151"/>
    </row>
    <row r="113" spans="1:2" ht="14" x14ac:dyDescent="0.3">
      <c r="A113" s="151"/>
      <c r="B113" s="151"/>
    </row>
    <row r="114" spans="1:2" ht="14" x14ac:dyDescent="0.3">
      <c r="A114" s="151"/>
      <c r="B114" s="151"/>
    </row>
    <row r="115" spans="1:2" ht="14" x14ac:dyDescent="0.3">
      <c r="A115" s="151"/>
      <c r="B115" s="151"/>
    </row>
    <row r="116" spans="1:2" ht="14" x14ac:dyDescent="0.3">
      <c r="A116" s="151"/>
      <c r="B116" s="151"/>
    </row>
    <row r="117" spans="1:2" ht="14" x14ac:dyDescent="0.3">
      <c r="A117" s="151"/>
      <c r="B117" s="151"/>
    </row>
    <row r="118" spans="1:2" ht="14" x14ac:dyDescent="0.3">
      <c r="A118" s="151"/>
      <c r="B118" s="151"/>
    </row>
    <row r="119" spans="1:2" ht="14" x14ac:dyDescent="0.3">
      <c r="A119" s="151"/>
      <c r="B119" s="151"/>
    </row>
    <row r="120" spans="1:2" ht="14" x14ac:dyDescent="0.3">
      <c r="A120" s="151"/>
      <c r="B120" s="151"/>
    </row>
    <row r="121" spans="1:2" ht="14" x14ac:dyDescent="0.3">
      <c r="A121" s="151"/>
      <c r="B121" s="151"/>
    </row>
    <row r="122" spans="1:2" ht="14" x14ac:dyDescent="0.3">
      <c r="A122" s="151"/>
      <c r="B122" s="151"/>
    </row>
    <row r="123" spans="1:2" ht="14" x14ac:dyDescent="0.3">
      <c r="A123" s="151"/>
      <c r="B123" s="151"/>
    </row>
    <row r="124" spans="1:2" ht="14" x14ac:dyDescent="0.3">
      <c r="A124" s="151"/>
      <c r="B124" s="151"/>
    </row>
    <row r="125" spans="1:2" ht="14" x14ac:dyDescent="0.3">
      <c r="A125" s="151"/>
      <c r="B125" s="151"/>
    </row>
    <row r="126" spans="1:2" ht="14" x14ac:dyDescent="0.3">
      <c r="A126" s="151"/>
      <c r="B126" s="151"/>
    </row>
    <row r="127" spans="1:2" ht="14" x14ac:dyDescent="0.3">
      <c r="A127" s="151"/>
      <c r="B127" s="151"/>
    </row>
    <row r="128" spans="1:2" ht="14" x14ac:dyDescent="0.3">
      <c r="A128" s="151"/>
      <c r="B128" s="151"/>
    </row>
    <row r="129" spans="1:2" ht="14" x14ac:dyDescent="0.3">
      <c r="A129" s="151"/>
      <c r="B129" s="151"/>
    </row>
    <row r="130" spans="1:2" ht="14" x14ac:dyDescent="0.3">
      <c r="A130" s="151"/>
      <c r="B130" s="151"/>
    </row>
    <row r="131" spans="1:2" ht="14" x14ac:dyDescent="0.3">
      <c r="A131" s="151"/>
      <c r="B131" s="151"/>
    </row>
    <row r="132" spans="1:2" ht="14" x14ac:dyDescent="0.3">
      <c r="A132" s="151"/>
      <c r="B132" s="151"/>
    </row>
    <row r="133" spans="1:2" ht="14" x14ac:dyDescent="0.3">
      <c r="A133" s="151"/>
      <c r="B133" s="151"/>
    </row>
    <row r="134" spans="1:2" ht="14" x14ac:dyDescent="0.3">
      <c r="A134" s="151"/>
      <c r="B134" s="151"/>
    </row>
    <row r="135" spans="1:2" ht="14" x14ac:dyDescent="0.3">
      <c r="A135" s="151"/>
      <c r="B135" s="151"/>
    </row>
    <row r="136" spans="1:2" ht="14" x14ac:dyDescent="0.3">
      <c r="A136" s="151"/>
      <c r="B136" s="151"/>
    </row>
    <row r="137" spans="1:2" ht="14" x14ac:dyDescent="0.3">
      <c r="A137" s="151"/>
      <c r="B137" s="151"/>
    </row>
    <row r="138" spans="1:2" ht="14" x14ac:dyDescent="0.3">
      <c r="A138" s="151"/>
      <c r="B138" s="151"/>
    </row>
    <row r="139" spans="1:2" ht="14" x14ac:dyDescent="0.3">
      <c r="A139" s="151"/>
      <c r="B139" s="151"/>
    </row>
    <row r="140" spans="1:2" ht="14" x14ac:dyDescent="0.3">
      <c r="A140" s="151"/>
      <c r="B140" s="151"/>
    </row>
    <row r="141" spans="1:2" ht="14" x14ac:dyDescent="0.3">
      <c r="A141" s="151"/>
      <c r="B141" s="151"/>
    </row>
    <row r="142" spans="1:2" ht="14" x14ac:dyDescent="0.3">
      <c r="A142" s="151"/>
      <c r="B142" s="151"/>
    </row>
    <row r="143" spans="1:2" ht="14" x14ac:dyDescent="0.3">
      <c r="A143" s="151"/>
      <c r="B143" s="151"/>
    </row>
    <row r="144" spans="1:2" ht="14" x14ac:dyDescent="0.3">
      <c r="A144" s="151"/>
      <c r="B144" s="151"/>
    </row>
    <row r="145" spans="1:2" ht="14" x14ac:dyDescent="0.3">
      <c r="A145" s="151"/>
      <c r="B145" s="151"/>
    </row>
    <row r="146" spans="1:2" ht="14" x14ac:dyDescent="0.3">
      <c r="A146" s="151"/>
      <c r="B146" s="151"/>
    </row>
    <row r="147" spans="1:2" ht="14" x14ac:dyDescent="0.3">
      <c r="A147" s="151"/>
      <c r="B147" s="151"/>
    </row>
    <row r="148" spans="1:2" ht="14" x14ac:dyDescent="0.3">
      <c r="A148" s="151"/>
      <c r="B148" s="151"/>
    </row>
    <row r="149" spans="1:2" ht="14" x14ac:dyDescent="0.3">
      <c r="A149" s="151"/>
      <c r="B149" s="151"/>
    </row>
    <row r="150" spans="1:2" ht="14" x14ac:dyDescent="0.3">
      <c r="A150" s="151"/>
      <c r="B150" s="151"/>
    </row>
    <row r="151" spans="1:2" ht="14" x14ac:dyDescent="0.3">
      <c r="A151" s="151"/>
      <c r="B151" s="151"/>
    </row>
    <row r="152" spans="1:2" ht="14" x14ac:dyDescent="0.3">
      <c r="A152" s="151"/>
      <c r="B152" s="151"/>
    </row>
    <row r="153" spans="1:2" ht="14" x14ac:dyDescent="0.3">
      <c r="A153" s="151"/>
      <c r="B153" s="151"/>
    </row>
    <row r="154" spans="1:2" ht="14" x14ac:dyDescent="0.3">
      <c r="A154" s="151"/>
      <c r="B154" s="151"/>
    </row>
    <row r="155" spans="1:2" ht="14" x14ac:dyDescent="0.3">
      <c r="A155" s="151"/>
      <c r="B155" s="151"/>
    </row>
    <row r="156" spans="1:2" ht="14" x14ac:dyDescent="0.3">
      <c r="A156" s="151"/>
      <c r="B156" s="151"/>
    </row>
    <row r="157" spans="1:2" ht="14" x14ac:dyDescent="0.3">
      <c r="A157" s="151"/>
      <c r="B157" s="151"/>
    </row>
  </sheetData>
  <mergeCells count="8">
    <mergeCell ref="D12:F12"/>
    <mergeCell ref="H12:J12"/>
    <mergeCell ref="L12:M12"/>
    <mergeCell ref="A4:M4"/>
    <mergeCell ref="A5:M5"/>
    <mergeCell ref="A6:M6"/>
    <mergeCell ref="A8:M8"/>
    <mergeCell ref="A9:M9"/>
  </mergeCells>
  <pageMargins left="0.7" right="0.7" top="0.75" bottom="0.75" header="0.3" footer="0.3"/>
  <pageSetup scale="69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CC54E-3429-4524-B014-90E0B082D8E7}">
  <sheetPr>
    <tabColor theme="3" tint="0.59999389629810485"/>
    <pageSetUpPr fitToPage="1"/>
  </sheetPr>
  <dimension ref="A4:AD142"/>
  <sheetViews>
    <sheetView zoomScaleNormal="100" workbookViewId="0"/>
  </sheetViews>
  <sheetFormatPr defaultRowHeight="12.5" x14ac:dyDescent="0.25"/>
  <cols>
    <col min="1" max="1" width="4" customWidth="1"/>
    <col min="2" max="2" width="4.453125" bestFit="1" customWidth="1"/>
    <col min="3" max="3" width="9.26953125" customWidth="1"/>
    <col min="4" max="4" width="9.7265625" customWidth="1"/>
    <col min="5" max="7" width="14.7265625" customWidth="1"/>
    <col min="8" max="8" width="1.7265625" customWidth="1"/>
    <col min="9" max="11" width="14.7265625" customWidth="1"/>
    <col min="12" max="12" width="1.7265625" customWidth="1"/>
    <col min="13" max="14" width="11.7265625" customWidth="1"/>
    <col min="15" max="15" width="10.81640625" bestFit="1" customWidth="1"/>
    <col min="16" max="16" width="11.26953125" bestFit="1" customWidth="1"/>
    <col min="17" max="18" width="10.1796875" bestFit="1" customWidth="1"/>
    <col min="19" max="19" width="10.81640625" bestFit="1" customWidth="1"/>
    <col min="20" max="21" width="11.81640625" bestFit="1" customWidth="1"/>
    <col min="22" max="22" width="8.453125" bestFit="1" customWidth="1"/>
    <col min="23" max="23" width="10.81640625" bestFit="1" customWidth="1"/>
    <col min="24" max="27" width="10.1796875" bestFit="1" customWidth="1"/>
    <col min="28" max="29" width="11.81640625" bestFit="1" customWidth="1"/>
  </cols>
  <sheetData>
    <row r="4" spans="1:30" ht="14" x14ac:dyDescent="0.3">
      <c r="A4" s="766" t="str">
        <f>'Bill_South G6'!A4:M4</f>
        <v>Eastern Massachusetts</v>
      </c>
      <c r="B4" s="766"/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  <c r="N4" s="766"/>
    </row>
    <row r="5" spans="1:30" ht="14" x14ac:dyDescent="0.3">
      <c r="A5" s="766" t="str">
        <f>+'Bill_Cam G0'!A5</f>
        <v>Calculation of Monthly Typical Bill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</row>
    <row r="6" spans="1:30" ht="14" x14ac:dyDescent="0.3">
      <c r="A6" s="766" t="str">
        <f>+'Bill_Cam G0'!A6</f>
        <v>Proposed January 1, 2019</v>
      </c>
      <c r="B6" s="766"/>
      <c r="C6" s="766"/>
      <c r="D6" s="766"/>
      <c r="E6" s="766"/>
      <c r="F6" s="766"/>
      <c r="G6" s="766"/>
      <c r="H6" s="766"/>
      <c r="I6" s="766"/>
      <c r="J6" s="766"/>
      <c r="K6" s="766"/>
      <c r="L6" s="766"/>
      <c r="M6" s="766"/>
      <c r="N6" s="766"/>
    </row>
    <row r="7" spans="1:30" ht="14" x14ac:dyDescent="0.3">
      <c r="A7" s="521"/>
      <c r="B7" s="521"/>
      <c r="C7" s="293"/>
      <c r="D7" s="293"/>
      <c r="E7" s="468"/>
      <c r="F7" s="243"/>
      <c r="G7" s="469"/>
      <c r="H7" s="293"/>
      <c r="I7" s="369"/>
      <c r="J7" s="369"/>
      <c r="K7" s="369"/>
      <c r="L7" s="369"/>
      <c r="M7" s="369"/>
      <c r="N7" s="369"/>
    </row>
    <row r="8" spans="1:30" ht="14" x14ac:dyDescent="0.3">
      <c r="A8" s="766" t="s">
        <v>476</v>
      </c>
      <c r="B8" s="766"/>
      <c r="C8" s="766"/>
      <c r="D8" s="766"/>
      <c r="E8" s="766"/>
      <c r="F8" s="766"/>
      <c r="G8" s="766"/>
      <c r="H8" s="766"/>
      <c r="I8" s="766"/>
      <c r="J8" s="766"/>
      <c r="K8" s="766"/>
      <c r="L8" s="766"/>
      <c r="M8" s="766"/>
      <c r="N8" s="766"/>
    </row>
    <row r="9" spans="1:30" ht="14" x14ac:dyDescent="0.3">
      <c r="A9" s="766" t="s">
        <v>504</v>
      </c>
      <c r="B9" s="766"/>
      <c r="C9" s="766"/>
      <c r="D9" s="766"/>
      <c r="E9" s="766"/>
      <c r="F9" s="766"/>
      <c r="G9" s="766"/>
      <c r="H9" s="766"/>
      <c r="I9" s="766"/>
      <c r="J9" s="766"/>
      <c r="K9" s="766"/>
      <c r="L9" s="766"/>
      <c r="M9" s="766"/>
      <c r="N9" s="766"/>
    </row>
    <row r="10" spans="1:30" ht="14" x14ac:dyDescent="0.3">
      <c r="A10" s="366"/>
      <c r="B10" s="366"/>
      <c r="C10" s="293"/>
      <c r="D10" s="293"/>
      <c r="E10" s="293"/>
      <c r="F10" s="293"/>
      <c r="G10" s="368"/>
      <c r="H10" s="293"/>
    </row>
    <row r="11" spans="1:30" ht="14" x14ac:dyDescent="0.3">
      <c r="A11" s="151"/>
      <c r="B11" s="151"/>
      <c r="C11" s="293"/>
      <c r="D11" s="293"/>
      <c r="E11" s="293"/>
      <c r="F11" s="293"/>
      <c r="G11" s="368"/>
      <c r="H11" s="293"/>
    </row>
    <row r="12" spans="1:30" ht="14" x14ac:dyDescent="0.3">
      <c r="A12" s="151">
        <f>IF(C12&lt;&gt;"",COUNTA($C$12:C12),"")</f>
        <v>1</v>
      </c>
      <c r="B12" s="151"/>
      <c r="C12" s="366" t="s">
        <v>528</v>
      </c>
      <c r="D12" s="366" t="s">
        <v>528</v>
      </c>
      <c r="E12" s="760" t="str">
        <f>+'Bill_South G1'!E12</f>
        <v>Current Monthly Bill</v>
      </c>
      <c r="F12" s="760"/>
      <c r="G12" s="760"/>
      <c r="H12" s="293"/>
      <c r="I12" s="760" t="str">
        <f>+'Bill_South G1'!I12</f>
        <v>Proposed Monthly Bill</v>
      </c>
      <c r="J12" s="760"/>
      <c r="K12" s="760"/>
      <c r="M12" s="760" t="s">
        <v>550</v>
      </c>
      <c r="N12" s="760"/>
      <c r="O12" s="369"/>
      <c r="P12" s="369"/>
      <c r="Q12" s="369"/>
      <c r="R12" s="369"/>
      <c r="S12" s="369"/>
      <c r="T12" s="369"/>
      <c r="U12" s="369"/>
      <c r="W12" s="369"/>
      <c r="X12" s="369"/>
      <c r="Y12" s="369"/>
      <c r="Z12" s="369"/>
      <c r="AA12" s="369"/>
      <c r="AB12" s="369"/>
      <c r="AC12" s="369"/>
      <c r="AD12" s="369"/>
    </row>
    <row r="13" spans="1:30" ht="14" x14ac:dyDescent="0.3">
      <c r="A13" s="151">
        <f>IF(C13&lt;&gt;"",COUNTA($C$12:C13),"")</f>
        <v>2</v>
      </c>
      <c r="B13" s="151"/>
      <c r="C13" s="408" t="s">
        <v>593</v>
      </c>
      <c r="D13" s="370" t="s">
        <v>551</v>
      </c>
      <c r="E13" s="370" t="s">
        <v>552</v>
      </c>
      <c r="F13" s="370" t="s">
        <v>553</v>
      </c>
      <c r="G13" s="370" t="s">
        <v>47</v>
      </c>
      <c r="H13" s="293"/>
      <c r="I13" s="370" t="s">
        <v>552</v>
      </c>
      <c r="J13" s="370" t="s">
        <v>553</v>
      </c>
      <c r="K13" s="370" t="s">
        <v>47</v>
      </c>
      <c r="M13" s="370" t="s">
        <v>65</v>
      </c>
      <c r="N13" s="370" t="s">
        <v>325</v>
      </c>
      <c r="W13" s="369"/>
      <c r="X13" s="369"/>
      <c r="Y13" s="369"/>
      <c r="Z13" s="369"/>
      <c r="AA13" s="369"/>
      <c r="AB13" s="369"/>
      <c r="AC13" s="369"/>
      <c r="AD13" s="369"/>
    </row>
    <row r="14" spans="1:30" ht="14" x14ac:dyDescent="0.3">
      <c r="A14" s="151" t="str">
        <f>IF(C14&lt;&gt;"",COUNTA($C$12:C14),"")</f>
        <v/>
      </c>
      <c r="B14" s="151"/>
      <c r="C14" s="408"/>
      <c r="D14" s="370"/>
      <c r="E14" s="370"/>
      <c r="F14" s="370"/>
      <c r="G14" s="370"/>
      <c r="H14" s="293"/>
      <c r="I14" s="370"/>
      <c r="J14" s="370"/>
      <c r="K14" s="370"/>
      <c r="M14" s="370"/>
      <c r="N14" s="370"/>
      <c r="W14" s="369"/>
      <c r="X14" s="369"/>
      <c r="Y14" s="369"/>
      <c r="Z14" s="369"/>
      <c r="AA14" s="369"/>
      <c r="AB14" s="369"/>
      <c r="AC14" s="369"/>
      <c r="AD14" s="369"/>
    </row>
    <row r="15" spans="1:30" ht="14" x14ac:dyDescent="0.3">
      <c r="A15" s="151">
        <f>IF(C15&lt;&gt;"",COUNTA($C$12:C15),"")</f>
        <v>3</v>
      </c>
      <c r="B15" s="151"/>
      <c r="C15" s="405" t="s">
        <v>580</v>
      </c>
      <c r="D15" s="370"/>
      <c r="E15" s="370"/>
      <c r="F15" s="370"/>
      <c r="G15" s="370"/>
      <c r="H15" s="293"/>
      <c r="I15" s="370"/>
      <c r="J15" s="370"/>
      <c r="K15" s="370"/>
      <c r="M15" s="370"/>
      <c r="N15" s="370"/>
      <c r="W15" s="369"/>
      <c r="X15" s="369"/>
      <c r="Y15" s="369"/>
      <c r="Z15" s="369"/>
      <c r="AA15" s="369"/>
      <c r="AB15" s="369"/>
      <c r="AC15" s="369"/>
      <c r="AD15" s="369"/>
    </row>
    <row r="16" spans="1:30" ht="14" x14ac:dyDescent="0.3">
      <c r="A16" s="151">
        <f>IF(C16&lt;&gt;"",COUNTA($C$12:C16),"")</f>
        <v>4</v>
      </c>
      <c r="B16" s="151"/>
      <c r="C16" s="371">
        <v>5</v>
      </c>
      <c r="D16" s="409">
        <f>+C16*350</f>
        <v>1750</v>
      </c>
      <c r="E16" s="372">
        <f>ROUND($G$42+$C16*SUM($G$43,$G$44)+$D16*$G$45*$E$67+$D16*$G$46*$E$68+SUM($G$47:$G$61,$G$62:$G$64)*$D16,2)</f>
        <v>150.35</v>
      </c>
      <c r="F16" s="372">
        <f t="shared" ref="F16:F21" si="0">ROUND($G$65*$D16,2)</f>
        <v>199.55</v>
      </c>
      <c r="G16" s="372">
        <f t="shared" ref="G16:G21" si="1">SUM(E16:F16)</f>
        <v>349.9</v>
      </c>
      <c r="H16" s="373"/>
      <c r="I16" s="372">
        <f>ROUND($I$42+$C16*SUM($I$43,$I$44)+$D16*$I$45*$E$67+$D16*$I$46*$E$68+SUM($I$47:$I$61,$I$62:$I$64)*$D16,2)</f>
        <v>136.08000000000001</v>
      </c>
      <c r="J16" s="372">
        <f t="shared" ref="J16:J21" si="2">ROUND($I$65*$D16,2)</f>
        <v>230.74</v>
      </c>
      <c r="K16" s="372">
        <f t="shared" ref="K16:K21" si="3">SUM(I16:J16)</f>
        <v>366.82000000000005</v>
      </c>
      <c r="L16" s="374"/>
      <c r="M16" s="375">
        <f t="shared" ref="M16:M21" si="4">+K16-G16</f>
        <v>16.920000000000073</v>
      </c>
      <c r="N16" s="376">
        <f t="shared" ref="N16:N21" si="5">+M16/G16</f>
        <v>4.8356673335238853E-2</v>
      </c>
      <c r="O16" s="374"/>
      <c r="P16" s="374"/>
      <c r="Q16" s="374"/>
      <c r="R16" s="374"/>
      <c r="S16" s="374"/>
      <c r="T16" s="374"/>
      <c r="U16" s="374"/>
      <c r="V16" s="374"/>
      <c r="W16" s="374"/>
      <c r="X16" s="374"/>
      <c r="Y16" s="374"/>
      <c r="Z16" s="374"/>
      <c r="AA16" s="374"/>
      <c r="AB16" s="374"/>
      <c r="AC16" s="374"/>
      <c r="AD16" s="374"/>
    </row>
    <row r="17" spans="1:30" ht="14" x14ac:dyDescent="0.3">
      <c r="A17" s="151">
        <f>IF(C17&lt;&gt;"",COUNTA($C$12:C17),"")</f>
        <v>5</v>
      </c>
      <c r="B17" s="151"/>
      <c r="C17" s="371">
        <v>10</v>
      </c>
      <c r="D17" s="409">
        <f t="shared" ref="D17:D21" si="6">+C17*350</f>
        <v>3500</v>
      </c>
      <c r="E17" s="372">
        <f t="shared" ref="E17:E21" si="7">ROUND($G$42+$C17*SUM($G$43,$G$44)+$D17*$G$45*$E$67+$D17*$G$46*$E$68+SUM($G$47:$G$61,$G$62:$G$64)*$D17,2)</f>
        <v>290.70999999999998</v>
      </c>
      <c r="F17" s="372">
        <f t="shared" si="0"/>
        <v>399.11</v>
      </c>
      <c r="G17" s="372">
        <f t="shared" si="1"/>
        <v>689.81999999999994</v>
      </c>
      <c r="H17" s="373"/>
      <c r="I17" s="372">
        <f t="shared" ref="I17:I21" si="8">ROUND($I$42+$C17*SUM($I$43,$I$44)+$D17*$I$45*$E$67+$D17*$I$46*$E$68+SUM($I$47:$I$61,$I$62:$I$64)*$D17,2)</f>
        <v>262.14999999999998</v>
      </c>
      <c r="J17" s="372">
        <f t="shared" si="2"/>
        <v>461.48</v>
      </c>
      <c r="K17" s="372">
        <f t="shared" si="3"/>
        <v>723.63</v>
      </c>
      <c r="L17" s="374"/>
      <c r="M17" s="375">
        <f t="shared" si="4"/>
        <v>33.810000000000059</v>
      </c>
      <c r="N17" s="376">
        <f t="shared" si="5"/>
        <v>4.9012785944159434E-2</v>
      </c>
      <c r="O17" s="374"/>
      <c r="P17" s="374"/>
      <c r="Q17" s="374"/>
      <c r="R17" s="374"/>
      <c r="S17" s="374"/>
      <c r="T17" s="374"/>
      <c r="U17" s="374"/>
      <c r="V17" s="374"/>
      <c r="W17" s="374"/>
      <c r="X17" s="374"/>
      <c r="Y17" s="374"/>
      <c r="Z17" s="374"/>
      <c r="AA17" s="374"/>
      <c r="AB17" s="374"/>
      <c r="AC17" s="374"/>
      <c r="AD17" s="374"/>
    </row>
    <row r="18" spans="1:30" ht="14" x14ac:dyDescent="0.3">
      <c r="A18" s="151">
        <f>IF(C18&lt;&gt;"",COUNTA($C$12:C18),"")</f>
        <v>6</v>
      </c>
      <c r="B18" s="151"/>
      <c r="C18" s="371">
        <v>20</v>
      </c>
      <c r="D18" s="409">
        <f t="shared" si="6"/>
        <v>7000</v>
      </c>
      <c r="E18" s="372">
        <f t="shared" si="7"/>
        <v>571.41</v>
      </c>
      <c r="F18" s="372">
        <f t="shared" si="0"/>
        <v>798.21</v>
      </c>
      <c r="G18" s="372">
        <f t="shared" si="1"/>
        <v>1369.62</v>
      </c>
      <c r="H18" s="373"/>
      <c r="I18" s="372">
        <f t="shared" si="8"/>
        <v>514.29999999999995</v>
      </c>
      <c r="J18" s="372">
        <f t="shared" si="2"/>
        <v>922.95</v>
      </c>
      <c r="K18" s="372">
        <f t="shared" si="3"/>
        <v>1437.25</v>
      </c>
      <c r="L18" s="374"/>
      <c r="M18" s="375">
        <f t="shared" si="4"/>
        <v>67.630000000000109</v>
      </c>
      <c r="N18" s="376">
        <f t="shared" si="5"/>
        <v>4.9378659774244035E-2</v>
      </c>
      <c r="O18" s="374"/>
      <c r="P18" s="374"/>
      <c r="Q18" s="374"/>
      <c r="R18" s="374"/>
      <c r="S18" s="374"/>
      <c r="T18" s="374"/>
      <c r="U18" s="374"/>
      <c r="V18" s="374"/>
      <c r="W18" s="374"/>
      <c r="X18" s="374"/>
      <c r="Y18" s="374"/>
      <c r="Z18" s="374"/>
      <c r="AA18" s="374"/>
      <c r="AB18" s="374"/>
      <c r="AC18" s="374"/>
      <c r="AD18" s="374"/>
    </row>
    <row r="19" spans="1:30" ht="14" x14ac:dyDescent="0.3">
      <c r="A19" s="151">
        <f>IF(C19&lt;&gt;"",COUNTA($C$12:C19),"")</f>
        <v>7</v>
      </c>
      <c r="B19" s="151"/>
      <c r="C19" s="371">
        <v>50</v>
      </c>
      <c r="D19" s="409">
        <f t="shared" si="6"/>
        <v>17500</v>
      </c>
      <c r="E19" s="372">
        <f t="shared" si="7"/>
        <v>1413.54</v>
      </c>
      <c r="F19" s="372">
        <f t="shared" si="0"/>
        <v>1995.53</v>
      </c>
      <c r="G19" s="372">
        <f t="shared" si="1"/>
        <v>3409.0699999999997</v>
      </c>
      <c r="H19" s="373"/>
      <c r="I19" s="372">
        <f t="shared" si="8"/>
        <v>1270.75</v>
      </c>
      <c r="J19" s="372">
        <f t="shared" si="2"/>
        <v>2307.38</v>
      </c>
      <c r="K19" s="372">
        <f t="shared" si="3"/>
        <v>3578.13</v>
      </c>
      <c r="L19" s="374"/>
      <c r="M19" s="375">
        <f t="shared" si="4"/>
        <v>169.0600000000004</v>
      </c>
      <c r="N19" s="376">
        <f t="shared" si="5"/>
        <v>4.9591237492923414E-2</v>
      </c>
      <c r="O19" s="374"/>
      <c r="P19" s="374"/>
      <c r="Q19" s="374"/>
      <c r="R19" s="374"/>
      <c r="S19" s="374"/>
      <c r="T19" s="374"/>
      <c r="U19" s="374"/>
      <c r="V19" s="374"/>
      <c r="W19" s="374"/>
      <c r="X19" s="374"/>
      <c r="Y19" s="374"/>
      <c r="Z19" s="374"/>
      <c r="AA19" s="374"/>
      <c r="AB19" s="374"/>
      <c r="AC19" s="374"/>
      <c r="AD19" s="374"/>
    </row>
    <row r="20" spans="1:30" ht="14" x14ac:dyDescent="0.3">
      <c r="A20" s="151">
        <f>IF(C20&lt;&gt;"",COUNTA($C$12:C20),"")</f>
        <v>8</v>
      </c>
      <c r="B20" s="151"/>
      <c r="C20" s="409">
        <v>75</v>
      </c>
      <c r="D20" s="409">
        <f t="shared" si="6"/>
        <v>26250</v>
      </c>
      <c r="E20" s="372">
        <f t="shared" si="7"/>
        <v>2115.31</v>
      </c>
      <c r="F20" s="372">
        <f t="shared" si="0"/>
        <v>2993.29</v>
      </c>
      <c r="G20" s="372">
        <f t="shared" si="1"/>
        <v>5108.6000000000004</v>
      </c>
      <c r="H20" s="373"/>
      <c r="I20" s="372">
        <f t="shared" si="8"/>
        <v>1901.13</v>
      </c>
      <c r="J20" s="372">
        <f t="shared" si="2"/>
        <v>3461.06</v>
      </c>
      <c r="K20" s="372">
        <f t="shared" si="3"/>
        <v>5362.1900000000005</v>
      </c>
      <c r="L20" s="374"/>
      <c r="M20" s="375">
        <f t="shared" si="4"/>
        <v>253.59000000000015</v>
      </c>
      <c r="N20" s="376">
        <f t="shared" si="5"/>
        <v>4.9639823043495304E-2</v>
      </c>
      <c r="O20" s="374"/>
      <c r="P20" s="374"/>
      <c r="Q20" s="374"/>
      <c r="R20" s="374"/>
      <c r="S20" s="374"/>
      <c r="T20" s="374"/>
      <c r="U20" s="374"/>
      <c r="V20" s="374"/>
      <c r="W20" s="374"/>
      <c r="X20" s="374"/>
      <c r="Y20" s="374"/>
      <c r="Z20" s="374"/>
      <c r="AA20" s="374"/>
      <c r="AB20" s="374"/>
      <c r="AC20" s="374"/>
      <c r="AD20" s="374"/>
    </row>
    <row r="21" spans="1:30" ht="14" x14ac:dyDescent="0.3">
      <c r="A21" s="151">
        <f>IF(C21&lt;&gt;"",COUNTA($C$12:C21),"")</f>
        <v>9</v>
      </c>
      <c r="B21" s="151" t="s">
        <v>554</v>
      </c>
      <c r="C21" s="409">
        <v>20</v>
      </c>
      <c r="D21" s="409">
        <f t="shared" si="6"/>
        <v>7000</v>
      </c>
      <c r="E21" s="372">
        <f t="shared" si="7"/>
        <v>571.41</v>
      </c>
      <c r="F21" s="372">
        <f t="shared" si="0"/>
        <v>798.21</v>
      </c>
      <c r="G21" s="372">
        <f t="shared" si="1"/>
        <v>1369.62</v>
      </c>
      <c r="H21" s="373"/>
      <c r="I21" s="372">
        <f t="shared" si="8"/>
        <v>514.29999999999995</v>
      </c>
      <c r="J21" s="372">
        <f t="shared" si="2"/>
        <v>922.95</v>
      </c>
      <c r="K21" s="372">
        <f t="shared" si="3"/>
        <v>1437.25</v>
      </c>
      <c r="L21" s="374"/>
      <c r="M21" s="375">
        <f t="shared" si="4"/>
        <v>67.630000000000109</v>
      </c>
      <c r="N21" s="376">
        <f t="shared" si="5"/>
        <v>4.9378659774244035E-2</v>
      </c>
      <c r="O21" s="374"/>
      <c r="P21" s="374"/>
      <c r="Q21" s="374"/>
      <c r="R21" s="374"/>
      <c r="S21" s="374"/>
      <c r="T21" s="374"/>
      <c r="U21" s="374"/>
      <c r="V21" s="374"/>
      <c r="W21" s="374"/>
      <c r="X21" s="374"/>
      <c r="Y21" s="374"/>
      <c r="Z21" s="374"/>
      <c r="AA21" s="374"/>
      <c r="AB21" s="374"/>
      <c r="AC21" s="374"/>
      <c r="AD21" s="374"/>
    </row>
    <row r="22" spans="1:30" ht="14" x14ac:dyDescent="0.3">
      <c r="A22" s="151" t="str">
        <f>IF(C22&lt;&gt;"",COUNTA($C$12:C22),"")</f>
        <v/>
      </c>
      <c r="B22" s="151"/>
      <c r="C22" s="493"/>
      <c r="D22" s="493"/>
      <c r="E22" s="489"/>
      <c r="F22" s="489"/>
      <c r="G22" s="489"/>
      <c r="H22" s="494"/>
      <c r="I22" s="489"/>
      <c r="J22" s="489"/>
      <c r="K22" s="489"/>
      <c r="L22" s="495"/>
      <c r="M22" s="497"/>
      <c r="N22" s="519"/>
    </row>
    <row r="23" spans="1:30" ht="14" x14ac:dyDescent="0.3">
      <c r="A23" s="151">
        <f>IF(C23&lt;&gt;"",COUNTA($C$12:C23),"")</f>
        <v>10</v>
      </c>
      <c r="B23" s="151"/>
      <c r="C23" s="496" t="s">
        <v>591</v>
      </c>
      <c r="D23" s="293"/>
      <c r="E23" s="448"/>
      <c r="F23" s="448"/>
      <c r="G23" s="448"/>
      <c r="H23" s="448"/>
      <c r="I23" s="374"/>
      <c r="J23" s="374"/>
      <c r="K23" s="374"/>
      <c r="L23" s="374"/>
      <c r="M23" s="374"/>
      <c r="N23" s="369"/>
    </row>
    <row r="24" spans="1:30" ht="14" x14ac:dyDescent="0.3">
      <c r="A24" s="151">
        <f>IF(C24&lt;&gt;"",COUNTA($C$12:C24),"")</f>
        <v>11</v>
      </c>
      <c r="B24" s="151"/>
      <c r="C24" s="409">
        <f>+C16</f>
        <v>5</v>
      </c>
      <c r="D24" s="409">
        <f>+C24*500</f>
        <v>2500</v>
      </c>
      <c r="E24" s="372">
        <f>ROUND($G$42+$C24*SUM($G$43,$G$44)+$D24*$G$45*$E$67+$D24*$G$46*$E$68+SUM($G$47:$G$61,$G$62:$G$64)*$D24,2)</f>
        <v>180.59</v>
      </c>
      <c r="F24" s="372">
        <f t="shared" ref="F24:F29" si="9">ROUND($G$65*$D24,2)</f>
        <v>285.08</v>
      </c>
      <c r="G24" s="372">
        <f t="shared" ref="G24:G28" si="10">SUM(E24:F24)</f>
        <v>465.66999999999996</v>
      </c>
      <c r="H24" s="373"/>
      <c r="I24" s="372">
        <f>ROUND($I$42+$C24*SUM($I$43,$I$44)+$D24*$I$45*$E$67+$D24*$I$46*$E$68+SUM($I$47:$I$61,$I$62:$I$64)*$D24,2)</f>
        <v>167.48</v>
      </c>
      <c r="J24" s="372">
        <f t="shared" ref="J24:J29" si="11">ROUND($I$65*$D24,2)</f>
        <v>329.63</v>
      </c>
      <c r="K24" s="372">
        <f t="shared" ref="K24:K28" si="12">SUM(I24:J24)</f>
        <v>497.11</v>
      </c>
      <c r="L24" s="374"/>
      <c r="M24" s="375">
        <f t="shared" ref="M24:M29" si="13">+K24-G24</f>
        <v>31.440000000000055</v>
      </c>
      <c r="N24" s="376">
        <f t="shared" ref="N24:N29" si="14">+M24/G24</f>
        <v>6.7515622651233828E-2</v>
      </c>
      <c r="O24" s="374"/>
      <c r="P24" s="374"/>
      <c r="Q24" s="374"/>
      <c r="R24" s="374"/>
      <c r="S24" s="374"/>
      <c r="T24" s="374"/>
      <c r="U24" s="374"/>
      <c r="V24" s="374"/>
      <c r="W24" s="374"/>
      <c r="X24" s="374"/>
      <c r="Y24" s="374"/>
      <c r="Z24" s="374"/>
      <c r="AA24" s="374"/>
      <c r="AB24" s="374"/>
      <c r="AC24" s="374"/>
      <c r="AD24" s="374"/>
    </row>
    <row r="25" spans="1:30" ht="14" x14ac:dyDescent="0.3">
      <c r="A25" s="151">
        <f>IF(C25&lt;&gt;"",COUNTA($C$12:C25),"")</f>
        <v>12</v>
      </c>
      <c r="B25" s="151"/>
      <c r="C25" s="409">
        <f>+C17</f>
        <v>10</v>
      </c>
      <c r="D25" s="409">
        <f t="shared" ref="D25:D29" si="15">+C25*500</f>
        <v>5000</v>
      </c>
      <c r="E25" s="372">
        <f t="shared" ref="E25:E29" si="16">ROUND($G$42+$C25*SUM($G$43,$G$44)+$D25*$G$45*$E$67+$D25*$G$46*$E$68+SUM($G$47:$G$61,$G$62:$G$64)*$D25,2)</f>
        <v>351.18</v>
      </c>
      <c r="F25" s="372">
        <f t="shared" si="9"/>
        <v>570.15</v>
      </c>
      <c r="G25" s="372">
        <f t="shared" si="10"/>
        <v>921.32999999999993</v>
      </c>
      <c r="H25" s="373"/>
      <c r="I25" s="372">
        <f t="shared" ref="I25:I29" si="17">ROUND($I$42+$C25*SUM($I$43,$I$44)+$D25*$I$45*$E$67+$D25*$I$46*$E$68+SUM($I$47:$I$61,$I$62:$I$64)*$D25,2)</f>
        <v>324.95999999999998</v>
      </c>
      <c r="J25" s="372">
        <f t="shared" si="11"/>
        <v>659.25</v>
      </c>
      <c r="K25" s="372">
        <f t="shared" si="12"/>
        <v>984.21</v>
      </c>
      <c r="L25" s="374"/>
      <c r="M25" s="375">
        <f t="shared" si="13"/>
        <v>62.880000000000109</v>
      </c>
      <c r="N25" s="376">
        <f t="shared" si="14"/>
        <v>6.8249161538211187E-2</v>
      </c>
      <c r="O25" s="374"/>
      <c r="P25" s="374"/>
      <c r="Q25" s="374"/>
      <c r="R25" s="374"/>
      <c r="S25" s="374"/>
      <c r="T25" s="374"/>
      <c r="U25" s="374"/>
      <c r="V25" s="374"/>
      <c r="W25" s="374"/>
      <c r="X25" s="374"/>
      <c r="Y25" s="374"/>
      <c r="Z25" s="374"/>
      <c r="AA25" s="374"/>
      <c r="AB25" s="374"/>
      <c r="AC25" s="374"/>
      <c r="AD25" s="374"/>
    </row>
    <row r="26" spans="1:30" ht="14" x14ac:dyDescent="0.3">
      <c r="A26" s="151">
        <f>IF(C26&lt;&gt;"",COUNTA($C$12:C26),"")</f>
        <v>13</v>
      </c>
      <c r="B26" s="151"/>
      <c r="C26" s="409">
        <f>+C18</f>
        <v>20</v>
      </c>
      <c r="D26" s="409">
        <f t="shared" si="15"/>
        <v>10000</v>
      </c>
      <c r="E26" s="372">
        <f t="shared" si="16"/>
        <v>692.36</v>
      </c>
      <c r="F26" s="372">
        <f t="shared" si="9"/>
        <v>1140.3</v>
      </c>
      <c r="G26" s="372">
        <f t="shared" si="10"/>
        <v>1832.6599999999999</v>
      </c>
      <c r="H26" s="373"/>
      <c r="I26" s="372">
        <f t="shared" si="17"/>
        <v>639.91999999999996</v>
      </c>
      <c r="J26" s="372">
        <f t="shared" si="11"/>
        <v>1318.5</v>
      </c>
      <c r="K26" s="372">
        <f t="shared" si="12"/>
        <v>1958.42</v>
      </c>
      <c r="L26" s="374"/>
      <c r="M26" s="375">
        <f t="shared" si="13"/>
        <v>125.76000000000022</v>
      </c>
      <c r="N26" s="376">
        <f t="shared" si="14"/>
        <v>6.8621566466229536E-2</v>
      </c>
      <c r="O26" s="374"/>
      <c r="P26" s="374"/>
      <c r="Q26" s="374"/>
      <c r="R26" s="374"/>
      <c r="S26" s="374"/>
      <c r="T26" s="374"/>
      <c r="U26" s="374"/>
      <c r="V26" s="374"/>
      <c r="W26" s="374"/>
      <c r="X26" s="374"/>
      <c r="Y26" s="374"/>
      <c r="Z26" s="374"/>
      <c r="AA26" s="374"/>
      <c r="AB26" s="374"/>
      <c r="AC26" s="374"/>
      <c r="AD26" s="374"/>
    </row>
    <row r="27" spans="1:30" ht="14" x14ac:dyDescent="0.3">
      <c r="A27" s="151">
        <f>IF(C27&lt;&gt;"",COUNTA($C$12:C27),"")</f>
        <v>14</v>
      </c>
      <c r="B27" s="151"/>
      <c r="C27" s="409">
        <f>+C19</f>
        <v>50</v>
      </c>
      <c r="D27" s="409">
        <f t="shared" si="15"/>
        <v>25000</v>
      </c>
      <c r="E27" s="372">
        <f t="shared" si="16"/>
        <v>1715.91</v>
      </c>
      <c r="F27" s="372">
        <f t="shared" si="9"/>
        <v>2850.75</v>
      </c>
      <c r="G27" s="372">
        <f t="shared" si="10"/>
        <v>4566.66</v>
      </c>
      <c r="H27" s="373"/>
      <c r="I27" s="372">
        <f t="shared" si="17"/>
        <v>1584.79</v>
      </c>
      <c r="J27" s="372">
        <f t="shared" si="11"/>
        <v>3296.25</v>
      </c>
      <c r="K27" s="372">
        <f t="shared" si="12"/>
        <v>4881.04</v>
      </c>
      <c r="L27" s="374"/>
      <c r="M27" s="375">
        <f t="shared" si="13"/>
        <v>314.38000000000011</v>
      </c>
      <c r="N27" s="376">
        <f t="shared" si="14"/>
        <v>6.884243626633034E-2</v>
      </c>
      <c r="O27" s="374"/>
      <c r="P27" s="374"/>
      <c r="Q27" s="374"/>
      <c r="R27" s="374"/>
      <c r="S27" s="374"/>
      <c r="T27" s="374"/>
      <c r="U27" s="374"/>
      <c r="V27" s="374"/>
      <c r="W27" s="374"/>
      <c r="X27" s="374"/>
      <c r="Y27" s="374"/>
      <c r="Z27" s="374"/>
      <c r="AA27" s="374"/>
      <c r="AB27" s="374"/>
      <c r="AC27" s="374"/>
      <c r="AD27" s="374"/>
    </row>
    <row r="28" spans="1:30" ht="14" x14ac:dyDescent="0.3">
      <c r="A28" s="151">
        <f>IF(C28&lt;&gt;"",COUNTA($C$12:C28),"")</f>
        <v>15</v>
      </c>
      <c r="B28" s="151"/>
      <c r="C28" s="409">
        <f>+C20</f>
        <v>75</v>
      </c>
      <c r="D28" s="409">
        <f t="shared" si="15"/>
        <v>37500</v>
      </c>
      <c r="E28" s="372">
        <f t="shared" si="16"/>
        <v>2568.87</v>
      </c>
      <c r="F28" s="372">
        <f t="shared" si="9"/>
        <v>4276.13</v>
      </c>
      <c r="G28" s="372">
        <f t="shared" si="10"/>
        <v>6845</v>
      </c>
      <c r="H28" s="373"/>
      <c r="I28" s="372">
        <f t="shared" si="17"/>
        <v>2372.19</v>
      </c>
      <c r="J28" s="372">
        <f t="shared" si="11"/>
        <v>4944.38</v>
      </c>
      <c r="K28" s="372">
        <f t="shared" si="12"/>
        <v>7316.57</v>
      </c>
      <c r="L28" s="374"/>
      <c r="M28" s="375">
        <f t="shared" si="13"/>
        <v>471.56999999999971</v>
      </c>
      <c r="N28" s="376">
        <f t="shared" si="14"/>
        <v>6.8892622352081767E-2</v>
      </c>
      <c r="O28" s="374"/>
      <c r="P28" s="374"/>
      <c r="Q28" s="374"/>
      <c r="R28" s="374"/>
      <c r="S28" s="374"/>
      <c r="T28" s="374"/>
      <c r="U28" s="374"/>
      <c r="V28" s="374"/>
      <c r="W28" s="374"/>
      <c r="X28" s="374"/>
      <c r="Y28" s="374"/>
      <c r="Z28" s="374"/>
      <c r="AA28" s="374"/>
      <c r="AB28" s="374"/>
      <c r="AC28" s="374"/>
      <c r="AD28" s="374"/>
    </row>
    <row r="29" spans="1:30" ht="14" x14ac:dyDescent="0.3">
      <c r="A29" s="151">
        <f>IF(C29&lt;&gt;"",COUNTA($C$12:C29),"")</f>
        <v>16</v>
      </c>
      <c r="B29" s="151" t="s">
        <v>554</v>
      </c>
      <c r="C29" s="409">
        <v>31</v>
      </c>
      <c r="D29" s="409">
        <f t="shared" si="15"/>
        <v>15500</v>
      </c>
      <c r="E29" s="372">
        <f t="shared" si="16"/>
        <v>1067.6600000000001</v>
      </c>
      <c r="F29" s="372">
        <f t="shared" si="9"/>
        <v>1767.47</v>
      </c>
      <c r="G29" s="372">
        <f t="shared" ref="G29" si="18">SUM(E29:F29)</f>
        <v>2835.13</v>
      </c>
      <c r="H29" s="373"/>
      <c r="I29" s="372">
        <f t="shared" si="17"/>
        <v>986.37</v>
      </c>
      <c r="J29" s="372">
        <f t="shared" si="11"/>
        <v>2043.68</v>
      </c>
      <c r="K29" s="372">
        <f t="shared" ref="K29" si="19">SUM(I29:J29)</f>
        <v>3030.05</v>
      </c>
      <c r="L29" s="374"/>
      <c r="M29" s="375">
        <f t="shared" si="13"/>
        <v>194.92000000000007</v>
      </c>
      <c r="N29" s="376">
        <f t="shared" si="14"/>
        <v>6.8751697453026867E-2</v>
      </c>
      <c r="O29" s="374"/>
      <c r="P29" s="374"/>
      <c r="Q29" s="374"/>
      <c r="R29" s="374"/>
      <c r="S29" s="374"/>
      <c r="T29" s="374"/>
      <c r="U29" s="374"/>
      <c r="V29" s="374"/>
      <c r="W29" s="374"/>
      <c r="X29" s="374"/>
      <c r="Y29" s="374"/>
      <c r="Z29" s="374"/>
      <c r="AA29" s="374"/>
      <c r="AB29" s="374"/>
      <c r="AC29" s="374"/>
      <c r="AD29" s="374"/>
    </row>
    <row r="30" spans="1:30" ht="14" x14ac:dyDescent="0.3">
      <c r="A30" s="151" t="str">
        <f>IF(C30&lt;&gt;"",COUNTA($C$12:C30),"")</f>
        <v/>
      </c>
      <c r="B30" s="151"/>
      <c r="C30" s="493"/>
      <c r="D30" s="493"/>
      <c r="E30" s="489"/>
      <c r="F30" s="489"/>
      <c r="G30" s="489"/>
      <c r="H30" s="494"/>
      <c r="I30" s="489"/>
      <c r="J30" s="489"/>
      <c r="K30" s="489"/>
      <c r="L30" s="495"/>
      <c r="M30" s="497"/>
      <c r="N30" s="519"/>
    </row>
    <row r="31" spans="1:30" ht="14" x14ac:dyDescent="0.3">
      <c r="A31" s="151">
        <f>IF(C31&lt;&gt;"",COUNTA($C$12:C31),"")</f>
        <v>17</v>
      </c>
      <c r="B31" s="151"/>
      <c r="C31" s="496" t="s">
        <v>620</v>
      </c>
      <c r="D31" s="293"/>
      <c r="E31" s="448"/>
      <c r="F31" s="448"/>
      <c r="G31" s="448"/>
      <c r="H31" s="448"/>
      <c r="I31" s="374"/>
      <c r="J31" s="374"/>
      <c r="K31" s="374"/>
      <c r="L31" s="374"/>
      <c r="M31" s="374"/>
      <c r="N31" s="369"/>
    </row>
    <row r="32" spans="1:30" ht="14" x14ac:dyDescent="0.3">
      <c r="A32" s="151">
        <f>IF(C32&lt;&gt;"",COUNTA($C$12:C32),"")</f>
        <v>18</v>
      </c>
      <c r="B32" s="151"/>
      <c r="C32" s="409">
        <f>+C24</f>
        <v>5</v>
      </c>
      <c r="D32" s="409">
        <f>+C32*650</f>
        <v>3250</v>
      </c>
      <c r="E32" s="372">
        <f>ROUND($G$42+$C32*SUM($G$43,$G$44)+$D32*$G$45*$E$67+$D32*$G$46*$E$68+SUM($G$47:$G$61,$G$62:$G$64)*$D32,2)</f>
        <v>210.83</v>
      </c>
      <c r="F32" s="372">
        <f t="shared" ref="F32:F37" si="20">ROUND($G$65*$D32,2)</f>
        <v>370.6</v>
      </c>
      <c r="G32" s="372">
        <f t="shared" ref="G32:G36" si="21">SUM(E32:F32)</f>
        <v>581.43000000000006</v>
      </c>
      <c r="H32" s="373"/>
      <c r="I32" s="372">
        <f>ROUND($I$42+$C32*SUM($I$43,$I$44)+$D32*$I$45*$E$67+$D32*$I$46*$E$68+SUM($I$47:$I$61,$I$62:$I$64)*$D32,2)</f>
        <v>198.88</v>
      </c>
      <c r="J32" s="372">
        <f t="shared" ref="J32:J37" si="22">ROUND($I$65*$D32,2)</f>
        <v>428.51</v>
      </c>
      <c r="K32" s="372">
        <f t="shared" ref="K32:K36" si="23">SUM(I32:J32)</f>
        <v>627.39</v>
      </c>
      <c r="L32" s="374"/>
      <c r="M32" s="375">
        <f t="shared" ref="M32:M37" si="24">+K32-G32</f>
        <v>45.959999999999923</v>
      </c>
      <c r="N32" s="376">
        <f t="shared" ref="N32:N37" si="25">+M32/G32</f>
        <v>7.904648882926564E-2</v>
      </c>
      <c r="O32" s="374"/>
      <c r="P32" s="374"/>
      <c r="Q32" s="374"/>
      <c r="R32" s="374"/>
      <c r="S32" s="374"/>
      <c r="T32" s="374"/>
      <c r="U32" s="374"/>
      <c r="V32" s="374"/>
      <c r="W32" s="374"/>
      <c r="X32" s="374"/>
      <c r="Y32" s="374"/>
      <c r="Z32" s="374"/>
      <c r="AA32" s="374"/>
      <c r="AB32" s="374"/>
      <c r="AC32" s="374"/>
      <c r="AD32" s="374"/>
    </row>
    <row r="33" spans="1:30" ht="14" x14ac:dyDescent="0.3">
      <c r="A33" s="151">
        <f>IF(C33&lt;&gt;"",COUNTA($C$12:C33),"")</f>
        <v>19</v>
      </c>
      <c r="B33" s="151"/>
      <c r="C33" s="409">
        <f>+C25</f>
        <v>10</v>
      </c>
      <c r="D33" s="409">
        <f t="shared" ref="D33:D37" si="26">+C33*650</f>
        <v>6500</v>
      </c>
      <c r="E33" s="372">
        <f t="shared" ref="E33:E37" si="27">ROUND($G$42+$C33*SUM($G$43,$G$44)+$D33*$G$45*$E$67+$D33*$G$46*$E$68+SUM($G$47:$G$61,$G$62:$G$64)*$D33,2)</f>
        <v>411.66</v>
      </c>
      <c r="F33" s="372">
        <f t="shared" si="20"/>
        <v>741.2</v>
      </c>
      <c r="G33" s="372">
        <f t="shared" si="21"/>
        <v>1152.8600000000001</v>
      </c>
      <c r="H33" s="373"/>
      <c r="I33" s="372">
        <f t="shared" ref="I33:I37" si="28">ROUND($I$42+$C33*SUM($I$43,$I$44)+$D33*$I$45*$E$67+$D33*$I$46*$E$68+SUM($I$47:$I$61,$I$62:$I$64)*$D33,2)</f>
        <v>387.77</v>
      </c>
      <c r="J33" s="372">
        <f t="shared" si="22"/>
        <v>857.03</v>
      </c>
      <c r="K33" s="372">
        <f t="shared" si="23"/>
        <v>1244.8</v>
      </c>
      <c r="L33" s="374"/>
      <c r="M33" s="375">
        <f t="shared" si="24"/>
        <v>91.939999999999827</v>
      </c>
      <c r="N33" s="376">
        <f t="shared" si="25"/>
        <v>7.9749492566313182E-2</v>
      </c>
      <c r="O33" s="374"/>
      <c r="P33" s="374"/>
      <c r="Q33" s="374"/>
      <c r="R33" s="374"/>
      <c r="S33" s="374"/>
      <c r="T33" s="374"/>
      <c r="U33" s="374"/>
      <c r="V33" s="374"/>
      <c r="W33" s="374"/>
      <c r="X33" s="374"/>
      <c r="Y33" s="374"/>
      <c r="Z33" s="374"/>
      <c r="AA33" s="374"/>
      <c r="AB33" s="374"/>
      <c r="AC33" s="374"/>
      <c r="AD33" s="374"/>
    </row>
    <row r="34" spans="1:30" ht="14" x14ac:dyDescent="0.3">
      <c r="A34" s="151">
        <f>IF(C34&lt;&gt;"",COUNTA($C$12:C34),"")</f>
        <v>20</v>
      </c>
      <c r="B34" s="151"/>
      <c r="C34" s="409">
        <f>+C26</f>
        <v>20</v>
      </c>
      <c r="D34" s="409">
        <f t="shared" si="26"/>
        <v>13000</v>
      </c>
      <c r="E34" s="372">
        <f t="shared" si="27"/>
        <v>813.31</v>
      </c>
      <c r="F34" s="372">
        <f t="shared" si="20"/>
        <v>1482.39</v>
      </c>
      <c r="G34" s="372">
        <f t="shared" si="21"/>
        <v>2295.6999999999998</v>
      </c>
      <c r="H34" s="373"/>
      <c r="I34" s="372">
        <f t="shared" si="28"/>
        <v>765.53</v>
      </c>
      <c r="J34" s="372">
        <f t="shared" si="22"/>
        <v>1714.05</v>
      </c>
      <c r="K34" s="372">
        <f t="shared" si="23"/>
        <v>2479.58</v>
      </c>
      <c r="L34" s="374"/>
      <c r="M34" s="375">
        <f t="shared" si="24"/>
        <v>183.88000000000011</v>
      </c>
      <c r="N34" s="376">
        <f t="shared" si="25"/>
        <v>8.0097573724789872E-2</v>
      </c>
      <c r="O34" s="374"/>
      <c r="P34" s="374"/>
      <c r="Q34" s="374"/>
      <c r="R34" s="374"/>
      <c r="S34" s="374"/>
      <c r="T34" s="374"/>
      <c r="U34" s="374"/>
      <c r="V34" s="374"/>
      <c r="W34" s="374"/>
      <c r="X34" s="374"/>
      <c r="Y34" s="374"/>
      <c r="Z34" s="374"/>
      <c r="AA34" s="374"/>
      <c r="AB34" s="374"/>
      <c r="AC34" s="374"/>
      <c r="AD34" s="374"/>
    </row>
    <row r="35" spans="1:30" ht="14" x14ac:dyDescent="0.3">
      <c r="A35" s="151">
        <f>IF(C35&lt;&gt;"",COUNTA($C$12:C35),"")</f>
        <v>21</v>
      </c>
      <c r="B35" s="151"/>
      <c r="C35" s="409">
        <f>+C27</f>
        <v>50</v>
      </c>
      <c r="D35" s="409">
        <f t="shared" si="26"/>
        <v>32500</v>
      </c>
      <c r="E35" s="372">
        <f t="shared" si="27"/>
        <v>2018.28</v>
      </c>
      <c r="F35" s="372">
        <f t="shared" si="20"/>
        <v>3705.98</v>
      </c>
      <c r="G35" s="372">
        <f t="shared" si="21"/>
        <v>5724.26</v>
      </c>
      <c r="H35" s="373"/>
      <c r="I35" s="372">
        <f t="shared" si="28"/>
        <v>1898.83</v>
      </c>
      <c r="J35" s="372">
        <f t="shared" si="22"/>
        <v>4285.13</v>
      </c>
      <c r="K35" s="372">
        <f t="shared" si="23"/>
        <v>6183.96</v>
      </c>
      <c r="L35" s="374"/>
      <c r="M35" s="375">
        <f t="shared" si="24"/>
        <v>459.69999999999982</v>
      </c>
      <c r="N35" s="376">
        <f t="shared" si="25"/>
        <v>8.0307323566714259E-2</v>
      </c>
      <c r="O35" s="374"/>
      <c r="P35" s="374"/>
      <c r="Q35" s="374"/>
      <c r="R35" s="374"/>
      <c r="S35" s="374"/>
      <c r="T35" s="374"/>
      <c r="U35" s="374"/>
      <c r="V35" s="374"/>
      <c r="W35" s="374"/>
      <c r="X35" s="374"/>
      <c r="Y35" s="374"/>
      <c r="Z35" s="374"/>
      <c r="AA35" s="374"/>
      <c r="AB35" s="374"/>
      <c r="AC35" s="374"/>
      <c r="AD35" s="374"/>
    </row>
    <row r="36" spans="1:30" ht="14" x14ac:dyDescent="0.3">
      <c r="A36" s="151">
        <f>IF(C36&lt;&gt;"",COUNTA($C$12:C36),"")</f>
        <v>22</v>
      </c>
      <c r="B36" s="151"/>
      <c r="C36" s="409">
        <f>+C28</f>
        <v>75</v>
      </c>
      <c r="D36" s="409">
        <f t="shared" si="26"/>
        <v>48750</v>
      </c>
      <c r="E36" s="372">
        <f t="shared" si="27"/>
        <v>3022.42</v>
      </c>
      <c r="F36" s="372">
        <f t="shared" si="20"/>
        <v>5558.96</v>
      </c>
      <c r="G36" s="372">
        <f t="shared" si="21"/>
        <v>8581.380000000001</v>
      </c>
      <c r="H36" s="373"/>
      <c r="I36" s="372">
        <f t="shared" si="28"/>
        <v>2843.24</v>
      </c>
      <c r="J36" s="372">
        <f t="shared" si="22"/>
        <v>6427.69</v>
      </c>
      <c r="K36" s="372">
        <f t="shared" si="23"/>
        <v>9270.93</v>
      </c>
      <c r="L36" s="374"/>
      <c r="M36" s="375">
        <f t="shared" si="24"/>
        <v>689.54999999999927</v>
      </c>
      <c r="N36" s="376">
        <f t="shared" si="25"/>
        <v>8.035420876362534E-2</v>
      </c>
      <c r="O36" s="374"/>
      <c r="P36" s="374"/>
      <c r="Q36" s="374"/>
      <c r="R36" s="374"/>
      <c r="S36" s="374"/>
      <c r="T36" s="374"/>
      <c r="U36" s="374"/>
      <c r="V36" s="374"/>
      <c r="W36" s="374"/>
      <c r="X36" s="374"/>
      <c r="Y36" s="374"/>
      <c r="Z36" s="374"/>
      <c r="AA36" s="374"/>
      <c r="AB36" s="374"/>
      <c r="AC36" s="374"/>
      <c r="AD36" s="374"/>
    </row>
    <row r="37" spans="1:30" ht="14" x14ac:dyDescent="0.3">
      <c r="A37" s="151">
        <f>IF(C37&lt;&gt;"",COUNTA($C$12:C37),"")</f>
        <v>23</v>
      </c>
      <c r="B37" s="151" t="s">
        <v>554</v>
      </c>
      <c r="C37" s="409">
        <v>18</v>
      </c>
      <c r="D37" s="409">
        <f t="shared" si="26"/>
        <v>11700</v>
      </c>
      <c r="E37" s="372">
        <f t="shared" si="27"/>
        <v>732.98</v>
      </c>
      <c r="F37" s="372">
        <f t="shared" si="20"/>
        <v>1334.15</v>
      </c>
      <c r="G37" s="372">
        <f t="shared" ref="G37" si="29">SUM(E37:F37)</f>
        <v>2067.13</v>
      </c>
      <c r="H37" s="373"/>
      <c r="I37" s="372">
        <f t="shared" si="28"/>
        <v>689.98</v>
      </c>
      <c r="J37" s="372">
        <f t="shared" si="22"/>
        <v>1542.65</v>
      </c>
      <c r="K37" s="372">
        <f t="shared" ref="K37" si="30">SUM(I37:J37)</f>
        <v>2232.63</v>
      </c>
      <c r="L37" s="374"/>
      <c r="M37" s="375">
        <f t="shared" si="24"/>
        <v>165.5</v>
      </c>
      <c r="N37" s="376">
        <f t="shared" si="25"/>
        <v>8.0062695621465507E-2</v>
      </c>
      <c r="O37" s="374"/>
      <c r="P37" s="374"/>
      <c r="Q37" s="374"/>
      <c r="R37" s="374"/>
      <c r="S37" s="374"/>
      <c r="T37" s="374"/>
      <c r="U37" s="374"/>
      <c r="V37" s="374"/>
      <c r="W37" s="374"/>
      <c r="X37" s="374"/>
      <c r="Y37" s="374"/>
      <c r="Z37" s="374"/>
      <c r="AA37" s="374"/>
      <c r="AB37" s="374"/>
      <c r="AC37" s="374"/>
      <c r="AD37" s="374"/>
    </row>
    <row r="38" spans="1:30" ht="14" x14ac:dyDescent="0.3">
      <c r="A38" s="151" t="str">
        <f>IF(C38&lt;&gt;"",COUNTA($C$12:C38),"")</f>
        <v/>
      </c>
      <c r="B38" s="151"/>
      <c r="C38" s="488"/>
      <c r="D38" s="488"/>
      <c r="E38" s="489"/>
      <c r="F38" s="489"/>
      <c r="G38" s="490"/>
      <c r="H38" s="491"/>
      <c r="I38" s="489"/>
      <c r="J38" s="489"/>
      <c r="K38" s="489"/>
      <c r="L38" s="415"/>
      <c r="M38" s="523"/>
      <c r="N38" s="519"/>
    </row>
    <row r="39" spans="1:30" ht="14" x14ac:dyDescent="0.3">
      <c r="A39" s="151" t="str">
        <f>IF(C39&lt;&gt;"",COUNTA($C$12:C39),"")</f>
        <v/>
      </c>
      <c r="B39" s="151"/>
      <c r="D39" s="371"/>
      <c r="E39" s="372"/>
      <c r="F39" s="372"/>
      <c r="G39" s="450"/>
      <c r="H39" s="451"/>
    </row>
    <row r="40" spans="1:30" ht="14" x14ac:dyDescent="0.3">
      <c r="A40" s="151">
        <f>IF(C40&lt;&gt;"",COUNTA($C$12:C40),"")</f>
        <v>24</v>
      </c>
      <c r="B40" s="151"/>
      <c r="C40" s="293" t="s">
        <v>46</v>
      </c>
      <c r="D40" s="293"/>
      <c r="E40" s="293"/>
      <c r="G40" s="395" t="str">
        <f>+'Bill_South G6'!F22</f>
        <v>Current</v>
      </c>
      <c r="H40" s="395"/>
      <c r="I40" s="395" t="str">
        <f>+'Bill_South G6'!H22</f>
        <v>Proposed</v>
      </c>
      <c r="J40" s="420"/>
      <c r="K40" s="447"/>
    </row>
    <row r="41" spans="1:30" ht="17" x14ac:dyDescent="0.6">
      <c r="A41" s="151">
        <f>IF(C41&lt;&gt;"",COUNTA($C$12:C41),"")</f>
        <v>25</v>
      </c>
      <c r="B41" s="151"/>
      <c r="C41" s="274" t="s">
        <v>46</v>
      </c>
      <c r="D41" s="274"/>
      <c r="E41" s="293"/>
      <c r="G41" s="396" t="str">
        <f>+'Bill_South G6'!F23</f>
        <v>Rates</v>
      </c>
      <c r="H41" s="396"/>
      <c r="I41" s="396" t="str">
        <f>+'Bill_South G6'!H23</f>
        <v>Rates</v>
      </c>
      <c r="J41" s="396" t="str">
        <f>+'Bill_South G6'!I23</f>
        <v>Change</v>
      </c>
      <c r="K41" s="447"/>
    </row>
    <row r="42" spans="1:30" ht="14" x14ac:dyDescent="0.3">
      <c r="A42" s="151">
        <f>IF(C42&lt;&gt;"",COUNTA($C$12:C42),"")</f>
        <v>26</v>
      </c>
      <c r="B42" s="151"/>
      <c r="C42" s="293" t="s">
        <v>296</v>
      </c>
      <c r="D42" s="293"/>
      <c r="E42" s="274"/>
      <c r="G42" s="454">
        <v>10</v>
      </c>
      <c r="H42" s="455" t="s">
        <v>46</v>
      </c>
      <c r="I42" s="454">
        <f>G42</f>
        <v>10</v>
      </c>
      <c r="J42" s="421">
        <f>+I42-G42</f>
        <v>0</v>
      </c>
      <c r="K42" s="447"/>
    </row>
    <row r="43" spans="1:30" ht="14" x14ac:dyDescent="0.3">
      <c r="A43" s="151">
        <f>IF(C43&lt;&gt;"",COUNTA($C$12:C43),"")</f>
        <v>27</v>
      </c>
      <c r="B43" s="151"/>
      <c r="C43" s="232" t="s">
        <v>422</v>
      </c>
      <c r="D43" s="293"/>
      <c r="E43" s="274"/>
      <c r="G43" s="454">
        <v>3.33</v>
      </c>
      <c r="H43" s="455"/>
      <c r="I43" s="454">
        <v>3.45</v>
      </c>
      <c r="J43" s="421">
        <f t="shared" ref="J43:J65" si="31">+I43-G43</f>
        <v>0.12000000000000011</v>
      </c>
      <c r="K43" s="447"/>
    </row>
    <row r="44" spans="1:30" ht="14" x14ac:dyDescent="0.3">
      <c r="A44" s="151">
        <f>IF(C44&lt;&gt;"",COUNTA($C$12:C44),"")</f>
        <v>28</v>
      </c>
      <c r="B44" s="151"/>
      <c r="C44" s="293" t="str">
        <f>+'Bill_South G4'!C44</f>
        <v>Transmission Demand</v>
      </c>
      <c r="D44" s="293"/>
      <c r="E44" s="274"/>
      <c r="G44" s="454">
        <v>10.63</v>
      </c>
      <c r="H44" s="448"/>
      <c r="I44" s="454">
        <v>7.11</v>
      </c>
      <c r="J44" s="421">
        <f>+I44-G44</f>
        <v>-3.5200000000000005</v>
      </c>
      <c r="K44" s="447"/>
    </row>
    <row r="45" spans="1:30" ht="14" x14ac:dyDescent="0.3">
      <c r="A45" s="151">
        <f>IF(C45&lt;&gt;"",COUNTA($C$12:C45),"")</f>
        <v>29</v>
      </c>
      <c r="B45" s="151"/>
      <c r="C45" s="293" t="s">
        <v>449</v>
      </c>
      <c r="G45" s="308">
        <v>2.29E-2</v>
      </c>
      <c r="H45" s="484"/>
      <c r="I45" s="308">
        <v>2.3689999999999999E-2</v>
      </c>
      <c r="J45" s="354">
        <f t="shared" si="31"/>
        <v>7.8999999999999904E-4</v>
      </c>
      <c r="K45" s="447"/>
    </row>
    <row r="46" spans="1:30" ht="14" x14ac:dyDescent="0.3">
      <c r="A46" s="151">
        <f>IF(C46&lt;&gt;"",COUNTA($C$12:C46),"")</f>
        <v>30</v>
      </c>
      <c r="B46" s="151"/>
      <c r="C46" s="293" t="s">
        <v>450</v>
      </c>
      <c r="D46" s="293"/>
      <c r="E46" s="274"/>
      <c r="G46" s="308">
        <v>1.6039999999999999E-2</v>
      </c>
      <c r="H46" s="484"/>
      <c r="I46" s="308">
        <v>1.66E-2</v>
      </c>
      <c r="J46" s="354">
        <f t="shared" si="31"/>
        <v>5.6000000000000147E-4</v>
      </c>
      <c r="K46" s="447"/>
    </row>
    <row r="47" spans="1:30" ht="14" x14ac:dyDescent="0.3">
      <c r="A47" s="151">
        <f>IF(C47&lt;&gt;"",COUNTA($C$12:C47),"")</f>
        <v>31</v>
      </c>
      <c r="B47" s="151"/>
      <c r="C47" s="293" t="str">
        <f>+'Bill_South G6'!C26</f>
        <v>Revenue Decoupling</v>
      </c>
      <c r="D47" s="506"/>
      <c r="E47" s="274"/>
      <c r="G47" s="308">
        <v>0</v>
      </c>
      <c r="H47" s="400"/>
      <c r="I47" s="277">
        <v>-3.6000000000000002E-4</v>
      </c>
      <c r="J47" s="354">
        <f t="shared" si="31"/>
        <v>-3.6000000000000002E-4</v>
      </c>
      <c r="K47" s="447"/>
    </row>
    <row r="48" spans="1:30" ht="14" x14ac:dyDescent="0.3">
      <c r="A48" s="151">
        <f>IF(C48&lt;&gt;"",COUNTA($C$12:C48),"")</f>
        <v>32</v>
      </c>
      <c r="B48" s="151"/>
      <c r="C48" s="293" t="str">
        <f>+'Bill_South G6'!C27</f>
        <v>Residential Assistance Adjustment Factor</v>
      </c>
      <c r="D48" s="293"/>
      <c r="E48" s="274"/>
      <c r="G48" s="277">
        <v>2.3E-3</v>
      </c>
      <c r="H48" s="400"/>
      <c r="I48" s="277">
        <v>3.0100000000000001E-3</v>
      </c>
      <c r="J48" s="354">
        <f t="shared" si="31"/>
        <v>7.1000000000000013E-4</v>
      </c>
      <c r="K48" s="447"/>
    </row>
    <row r="49" spans="1:12" ht="14" x14ac:dyDescent="0.3">
      <c r="A49" s="151">
        <f>IF(C49&lt;&gt;"",COUNTA($C$12:C49),"")</f>
        <v>33</v>
      </c>
      <c r="B49" s="151"/>
      <c r="C49" s="293" t="str">
        <f>+'Bill_South G6'!C28</f>
        <v>Pension Adjustment Factor</v>
      </c>
      <c r="D49" s="293"/>
      <c r="E49" s="274"/>
      <c r="G49" s="277">
        <v>-8.0000000000000007E-5</v>
      </c>
      <c r="H49" s="400"/>
      <c r="I49" s="277">
        <v>6.9999999999999999E-4</v>
      </c>
      <c r="J49" s="354">
        <f t="shared" si="31"/>
        <v>7.7999999999999999E-4</v>
      </c>
      <c r="K49" s="447"/>
    </row>
    <row r="50" spans="1:12" ht="14" x14ac:dyDescent="0.3">
      <c r="A50" s="151">
        <f>IF(C50&lt;&gt;"",COUNTA($C$12:C50),"")</f>
        <v>34</v>
      </c>
      <c r="B50" s="151"/>
      <c r="C50" s="293" t="str">
        <f>+'Bill_South G6'!C29</f>
        <v>Net Metering Recovery Surcharge</v>
      </c>
      <c r="D50" s="293"/>
      <c r="E50" s="274"/>
      <c r="G50" s="277">
        <v>4.5300000000000002E-3</v>
      </c>
      <c r="H50" s="400"/>
      <c r="I50" s="277">
        <v>3.9300000000000003E-3</v>
      </c>
      <c r="J50" s="354">
        <f t="shared" si="31"/>
        <v>-5.9999999999999984E-4</v>
      </c>
      <c r="K50" s="447"/>
    </row>
    <row r="51" spans="1:12" ht="14" x14ac:dyDescent="0.3">
      <c r="A51" s="151">
        <f>IF(C51&lt;&gt;"",COUNTA($C$12:C51),"")</f>
        <v>35</v>
      </c>
      <c r="B51" s="151"/>
      <c r="C51" s="293" t="str">
        <f>+'Bill_South G6'!C30</f>
        <v>Long Term Renewable Contract Adjustment</v>
      </c>
      <c r="D51" s="293"/>
      <c r="E51" s="274"/>
      <c r="G51" s="277">
        <v>2.3600000000000001E-3</v>
      </c>
      <c r="H51" s="400"/>
      <c r="I51" s="277">
        <v>1.74E-3</v>
      </c>
      <c r="J51" s="354">
        <f t="shared" si="31"/>
        <v>-6.2000000000000011E-4</v>
      </c>
      <c r="K51" s="447"/>
    </row>
    <row r="52" spans="1:12" ht="14" x14ac:dyDescent="0.3">
      <c r="A52" s="151">
        <f>IF(C52&lt;&gt;"",COUNTA($C$12:C52),"")</f>
        <v>36</v>
      </c>
      <c r="B52" s="151"/>
      <c r="C52" s="293" t="str">
        <f>+'Bill_South G6'!C31</f>
        <v>AG Consulting Expense</v>
      </c>
      <c r="D52" s="293"/>
      <c r="E52" s="274"/>
      <c r="G52" s="277">
        <v>2.0000000000000002E-5</v>
      </c>
      <c r="H52" s="400"/>
      <c r="I52" s="277">
        <v>1.0000000000000001E-5</v>
      </c>
      <c r="J52" s="354">
        <f t="shared" si="31"/>
        <v>-1.0000000000000001E-5</v>
      </c>
      <c r="K52" s="447"/>
    </row>
    <row r="53" spans="1:12" ht="14" x14ac:dyDescent="0.3">
      <c r="A53" s="151">
        <f>IF(C53&lt;&gt;"",COUNTA($C$12:C53),"")</f>
        <v>37</v>
      </c>
      <c r="B53" s="151"/>
      <c r="C53" s="293" t="str">
        <f>+'Bill_South G6'!C32</f>
        <v>Storm Cost Recovery Adjustment Factor</v>
      </c>
      <c r="D53" s="293"/>
      <c r="E53" s="274"/>
      <c r="G53" s="277">
        <v>1.42E-3</v>
      </c>
      <c r="H53" s="400"/>
      <c r="I53" s="277">
        <v>2.2799999999999999E-3</v>
      </c>
      <c r="J53" s="354">
        <f t="shared" si="31"/>
        <v>8.5999999999999987E-4</v>
      </c>
      <c r="K53" s="447"/>
    </row>
    <row r="54" spans="1:12" ht="14" x14ac:dyDescent="0.3">
      <c r="A54" s="151">
        <f>IF(C54&lt;&gt;"",COUNTA($C$12:C54),"")</f>
        <v>38</v>
      </c>
      <c r="B54" s="151"/>
      <c r="C54" s="293" t="str">
        <f>+'Bill_South G6'!C33</f>
        <v>Storm Reserve Adjustment</v>
      </c>
      <c r="D54" s="293"/>
      <c r="E54" s="274"/>
      <c r="G54" s="277">
        <v>0</v>
      </c>
      <c r="H54" s="400"/>
      <c r="I54" s="277">
        <v>0</v>
      </c>
      <c r="J54" s="354">
        <f t="shared" si="31"/>
        <v>0</v>
      </c>
      <c r="K54" s="447"/>
    </row>
    <row r="55" spans="1:12" ht="14" x14ac:dyDescent="0.3">
      <c r="A55" s="151">
        <f>IF(C55&lt;&gt;"",COUNTA($C$12:C55),"")</f>
        <v>39</v>
      </c>
      <c r="B55" s="151"/>
      <c r="C55" s="293" t="str">
        <f>+'Bill_South G6'!C34</f>
        <v>Basic Service Cost True Up Factor</v>
      </c>
      <c r="G55" s="277">
        <v>1.23E-3</v>
      </c>
      <c r="H55" s="400"/>
      <c r="I55" s="277">
        <v>-1.4999999999999999E-4</v>
      </c>
      <c r="J55" s="354">
        <f t="shared" si="31"/>
        <v>-1.3799999999999999E-3</v>
      </c>
      <c r="K55" s="447"/>
    </row>
    <row r="56" spans="1:12" ht="14" x14ac:dyDescent="0.3">
      <c r="A56" s="151">
        <f>IF(C56&lt;&gt;"",COUNTA($C$12:C56),"")</f>
        <v>40</v>
      </c>
      <c r="B56" s="151"/>
      <c r="C56" s="293" t="str">
        <f>+'Bill_South G6'!C35</f>
        <v>Solar Program Cost Adjustment Factor</v>
      </c>
      <c r="D56" s="293"/>
      <c r="E56" s="274"/>
      <c r="G56" s="277">
        <v>0</v>
      </c>
      <c r="H56" s="400"/>
      <c r="I56" s="277">
        <v>3.0000000000000001E-5</v>
      </c>
      <c r="J56" s="354">
        <f t="shared" si="31"/>
        <v>3.0000000000000001E-5</v>
      </c>
      <c r="K56" s="447"/>
    </row>
    <row r="57" spans="1:12" ht="14" x14ac:dyDescent="0.3">
      <c r="A57" s="151">
        <f>IF(C57&lt;&gt;"",COUNTA($C$12:C57),"")</f>
        <v>41</v>
      </c>
      <c r="B57" s="151"/>
      <c r="C57" s="293" t="str">
        <f>+'Bill_South G6'!C36</f>
        <v>Solar Expansion Cost Recovery Factor</v>
      </c>
      <c r="D57" s="293"/>
      <c r="E57" s="274"/>
      <c r="G57" s="277">
        <v>0</v>
      </c>
      <c r="H57" s="400"/>
      <c r="I57" s="277">
        <v>4.6999999999999999E-4</v>
      </c>
      <c r="J57" s="354">
        <f t="shared" si="31"/>
        <v>4.6999999999999999E-4</v>
      </c>
      <c r="K57" s="447"/>
    </row>
    <row r="58" spans="1:12" ht="14" x14ac:dyDescent="0.3">
      <c r="A58" s="151">
        <f>IF(C58&lt;&gt;"",COUNTA($C$12:C58),"")</f>
        <v>42</v>
      </c>
      <c r="B58" s="151"/>
      <c r="C58" s="293" t="str">
        <f>+'Bill_South G6'!C37</f>
        <v>Vegetation Management</v>
      </c>
      <c r="D58" s="293"/>
      <c r="E58" s="274"/>
      <c r="G58" s="277">
        <v>0</v>
      </c>
      <c r="H58" s="400"/>
      <c r="I58" s="277">
        <v>1.25E-3</v>
      </c>
      <c r="J58" s="354">
        <f t="shared" si="31"/>
        <v>1.25E-3</v>
      </c>
      <c r="K58" s="447"/>
    </row>
    <row r="59" spans="1:12" ht="14" x14ac:dyDescent="0.3">
      <c r="A59" s="151">
        <f>IF(C59&lt;&gt;"",COUNTA($C$12:C59),"")</f>
        <v>43</v>
      </c>
      <c r="B59" s="151"/>
      <c r="C59" s="293" t="str">
        <f>+'Bill_South G6'!C38</f>
        <v>Solar Massachusetts Renewable Target</v>
      </c>
      <c r="D59" s="339"/>
      <c r="E59" s="339"/>
      <c r="F59" s="277"/>
      <c r="G59" s="277">
        <v>0</v>
      </c>
      <c r="H59" s="277"/>
      <c r="I59" s="277">
        <v>5.5000000000000003E-4</v>
      </c>
      <c r="J59" s="354">
        <f t="shared" si="31"/>
        <v>5.5000000000000003E-4</v>
      </c>
      <c r="K59" s="339"/>
      <c r="L59" s="339"/>
    </row>
    <row r="60" spans="1:12" ht="14" x14ac:dyDescent="0.3">
      <c r="A60" s="151">
        <f>IF(C60&lt;&gt;"",COUNTA($C$12:C60),"")</f>
        <v>44</v>
      </c>
      <c r="B60" s="151"/>
      <c r="C60" s="293" t="str">
        <f>+'Bill_South G6'!C39</f>
        <v>Tax Act Credit Factor</v>
      </c>
      <c r="D60" s="339"/>
      <c r="E60" s="339"/>
      <c r="F60" s="277"/>
      <c r="G60" s="277">
        <v>0</v>
      </c>
      <c r="H60" s="277"/>
      <c r="I60" s="277">
        <v>-8.3000000000000001E-4</v>
      </c>
      <c r="J60" s="354">
        <f t="shared" si="31"/>
        <v>-8.3000000000000001E-4</v>
      </c>
      <c r="K60" s="339"/>
      <c r="L60" s="339"/>
    </row>
    <row r="61" spans="1:12" ht="14" x14ac:dyDescent="0.3">
      <c r="A61" s="151">
        <f>IF(C61&lt;&gt;"",COUNTA($C$12:C61),"")</f>
        <v>45</v>
      </c>
      <c r="B61" s="151"/>
      <c r="C61" s="293" t="str">
        <f>+'Bill_South G6'!C40</f>
        <v>Transition</v>
      </c>
      <c r="D61" s="293"/>
      <c r="E61" s="274"/>
      <c r="G61" s="308">
        <v>-6.0999999999999997E-4</v>
      </c>
      <c r="H61" s="400"/>
      <c r="I61" s="277">
        <v>-5.1999999999999995E-4</v>
      </c>
      <c r="J61" s="354">
        <f t="shared" si="31"/>
        <v>9.0000000000000019E-5</v>
      </c>
      <c r="K61" s="447"/>
    </row>
    <row r="62" spans="1:12" ht="14" x14ac:dyDescent="0.3">
      <c r="A62" s="151">
        <f>IF(C62&lt;&gt;"",COUNTA($C$12:C62),"")</f>
        <v>46</v>
      </c>
      <c r="B62" s="151"/>
      <c r="C62" s="293" t="str">
        <f>+'Bill_South G6'!C42</f>
        <v>Energy Efficiency Reconciliation Factor</v>
      </c>
      <c r="D62" s="293"/>
      <c r="E62" s="274"/>
      <c r="G62" s="308">
        <v>8.4600000000000005E-3</v>
      </c>
      <c r="H62" s="400"/>
      <c r="I62" s="308">
        <v>8.4600000000000005E-3</v>
      </c>
      <c r="J62" s="354">
        <f t="shared" si="31"/>
        <v>0</v>
      </c>
      <c r="K62" s="447"/>
    </row>
    <row r="63" spans="1:12" ht="14" x14ac:dyDescent="0.3">
      <c r="A63" s="151">
        <f>IF(C63&lt;&gt;"",COUNTA($C$12:C63),"")</f>
        <v>47</v>
      </c>
      <c r="B63" s="151"/>
      <c r="C63" s="293" t="str">
        <f>+'Bill_South G6'!C43</f>
        <v>System Benefits Charge</v>
      </c>
      <c r="D63" s="293"/>
      <c r="E63" s="274"/>
      <c r="G63" s="308">
        <v>2.5000000000000001E-3</v>
      </c>
      <c r="H63" s="400"/>
      <c r="I63" s="308">
        <f>G63</f>
        <v>2.5000000000000001E-3</v>
      </c>
      <c r="J63" s="354">
        <f t="shared" si="31"/>
        <v>0</v>
      </c>
      <c r="K63" s="447"/>
    </row>
    <row r="64" spans="1:12" ht="14" x14ac:dyDescent="0.3">
      <c r="A64" s="151">
        <f>IF(C64&lt;&gt;"",COUNTA($C$12:C64),"")</f>
        <v>48</v>
      </c>
      <c r="B64" s="151"/>
      <c r="C64" s="293" t="str">
        <f>+'Bill_South G6'!C44</f>
        <v>Renewable Energy Charge</v>
      </c>
      <c r="D64" s="293"/>
      <c r="E64" s="274"/>
      <c r="G64" s="308">
        <v>5.0000000000000001E-4</v>
      </c>
      <c r="H64" s="400"/>
      <c r="I64" s="308">
        <f>G64</f>
        <v>5.0000000000000001E-4</v>
      </c>
      <c r="J64" s="354">
        <f t="shared" si="31"/>
        <v>0</v>
      </c>
      <c r="K64" s="447"/>
    </row>
    <row r="65" spans="1:11" ht="14" x14ac:dyDescent="0.3">
      <c r="A65" s="151">
        <f>IF(C65&lt;&gt;"",COUNTA($C$12:C65),"")</f>
        <v>49</v>
      </c>
      <c r="B65" s="151"/>
      <c r="C65" s="293" t="str">
        <f>+'Bill_South G6'!C45</f>
        <v>Basic Service Charge</v>
      </c>
      <c r="D65" s="293"/>
      <c r="E65" s="274"/>
      <c r="G65" s="308">
        <v>0.11403000000000001</v>
      </c>
      <c r="H65" s="400"/>
      <c r="I65" s="308">
        <v>0.13185000000000002</v>
      </c>
      <c r="J65" s="354">
        <f t="shared" si="31"/>
        <v>1.7820000000000016E-2</v>
      </c>
      <c r="K65" s="447"/>
    </row>
    <row r="66" spans="1:11" ht="14" x14ac:dyDescent="0.3">
      <c r="A66" s="151" t="str">
        <f>IF(C66&lt;&gt;"",COUNTA($C$12:C66),"")</f>
        <v/>
      </c>
      <c r="B66" s="151"/>
      <c r="G66" s="448"/>
      <c r="H66" s="374"/>
      <c r="I66" s="448"/>
      <c r="J66" s="502"/>
      <c r="K66" s="447"/>
    </row>
    <row r="67" spans="1:11" ht="14" x14ac:dyDescent="0.3">
      <c r="A67" s="151">
        <f>IF(C67&lt;&gt;"",COUNTA($C$12:C67),"")</f>
        <v>50</v>
      </c>
      <c r="B67" s="151"/>
      <c r="C67" s="526" t="s">
        <v>613</v>
      </c>
      <c r="E67" s="476">
        <v>0.24</v>
      </c>
      <c r="G67" s="514"/>
      <c r="H67" s="374"/>
      <c r="I67" s="502"/>
      <c r="J67" s="502"/>
      <c r="K67" s="447"/>
    </row>
    <row r="68" spans="1:11" ht="14" x14ac:dyDescent="0.3">
      <c r="A68" s="151">
        <f>IF(C68&lt;&gt;"",COUNTA($C$12:C68),"")</f>
        <v>51</v>
      </c>
      <c r="B68" s="151"/>
      <c r="C68" s="526" t="s">
        <v>614</v>
      </c>
      <c r="E68" s="476">
        <v>0.76</v>
      </c>
      <c r="G68" s="514"/>
      <c r="H68" s="374"/>
      <c r="I68" s="502"/>
      <c r="J68" s="502"/>
      <c r="K68" s="447"/>
    </row>
    <row r="69" spans="1:11" ht="14" x14ac:dyDescent="0.3">
      <c r="A69" s="151" t="str">
        <f>IF(C69&lt;&gt;"",COUNTA($C$12:C69),"")</f>
        <v/>
      </c>
      <c r="B69" s="151"/>
      <c r="G69" s="374"/>
      <c r="H69" s="374"/>
      <c r="I69" s="502"/>
      <c r="J69" s="502"/>
      <c r="K69" s="447"/>
    </row>
    <row r="70" spans="1:11" ht="14" x14ac:dyDescent="0.3">
      <c r="A70" s="151"/>
      <c r="B70" s="151"/>
      <c r="G70" s="374"/>
      <c r="H70" s="374"/>
      <c r="I70" s="502"/>
      <c r="J70" s="502"/>
      <c r="K70" s="447"/>
    </row>
    <row r="71" spans="1:11" ht="14" x14ac:dyDescent="0.3">
      <c r="A71" s="151"/>
      <c r="B71" s="151"/>
      <c r="C71" s="369" t="str">
        <f>+'Bill_South G3'!C74</f>
        <v>Total Demand</v>
      </c>
      <c r="G71" s="374">
        <f>+G43+G44</f>
        <v>13.96</v>
      </c>
      <c r="H71" s="374"/>
      <c r="I71" s="374">
        <f>+I43+I44</f>
        <v>10.56</v>
      </c>
      <c r="J71" s="421">
        <f t="shared" ref="J71:J74" si="32">+I71-G71</f>
        <v>-3.4000000000000004</v>
      </c>
      <c r="K71" s="447"/>
    </row>
    <row r="72" spans="1:11" ht="14" x14ac:dyDescent="0.3">
      <c r="A72" s="151"/>
      <c r="B72" s="151"/>
      <c r="C72" s="369" t="str">
        <f>+'Bill_South G3'!C75</f>
        <v>Total Energy - Peak</v>
      </c>
      <c r="G72" s="403">
        <f>SUM(G45,G$47:G$61,G$62:G$64)</f>
        <v>4.5530000000000001E-2</v>
      </c>
      <c r="H72" s="403"/>
      <c r="I72" s="403">
        <f>SUM(I45,I$47:I$61,I$62:I$64)</f>
        <v>4.726000000000001E-2</v>
      </c>
      <c r="J72" s="354">
        <f t="shared" si="32"/>
        <v>1.7300000000000093E-3</v>
      </c>
      <c r="K72" s="447"/>
    </row>
    <row r="73" spans="1:11" ht="14" x14ac:dyDescent="0.3">
      <c r="A73" s="151"/>
      <c r="B73" s="151"/>
      <c r="C73" s="369" t="str">
        <f>+'Bill_South G3'!C76</f>
        <v>Total Energy - Low A</v>
      </c>
      <c r="G73" s="403">
        <f>SUM(G46,G$47:G$61,G$62:G$64)</f>
        <v>3.8670000000000003E-2</v>
      </c>
      <c r="H73" s="403"/>
      <c r="I73" s="403">
        <f>SUM(I46,I$47:I$61,I$62:I$64)</f>
        <v>4.0169999999999997E-2</v>
      </c>
      <c r="J73" s="354">
        <f t="shared" si="32"/>
        <v>1.4999999999999944E-3</v>
      </c>
      <c r="K73" s="447"/>
    </row>
    <row r="74" spans="1:11" ht="14" x14ac:dyDescent="0.3">
      <c r="A74" s="151"/>
      <c r="B74" s="151"/>
      <c r="C74" s="369" t="str">
        <f>+'Bill_South G3'!C78</f>
        <v>Total Basic Service</v>
      </c>
      <c r="G74" s="403">
        <f>+G65</f>
        <v>0.11403000000000001</v>
      </c>
      <c r="H74" s="403"/>
      <c r="I74" s="403">
        <f>+I65</f>
        <v>0.13185000000000002</v>
      </c>
      <c r="J74" s="354">
        <f t="shared" si="32"/>
        <v>1.7820000000000016E-2</v>
      </c>
      <c r="K74" s="447"/>
    </row>
    <row r="75" spans="1:11" ht="14" x14ac:dyDescent="0.3">
      <c r="A75" s="151"/>
      <c r="B75" s="151"/>
      <c r="G75" s="374"/>
      <c r="H75" s="374"/>
      <c r="I75" s="502"/>
      <c r="J75" s="502"/>
      <c r="K75" s="447"/>
    </row>
    <row r="76" spans="1:11" ht="14" x14ac:dyDescent="0.3">
      <c r="A76" s="151"/>
      <c r="B76" s="151"/>
      <c r="G76" s="374"/>
      <c r="H76" s="374"/>
      <c r="I76" s="502"/>
      <c r="J76" s="502"/>
      <c r="K76" s="447"/>
    </row>
    <row r="77" spans="1:11" ht="14" x14ac:dyDescent="0.3">
      <c r="A77" s="151"/>
      <c r="B77" s="151"/>
      <c r="G77" s="374"/>
      <c r="H77" s="374"/>
      <c r="I77" s="502"/>
      <c r="J77" s="502"/>
      <c r="K77" s="447"/>
    </row>
    <row r="78" spans="1:11" ht="14" x14ac:dyDescent="0.3">
      <c r="A78" s="151"/>
      <c r="B78" s="151"/>
      <c r="I78" s="447"/>
      <c r="J78" s="447"/>
      <c r="K78" s="447"/>
    </row>
    <row r="79" spans="1:11" ht="14" x14ac:dyDescent="0.3">
      <c r="A79" s="151"/>
      <c r="B79" s="151"/>
      <c r="I79" s="447"/>
      <c r="J79" s="447"/>
      <c r="K79" s="447"/>
    </row>
    <row r="80" spans="1:11" ht="14" x14ac:dyDescent="0.3">
      <c r="A80" s="151"/>
      <c r="B80" s="151"/>
      <c r="I80" s="447"/>
      <c r="J80" s="447"/>
      <c r="K80" s="447"/>
    </row>
    <row r="81" spans="1:11" ht="14" x14ac:dyDescent="0.3">
      <c r="A81" s="151"/>
      <c r="B81" s="151"/>
      <c r="I81" s="447"/>
      <c r="J81" s="447"/>
      <c r="K81" s="447"/>
    </row>
    <row r="82" spans="1:11" ht="14" x14ac:dyDescent="0.3">
      <c r="A82" s="151"/>
      <c r="B82" s="151"/>
      <c r="I82" s="447"/>
      <c r="J82" s="447"/>
      <c r="K82" s="447"/>
    </row>
    <row r="83" spans="1:11" ht="14" x14ac:dyDescent="0.3">
      <c r="A83" s="151"/>
      <c r="B83" s="151"/>
      <c r="I83" s="447"/>
      <c r="J83" s="447"/>
      <c r="K83" s="447"/>
    </row>
    <row r="84" spans="1:11" ht="14" x14ac:dyDescent="0.3">
      <c r="A84" s="151"/>
      <c r="B84" s="151"/>
      <c r="I84" s="447"/>
      <c r="J84" s="447"/>
      <c r="K84" s="447"/>
    </row>
    <row r="85" spans="1:11" ht="14" x14ac:dyDescent="0.3">
      <c r="A85" s="151"/>
      <c r="B85" s="151"/>
      <c r="I85" s="447"/>
      <c r="J85" s="447"/>
      <c r="K85" s="447"/>
    </row>
    <row r="86" spans="1:11" ht="14" x14ac:dyDescent="0.3">
      <c r="A86" s="151"/>
      <c r="B86" s="151"/>
      <c r="I86" s="447"/>
      <c r="J86" s="447"/>
      <c r="K86" s="447"/>
    </row>
    <row r="87" spans="1:11" ht="14" x14ac:dyDescent="0.3">
      <c r="A87" s="151"/>
      <c r="B87" s="151"/>
      <c r="I87" s="447"/>
      <c r="J87" s="447"/>
      <c r="K87" s="447"/>
    </row>
    <row r="88" spans="1:11" ht="14" x14ac:dyDescent="0.3">
      <c r="A88" s="151"/>
      <c r="B88" s="151"/>
      <c r="I88" s="447"/>
      <c r="J88" s="447"/>
      <c r="K88" s="447"/>
    </row>
    <row r="89" spans="1:11" ht="14" x14ac:dyDescent="0.3">
      <c r="A89" s="151"/>
      <c r="B89" s="151"/>
      <c r="I89" s="447"/>
      <c r="J89" s="447"/>
      <c r="K89" s="447"/>
    </row>
    <row r="90" spans="1:11" ht="14" x14ac:dyDescent="0.3">
      <c r="A90" s="151"/>
      <c r="B90" s="151"/>
      <c r="I90" s="447"/>
      <c r="J90" s="447"/>
      <c r="K90" s="447"/>
    </row>
    <row r="91" spans="1:11" ht="14" x14ac:dyDescent="0.3">
      <c r="A91" s="151"/>
      <c r="B91" s="151"/>
      <c r="I91" s="447"/>
      <c r="J91" s="447"/>
      <c r="K91" s="447"/>
    </row>
    <row r="92" spans="1:11" ht="14" x14ac:dyDescent="0.3">
      <c r="A92" s="151"/>
      <c r="B92" s="151"/>
      <c r="I92" s="447"/>
      <c r="J92" s="447"/>
      <c r="K92" s="447"/>
    </row>
    <row r="93" spans="1:11" ht="14" x14ac:dyDescent="0.3">
      <c r="A93" s="151"/>
      <c r="B93" s="151"/>
      <c r="I93" s="447"/>
      <c r="J93" s="447"/>
      <c r="K93" s="447"/>
    </row>
    <row r="94" spans="1:11" ht="14" x14ac:dyDescent="0.3">
      <c r="A94" s="151"/>
      <c r="B94" s="151"/>
      <c r="I94" s="447"/>
      <c r="J94" s="447"/>
      <c r="K94" s="447"/>
    </row>
    <row r="95" spans="1:11" ht="14" x14ac:dyDescent="0.3">
      <c r="A95" s="151"/>
      <c r="B95" s="151"/>
      <c r="I95" s="447"/>
      <c r="J95" s="447"/>
      <c r="K95" s="447"/>
    </row>
    <row r="96" spans="1:11" ht="14" x14ac:dyDescent="0.3">
      <c r="A96" s="151"/>
      <c r="B96" s="151"/>
      <c r="I96" s="447"/>
      <c r="J96" s="447"/>
      <c r="K96" s="447"/>
    </row>
    <row r="97" spans="1:11" ht="14" x14ac:dyDescent="0.3">
      <c r="A97" s="151"/>
      <c r="B97" s="151"/>
      <c r="I97" s="447"/>
      <c r="J97" s="447"/>
      <c r="K97" s="447"/>
    </row>
    <row r="98" spans="1:11" ht="14" x14ac:dyDescent="0.3">
      <c r="A98" s="151"/>
      <c r="B98" s="151"/>
      <c r="I98" s="447"/>
      <c r="J98" s="447"/>
      <c r="K98" s="447"/>
    </row>
    <row r="99" spans="1:11" ht="14" x14ac:dyDescent="0.3">
      <c r="A99" s="151"/>
      <c r="B99" s="151"/>
      <c r="I99" s="447"/>
      <c r="J99" s="447"/>
      <c r="K99" s="447"/>
    </row>
    <row r="100" spans="1:11" ht="14" x14ac:dyDescent="0.3">
      <c r="A100" s="151"/>
      <c r="B100" s="151"/>
      <c r="I100" s="447"/>
      <c r="J100" s="447"/>
      <c r="K100" s="447"/>
    </row>
    <row r="101" spans="1:11" ht="14" x14ac:dyDescent="0.3">
      <c r="A101" s="151"/>
      <c r="B101" s="151"/>
      <c r="I101" s="447"/>
      <c r="J101" s="447"/>
      <c r="K101" s="447"/>
    </row>
    <row r="102" spans="1:11" ht="14" x14ac:dyDescent="0.3">
      <c r="A102" s="151"/>
      <c r="B102" s="151"/>
      <c r="I102" s="447"/>
      <c r="J102" s="447"/>
      <c r="K102" s="447"/>
    </row>
    <row r="103" spans="1:11" ht="14" x14ac:dyDescent="0.3">
      <c r="A103" s="151"/>
      <c r="B103" s="151"/>
      <c r="I103" s="447"/>
      <c r="J103" s="447"/>
      <c r="K103" s="447"/>
    </row>
    <row r="104" spans="1:11" ht="14" x14ac:dyDescent="0.3">
      <c r="A104" s="151"/>
      <c r="B104" s="151"/>
      <c r="I104" s="447"/>
      <c r="J104" s="447"/>
      <c r="K104" s="447"/>
    </row>
    <row r="105" spans="1:11" ht="14" x14ac:dyDescent="0.3">
      <c r="A105" s="151"/>
      <c r="B105" s="151"/>
      <c r="I105" s="447"/>
      <c r="J105" s="447"/>
      <c r="K105" s="447"/>
    </row>
    <row r="106" spans="1:11" ht="14" x14ac:dyDescent="0.3">
      <c r="A106" s="151"/>
      <c r="B106" s="151"/>
      <c r="I106" s="447"/>
      <c r="J106" s="447"/>
      <c r="K106" s="447"/>
    </row>
    <row r="107" spans="1:11" ht="14" x14ac:dyDescent="0.3">
      <c r="A107" s="151"/>
      <c r="B107" s="151"/>
      <c r="I107" s="447"/>
      <c r="J107" s="447"/>
      <c r="K107" s="447"/>
    </row>
    <row r="108" spans="1:11" ht="14" x14ac:dyDescent="0.3">
      <c r="A108" s="151"/>
      <c r="B108" s="151"/>
      <c r="I108" s="447"/>
      <c r="J108" s="447"/>
      <c r="K108" s="447"/>
    </row>
    <row r="109" spans="1:11" ht="14" x14ac:dyDescent="0.3">
      <c r="A109" s="151"/>
      <c r="B109" s="151"/>
      <c r="I109" s="447"/>
      <c r="J109" s="447"/>
      <c r="K109" s="447"/>
    </row>
    <row r="110" spans="1:11" ht="14" x14ac:dyDescent="0.3">
      <c r="A110" s="151"/>
      <c r="B110" s="151"/>
      <c r="I110" s="447"/>
      <c r="J110" s="447"/>
      <c r="K110" s="447"/>
    </row>
    <row r="111" spans="1:11" ht="14" x14ac:dyDescent="0.3">
      <c r="A111" s="151"/>
      <c r="B111" s="151"/>
      <c r="I111" s="447"/>
      <c r="J111" s="447"/>
      <c r="K111" s="447"/>
    </row>
    <row r="112" spans="1:11" ht="14" x14ac:dyDescent="0.3">
      <c r="A112" s="151"/>
      <c r="B112" s="151"/>
      <c r="I112" s="447"/>
      <c r="J112" s="447"/>
      <c r="K112" s="447"/>
    </row>
    <row r="113" spans="1:11" ht="14" x14ac:dyDescent="0.3">
      <c r="A113" s="151"/>
      <c r="B113" s="151"/>
      <c r="I113" s="447"/>
      <c r="J113" s="447"/>
      <c r="K113" s="447"/>
    </row>
    <row r="114" spans="1:11" ht="14" x14ac:dyDescent="0.3">
      <c r="A114" s="151"/>
      <c r="B114" s="151"/>
      <c r="I114" s="447"/>
      <c r="J114" s="447"/>
      <c r="K114" s="447"/>
    </row>
    <row r="115" spans="1:11" ht="14" x14ac:dyDescent="0.3">
      <c r="A115" s="151"/>
      <c r="B115" s="151"/>
      <c r="I115" s="447"/>
      <c r="J115" s="447"/>
      <c r="K115" s="447"/>
    </row>
    <row r="116" spans="1:11" ht="14" x14ac:dyDescent="0.3">
      <c r="A116" s="151"/>
      <c r="B116" s="151"/>
      <c r="I116" s="447"/>
      <c r="J116" s="447"/>
      <c r="K116" s="447"/>
    </row>
    <row r="117" spans="1:11" ht="14" x14ac:dyDescent="0.3">
      <c r="A117" s="151"/>
      <c r="B117" s="151"/>
      <c r="I117" s="447"/>
      <c r="J117" s="447"/>
      <c r="K117" s="447"/>
    </row>
    <row r="118" spans="1:11" ht="14" x14ac:dyDescent="0.3">
      <c r="A118" s="151"/>
      <c r="B118" s="151"/>
      <c r="I118" s="447"/>
      <c r="J118" s="447"/>
      <c r="K118" s="447"/>
    </row>
    <row r="119" spans="1:11" ht="14" x14ac:dyDescent="0.3">
      <c r="A119" s="151"/>
      <c r="B119" s="151"/>
      <c r="I119" s="447"/>
      <c r="J119" s="447"/>
      <c r="K119" s="447"/>
    </row>
    <row r="120" spans="1:11" ht="14" x14ac:dyDescent="0.3">
      <c r="A120" s="151"/>
      <c r="B120" s="151"/>
      <c r="I120" s="447"/>
      <c r="J120" s="447"/>
      <c r="K120" s="447"/>
    </row>
    <row r="121" spans="1:11" ht="14" x14ac:dyDescent="0.3">
      <c r="A121" s="151"/>
      <c r="B121" s="151"/>
      <c r="I121" s="447"/>
      <c r="J121" s="447"/>
      <c r="K121" s="447"/>
    </row>
    <row r="122" spans="1:11" ht="14" x14ac:dyDescent="0.3">
      <c r="A122" s="151"/>
      <c r="B122" s="151"/>
      <c r="I122" s="447"/>
      <c r="J122" s="447"/>
      <c r="K122" s="447"/>
    </row>
    <row r="123" spans="1:11" ht="14" x14ac:dyDescent="0.3">
      <c r="A123" s="151"/>
      <c r="B123" s="151"/>
      <c r="I123" s="447"/>
      <c r="J123" s="447"/>
      <c r="K123" s="447"/>
    </row>
    <row r="124" spans="1:11" ht="14" x14ac:dyDescent="0.3">
      <c r="A124" s="151"/>
      <c r="B124" s="151"/>
      <c r="I124" s="447"/>
      <c r="J124" s="447"/>
      <c r="K124" s="447"/>
    </row>
    <row r="125" spans="1:11" ht="14" x14ac:dyDescent="0.3">
      <c r="A125" s="151"/>
      <c r="B125" s="151"/>
      <c r="I125" s="447"/>
      <c r="J125" s="447"/>
      <c r="K125" s="447"/>
    </row>
    <row r="126" spans="1:11" ht="14" x14ac:dyDescent="0.3">
      <c r="A126" s="151"/>
      <c r="B126" s="151"/>
    </row>
    <row r="127" spans="1:11" ht="14" x14ac:dyDescent="0.3">
      <c r="A127" s="151"/>
      <c r="B127" s="151"/>
    </row>
    <row r="128" spans="1:11" ht="14" x14ac:dyDescent="0.3">
      <c r="A128" s="151"/>
      <c r="B128" s="151"/>
    </row>
    <row r="129" spans="1:2" ht="14" x14ac:dyDescent="0.3">
      <c r="A129" s="151"/>
      <c r="B129" s="151"/>
    </row>
    <row r="130" spans="1:2" ht="14" x14ac:dyDescent="0.3">
      <c r="A130" s="151"/>
      <c r="B130" s="151"/>
    </row>
    <row r="131" spans="1:2" ht="14" x14ac:dyDescent="0.3">
      <c r="A131" s="151"/>
      <c r="B131" s="151"/>
    </row>
    <row r="132" spans="1:2" ht="14" x14ac:dyDescent="0.3">
      <c r="A132" s="151"/>
      <c r="B132" s="151"/>
    </row>
    <row r="133" spans="1:2" ht="14" x14ac:dyDescent="0.3">
      <c r="A133" s="151"/>
      <c r="B133" s="151"/>
    </row>
    <row r="134" spans="1:2" ht="14" x14ac:dyDescent="0.3">
      <c r="A134" s="151"/>
      <c r="B134" s="151"/>
    </row>
    <row r="135" spans="1:2" ht="14" x14ac:dyDescent="0.3">
      <c r="A135" s="151"/>
      <c r="B135" s="151"/>
    </row>
    <row r="136" spans="1:2" ht="14" x14ac:dyDescent="0.3">
      <c r="A136" s="151"/>
      <c r="B136" s="151"/>
    </row>
    <row r="137" spans="1:2" ht="14" x14ac:dyDescent="0.3">
      <c r="A137" s="151"/>
      <c r="B137" s="151"/>
    </row>
    <row r="138" spans="1:2" ht="14" x14ac:dyDescent="0.3">
      <c r="A138" s="151"/>
      <c r="B138" s="151"/>
    </row>
    <row r="139" spans="1:2" ht="14" x14ac:dyDescent="0.3">
      <c r="A139" s="151"/>
      <c r="B139" s="151"/>
    </row>
    <row r="140" spans="1:2" ht="14" x14ac:dyDescent="0.3">
      <c r="A140" s="151"/>
      <c r="B140" s="151"/>
    </row>
    <row r="141" spans="1:2" ht="14" x14ac:dyDescent="0.3">
      <c r="A141" s="151"/>
      <c r="B141" s="151"/>
    </row>
    <row r="142" spans="1:2" ht="14" x14ac:dyDescent="0.3">
      <c r="A142" s="151"/>
      <c r="B142" s="151"/>
    </row>
  </sheetData>
  <mergeCells count="8">
    <mergeCell ref="E12:G12"/>
    <mergeCell ref="I12:K12"/>
    <mergeCell ref="M12:N12"/>
    <mergeCell ref="A4:N4"/>
    <mergeCell ref="A5:N5"/>
    <mergeCell ref="A6:N6"/>
    <mergeCell ref="A8:N8"/>
    <mergeCell ref="A9:N9"/>
  </mergeCells>
  <pageMargins left="0.7" right="0.7" top="0.75" bottom="0.75" header="0.3" footer="0.3"/>
  <pageSetup scale="64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8DAD1-6F6C-4910-8C78-3840363AB3F4}">
  <sheetPr>
    <tabColor theme="3" tint="0.59999389629810485"/>
    <pageSetUpPr fitToPage="1"/>
  </sheetPr>
  <dimension ref="A4:AD158"/>
  <sheetViews>
    <sheetView zoomScaleNormal="100" workbookViewId="0"/>
  </sheetViews>
  <sheetFormatPr defaultRowHeight="12.5" x14ac:dyDescent="0.25"/>
  <cols>
    <col min="1" max="1" width="4" customWidth="1"/>
    <col min="2" max="2" width="4.453125" bestFit="1" customWidth="1"/>
    <col min="3" max="3" width="9.26953125" customWidth="1"/>
    <col min="4" max="4" width="9.7265625" customWidth="1"/>
    <col min="5" max="7" width="14.7265625" customWidth="1"/>
    <col min="8" max="8" width="1.7265625" customWidth="1"/>
    <col min="9" max="11" width="14.7265625" customWidth="1"/>
    <col min="12" max="12" width="1.7265625" customWidth="1"/>
    <col min="13" max="14" width="11.7265625" customWidth="1"/>
    <col min="15" max="15" width="10.81640625" bestFit="1" customWidth="1"/>
    <col min="16" max="19" width="10.1796875" bestFit="1" customWidth="1"/>
    <col min="20" max="21" width="11.81640625" bestFit="1" customWidth="1"/>
    <col min="22" max="22" width="8.453125" bestFit="1" customWidth="1"/>
    <col min="23" max="23" width="10.81640625" bestFit="1" customWidth="1"/>
    <col min="24" max="27" width="10.1796875" bestFit="1" customWidth="1"/>
    <col min="28" max="29" width="11.81640625" bestFit="1" customWidth="1"/>
  </cols>
  <sheetData>
    <row r="4" spans="1:30" ht="14" x14ac:dyDescent="0.3">
      <c r="A4" s="766" t="str">
        <f>'Bill_South G7'!A4:N4</f>
        <v>Eastern Massachusetts</v>
      </c>
      <c r="B4" s="766"/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  <c r="N4" s="766"/>
    </row>
    <row r="5" spans="1:30" ht="14" x14ac:dyDescent="0.3">
      <c r="A5" s="766" t="str">
        <f>+'Bill_Cam G0'!A5</f>
        <v>Calculation of Monthly Typical Bill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</row>
    <row r="6" spans="1:30" ht="14" x14ac:dyDescent="0.3">
      <c r="A6" s="766" t="str">
        <f>+'Bill_Cam G0'!A6</f>
        <v>Proposed January 1, 2019</v>
      </c>
      <c r="B6" s="766"/>
      <c r="C6" s="766"/>
      <c r="D6" s="766"/>
      <c r="E6" s="766"/>
      <c r="F6" s="766"/>
      <c r="G6" s="766"/>
      <c r="H6" s="766"/>
      <c r="I6" s="766"/>
      <c r="J6" s="766"/>
      <c r="K6" s="766"/>
      <c r="L6" s="766"/>
      <c r="M6" s="766"/>
      <c r="N6" s="766"/>
    </row>
    <row r="7" spans="1:30" ht="14" x14ac:dyDescent="0.3">
      <c r="A7" s="521"/>
      <c r="B7" s="521"/>
      <c r="C7" s="293"/>
      <c r="D7" s="293"/>
      <c r="E7" s="468"/>
      <c r="F7" s="243"/>
      <c r="G7" s="469"/>
      <c r="H7" s="293"/>
      <c r="I7" s="369"/>
      <c r="J7" s="369"/>
      <c r="K7" s="369"/>
      <c r="L7" s="369"/>
      <c r="M7" s="369"/>
      <c r="N7" s="369"/>
    </row>
    <row r="8" spans="1:30" ht="14" x14ac:dyDescent="0.3">
      <c r="A8" s="766" t="s">
        <v>476</v>
      </c>
      <c r="B8" s="766"/>
      <c r="C8" s="766"/>
      <c r="D8" s="766"/>
      <c r="E8" s="766"/>
      <c r="F8" s="766"/>
      <c r="G8" s="766"/>
      <c r="H8" s="766"/>
      <c r="I8" s="766"/>
      <c r="J8" s="766"/>
      <c r="K8" s="766"/>
      <c r="L8" s="766"/>
      <c r="M8" s="766"/>
      <c r="N8" s="766"/>
    </row>
    <row r="9" spans="1:30" ht="14" x14ac:dyDescent="0.3">
      <c r="A9" s="766" t="s">
        <v>505</v>
      </c>
      <c r="B9" s="766"/>
      <c r="C9" s="766"/>
      <c r="D9" s="766"/>
      <c r="E9" s="766"/>
      <c r="F9" s="766"/>
      <c r="G9" s="766"/>
      <c r="H9" s="766"/>
      <c r="I9" s="766"/>
      <c r="J9" s="766"/>
      <c r="K9" s="766"/>
      <c r="L9" s="766"/>
      <c r="M9" s="766"/>
      <c r="N9" s="766"/>
    </row>
    <row r="10" spans="1:30" ht="14" x14ac:dyDescent="0.3">
      <c r="A10" s="366"/>
      <c r="B10" s="366"/>
      <c r="C10" s="293"/>
      <c r="D10" s="293"/>
      <c r="E10" s="293"/>
      <c r="F10" s="293"/>
      <c r="G10" s="368"/>
      <c r="H10" s="293"/>
    </row>
    <row r="11" spans="1:30" ht="14" x14ac:dyDescent="0.3">
      <c r="A11" s="151"/>
      <c r="B11" s="151"/>
      <c r="C11" s="293"/>
      <c r="D11" s="293"/>
      <c r="E11" s="293"/>
      <c r="F11" s="293"/>
      <c r="G11" s="368"/>
      <c r="H11" s="293"/>
    </row>
    <row r="12" spans="1:30" ht="14" x14ac:dyDescent="0.3">
      <c r="A12" s="151">
        <f>IF(C12&lt;&gt;"",COUNTA($C$12:C12),"")</f>
        <v>1</v>
      </c>
      <c r="B12" s="151"/>
      <c r="C12" s="366" t="s">
        <v>528</v>
      </c>
      <c r="D12" s="366" t="str">
        <f>+C12</f>
        <v>Monthly</v>
      </c>
      <c r="E12" s="760" t="str">
        <f>+'Bill_South G1'!E12</f>
        <v>Current Monthly Bill</v>
      </c>
      <c r="F12" s="760"/>
      <c r="G12" s="760"/>
      <c r="H12" s="293"/>
      <c r="I12" s="760" t="str">
        <f>+'Bill_South G1'!I12</f>
        <v>Proposed Monthly Bill</v>
      </c>
      <c r="J12" s="760"/>
      <c r="K12" s="760"/>
      <c r="M12" s="760" t="s">
        <v>550</v>
      </c>
      <c r="N12" s="760"/>
      <c r="O12" s="369"/>
      <c r="P12" s="369"/>
      <c r="Q12" s="369"/>
      <c r="R12" s="369"/>
      <c r="S12" s="369"/>
      <c r="T12" s="369"/>
      <c r="U12" s="369"/>
      <c r="V12" s="369"/>
      <c r="W12" s="369"/>
      <c r="X12" s="369"/>
      <c r="Y12" s="369"/>
      <c r="Z12" s="369"/>
      <c r="AA12" s="369"/>
      <c r="AB12" s="369"/>
      <c r="AC12" s="369"/>
      <c r="AD12" s="369"/>
    </row>
    <row r="13" spans="1:30" ht="14" x14ac:dyDescent="0.3">
      <c r="A13" s="151">
        <f>IF(C13&lt;&gt;"",COUNTA($C$12:C13),"")</f>
        <v>2</v>
      </c>
      <c r="B13" s="151"/>
      <c r="C13" s="408" t="s">
        <v>593</v>
      </c>
      <c r="D13" s="370" t="s">
        <v>551</v>
      </c>
      <c r="E13" s="370" t="s">
        <v>552</v>
      </c>
      <c r="F13" s="370" t="s">
        <v>553</v>
      </c>
      <c r="G13" s="370" t="s">
        <v>47</v>
      </c>
      <c r="H13" s="293"/>
      <c r="I13" s="370" t="s">
        <v>552</v>
      </c>
      <c r="J13" s="370" t="s">
        <v>553</v>
      </c>
      <c r="K13" s="370" t="s">
        <v>47</v>
      </c>
      <c r="M13" s="370" t="s">
        <v>65</v>
      </c>
      <c r="N13" s="370" t="s">
        <v>325</v>
      </c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  <c r="AA13" s="369"/>
      <c r="AB13" s="369"/>
      <c r="AC13" s="369"/>
      <c r="AD13" s="369"/>
    </row>
    <row r="14" spans="1:30" ht="14" x14ac:dyDescent="0.3">
      <c r="A14" s="151" t="str">
        <f>IF(C14&lt;&gt;"",COUNTA($C$12:C14),"")</f>
        <v/>
      </c>
      <c r="B14" s="151"/>
      <c r="C14" s="408"/>
      <c r="D14" s="370"/>
      <c r="E14" s="370"/>
      <c r="F14" s="370"/>
      <c r="G14" s="370"/>
      <c r="H14" s="293"/>
      <c r="I14" s="370"/>
      <c r="J14" s="370"/>
      <c r="K14" s="370"/>
      <c r="M14" s="370"/>
      <c r="N14" s="370"/>
      <c r="O14" s="369"/>
      <c r="P14" s="369"/>
      <c r="Q14" s="369"/>
      <c r="R14" s="369"/>
      <c r="S14" s="369"/>
      <c r="T14" s="369"/>
      <c r="U14" s="369"/>
      <c r="V14" s="369"/>
      <c r="W14" s="369"/>
      <c r="X14" s="369"/>
      <c r="Y14" s="369"/>
      <c r="Z14" s="369"/>
      <c r="AA14" s="369"/>
      <c r="AB14" s="369"/>
      <c r="AC14" s="369"/>
      <c r="AD14" s="369"/>
    </row>
    <row r="15" spans="1:30" ht="14" x14ac:dyDescent="0.3">
      <c r="A15" s="151">
        <f>IF(C15&lt;&gt;"",COUNTA($C$12:C15),"")</f>
        <v>3</v>
      </c>
      <c r="B15" s="151"/>
      <c r="C15" s="405" t="s">
        <v>608</v>
      </c>
      <c r="D15" s="370"/>
      <c r="E15" s="370"/>
      <c r="F15" s="370"/>
      <c r="G15" s="370"/>
      <c r="H15" s="293"/>
      <c r="I15" s="370"/>
      <c r="J15" s="370"/>
      <c r="K15" s="370"/>
      <c r="M15" s="370"/>
      <c r="N15" s="370"/>
      <c r="O15" s="369"/>
      <c r="P15" s="369"/>
      <c r="Q15" s="369"/>
      <c r="R15" s="369"/>
      <c r="S15" s="369"/>
      <c r="T15" s="369"/>
      <c r="U15" s="369"/>
      <c r="V15" s="369"/>
      <c r="W15" s="369"/>
      <c r="X15" s="369"/>
      <c r="Y15" s="369"/>
      <c r="Z15" s="369"/>
      <c r="AA15" s="369"/>
      <c r="AB15" s="369"/>
      <c r="AC15" s="369"/>
      <c r="AD15" s="369"/>
    </row>
    <row r="16" spans="1:30" ht="14" x14ac:dyDescent="0.3">
      <c r="A16" s="151">
        <f>IF(C16&lt;&gt;"",COUNTA($C$12:C16),"")</f>
        <v>4</v>
      </c>
      <c r="B16" s="151"/>
      <c r="C16" s="371">
        <v>5</v>
      </c>
      <c r="D16" s="409">
        <f>+C16*50</f>
        <v>250</v>
      </c>
      <c r="E16" s="372">
        <f t="shared" ref="E16:E21" si="0">ROUND($G$42+$C16*SUM($G$43,$G$44)+$D16*$G$45*$E$67+$D16*$G$46*$E$68+SUM($G$47:$G$61,$G$62:$G$64)*$D16,2)</f>
        <v>67.03</v>
      </c>
      <c r="F16" s="372">
        <f t="shared" ref="F16:F21" si="1">ROUND($G$65*$D16,2)</f>
        <v>28.51</v>
      </c>
      <c r="G16" s="372">
        <f t="shared" ref="G16:G21" si="2">SUM(E16:F16)</f>
        <v>95.54</v>
      </c>
      <c r="H16" s="373"/>
      <c r="I16" s="372">
        <f t="shared" ref="I16:I21" si="3">ROUND($I$42+$C16*SUM($I$43,$I$44)+$D16*$I$45*$E$67+$D16*$I$46*$E$68+SUM($I$47:$I$61,$I$62:$I$64)*$D16,2)</f>
        <v>58.36</v>
      </c>
      <c r="J16" s="372">
        <f t="shared" ref="J16:J21" si="4">ROUND($I$65*$D16,2)</f>
        <v>32.96</v>
      </c>
      <c r="K16" s="372">
        <f t="shared" ref="K16:K21" si="5">SUM(I16:J16)</f>
        <v>91.32</v>
      </c>
      <c r="L16" s="374"/>
      <c r="M16" s="375">
        <f t="shared" ref="M16:M21" si="6">+K16-G16</f>
        <v>-4.2200000000000131</v>
      </c>
      <c r="N16" s="376">
        <f t="shared" ref="N16:N21" si="7">+M16/G16</f>
        <v>-4.4169981159723808E-2</v>
      </c>
      <c r="O16" s="374"/>
      <c r="P16" s="374"/>
      <c r="Q16" s="374"/>
      <c r="R16" s="374"/>
      <c r="S16" s="374"/>
      <c r="T16" s="374"/>
      <c r="U16" s="374"/>
      <c r="V16" s="374"/>
      <c r="W16" s="374"/>
      <c r="X16" s="374"/>
      <c r="Y16" s="374"/>
      <c r="Z16" s="374"/>
      <c r="AA16" s="374"/>
      <c r="AB16" s="374"/>
      <c r="AC16" s="374"/>
      <c r="AD16" s="374"/>
    </row>
    <row r="17" spans="1:30" ht="14" x14ac:dyDescent="0.3">
      <c r="A17" s="151">
        <f>IF(C17&lt;&gt;"",COUNTA($C$12:C17),"")</f>
        <v>5</v>
      </c>
      <c r="B17" s="151"/>
      <c r="C17" s="371">
        <v>10</v>
      </c>
      <c r="D17" s="409">
        <f t="shared" ref="D17:D21" si="8">+C17*50</f>
        <v>500</v>
      </c>
      <c r="E17" s="372">
        <f t="shared" si="0"/>
        <v>124.05</v>
      </c>
      <c r="F17" s="372">
        <f t="shared" si="1"/>
        <v>57.02</v>
      </c>
      <c r="G17" s="372">
        <f t="shared" si="2"/>
        <v>181.07</v>
      </c>
      <c r="H17" s="373"/>
      <c r="I17" s="372">
        <f t="shared" si="3"/>
        <v>106.72</v>
      </c>
      <c r="J17" s="372">
        <f t="shared" si="4"/>
        <v>65.930000000000007</v>
      </c>
      <c r="K17" s="372">
        <f t="shared" si="5"/>
        <v>172.65</v>
      </c>
      <c r="L17" s="374"/>
      <c r="M17" s="375">
        <f t="shared" si="6"/>
        <v>-8.4199999999999875</v>
      </c>
      <c r="N17" s="376">
        <f t="shared" si="7"/>
        <v>-4.6501353067874236E-2</v>
      </c>
      <c r="O17" s="374"/>
      <c r="P17" s="374"/>
      <c r="Q17" s="374"/>
      <c r="R17" s="374"/>
      <c r="S17" s="374"/>
      <c r="T17" s="374"/>
      <c r="U17" s="374"/>
      <c r="V17" s="374"/>
      <c r="W17" s="374"/>
      <c r="X17" s="374"/>
      <c r="Y17" s="374"/>
      <c r="Z17" s="374"/>
      <c r="AA17" s="374"/>
      <c r="AB17" s="374"/>
      <c r="AC17" s="374"/>
      <c r="AD17" s="374"/>
    </row>
    <row r="18" spans="1:30" ht="14" x14ac:dyDescent="0.3">
      <c r="A18" s="151">
        <f>IF(C18&lt;&gt;"",COUNTA($C$12:C18),"")</f>
        <v>6</v>
      </c>
      <c r="B18" s="151"/>
      <c r="C18" s="371">
        <v>20</v>
      </c>
      <c r="D18" s="409">
        <f t="shared" si="8"/>
        <v>1000</v>
      </c>
      <c r="E18" s="372">
        <f t="shared" si="0"/>
        <v>238.11</v>
      </c>
      <c r="F18" s="372">
        <f t="shared" si="1"/>
        <v>114.03</v>
      </c>
      <c r="G18" s="372">
        <f t="shared" si="2"/>
        <v>352.14</v>
      </c>
      <c r="H18" s="373"/>
      <c r="I18" s="372">
        <f t="shared" si="3"/>
        <v>203.45</v>
      </c>
      <c r="J18" s="372">
        <f t="shared" si="4"/>
        <v>131.85</v>
      </c>
      <c r="K18" s="372">
        <f t="shared" si="5"/>
        <v>335.29999999999995</v>
      </c>
      <c r="L18" s="374"/>
      <c r="M18" s="375">
        <f t="shared" si="6"/>
        <v>-16.840000000000032</v>
      </c>
      <c r="N18" s="376">
        <f t="shared" si="7"/>
        <v>-4.7821889021412031E-2</v>
      </c>
      <c r="O18" s="374"/>
      <c r="P18" s="374"/>
      <c r="Q18" s="374"/>
      <c r="R18" s="374"/>
      <c r="S18" s="374"/>
      <c r="T18" s="374"/>
      <c r="U18" s="374"/>
      <c r="V18" s="374"/>
      <c r="W18" s="374"/>
      <c r="X18" s="374"/>
      <c r="Y18" s="374"/>
      <c r="Z18" s="374"/>
      <c r="AA18" s="374"/>
      <c r="AB18" s="374"/>
      <c r="AC18" s="374"/>
      <c r="AD18" s="374"/>
    </row>
    <row r="19" spans="1:30" ht="14" x14ac:dyDescent="0.3">
      <c r="A19" s="151">
        <f>IF(C19&lt;&gt;"",COUNTA($C$12:C19),"")</f>
        <v>7</v>
      </c>
      <c r="B19" s="151"/>
      <c r="C19" s="371">
        <v>50</v>
      </c>
      <c r="D19" s="409">
        <f t="shared" si="8"/>
        <v>2500</v>
      </c>
      <c r="E19" s="372">
        <f t="shared" si="0"/>
        <v>580.27</v>
      </c>
      <c r="F19" s="372">
        <f t="shared" si="1"/>
        <v>285.08</v>
      </c>
      <c r="G19" s="372">
        <f t="shared" si="2"/>
        <v>865.34999999999991</v>
      </c>
      <c r="H19" s="373"/>
      <c r="I19" s="372">
        <f t="shared" si="3"/>
        <v>493.61</v>
      </c>
      <c r="J19" s="372">
        <f t="shared" si="4"/>
        <v>329.63</v>
      </c>
      <c r="K19" s="372">
        <f t="shared" si="5"/>
        <v>823.24</v>
      </c>
      <c r="L19" s="374"/>
      <c r="M19" s="375">
        <f t="shared" si="6"/>
        <v>-42.1099999999999</v>
      </c>
      <c r="N19" s="376">
        <f t="shared" si="7"/>
        <v>-4.8662390940081936E-2</v>
      </c>
      <c r="O19" s="374"/>
      <c r="P19" s="374"/>
      <c r="Q19" s="374"/>
      <c r="R19" s="374"/>
      <c r="S19" s="374"/>
      <c r="T19" s="374"/>
      <c r="U19" s="374"/>
      <c r="V19" s="374"/>
      <c r="W19" s="374"/>
      <c r="X19" s="374"/>
      <c r="Y19" s="374"/>
      <c r="Z19" s="374"/>
      <c r="AA19" s="374"/>
      <c r="AB19" s="374"/>
      <c r="AC19" s="374"/>
      <c r="AD19" s="374"/>
    </row>
    <row r="20" spans="1:30" ht="14" x14ac:dyDescent="0.3">
      <c r="A20" s="151">
        <f>IF(C20&lt;&gt;"",COUNTA($C$12:C20),"")</f>
        <v>8</v>
      </c>
      <c r="B20" s="151"/>
      <c r="C20" s="409">
        <v>75</v>
      </c>
      <c r="D20" s="409">
        <f t="shared" si="8"/>
        <v>3750</v>
      </c>
      <c r="E20" s="372">
        <f t="shared" si="0"/>
        <v>865.41</v>
      </c>
      <c r="F20" s="372">
        <f t="shared" si="1"/>
        <v>427.61</v>
      </c>
      <c r="G20" s="372">
        <f t="shared" si="2"/>
        <v>1293.02</v>
      </c>
      <c r="H20" s="373"/>
      <c r="I20" s="372">
        <f t="shared" si="3"/>
        <v>735.42</v>
      </c>
      <c r="J20" s="372">
        <f t="shared" si="4"/>
        <v>494.44</v>
      </c>
      <c r="K20" s="372">
        <f t="shared" si="5"/>
        <v>1229.8599999999999</v>
      </c>
      <c r="L20" s="374"/>
      <c r="M20" s="375">
        <f t="shared" si="6"/>
        <v>-63.160000000000082</v>
      </c>
      <c r="N20" s="376">
        <f t="shared" si="7"/>
        <v>-4.8846885585683196E-2</v>
      </c>
      <c r="O20" s="374"/>
      <c r="P20" s="374"/>
      <c r="Q20" s="374"/>
      <c r="R20" s="374"/>
      <c r="S20" s="374"/>
      <c r="T20" s="374"/>
      <c r="U20" s="374"/>
      <c r="V20" s="374"/>
      <c r="W20" s="374"/>
      <c r="X20" s="374"/>
      <c r="Y20" s="374"/>
      <c r="Z20" s="374"/>
      <c r="AA20" s="374"/>
      <c r="AB20" s="374"/>
      <c r="AC20" s="374"/>
      <c r="AD20" s="374"/>
    </row>
    <row r="21" spans="1:30" ht="14" x14ac:dyDescent="0.3">
      <c r="A21" s="151"/>
      <c r="B21" s="151" t="s">
        <v>554</v>
      </c>
      <c r="C21" s="409">
        <v>9</v>
      </c>
      <c r="D21" s="409">
        <f t="shared" si="8"/>
        <v>450</v>
      </c>
      <c r="E21" s="372">
        <f t="shared" si="0"/>
        <v>112.65</v>
      </c>
      <c r="F21" s="372">
        <f t="shared" si="1"/>
        <v>51.31</v>
      </c>
      <c r="G21" s="372">
        <f t="shared" si="2"/>
        <v>163.96</v>
      </c>
      <c r="H21" s="373"/>
      <c r="I21" s="372">
        <f t="shared" si="3"/>
        <v>97.05</v>
      </c>
      <c r="J21" s="372">
        <f t="shared" si="4"/>
        <v>59.33</v>
      </c>
      <c r="K21" s="372">
        <f t="shared" si="5"/>
        <v>156.38</v>
      </c>
      <c r="L21" s="374"/>
      <c r="M21" s="375">
        <f t="shared" si="6"/>
        <v>-7.5800000000000125</v>
      </c>
      <c r="N21" s="376">
        <f t="shared" si="7"/>
        <v>-4.6230787997072531E-2</v>
      </c>
      <c r="O21" s="374"/>
      <c r="P21" s="374"/>
      <c r="Q21" s="374"/>
      <c r="R21" s="374"/>
      <c r="S21" s="374"/>
      <c r="T21" s="374"/>
      <c r="U21" s="374"/>
      <c r="V21" s="374"/>
      <c r="W21" s="374"/>
      <c r="X21" s="374"/>
      <c r="Y21" s="374"/>
      <c r="Z21" s="374"/>
      <c r="AA21" s="374"/>
      <c r="AB21" s="374"/>
      <c r="AC21" s="374"/>
      <c r="AD21" s="374"/>
    </row>
    <row r="22" spans="1:30" ht="14" x14ac:dyDescent="0.3">
      <c r="A22" s="151" t="str">
        <f>IF(C22&lt;&gt;"",COUNTA($C$12:C22),"")</f>
        <v/>
      </c>
      <c r="B22" s="151"/>
      <c r="C22" s="493"/>
      <c r="D22" s="493"/>
      <c r="E22" s="489"/>
      <c r="F22" s="489"/>
      <c r="G22" s="489"/>
      <c r="H22" s="494"/>
      <c r="I22" s="489"/>
      <c r="J22" s="489"/>
      <c r="K22" s="489"/>
      <c r="L22" s="495"/>
      <c r="M22" s="497"/>
      <c r="N22" s="519"/>
    </row>
    <row r="23" spans="1:30" ht="14" x14ac:dyDescent="0.3">
      <c r="A23" s="151">
        <f>IF(C23&lt;&gt;"",COUNTA($C$12:C23),"")</f>
        <v>10</v>
      </c>
      <c r="B23" s="151"/>
      <c r="C23" s="496" t="s">
        <v>609</v>
      </c>
      <c r="D23" s="493"/>
      <c r="E23" s="489"/>
      <c r="F23" s="489"/>
      <c r="G23" s="489"/>
      <c r="H23" s="494"/>
      <c r="I23" s="489"/>
      <c r="J23" s="489"/>
      <c r="K23" s="489"/>
      <c r="L23" s="495"/>
      <c r="M23" s="497"/>
      <c r="N23" s="519"/>
    </row>
    <row r="24" spans="1:30" ht="14" x14ac:dyDescent="0.3">
      <c r="A24" s="151">
        <f>IF(C24&lt;&gt;"",COUNTA($C$12:C24),"")</f>
        <v>11</v>
      </c>
      <c r="B24" s="151"/>
      <c r="C24" s="409">
        <f>+C16</f>
        <v>5</v>
      </c>
      <c r="D24" s="409">
        <f>+C24*150</f>
        <v>750</v>
      </c>
      <c r="E24" s="372">
        <f t="shared" ref="E24:E29" si="9">ROUND($G$42+$C24*SUM($G$43,$G$44)+$D24*$G$45*$E$67+$D24*$G$46*$E$68+SUM($G$47:$G$61,$G$62:$G$64)*$D24,2)</f>
        <v>97.88</v>
      </c>
      <c r="F24" s="372">
        <f t="shared" ref="F24:F29" si="10">ROUND($G$65*$D24,2)</f>
        <v>85.52</v>
      </c>
      <c r="G24" s="372">
        <f t="shared" ref="G24:G28" si="11">SUM(E24:F24)</f>
        <v>183.39999999999998</v>
      </c>
      <c r="H24" s="373"/>
      <c r="I24" s="372">
        <f t="shared" ref="I24:I29" si="12">ROUND($I$42+$C24*SUM($I$43,$I$44)+$D24*$I$45*$E$67+$D24*$I$46*$E$68+SUM($I$47:$I$61,$I$62:$I$64)*$D24,2)</f>
        <v>90.38</v>
      </c>
      <c r="J24" s="372">
        <f t="shared" ref="J24:J29" si="13">ROUND($I$65*$D24,2)</f>
        <v>98.89</v>
      </c>
      <c r="K24" s="372">
        <f t="shared" ref="K24:K28" si="14">SUM(I24:J24)</f>
        <v>189.26999999999998</v>
      </c>
      <c r="L24" s="374"/>
      <c r="M24" s="375">
        <f t="shared" ref="M24:M29" si="15">+K24-G24</f>
        <v>5.8700000000000045</v>
      </c>
      <c r="N24" s="376">
        <f t="shared" ref="N24:N29" si="16">+M24/G24</f>
        <v>3.2006543075245392E-2</v>
      </c>
      <c r="O24" s="374"/>
      <c r="P24" s="374"/>
      <c r="Q24" s="374"/>
      <c r="R24" s="374"/>
      <c r="S24" s="374"/>
      <c r="T24" s="374"/>
      <c r="U24" s="374"/>
      <c r="V24" s="374"/>
      <c r="W24" s="374"/>
      <c r="X24" s="374"/>
      <c r="Y24" s="374"/>
      <c r="Z24" s="374"/>
      <c r="AA24" s="374"/>
      <c r="AB24" s="374"/>
      <c r="AC24" s="374"/>
      <c r="AD24" s="374"/>
    </row>
    <row r="25" spans="1:30" ht="14" x14ac:dyDescent="0.3">
      <c r="A25" s="151">
        <f>IF(C25&lt;&gt;"",COUNTA($C$12:C25),"")</f>
        <v>12</v>
      </c>
      <c r="B25" s="151"/>
      <c r="C25" s="409">
        <f>+C17</f>
        <v>10</v>
      </c>
      <c r="D25" s="409">
        <f t="shared" ref="D25:D29" si="17">+C25*150</f>
        <v>1500</v>
      </c>
      <c r="E25" s="372">
        <f t="shared" si="9"/>
        <v>185.76</v>
      </c>
      <c r="F25" s="372">
        <f t="shared" si="10"/>
        <v>171.05</v>
      </c>
      <c r="G25" s="372">
        <f t="shared" si="11"/>
        <v>356.81</v>
      </c>
      <c r="H25" s="373"/>
      <c r="I25" s="372">
        <f t="shared" si="12"/>
        <v>170.77</v>
      </c>
      <c r="J25" s="372">
        <f t="shared" si="13"/>
        <v>197.78</v>
      </c>
      <c r="K25" s="372">
        <f t="shared" si="14"/>
        <v>368.55</v>
      </c>
      <c r="L25" s="374"/>
      <c r="M25" s="375">
        <f t="shared" si="15"/>
        <v>11.740000000000009</v>
      </c>
      <c r="N25" s="376">
        <f t="shared" si="16"/>
        <v>3.2902665284044758E-2</v>
      </c>
      <c r="O25" s="374"/>
      <c r="P25" s="374"/>
      <c r="Q25" s="374"/>
      <c r="R25" s="374"/>
      <c r="S25" s="374"/>
      <c r="T25" s="374"/>
      <c r="U25" s="374"/>
      <c r="V25" s="374"/>
      <c r="W25" s="374"/>
      <c r="X25" s="374"/>
      <c r="Y25" s="374"/>
      <c r="Z25" s="374"/>
      <c r="AA25" s="374"/>
      <c r="AB25" s="374"/>
      <c r="AC25" s="374"/>
      <c r="AD25" s="374"/>
    </row>
    <row r="26" spans="1:30" ht="14" x14ac:dyDescent="0.3">
      <c r="A26" s="151">
        <f>IF(C26&lt;&gt;"",COUNTA($C$12:C26),"")</f>
        <v>13</v>
      </c>
      <c r="B26" s="151"/>
      <c r="C26" s="409">
        <f>+C18</f>
        <v>20</v>
      </c>
      <c r="D26" s="409">
        <f t="shared" si="17"/>
        <v>3000</v>
      </c>
      <c r="E26" s="372">
        <f t="shared" si="9"/>
        <v>361.53</v>
      </c>
      <c r="F26" s="372">
        <f t="shared" si="10"/>
        <v>342.09</v>
      </c>
      <c r="G26" s="372">
        <f t="shared" si="11"/>
        <v>703.61999999999989</v>
      </c>
      <c r="H26" s="373"/>
      <c r="I26" s="372">
        <f t="shared" si="12"/>
        <v>331.54</v>
      </c>
      <c r="J26" s="372">
        <f t="shared" si="13"/>
        <v>395.55</v>
      </c>
      <c r="K26" s="372">
        <f t="shared" si="14"/>
        <v>727.09</v>
      </c>
      <c r="L26" s="374"/>
      <c r="M26" s="375">
        <f t="shared" si="15"/>
        <v>23.470000000000141</v>
      </c>
      <c r="N26" s="376">
        <f t="shared" si="16"/>
        <v>3.3356072880248069E-2</v>
      </c>
      <c r="O26" s="374"/>
      <c r="P26" s="374"/>
      <c r="Q26" s="374"/>
      <c r="R26" s="374"/>
      <c r="S26" s="374"/>
      <c r="T26" s="374"/>
      <c r="U26" s="374"/>
      <c r="V26" s="374"/>
      <c r="W26" s="374"/>
      <c r="X26" s="374"/>
      <c r="Y26" s="374"/>
      <c r="Z26" s="374"/>
      <c r="AA26" s="374"/>
      <c r="AB26" s="374"/>
      <c r="AC26" s="374"/>
      <c r="AD26" s="374"/>
    </row>
    <row r="27" spans="1:30" ht="14" x14ac:dyDescent="0.3">
      <c r="A27" s="151">
        <f>IF(C27&lt;&gt;"",COUNTA($C$12:C27),"")</f>
        <v>14</v>
      </c>
      <c r="B27" s="151"/>
      <c r="C27" s="409">
        <f>+C19</f>
        <v>50</v>
      </c>
      <c r="D27" s="409">
        <f t="shared" si="17"/>
        <v>7500</v>
      </c>
      <c r="E27" s="372">
        <f t="shared" si="9"/>
        <v>888.81</v>
      </c>
      <c r="F27" s="372">
        <f t="shared" si="10"/>
        <v>855.23</v>
      </c>
      <c r="G27" s="372">
        <f t="shared" si="11"/>
        <v>1744.04</v>
      </c>
      <c r="H27" s="373"/>
      <c r="I27" s="372">
        <f t="shared" si="12"/>
        <v>813.84</v>
      </c>
      <c r="J27" s="372">
        <f t="shared" si="13"/>
        <v>988.88</v>
      </c>
      <c r="K27" s="372">
        <f t="shared" si="14"/>
        <v>1802.72</v>
      </c>
      <c r="L27" s="374"/>
      <c r="M27" s="375">
        <f t="shared" si="15"/>
        <v>58.680000000000064</v>
      </c>
      <c r="N27" s="376">
        <f t="shared" si="16"/>
        <v>3.3646017293181389E-2</v>
      </c>
      <c r="O27" s="374"/>
      <c r="P27" s="374"/>
      <c r="Q27" s="374"/>
      <c r="R27" s="374"/>
      <c r="S27" s="374"/>
      <c r="T27" s="374"/>
      <c r="U27" s="374"/>
      <c r="V27" s="374"/>
      <c r="W27" s="374"/>
      <c r="X27" s="374"/>
      <c r="Y27" s="374"/>
      <c r="Z27" s="374"/>
      <c r="AA27" s="374"/>
      <c r="AB27" s="374"/>
      <c r="AC27" s="374"/>
      <c r="AD27" s="374"/>
    </row>
    <row r="28" spans="1:30" ht="14" x14ac:dyDescent="0.3">
      <c r="A28" s="151">
        <f>IF(C28&lt;&gt;"",COUNTA($C$12:C28),"")</f>
        <v>15</v>
      </c>
      <c r="B28" s="151"/>
      <c r="C28" s="409">
        <f>+C20</f>
        <v>75</v>
      </c>
      <c r="D28" s="409">
        <f t="shared" si="17"/>
        <v>11250</v>
      </c>
      <c r="E28" s="372">
        <f t="shared" si="9"/>
        <v>1328.22</v>
      </c>
      <c r="F28" s="372">
        <f t="shared" si="10"/>
        <v>1282.8399999999999</v>
      </c>
      <c r="G28" s="372">
        <f t="shared" si="11"/>
        <v>2611.06</v>
      </c>
      <c r="H28" s="373"/>
      <c r="I28" s="372">
        <f t="shared" si="12"/>
        <v>1215.77</v>
      </c>
      <c r="J28" s="372">
        <f t="shared" si="13"/>
        <v>1483.31</v>
      </c>
      <c r="K28" s="372">
        <f t="shared" si="14"/>
        <v>2699.08</v>
      </c>
      <c r="L28" s="374"/>
      <c r="M28" s="375">
        <f t="shared" si="15"/>
        <v>88.019999999999982</v>
      </c>
      <c r="N28" s="376">
        <f t="shared" si="16"/>
        <v>3.3710447098113404E-2</v>
      </c>
      <c r="O28" s="374"/>
      <c r="P28" s="374"/>
      <c r="Q28" s="374"/>
      <c r="R28" s="374"/>
      <c r="S28" s="374"/>
      <c r="T28" s="374"/>
      <c r="U28" s="374"/>
      <c r="V28" s="374"/>
      <c r="W28" s="374"/>
      <c r="X28" s="374"/>
      <c r="Y28" s="374"/>
      <c r="Z28" s="374"/>
      <c r="AA28" s="374"/>
      <c r="AB28" s="374"/>
      <c r="AC28" s="374"/>
      <c r="AD28" s="374"/>
    </row>
    <row r="29" spans="1:30" ht="14" x14ac:dyDescent="0.3">
      <c r="A29" s="151"/>
      <c r="B29" s="151" t="s">
        <v>554</v>
      </c>
      <c r="C29" s="409">
        <v>10</v>
      </c>
      <c r="D29" s="409">
        <f t="shared" si="17"/>
        <v>1500</v>
      </c>
      <c r="E29" s="372">
        <f t="shared" si="9"/>
        <v>185.76</v>
      </c>
      <c r="F29" s="372">
        <f t="shared" si="10"/>
        <v>171.05</v>
      </c>
      <c r="G29" s="372">
        <f t="shared" ref="G29" si="18">SUM(E29:F29)</f>
        <v>356.81</v>
      </c>
      <c r="H29" s="373"/>
      <c r="I29" s="372">
        <f t="shared" si="12"/>
        <v>170.77</v>
      </c>
      <c r="J29" s="372">
        <f t="shared" si="13"/>
        <v>197.78</v>
      </c>
      <c r="K29" s="372">
        <f t="shared" ref="K29" si="19">SUM(I29:J29)</f>
        <v>368.55</v>
      </c>
      <c r="L29" s="374"/>
      <c r="M29" s="375">
        <f t="shared" si="15"/>
        <v>11.740000000000009</v>
      </c>
      <c r="N29" s="376">
        <f t="shared" si="16"/>
        <v>3.2902665284044758E-2</v>
      </c>
      <c r="O29" s="374"/>
      <c r="P29" s="374"/>
      <c r="Q29" s="374"/>
      <c r="R29" s="374"/>
      <c r="S29" s="374"/>
      <c r="T29" s="374"/>
      <c r="U29" s="374"/>
      <c r="V29" s="374"/>
      <c r="W29" s="374"/>
      <c r="X29" s="374"/>
      <c r="Y29" s="374"/>
      <c r="Z29" s="374"/>
      <c r="AA29" s="374"/>
      <c r="AB29" s="374"/>
      <c r="AC29" s="374"/>
      <c r="AD29" s="374"/>
    </row>
    <row r="30" spans="1:30" ht="14" x14ac:dyDescent="0.3">
      <c r="A30" s="151" t="str">
        <f>IF(C30&lt;&gt;"",COUNTA($C$12:C30),"")</f>
        <v/>
      </c>
      <c r="B30" s="151"/>
      <c r="C30" s="493"/>
      <c r="D30" s="493"/>
      <c r="E30" s="489"/>
      <c r="F30" s="489"/>
      <c r="G30" s="489"/>
      <c r="H30" s="494"/>
      <c r="I30" s="489"/>
      <c r="J30" s="489"/>
      <c r="K30" s="489"/>
      <c r="L30" s="495"/>
      <c r="M30" s="497"/>
      <c r="N30" s="519"/>
    </row>
    <row r="31" spans="1:30" ht="14" x14ac:dyDescent="0.3">
      <c r="A31" s="151">
        <f>IF(C31&lt;&gt;"",COUNTA($C$12:C31),"")</f>
        <v>17</v>
      </c>
      <c r="B31" s="151"/>
      <c r="C31" s="496" t="s">
        <v>577</v>
      </c>
      <c r="D31" s="493"/>
      <c r="E31" s="489"/>
      <c r="F31" s="489"/>
      <c r="G31" s="489"/>
      <c r="H31" s="494"/>
      <c r="I31" s="489"/>
      <c r="J31" s="489"/>
      <c r="K31" s="489"/>
      <c r="L31" s="495"/>
      <c r="M31" s="497"/>
      <c r="N31" s="519"/>
    </row>
    <row r="32" spans="1:30" ht="14" x14ac:dyDescent="0.3">
      <c r="A32" s="151">
        <f>IF(C32&lt;&gt;"",COUNTA($C$12:C32),"")</f>
        <v>18</v>
      </c>
      <c r="B32" s="151"/>
      <c r="C32" s="409">
        <f>+C24</f>
        <v>5</v>
      </c>
      <c r="D32" s="409">
        <f>+C32*300</f>
        <v>1500</v>
      </c>
      <c r="E32" s="372">
        <f t="shared" ref="E32:E37" si="20">ROUND($G$42+$C32*SUM($G$43,$G$44)+$D32*$G$45*$E$67+$D32*$G$46*$E$68+SUM($G$47:$G$61,$G$62:$G$64)*$D32,2)</f>
        <v>144.16</v>
      </c>
      <c r="F32" s="372">
        <f t="shared" ref="F32:F37" si="21">ROUND($G$65*$D32,2)</f>
        <v>171.05</v>
      </c>
      <c r="G32" s="372">
        <f t="shared" ref="G32:G36" si="22">SUM(E32:F32)</f>
        <v>315.21000000000004</v>
      </c>
      <c r="H32" s="373"/>
      <c r="I32" s="372">
        <f t="shared" ref="I32:I37" si="23">ROUND($I$42+$C32*SUM($I$43,$I$44)+$D32*$I$45*$E$67+$D32*$I$46*$E$68+SUM($I$47:$I$61,$I$62:$I$64)*$D32,2)</f>
        <v>138.41999999999999</v>
      </c>
      <c r="J32" s="372">
        <f t="shared" ref="J32:J37" si="24">ROUND($I$65*$D32,2)</f>
        <v>197.78</v>
      </c>
      <c r="K32" s="372">
        <f t="shared" ref="K32:K36" si="25">SUM(I32:J32)</f>
        <v>336.2</v>
      </c>
      <c r="L32" s="374"/>
      <c r="M32" s="375">
        <f t="shared" ref="M32:M37" si="26">+K32-G32</f>
        <v>20.989999999999952</v>
      </c>
      <c r="N32" s="376">
        <f t="shared" ref="N32:N37" si="27">+M32/G32</f>
        <v>6.6590526950286957E-2</v>
      </c>
      <c r="O32" s="374"/>
      <c r="P32" s="374"/>
      <c r="Q32" s="374"/>
      <c r="R32" s="374"/>
      <c r="S32" s="374"/>
      <c r="T32" s="374"/>
      <c r="U32" s="374"/>
      <c r="V32" s="374"/>
      <c r="W32" s="374"/>
      <c r="X32" s="374"/>
      <c r="Y32" s="374"/>
      <c r="Z32" s="374"/>
      <c r="AA32" s="374"/>
      <c r="AB32" s="374"/>
      <c r="AC32" s="374"/>
      <c r="AD32" s="374"/>
    </row>
    <row r="33" spans="1:30" ht="14" x14ac:dyDescent="0.3">
      <c r="A33" s="151">
        <f>IF(C33&lt;&gt;"",COUNTA($C$12:C33),"")</f>
        <v>19</v>
      </c>
      <c r="B33" s="151"/>
      <c r="C33" s="409">
        <f>+C25</f>
        <v>10</v>
      </c>
      <c r="D33" s="409">
        <f t="shared" ref="D33:D37" si="28">+C33*300</f>
        <v>3000</v>
      </c>
      <c r="E33" s="372">
        <f t="shared" si="20"/>
        <v>278.33</v>
      </c>
      <c r="F33" s="372">
        <f t="shared" si="21"/>
        <v>342.09</v>
      </c>
      <c r="G33" s="372">
        <f t="shared" si="22"/>
        <v>620.41999999999996</v>
      </c>
      <c r="H33" s="373"/>
      <c r="I33" s="372">
        <f t="shared" si="23"/>
        <v>266.83999999999997</v>
      </c>
      <c r="J33" s="372">
        <f t="shared" si="24"/>
        <v>395.55</v>
      </c>
      <c r="K33" s="372">
        <f t="shared" si="25"/>
        <v>662.39</v>
      </c>
      <c r="L33" s="374"/>
      <c r="M33" s="375">
        <f t="shared" si="26"/>
        <v>41.970000000000027</v>
      </c>
      <c r="N33" s="376">
        <f t="shared" si="27"/>
        <v>6.7647722510557409E-2</v>
      </c>
      <c r="O33" s="374"/>
      <c r="P33" s="374"/>
      <c r="Q33" s="374"/>
      <c r="R33" s="374"/>
      <c r="S33" s="374"/>
      <c r="T33" s="374"/>
      <c r="U33" s="374"/>
      <c r="V33" s="374"/>
      <c r="W33" s="374"/>
      <c r="X33" s="374"/>
      <c r="Y33" s="374"/>
      <c r="Z33" s="374"/>
      <c r="AA33" s="374"/>
      <c r="AB33" s="374"/>
      <c r="AC33" s="374"/>
      <c r="AD33" s="374"/>
    </row>
    <row r="34" spans="1:30" ht="14" x14ac:dyDescent="0.3">
      <c r="A34" s="151">
        <f>IF(C34&lt;&gt;"",COUNTA($C$12:C34),"")</f>
        <v>20</v>
      </c>
      <c r="B34" s="151"/>
      <c r="C34" s="409">
        <f>+C26</f>
        <v>20</v>
      </c>
      <c r="D34" s="409">
        <f t="shared" si="28"/>
        <v>6000</v>
      </c>
      <c r="E34" s="372">
        <f t="shared" si="20"/>
        <v>546.65</v>
      </c>
      <c r="F34" s="372">
        <f t="shared" si="21"/>
        <v>684.18</v>
      </c>
      <c r="G34" s="372">
        <f t="shared" si="22"/>
        <v>1230.83</v>
      </c>
      <c r="H34" s="373"/>
      <c r="I34" s="372">
        <f t="shared" si="23"/>
        <v>523.67999999999995</v>
      </c>
      <c r="J34" s="372">
        <f t="shared" si="24"/>
        <v>791.1</v>
      </c>
      <c r="K34" s="372">
        <f t="shared" si="25"/>
        <v>1314.78</v>
      </c>
      <c r="L34" s="374"/>
      <c r="M34" s="375">
        <f t="shared" si="26"/>
        <v>83.950000000000045</v>
      </c>
      <c r="N34" s="376">
        <f t="shared" si="27"/>
        <v>6.8206007328388205E-2</v>
      </c>
      <c r="O34" s="374"/>
      <c r="P34" s="374"/>
      <c r="Q34" s="374"/>
      <c r="R34" s="374"/>
      <c r="S34" s="374"/>
      <c r="T34" s="374"/>
      <c r="U34" s="374"/>
      <c r="V34" s="374"/>
      <c r="W34" s="374"/>
      <c r="X34" s="374"/>
      <c r="Y34" s="374"/>
      <c r="Z34" s="374"/>
      <c r="AA34" s="374"/>
      <c r="AB34" s="374"/>
      <c r="AC34" s="374"/>
      <c r="AD34" s="374"/>
    </row>
    <row r="35" spans="1:30" ht="14" x14ac:dyDescent="0.3">
      <c r="A35" s="151">
        <f>IF(C35&lt;&gt;"",COUNTA($C$12:C35),"")</f>
        <v>21</v>
      </c>
      <c r="B35" s="151"/>
      <c r="C35" s="409">
        <f>+C27</f>
        <v>50</v>
      </c>
      <c r="D35" s="409">
        <f t="shared" si="28"/>
        <v>15000</v>
      </c>
      <c r="E35" s="372">
        <f t="shared" si="20"/>
        <v>1351.63</v>
      </c>
      <c r="F35" s="372">
        <f t="shared" si="21"/>
        <v>1710.45</v>
      </c>
      <c r="G35" s="372">
        <f t="shared" si="22"/>
        <v>3062.08</v>
      </c>
      <c r="H35" s="373"/>
      <c r="I35" s="372">
        <f t="shared" si="23"/>
        <v>1294.19</v>
      </c>
      <c r="J35" s="372">
        <f t="shared" si="24"/>
        <v>1977.75</v>
      </c>
      <c r="K35" s="372">
        <f t="shared" si="25"/>
        <v>3271.94</v>
      </c>
      <c r="L35" s="374"/>
      <c r="M35" s="375">
        <f t="shared" si="26"/>
        <v>209.86000000000013</v>
      </c>
      <c r="N35" s="376">
        <f t="shared" si="27"/>
        <v>6.8535113386978833E-2</v>
      </c>
      <c r="O35" s="374"/>
      <c r="P35" s="374"/>
      <c r="Q35" s="374"/>
      <c r="R35" s="374"/>
      <c r="S35" s="374"/>
      <c r="T35" s="374"/>
      <c r="U35" s="374"/>
      <c r="V35" s="374"/>
      <c r="W35" s="374"/>
      <c r="X35" s="374"/>
      <c r="Y35" s="374"/>
      <c r="Z35" s="374"/>
      <c r="AA35" s="374"/>
      <c r="AB35" s="374"/>
      <c r="AC35" s="374"/>
      <c r="AD35" s="374"/>
    </row>
    <row r="36" spans="1:30" ht="14" x14ac:dyDescent="0.3">
      <c r="A36" s="151">
        <f>IF(C36&lt;&gt;"",COUNTA($C$12:C36),"")</f>
        <v>22</v>
      </c>
      <c r="B36" s="151"/>
      <c r="C36" s="409">
        <f>+C28</f>
        <v>75</v>
      </c>
      <c r="D36" s="409">
        <f t="shared" si="28"/>
        <v>22500</v>
      </c>
      <c r="E36" s="372">
        <f t="shared" si="20"/>
        <v>2022.44</v>
      </c>
      <c r="F36" s="372">
        <f t="shared" si="21"/>
        <v>2565.6799999999998</v>
      </c>
      <c r="G36" s="372">
        <f t="shared" si="22"/>
        <v>4588.12</v>
      </c>
      <c r="H36" s="373"/>
      <c r="I36" s="372">
        <f t="shared" si="23"/>
        <v>1936.28</v>
      </c>
      <c r="J36" s="372">
        <f t="shared" si="24"/>
        <v>2966.63</v>
      </c>
      <c r="K36" s="372">
        <f t="shared" si="25"/>
        <v>4902.91</v>
      </c>
      <c r="L36" s="374"/>
      <c r="M36" s="375">
        <f t="shared" si="26"/>
        <v>314.78999999999996</v>
      </c>
      <c r="N36" s="376">
        <f t="shared" si="27"/>
        <v>6.8609800964229348E-2</v>
      </c>
      <c r="O36" s="374"/>
      <c r="P36" s="374"/>
      <c r="Q36" s="374"/>
      <c r="R36" s="374"/>
      <c r="S36" s="374"/>
      <c r="T36" s="374"/>
      <c r="U36" s="374"/>
      <c r="V36" s="374"/>
      <c r="W36" s="374"/>
      <c r="X36" s="374"/>
      <c r="Y36" s="374"/>
      <c r="Z36" s="374"/>
      <c r="AA36" s="374"/>
      <c r="AB36" s="374"/>
      <c r="AC36" s="374"/>
      <c r="AD36" s="374"/>
    </row>
    <row r="37" spans="1:30" ht="14" x14ac:dyDescent="0.3">
      <c r="A37" s="151"/>
      <c r="B37" s="151" t="s">
        <v>554</v>
      </c>
      <c r="C37" s="409">
        <v>13</v>
      </c>
      <c r="D37" s="409">
        <f t="shared" si="28"/>
        <v>3900</v>
      </c>
      <c r="E37" s="372">
        <f t="shared" si="20"/>
        <v>358.82</v>
      </c>
      <c r="F37" s="372">
        <f t="shared" si="21"/>
        <v>444.72</v>
      </c>
      <c r="G37" s="372">
        <f t="shared" ref="G37" si="29">SUM(E37:F37)</f>
        <v>803.54</v>
      </c>
      <c r="H37" s="373"/>
      <c r="I37" s="372">
        <f t="shared" si="23"/>
        <v>343.89</v>
      </c>
      <c r="J37" s="372">
        <f t="shared" si="24"/>
        <v>514.22</v>
      </c>
      <c r="K37" s="372">
        <f t="shared" ref="K37" si="30">SUM(I37:J37)</f>
        <v>858.11</v>
      </c>
      <c r="L37" s="374"/>
      <c r="M37" s="375">
        <f t="shared" si="26"/>
        <v>54.57000000000005</v>
      </c>
      <c r="N37" s="376">
        <f t="shared" si="27"/>
        <v>6.791198944669842E-2</v>
      </c>
      <c r="O37" s="374"/>
      <c r="P37" s="374"/>
      <c r="Q37" s="374"/>
      <c r="R37" s="374"/>
      <c r="S37" s="374"/>
      <c r="T37" s="374"/>
      <c r="U37" s="374"/>
      <c r="V37" s="374"/>
      <c r="W37" s="374"/>
      <c r="X37" s="374"/>
      <c r="Y37" s="374"/>
      <c r="Z37" s="374"/>
      <c r="AA37" s="374"/>
      <c r="AB37" s="374"/>
      <c r="AC37" s="374"/>
      <c r="AD37" s="374"/>
    </row>
    <row r="38" spans="1:30" ht="14" x14ac:dyDescent="0.3">
      <c r="A38" s="151"/>
      <c r="B38" s="151"/>
      <c r="C38" s="371"/>
      <c r="D38" s="371"/>
      <c r="E38" s="293"/>
      <c r="F38" s="293"/>
      <c r="G38" s="368"/>
      <c r="H38" s="293"/>
    </row>
    <row r="39" spans="1:30" ht="14" x14ac:dyDescent="0.3">
      <c r="A39" s="151"/>
      <c r="B39" s="151"/>
      <c r="C39" s="371"/>
      <c r="D39" s="371"/>
      <c r="E39" s="293"/>
      <c r="F39" s="293"/>
      <c r="G39" s="368"/>
      <c r="H39" s="293"/>
    </row>
    <row r="40" spans="1:30" ht="14" x14ac:dyDescent="0.3">
      <c r="A40" s="151">
        <f>IF(C40&lt;&gt;"",COUNTA($C$12:C40),"")</f>
        <v>24</v>
      </c>
      <c r="B40" s="151"/>
      <c r="C40" s="293" t="s">
        <v>46</v>
      </c>
      <c r="D40" s="293"/>
      <c r="E40" s="293"/>
      <c r="G40" s="395" t="str">
        <f>+'Bill_South G6'!F22</f>
        <v>Current</v>
      </c>
      <c r="H40" s="395"/>
      <c r="I40" s="395" t="str">
        <f>+'Bill_South G6'!H22</f>
        <v>Proposed</v>
      </c>
      <c r="J40" s="420"/>
      <c r="K40" s="420"/>
    </row>
    <row r="41" spans="1:30" ht="17" x14ac:dyDescent="0.6">
      <c r="A41" s="151">
        <f>IF(C41&lt;&gt;"",COUNTA($C$12:C41),"")</f>
        <v>25</v>
      </c>
      <c r="B41" s="151"/>
      <c r="C41" s="274" t="s">
        <v>46</v>
      </c>
      <c r="D41" s="274"/>
      <c r="E41" s="293"/>
      <c r="G41" s="396" t="str">
        <f>+'Bill_South G6'!F23</f>
        <v>Rates</v>
      </c>
      <c r="H41" s="396"/>
      <c r="I41" s="396" t="str">
        <f>+'Bill_South G6'!H23</f>
        <v>Rates</v>
      </c>
      <c r="J41" s="396" t="str">
        <f>+'Bill_South G6'!I23</f>
        <v>Change</v>
      </c>
      <c r="K41" s="447"/>
    </row>
    <row r="42" spans="1:30" ht="14" x14ac:dyDescent="0.3">
      <c r="A42" s="151">
        <f>IF(C42&lt;&gt;"",COUNTA($C$12:C42),"")</f>
        <v>26</v>
      </c>
      <c r="B42" s="151"/>
      <c r="C42" s="293" t="s">
        <v>296</v>
      </c>
      <c r="D42" s="293"/>
      <c r="E42" s="274"/>
      <c r="G42" s="454">
        <v>10</v>
      </c>
      <c r="H42" s="455" t="s">
        <v>46</v>
      </c>
      <c r="I42" s="454">
        <f>G42</f>
        <v>10</v>
      </c>
      <c r="J42" s="421">
        <f>+I42-G42</f>
        <v>0</v>
      </c>
      <c r="K42" s="447"/>
    </row>
    <row r="43" spans="1:30" ht="14" x14ac:dyDescent="0.3">
      <c r="A43" s="151">
        <f>IF(C43&lt;&gt;"",COUNTA($C$12:C43),"")</f>
        <v>27</v>
      </c>
      <c r="B43" s="151"/>
      <c r="C43" s="232" t="s">
        <v>422</v>
      </c>
      <c r="D43" s="293"/>
      <c r="E43" s="274"/>
      <c r="G43" s="454">
        <v>3.36</v>
      </c>
      <c r="H43" s="455"/>
      <c r="I43" s="454">
        <v>3.48</v>
      </c>
      <c r="J43" s="421">
        <f t="shared" ref="J43:J65" si="31">+I43-G43</f>
        <v>0.12000000000000011</v>
      </c>
      <c r="K43" s="447"/>
    </row>
    <row r="44" spans="1:30" ht="14" x14ac:dyDescent="0.3">
      <c r="A44" s="151">
        <f>IF(C44&lt;&gt;"",COUNTA($C$12:C44),"")</f>
        <v>28</v>
      </c>
      <c r="B44" s="151"/>
      <c r="C44" s="293" t="str">
        <f>+'Bill_South G4'!C44</f>
        <v>Transmission Demand</v>
      </c>
      <c r="D44" s="293"/>
      <c r="E44" s="274"/>
      <c r="G44" s="454">
        <v>4.96</v>
      </c>
      <c r="H44" s="448"/>
      <c r="I44" s="454">
        <v>2.99</v>
      </c>
      <c r="J44" s="421">
        <f>+I44-G44</f>
        <v>-1.9699999999999998</v>
      </c>
      <c r="K44" s="447"/>
    </row>
    <row r="45" spans="1:30" ht="14" x14ac:dyDescent="0.3">
      <c r="A45" s="151">
        <f>IF(C45&lt;&gt;"",COUNTA($C$12:C45),"")</f>
        <v>29</v>
      </c>
      <c r="B45" s="151"/>
      <c r="C45" s="293" t="s">
        <v>449</v>
      </c>
      <c r="G45" s="308">
        <v>4.453E-2</v>
      </c>
      <c r="H45" s="484"/>
      <c r="I45" s="308">
        <v>4.6120000000000001E-2</v>
      </c>
      <c r="J45" s="354">
        <f t="shared" si="31"/>
        <v>1.5900000000000011E-3</v>
      </c>
      <c r="K45" s="447"/>
    </row>
    <row r="46" spans="1:30" ht="14" x14ac:dyDescent="0.3">
      <c r="A46" s="151">
        <f>IF(C46&lt;&gt;"",COUNTA($C$12:C46),"")</f>
        <v>30</v>
      </c>
      <c r="B46" s="151"/>
      <c r="C46" s="293" t="s">
        <v>450</v>
      </c>
      <c r="D46" s="293"/>
      <c r="E46" s="274"/>
      <c r="G46" s="308">
        <v>3.7449999999999997E-2</v>
      </c>
      <c r="H46" s="484"/>
      <c r="I46" s="308">
        <v>3.8789999999999998E-2</v>
      </c>
      <c r="J46" s="354">
        <f t="shared" si="31"/>
        <v>1.3400000000000009E-3</v>
      </c>
      <c r="K46" s="447"/>
    </row>
    <row r="47" spans="1:30" ht="14" x14ac:dyDescent="0.3">
      <c r="A47" s="151">
        <f>IF(C47&lt;&gt;"",COUNTA($C$12:C47),"")</f>
        <v>31</v>
      </c>
      <c r="B47" s="151"/>
      <c r="C47" s="293" t="str">
        <f>+'Bill_South G6'!C26</f>
        <v>Revenue Decoupling</v>
      </c>
      <c r="D47" s="506"/>
      <c r="E47" s="274"/>
      <c r="G47" s="308">
        <v>0</v>
      </c>
      <c r="H47" s="400"/>
      <c r="I47" s="277">
        <v>-3.6000000000000002E-4</v>
      </c>
      <c r="J47" s="354">
        <f t="shared" si="31"/>
        <v>-3.6000000000000002E-4</v>
      </c>
      <c r="K47" s="447"/>
    </row>
    <row r="48" spans="1:30" ht="14" x14ac:dyDescent="0.3">
      <c r="A48" s="151">
        <f>IF(C48&lt;&gt;"",COUNTA($C$12:C48),"")</f>
        <v>32</v>
      </c>
      <c r="B48" s="151"/>
      <c r="C48" s="293" t="str">
        <f>+'Bill_South G6'!C27</f>
        <v>Residential Assistance Adjustment Factor</v>
      </c>
      <c r="D48" s="293"/>
      <c r="E48" s="274"/>
      <c r="G48" s="277">
        <v>2.3E-3</v>
      </c>
      <c r="H48" s="400"/>
      <c r="I48" s="277">
        <v>3.0100000000000001E-3</v>
      </c>
      <c r="J48" s="354">
        <f t="shared" si="31"/>
        <v>7.1000000000000013E-4</v>
      </c>
      <c r="K48" s="447"/>
    </row>
    <row r="49" spans="1:12" ht="14" x14ac:dyDescent="0.3">
      <c r="A49" s="151">
        <f>IF(C49&lt;&gt;"",COUNTA($C$12:C49),"")</f>
        <v>33</v>
      </c>
      <c r="B49" s="151"/>
      <c r="C49" s="293" t="str">
        <f>+'Bill_South G6'!C28</f>
        <v>Pension Adjustment Factor</v>
      </c>
      <c r="D49" s="293"/>
      <c r="E49" s="274"/>
      <c r="G49" s="277">
        <v>-8.0000000000000007E-5</v>
      </c>
      <c r="H49" s="400"/>
      <c r="I49" s="277">
        <v>6.9999999999999999E-4</v>
      </c>
      <c r="J49" s="354">
        <f t="shared" si="31"/>
        <v>7.7999999999999999E-4</v>
      </c>
      <c r="K49" s="447"/>
    </row>
    <row r="50" spans="1:12" ht="14" x14ac:dyDescent="0.3">
      <c r="A50" s="151">
        <f>IF(C50&lt;&gt;"",COUNTA($C$12:C50),"")</f>
        <v>34</v>
      </c>
      <c r="B50" s="151"/>
      <c r="C50" s="293" t="str">
        <f>+'Bill_South G6'!C29</f>
        <v>Net Metering Recovery Surcharge</v>
      </c>
      <c r="D50" s="293"/>
      <c r="E50" s="274"/>
      <c r="G50" s="277">
        <v>4.5300000000000002E-3</v>
      </c>
      <c r="H50" s="400"/>
      <c r="I50" s="277">
        <v>3.9300000000000003E-3</v>
      </c>
      <c r="J50" s="354">
        <f t="shared" si="31"/>
        <v>-5.9999999999999984E-4</v>
      </c>
      <c r="K50" s="447"/>
    </row>
    <row r="51" spans="1:12" ht="14" x14ac:dyDescent="0.3">
      <c r="A51" s="151">
        <f>IF(C51&lt;&gt;"",COUNTA($C$12:C51),"")</f>
        <v>35</v>
      </c>
      <c r="B51" s="151"/>
      <c r="C51" s="293" t="str">
        <f>+'Bill_South G6'!C30</f>
        <v>Long Term Renewable Contract Adjustment</v>
      </c>
      <c r="D51" s="293"/>
      <c r="E51" s="274"/>
      <c r="G51" s="277">
        <v>2.3600000000000001E-3</v>
      </c>
      <c r="H51" s="400"/>
      <c r="I51" s="277">
        <v>1.74E-3</v>
      </c>
      <c r="J51" s="354">
        <f t="shared" si="31"/>
        <v>-6.2000000000000011E-4</v>
      </c>
      <c r="K51" s="447"/>
    </row>
    <row r="52" spans="1:12" ht="14" x14ac:dyDescent="0.3">
      <c r="A52" s="151">
        <f>IF(C52&lt;&gt;"",COUNTA($C$12:C52),"")</f>
        <v>36</v>
      </c>
      <c r="B52" s="151"/>
      <c r="C52" s="293" t="str">
        <f>+'Bill_South G6'!C31</f>
        <v>AG Consulting Expense</v>
      </c>
      <c r="D52" s="293"/>
      <c r="E52" s="274"/>
      <c r="G52" s="277">
        <v>2.0000000000000002E-5</v>
      </c>
      <c r="H52" s="400"/>
      <c r="I52" s="277">
        <v>1.0000000000000001E-5</v>
      </c>
      <c r="J52" s="354">
        <f t="shared" si="31"/>
        <v>-1.0000000000000001E-5</v>
      </c>
      <c r="K52" s="447"/>
    </row>
    <row r="53" spans="1:12" ht="14" x14ac:dyDescent="0.3">
      <c r="A53" s="151">
        <f>IF(C53&lt;&gt;"",COUNTA($C$12:C53),"")</f>
        <v>37</v>
      </c>
      <c r="B53" s="151"/>
      <c r="C53" s="293" t="str">
        <f>+'Bill_South G6'!C32</f>
        <v>Storm Cost Recovery Adjustment Factor</v>
      </c>
      <c r="D53" s="293"/>
      <c r="E53" s="274"/>
      <c r="G53" s="277">
        <v>1.42E-3</v>
      </c>
      <c r="H53" s="400"/>
      <c r="I53" s="277">
        <v>2.2799999999999999E-3</v>
      </c>
      <c r="J53" s="354">
        <f t="shared" si="31"/>
        <v>8.5999999999999987E-4</v>
      </c>
      <c r="K53" s="447"/>
    </row>
    <row r="54" spans="1:12" ht="14" x14ac:dyDescent="0.3">
      <c r="A54" s="151">
        <f>IF(C54&lt;&gt;"",COUNTA($C$12:C54),"")</f>
        <v>38</v>
      </c>
      <c r="B54" s="151"/>
      <c r="C54" s="293" t="str">
        <f>+'Bill_South G6'!C33</f>
        <v>Storm Reserve Adjustment</v>
      </c>
      <c r="D54" s="293"/>
      <c r="E54" s="274"/>
      <c r="G54" s="277">
        <v>0</v>
      </c>
      <c r="H54" s="400"/>
      <c r="I54" s="277">
        <v>0</v>
      </c>
      <c r="J54" s="354">
        <f t="shared" si="31"/>
        <v>0</v>
      </c>
      <c r="K54" s="447"/>
    </row>
    <row r="55" spans="1:12" ht="14" x14ac:dyDescent="0.3">
      <c r="A55" s="151">
        <f>IF(C55&lt;&gt;"",COUNTA($C$12:C55),"")</f>
        <v>39</v>
      </c>
      <c r="B55" s="151"/>
      <c r="C55" s="293" t="str">
        <f>+'Bill_South G6'!C34</f>
        <v>Basic Service Cost True Up Factor</v>
      </c>
      <c r="G55" s="277">
        <v>1.23E-3</v>
      </c>
      <c r="H55" s="400"/>
      <c r="I55" s="277">
        <v>-1.4999999999999999E-4</v>
      </c>
      <c r="J55" s="354">
        <f t="shared" si="31"/>
        <v>-1.3799999999999999E-3</v>
      </c>
      <c r="K55" s="447"/>
    </row>
    <row r="56" spans="1:12" ht="14" x14ac:dyDescent="0.3">
      <c r="A56" s="151">
        <f>IF(C56&lt;&gt;"",COUNTA($C$12:C56),"")</f>
        <v>40</v>
      </c>
      <c r="B56" s="151"/>
      <c r="C56" s="293" t="str">
        <f>+'Bill_South G6'!C35</f>
        <v>Solar Program Cost Adjustment Factor</v>
      </c>
      <c r="D56" s="293"/>
      <c r="E56" s="274"/>
      <c r="G56" s="277">
        <v>0</v>
      </c>
      <c r="H56" s="400"/>
      <c r="I56" s="277">
        <v>3.0000000000000001E-5</v>
      </c>
      <c r="J56" s="354">
        <f t="shared" si="31"/>
        <v>3.0000000000000001E-5</v>
      </c>
      <c r="K56" s="447"/>
    </row>
    <row r="57" spans="1:12" ht="14" x14ac:dyDescent="0.3">
      <c r="A57" s="151">
        <f>IF(C57&lt;&gt;"",COUNTA($C$12:C57),"")</f>
        <v>41</v>
      </c>
      <c r="B57" s="151"/>
      <c r="C57" s="293" t="str">
        <f>+'Bill_South G6'!C36</f>
        <v>Solar Expansion Cost Recovery Factor</v>
      </c>
      <c r="D57" s="293"/>
      <c r="E57" s="274"/>
      <c r="G57" s="277">
        <v>0</v>
      </c>
      <c r="H57" s="400"/>
      <c r="I57" s="277">
        <v>4.6999999999999999E-4</v>
      </c>
      <c r="J57" s="354">
        <f t="shared" si="31"/>
        <v>4.6999999999999999E-4</v>
      </c>
      <c r="K57" s="447"/>
    </row>
    <row r="58" spans="1:12" ht="14" x14ac:dyDescent="0.3">
      <c r="A58" s="151">
        <f>IF(C58&lt;&gt;"",COUNTA($C$12:C58),"")</f>
        <v>42</v>
      </c>
      <c r="B58" s="151"/>
      <c r="C58" s="293" t="str">
        <f>+'Bill_South G6'!C37</f>
        <v>Vegetation Management</v>
      </c>
      <c r="D58" s="293"/>
      <c r="E58" s="274"/>
      <c r="G58" s="277">
        <v>0</v>
      </c>
      <c r="H58" s="400"/>
      <c r="I58" s="277">
        <v>1.25E-3</v>
      </c>
      <c r="J58" s="354">
        <f t="shared" si="31"/>
        <v>1.25E-3</v>
      </c>
      <c r="K58" s="447"/>
    </row>
    <row r="59" spans="1:12" ht="14" x14ac:dyDescent="0.3">
      <c r="A59" s="151">
        <f>IF(C59&lt;&gt;"",COUNTA($C$12:C59),"")</f>
        <v>43</v>
      </c>
      <c r="B59" s="151"/>
      <c r="C59" s="293" t="str">
        <f>+'Bill_South G6'!C38</f>
        <v>Solar Massachusetts Renewable Target</v>
      </c>
      <c r="D59" s="339"/>
      <c r="E59" s="339"/>
      <c r="F59" s="277"/>
      <c r="G59" s="277">
        <v>0</v>
      </c>
      <c r="H59" s="277"/>
      <c r="I59" s="277">
        <v>5.5000000000000003E-4</v>
      </c>
      <c r="J59" s="354">
        <f t="shared" si="31"/>
        <v>5.5000000000000003E-4</v>
      </c>
      <c r="K59" s="339"/>
      <c r="L59" s="339"/>
    </row>
    <row r="60" spans="1:12" ht="14" x14ac:dyDescent="0.3">
      <c r="A60" s="151">
        <f>IF(C60&lt;&gt;"",COUNTA($C$12:C60),"")</f>
        <v>44</v>
      </c>
      <c r="B60" s="151"/>
      <c r="C60" s="293" t="str">
        <f>+'Bill_South G6'!C39</f>
        <v>Tax Act Credit Factor</v>
      </c>
      <c r="D60" s="339"/>
      <c r="E60" s="339"/>
      <c r="F60" s="277"/>
      <c r="G60" s="277">
        <v>0</v>
      </c>
      <c r="H60" s="277"/>
      <c r="I60" s="277">
        <v>-8.3000000000000001E-4</v>
      </c>
      <c r="J60" s="354">
        <f t="shared" si="31"/>
        <v>-8.3000000000000001E-4</v>
      </c>
      <c r="K60" s="339"/>
      <c r="L60" s="339"/>
    </row>
    <row r="61" spans="1:12" ht="14" x14ac:dyDescent="0.3">
      <c r="A61" s="151">
        <f>IF(C61&lt;&gt;"",COUNTA($C$12:C61),"")</f>
        <v>45</v>
      </c>
      <c r="B61" s="151"/>
      <c r="C61" s="293" t="str">
        <f>+'Bill_South G6'!C40</f>
        <v>Transition</v>
      </c>
      <c r="D61" s="293"/>
      <c r="E61" s="274"/>
      <c r="G61" s="308">
        <v>-6.0999999999999997E-4</v>
      </c>
      <c r="H61" s="400"/>
      <c r="I61" s="277">
        <v>-5.1999999999999995E-4</v>
      </c>
      <c r="J61" s="354">
        <f t="shared" si="31"/>
        <v>9.0000000000000019E-5</v>
      </c>
      <c r="K61" s="447"/>
    </row>
    <row r="62" spans="1:12" ht="14" x14ac:dyDescent="0.3">
      <c r="A62" s="151">
        <f>IF(C62&lt;&gt;"",COUNTA($C$12:C62),"")</f>
        <v>46</v>
      </c>
      <c r="B62" s="151"/>
      <c r="C62" s="293" t="str">
        <f>+'Bill_South G6'!C42</f>
        <v>Energy Efficiency Reconciliation Factor</v>
      </c>
      <c r="D62" s="293"/>
      <c r="E62" s="274"/>
      <c r="G62" s="308">
        <v>8.4600000000000005E-3</v>
      </c>
      <c r="H62" s="400"/>
      <c r="I62" s="308">
        <v>8.4600000000000005E-3</v>
      </c>
      <c r="J62" s="354">
        <f t="shared" si="31"/>
        <v>0</v>
      </c>
      <c r="K62" s="447"/>
    </row>
    <row r="63" spans="1:12" ht="14" x14ac:dyDescent="0.3">
      <c r="A63" s="151">
        <f>IF(C63&lt;&gt;"",COUNTA($C$12:C63),"")</f>
        <v>47</v>
      </c>
      <c r="B63" s="151"/>
      <c r="C63" s="293" t="str">
        <f>+'Bill_South G6'!C43</f>
        <v>System Benefits Charge</v>
      </c>
      <c r="D63" s="293"/>
      <c r="E63" s="274"/>
      <c r="G63" s="308">
        <v>2.5000000000000001E-3</v>
      </c>
      <c r="H63" s="400"/>
      <c r="I63" s="308">
        <f>G63</f>
        <v>2.5000000000000001E-3</v>
      </c>
      <c r="J63" s="354">
        <f t="shared" si="31"/>
        <v>0</v>
      </c>
      <c r="K63" s="447"/>
    </row>
    <row r="64" spans="1:12" ht="14" x14ac:dyDescent="0.3">
      <c r="A64" s="151">
        <f>IF(C64&lt;&gt;"",COUNTA($C$12:C64),"")</f>
        <v>48</v>
      </c>
      <c r="B64" s="151"/>
      <c r="C64" s="293" t="str">
        <f>+'Bill_South G6'!C44</f>
        <v>Renewable Energy Charge</v>
      </c>
      <c r="D64" s="293"/>
      <c r="E64" s="274"/>
      <c r="G64" s="308">
        <v>5.0000000000000001E-4</v>
      </c>
      <c r="H64" s="400"/>
      <c r="I64" s="308">
        <f>G64</f>
        <v>5.0000000000000001E-4</v>
      </c>
      <c r="J64" s="354">
        <f t="shared" si="31"/>
        <v>0</v>
      </c>
      <c r="K64" s="447"/>
    </row>
    <row r="65" spans="1:11" ht="14" x14ac:dyDescent="0.3">
      <c r="A65" s="151">
        <f>IF(C65&lt;&gt;"",COUNTA($C$12:C65),"")</f>
        <v>49</v>
      </c>
      <c r="B65" s="151"/>
      <c r="C65" s="293" t="str">
        <f>+'Bill_South G6'!C45</f>
        <v>Basic Service Charge</v>
      </c>
      <c r="D65" s="293"/>
      <c r="E65" s="274"/>
      <c r="G65" s="308">
        <v>0.11403000000000001</v>
      </c>
      <c r="H65" s="400"/>
      <c r="I65" s="308">
        <v>0.13185000000000002</v>
      </c>
      <c r="J65" s="354">
        <f t="shared" si="31"/>
        <v>1.7820000000000016E-2</v>
      </c>
      <c r="K65" s="447"/>
    </row>
    <row r="66" spans="1:11" ht="14" x14ac:dyDescent="0.3">
      <c r="A66" s="151" t="str">
        <f>IF(C66&lt;&gt;"",COUNTA($C$12:C66),"")</f>
        <v/>
      </c>
      <c r="B66" s="151"/>
      <c r="G66" s="374"/>
      <c r="H66" s="374"/>
      <c r="I66" s="374"/>
      <c r="J66" s="502"/>
      <c r="K66" s="447"/>
    </row>
    <row r="67" spans="1:11" ht="14" x14ac:dyDescent="0.3">
      <c r="A67" s="151">
        <f>IF(C67&lt;&gt;"",COUNTA($C$12:C67),"")</f>
        <v>50</v>
      </c>
      <c r="B67" s="151"/>
      <c r="C67" s="526" t="s">
        <v>613</v>
      </c>
      <c r="E67" s="476">
        <v>0.23</v>
      </c>
      <c r="G67" s="374"/>
      <c r="H67" s="374"/>
      <c r="I67" s="502"/>
      <c r="J67" s="502"/>
      <c r="K67" s="447"/>
    </row>
    <row r="68" spans="1:11" ht="14" x14ac:dyDescent="0.3">
      <c r="A68" s="151">
        <f>IF(C68&lt;&gt;"",COUNTA($C$12:C68),"")</f>
        <v>51</v>
      </c>
      <c r="B68" s="151"/>
      <c r="C68" s="526" t="s">
        <v>614</v>
      </c>
      <c r="E68" s="476">
        <v>0.77</v>
      </c>
      <c r="G68" s="374"/>
      <c r="H68" s="374"/>
      <c r="I68" s="502"/>
      <c r="J68" s="502"/>
      <c r="K68" s="447"/>
    </row>
    <row r="69" spans="1:11" ht="14" x14ac:dyDescent="0.3">
      <c r="A69" s="151"/>
      <c r="B69" s="151"/>
      <c r="G69" s="374"/>
      <c r="H69" s="374"/>
      <c r="I69" s="502"/>
      <c r="J69" s="502"/>
      <c r="K69" s="447"/>
    </row>
    <row r="70" spans="1:11" ht="14" x14ac:dyDescent="0.3">
      <c r="A70" s="151"/>
      <c r="B70" s="151"/>
      <c r="G70" s="374"/>
      <c r="H70" s="374"/>
      <c r="I70" s="502"/>
      <c r="J70" s="502"/>
      <c r="K70" s="447"/>
    </row>
    <row r="71" spans="1:11" ht="14" x14ac:dyDescent="0.3">
      <c r="A71" s="151"/>
      <c r="B71" s="151"/>
      <c r="C71" s="369" t="str">
        <f>+'Bill_South G3'!C74</f>
        <v>Total Demand</v>
      </c>
      <c r="G71" s="374">
        <f>+G43+G44</f>
        <v>8.32</v>
      </c>
      <c r="H71" s="374"/>
      <c r="I71" s="374">
        <f>+I43+I44</f>
        <v>6.4700000000000006</v>
      </c>
      <c r="J71" s="421">
        <f t="shared" ref="J71:J74" si="32">+I71-G71</f>
        <v>-1.8499999999999996</v>
      </c>
      <c r="K71" s="447"/>
    </row>
    <row r="72" spans="1:11" ht="14" x14ac:dyDescent="0.3">
      <c r="A72" s="151"/>
      <c r="B72" s="151"/>
      <c r="C72" s="369" t="str">
        <f>+'Bill_South G3'!C75</f>
        <v>Total Energy - Peak</v>
      </c>
      <c r="G72" s="403">
        <f>SUM(G45,G$47:G$61,G$62:G$64)</f>
        <v>6.7159999999999997E-2</v>
      </c>
      <c r="H72" s="403"/>
      <c r="I72" s="403">
        <f>SUM(I45,I$47:I$61,I$62:I$64)</f>
        <v>6.9690000000000016E-2</v>
      </c>
      <c r="J72" s="354">
        <f t="shared" si="32"/>
        <v>2.5300000000000183E-3</v>
      </c>
      <c r="K72" s="447"/>
    </row>
    <row r="73" spans="1:11" ht="14" x14ac:dyDescent="0.3">
      <c r="A73" s="151"/>
      <c r="B73" s="151"/>
      <c r="C73" s="369" t="str">
        <f>+'Bill_South G3'!C76</f>
        <v>Total Energy - Low A</v>
      </c>
      <c r="G73" s="403">
        <f>SUM(G46,G$47:G$61,G$62:G$64)</f>
        <v>6.0080000000000001E-2</v>
      </c>
      <c r="H73" s="403"/>
      <c r="I73" s="403">
        <f>SUM(I46,I$47:I$61,I$62:I$64)</f>
        <v>6.2360000000000013E-2</v>
      </c>
      <c r="J73" s="354">
        <f t="shared" si="32"/>
        <v>2.2800000000000112E-3</v>
      </c>
      <c r="K73" s="447"/>
    </row>
    <row r="74" spans="1:11" ht="14" x14ac:dyDescent="0.3">
      <c r="A74" s="151"/>
      <c r="B74" s="151"/>
      <c r="C74" s="369" t="str">
        <f>+'Bill_South G3'!C78</f>
        <v>Total Basic Service</v>
      </c>
      <c r="G74" s="403">
        <f>+G65</f>
        <v>0.11403000000000001</v>
      </c>
      <c r="H74" s="403"/>
      <c r="I74" s="403">
        <f>+I65</f>
        <v>0.13185000000000002</v>
      </c>
      <c r="J74" s="354">
        <f t="shared" si="32"/>
        <v>1.7820000000000016E-2</v>
      </c>
      <c r="K74" s="447"/>
    </row>
    <row r="75" spans="1:11" ht="14" x14ac:dyDescent="0.3">
      <c r="A75" s="151"/>
      <c r="B75" s="151"/>
      <c r="G75" s="374"/>
      <c r="H75" s="374"/>
      <c r="I75" s="502"/>
      <c r="J75" s="502"/>
      <c r="K75" s="447"/>
    </row>
    <row r="76" spans="1:11" ht="14" x14ac:dyDescent="0.3">
      <c r="A76" s="151"/>
      <c r="B76" s="151"/>
      <c r="G76" s="374"/>
      <c r="H76" s="374"/>
      <c r="I76" s="502"/>
      <c r="J76" s="373"/>
      <c r="K76" s="447"/>
    </row>
    <row r="77" spans="1:11" ht="14" x14ac:dyDescent="0.3">
      <c r="A77" s="151"/>
      <c r="B77" s="151"/>
      <c r="G77" s="374"/>
      <c r="H77" s="374"/>
      <c r="I77" s="502"/>
      <c r="J77" s="373"/>
      <c r="K77" s="447"/>
    </row>
    <row r="78" spans="1:11" ht="14" x14ac:dyDescent="0.3">
      <c r="A78" s="151"/>
      <c r="B78" s="151"/>
      <c r="I78" s="447"/>
      <c r="J78" s="394"/>
      <c r="K78" s="447"/>
    </row>
    <row r="79" spans="1:11" ht="14" x14ac:dyDescent="0.3">
      <c r="A79" s="151"/>
      <c r="B79" s="151"/>
      <c r="I79" s="447"/>
      <c r="J79" s="394"/>
      <c r="K79" s="447"/>
    </row>
    <row r="80" spans="1:11" ht="14" x14ac:dyDescent="0.3">
      <c r="A80" s="151"/>
      <c r="B80" s="151"/>
      <c r="I80" s="447"/>
      <c r="J80" s="394"/>
      <c r="K80" s="447"/>
    </row>
    <row r="81" spans="1:11" ht="14" x14ac:dyDescent="0.3">
      <c r="A81" s="151"/>
      <c r="B81" s="151"/>
      <c r="I81" s="447"/>
      <c r="J81" s="394"/>
      <c r="K81" s="447"/>
    </row>
    <row r="82" spans="1:11" ht="14" x14ac:dyDescent="0.3">
      <c r="A82" s="151"/>
      <c r="B82" s="151"/>
      <c r="I82" s="447"/>
      <c r="J82" s="394"/>
      <c r="K82" s="447"/>
    </row>
    <row r="83" spans="1:11" ht="14" x14ac:dyDescent="0.3">
      <c r="A83" s="151"/>
      <c r="B83" s="151"/>
      <c r="I83" s="447"/>
      <c r="J83" s="394"/>
      <c r="K83" s="447"/>
    </row>
    <row r="84" spans="1:11" ht="14" x14ac:dyDescent="0.3">
      <c r="A84" s="151"/>
      <c r="B84" s="151"/>
      <c r="I84" s="447"/>
      <c r="J84" s="447"/>
      <c r="K84" s="447"/>
    </row>
    <row r="85" spans="1:11" ht="14" x14ac:dyDescent="0.3">
      <c r="A85" s="151"/>
      <c r="B85" s="151"/>
      <c r="I85" s="447"/>
      <c r="J85" s="447"/>
      <c r="K85" s="447"/>
    </row>
    <row r="86" spans="1:11" ht="14" x14ac:dyDescent="0.3">
      <c r="A86" s="151"/>
      <c r="B86" s="151"/>
      <c r="I86" s="447"/>
      <c r="J86" s="447"/>
      <c r="K86" s="447"/>
    </row>
    <row r="87" spans="1:11" ht="14" x14ac:dyDescent="0.3">
      <c r="A87" s="151"/>
      <c r="B87" s="151"/>
      <c r="I87" s="447"/>
      <c r="J87" s="447"/>
      <c r="K87" s="447"/>
    </row>
    <row r="88" spans="1:11" ht="14" x14ac:dyDescent="0.3">
      <c r="A88" s="151"/>
      <c r="B88" s="151"/>
      <c r="I88" s="447"/>
      <c r="J88" s="447"/>
      <c r="K88" s="447"/>
    </row>
    <row r="89" spans="1:11" ht="14" x14ac:dyDescent="0.3">
      <c r="A89" s="151"/>
      <c r="B89" s="151"/>
      <c r="I89" s="447"/>
      <c r="J89" s="447"/>
      <c r="K89" s="447"/>
    </row>
    <row r="90" spans="1:11" ht="14" x14ac:dyDescent="0.3">
      <c r="A90" s="151"/>
      <c r="B90" s="151"/>
      <c r="I90" s="447"/>
      <c r="J90" s="447"/>
      <c r="K90" s="447"/>
    </row>
    <row r="91" spans="1:11" ht="14" x14ac:dyDescent="0.3">
      <c r="A91" s="151"/>
      <c r="B91" s="151"/>
      <c r="I91" s="447"/>
      <c r="J91" s="447"/>
      <c r="K91" s="447"/>
    </row>
    <row r="92" spans="1:11" ht="14" x14ac:dyDescent="0.3">
      <c r="A92" s="151"/>
      <c r="B92" s="151"/>
      <c r="I92" s="447"/>
      <c r="J92" s="447"/>
      <c r="K92" s="447"/>
    </row>
    <row r="93" spans="1:11" ht="14" x14ac:dyDescent="0.3">
      <c r="A93" s="151"/>
      <c r="B93" s="151"/>
      <c r="I93" s="447"/>
      <c r="J93" s="447"/>
      <c r="K93" s="447"/>
    </row>
    <row r="94" spans="1:11" ht="14" x14ac:dyDescent="0.3">
      <c r="A94" s="151"/>
      <c r="B94" s="151"/>
      <c r="I94" s="447"/>
      <c r="J94" s="447"/>
      <c r="K94" s="447"/>
    </row>
    <row r="95" spans="1:11" ht="14" x14ac:dyDescent="0.3">
      <c r="A95" s="151"/>
      <c r="B95" s="151"/>
      <c r="I95" s="447"/>
      <c r="J95" s="447"/>
      <c r="K95" s="447"/>
    </row>
    <row r="96" spans="1:11" ht="14" x14ac:dyDescent="0.3">
      <c r="A96" s="151"/>
      <c r="B96" s="151"/>
      <c r="I96" s="447"/>
      <c r="J96" s="447"/>
      <c r="K96" s="447"/>
    </row>
    <row r="97" spans="1:11" ht="14" x14ac:dyDescent="0.3">
      <c r="A97" s="151"/>
      <c r="B97" s="151"/>
      <c r="I97" s="447"/>
      <c r="J97" s="447"/>
      <c r="K97" s="447"/>
    </row>
    <row r="98" spans="1:11" ht="14" x14ac:dyDescent="0.3">
      <c r="A98" s="151"/>
      <c r="B98" s="151"/>
      <c r="I98" s="447"/>
      <c r="J98" s="447"/>
      <c r="K98" s="447"/>
    </row>
    <row r="99" spans="1:11" ht="14" x14ac:dyDescent="0.3">
      <c r="A99" s="151"/>
      <c r="B99" s="151"/>
      <c r="I99" s="447"/>
      <c r="J99" s="447"/>
      <c r="K99" s="447"/>
    </row>
    <row r="100" spans="1:11" ht="14" x14ac:dyDescent="0.3">
      <c r="A100" s="151"/>
      <c r="B100" s="151"/>
      <c r="I100" s="447"/>
      <c r="J100" s="447"/>
      <c r="K100" s="447"/>
    </row>
    <row r="101" spans="1:11" ht="14" x14ac:dyDescent="0.3">
      <c r="A101" s="151"/>
      <c r="B101" s="151"/>
      <c r="I101" s="447"/>
      <c r="J101" s="447"/>
      <c r="K101" s="447"/>
    </row>
    <row r="102" spans="1:11" ht="14" x14ac:dyDescent="0.3">
      <c r="A102" s="151"/>
      <c r="B102" s="151"/>
      <c r="I102" s="447"/>
      <c r="J102" s="447"/>
      <c r="K102" s="447"/>
    </row>
    <row r="103" spans="1:11" ht="14" x14ac:dyDescent="0.3">
      <c r="A103" s="151"/>
      <c r="B103" s="151"/>
      <c r="I103" s="447"/>
      <c r="J103" s="447"/>
      <c r="K103" s="447"/>
    </row>
    <row r="104" spans="1:11" ht="14" x14ac:dyDescent="0.3">
      <c r="A104" s="151"/>
      <c r="B104" s="151"/>
      <c r="I104" s="447"/>
      <c r="J104" s="447"/>
      <c r="K104" s="447"/>
    </row>
    <row r="105" spans="1:11" ht="14" x14ac:dyDescent="0.3">
      <c r="A105" s="151"/>
      <c r="B105" s="151"/>
      <c r="I105" s="447"/>
      <c r="J105" s="447"/>
      <c r="K105" s="447"/>
    </row>
    <row r="106" spans="1:11" ht="14" x14ac:dyDescent="0.3">
      <c r="A106" s="151"/>
      <c r="B106" s="151"/>
      <c r="I106" s="447"/>
      <c r="J106" s="447"/>
      <c r="K106" s="447"/>
    </row>
    <row r="107" spans="1:11" ht="14" x14ac:dyDescent="0.3">
      <c r="A107" s="151"/>
      <c r="B107" s="151"/>
      <c r="I107" s="447"/>
      <c r="J107" s="447"/>
      <c r="K107" s="447"/>
    </row>
    <row r="108" spans="1:11" ht="14" x14ac:dyDescent="0.3">
      <c r="A108" s="151"/>
      <c r="B108" s="151"/>
      <c r="I108" s="447"/>
      <c r="J108" s="447"/>
      <c r="K108" s="447"/>
    </row>
    <row r="109" spans="1:11" ht="14" x14ac:dyDescent="0.3">
      <c r="A109" s="151"/>
      <c r="B109" s="151"/>
      <c r="I109" s="447"/>
      <c r="J109" s="447"/>
      <c r="K109" s="447"/>
    </row>
    <row r="110" spans="1:11" ht="14" x14ac:dyDescent="0.3">
      <c r="A110" s="151"/>
      <c r="B110" s="151"/>
      <c r="I110" s="447"/>
      <c r="J110" s="447"/>
      <c r="K110" s="447"/>
    </row>
    <row r="111" spans="1:11" ht="14" x14ac:dyDescent="0.3">
      <c r="A111" s="151"/>
      <c r="B111" s="151"/>
      <c r="I111" s="447"/>
      <c r="J111" s="447"/>
      <c r="K111" s="447"/>
    </row>
    <row r="112" spans="1:11" ht="14" x14ac:dyDescent="0.3">
      <c r="A112" s="151"/>
      <c r="B112" s="151"/>
      <c r="I112" s="447"/>
      <c r="J112" s="447"/>
      <c r="K112" s="447"/>
    </row>
    <row r="113" spans="1:11" ht="14" x14ac:dyDescent="0.3">
      <c r="A113" s="151"/>
      <c r="B113" s="151"/>
      <c r="I113" s="447"/>
      <c r="J113" s="447"/>
      <c r="K113" s="447"/>
    </row>
    <row r="114" spans="1:11" ht="14" x14ac:dyDescent="0.3">
      <c r="A114" s="151"/>
      <c r="B114" s="151"/>
      <c r="I114" s="447"/>
      <c r="J114" s="447"/>
      <c r="K114" s="447"/>
    </row>
    <row r="115" spans="1:11" ht="14" x14ac:dyDescent="0.3">
      <c r="A115" s="151"/>
      <c r="B115" s="151"/>
      <c r="I115" s="447"/>
      <c r="J115" s="447"/>
      <c r="K115" s="447"/>
    </row>
    <row r="116" spans="1:11" ht="14" x14ac:dyDescent="0.3">
      <c r="A116" s="151"/>
      <c r="B116" s="151"/>
      <c r="I116" s="447"/>
      <c r="J116" s="447"/>
      <c r="K116" s="447"/>
    </row>
    <row r="117" spans="1:11" ht="14" x14ac:dyDescent="0.3">
      <c r="A117" s="151"/>
      <c r="B117" s="151"/>
      <c r="I117" s="447"/>
      <c r="J117" s="447"/>
      <c r="K117" s="447"/>
    </row>
    <row r="118" spans="1:11" ht="14" x14ac:dyDescent="0.3">
      <c r="A118" s="151"/>
      <c r="B118" s="151"/>
      <c r="I118" s="447"/>
      <c r="J118" s="447"/>
      <c r="K118" s="447"/>
    </row>
    <row r="119" spans="1:11" ht="14" x14ac:dyDescent="0.3">
      <c r="A119" s="151"/>
      <c r="B119" s="151"/>
      <c r="I119" s="447"/>
      <c r="J119" s="447"/>
      <c r="K119" s="447"/>
    </row>
    <row r="120" spans="1:11" ht="14" x14ac:dyDescent="0.3">
      <c r="A120" s="151"/>
      <c r="B120" s="151"/>
      <c r="I120" s="447"/>
      <c r="J120" s="447"/>
      <c r="K120" s="447"/>
    </row>
    <row r="121" spans="1:11" ht="14" x14ac:dyDescent="0.3">
      <c r="A121" s="151"/>
      <c r="B121" s="151"/>
      <c r="I121" s="447"/>
      <c r="J121" s="447"/>
      <c r="K121" s="447"/>
    </row>
    <row r="122" spans="1:11" ht="14" x14ac:dyDescent="0.3">
      <c r="A122" s="151"/>
      <c r="B122" s="151"/>
      <c r="I122" s="447"/>
      <c r="J122" s="447"/>
      <c r="K122" s="447"/>
    </row>
    <row r="123" spans="1:11" ht="14" x14ac:dyDescent="0.3">
      <c r="A123" s="151"/>
      <c r="B123" s="151"/>
      <c r="I123" s="447"/>
      <c r="J123" s="447"/>
      <c r="K123" s="447"/>
    </row>
    <row r="124" spans="1:11" ht="14" x14ac:dyDescent="0.3">
      <c r="A124" s="151"/>
      <c r="B124" s="151"/>
      <c r="I124" s="447"/>
      <c r="J124" s="447"/>
      <c r="K124" s="447"/>
    </row>
    <row r="125" spans="1:11" ht="14" x14ac:dyDescent="0.3">
      <c r="A125" s="151"/>
      <c r="B125" s="151"/>
      <c r="I125" s="447"/>
      <c r="J125" s="447"/>
      <c r="K125" s="447"/>
    </row>
    <row r="126" spans="1:11" ht="14" x14ac:dyDescent="0.3">
      <c r="A126" s="151"/>
      <c r="B126" s="151"/>
    </row>
    <row r="127" spans="1:11" ht="14" x14ac:dyDescent="0.3">
      <c r="A127" s="151"/>
      <c r="B127" s="151"/>
    </row>
    <row r="128" spans="1:11" ht="14" x14ac:dyDescent="0.3">
      <c r="A128" s="151"/>
      <c r="B128" s="151"/>
    </row>
    <row r="129" spans="1:2" ht="14" x14ac:dyDescent="0.3">
      <c r="A129" s="151"/>
      <c r="B129" s="151"/>
    </row>
    <row r="130" spans="1:2" ht="14" x14ac:dyDescent="0.3">
      <c r="A130" s="151"/>
      <c r="B130" s="151"/>
    </row>
    <row r="131" spans="1:2" ht="14" x14ac:dyDescent="0.3">
      <c r="A131" s="151"/>
      <c r="B131" s="151"/>
    </row>
    <row r="132" spans="1:2" ht="14" x14ac:dyDescent="0.3">
      <c r="A132" s="151"/>
      <c r="B132" s="151"/>
    </row>
    <row r="133" spans="1:2" ht="14" x14ac:dyDescent="0.3">
      <c r="A133" s="151"/>
      <c r="B133" s="151"/>
    </row>
    <row r="134" spans="1:2" ht="14" x14ac:dyDescent="0.3">
      <c r="A134" s="151"/>
      <c r="B134" s="151"/>
    </row>
    <row r="135" spans="1:2" ht="14" x14ac:dyDescent="0.3">
      <c r="A135" s="151"/>
      <c r="B135" s="151"/>
    </row>
    <row r="136" spans="1:2" ht="14" x14ac:dyDescent="0.3">
      <c r="A136" s="151"/>
      <c r="B136" s="151"/>
    </row>
    <row r="137" spans="1:2" ht="14" x14ac:dyDescent="0.3">
      <c r="A137" s="151"/>
      <c r="B137" s="151"/>
    </row>
    <row r="138" spans="1:2" ht="14" x14ac:dyDescent="0.3">
      <c r="A138" s="151"/>
      <c r="B138" s="151"/>
    </row>
    <row r="139" spans="1:2" ht="14" x14ac:dyDescent="0.3">
      <c r="A139" s="151"/>
      <c r="B139" s="151"/>
    </row>
    <row r="140" spans="1:2" ht="14" x14ac:dyDescent="0.3">
      <c r="A140" s="151"/>
      <c r="B140" s="151"/>
    </row>
    <row r="141" spans="1:2" ht="14" x14ac:dyDescent="0.3">
      <c r="A141" s="151"/>
      <c r="B141" s="151"/>
    </row>
    <row r="142" spans="1:2" ht="14" x14ac:dyDescent="0.3">
      <c r="A142" s="151"/>
      <c r="B142" s="151"/>
    </row>
    <row r="143" spans="1:2" ht="14" x14ac:dyDescent="0.3">
      <c r="A143" s="151"/>
      <c r="B143" s="151"/>
    </row>
    <row r="144" spans="1:2" ht="14" x14ac:dyDescent="0.3">
      <c r="A144" s="151"/>
      <c r="B144" s="151"/>
    </row>
    <row r="145" spans="1:2" ht="14" x14ac:dyDescent="0.3">
      <c r="A145" s="151"/>
      <c r="B145" s="151"/>
    </row>
    <row r="146" spans="1:2" ht="14" x14ac:dyDescent="0.3">
      <c r="A146" s="151"/>
      <c r="B146" s="151"/>
    </row>
    <row r="147" spans="1:2" ht="14" x14ac:dyDescent="0.3">
      <c r="A147" s="151"/>
      <c r="B147" s="151"/>
    </row>
    <row r="148" spans="1:2" ht="14" x14ac:dyDescent="0.3">
      <c r="A148" s="151"/>
      <c r="B148" s="151"/>
    </row>
    <row r="149" spans="1:2" ht="14" x14ac:dyDescent="0.3">
      <c r="A149" s="151"/>
      <c r="B149" s="151"/>
    </row>
    <row r="150" spans="1:2" ht="14" x14ac:dyDescent="0.3">
      <c r="A150" s="151"/>
      <c r="B150" s="151"/>
    </row>
    <row r="151" spans="1:2" ht="14" x14ac:dyDescent="0.3">
      <c r="A151" s="151"/>
      <c r="B151" s="151"/>
    </row>
    <row r="152" spans="1:2" ht="14" x14ac:dyDescent="0.3">
      <c r="A152" s="151"/>
      <c r="B152" s="151"/>
    </row>
    <row r="153" spans="1:2" ht="14" x14ac:dyDescent="0.3">
      <c r="A153" s="151"/>
      <c r="B153" s="151"/>
    </row>
    <row r="154" spans="1:2" ht="14" x14ac:dyDescent="0.3">
      <c r="A154" s="151"/>
      <c r="B154" s="151"/>
    </row>
    <row r="155" spans="1:2" ht="14" x14ac:dyDescent="0.3">
      <c r="A155" s="151"/>
      <c r="B155" s="151"/>
    </row>
    <row r="156" spans="1:2" ht="14" x14ac:dyDescent="0.3">
      <c r="A156" s="151"/>
      <c r="B156" s="151"/>
    </row>
    <row r="157" spans="1:2" ht="14" x14ac:dyDescent="0.3">
      <c r="A157" s="151"/>
      <c r="B157" s="151"/>
    </row>
    <row r="158" spans="1:2" ht="14" x14ac:dyDescent="0.3">
      <c r="A158" s="151"/>
      <c r="B158" s="151"/>
    </row>
  </sheetData>
  <mergeCells count="8">
    <mergeCell ref="E12:G12"/>
    <mergeCell ref="I12:K12"/>
    <mergeCell ref="M12:N12"/>
    <mergeCell ref="A4:N4"/>
    <mergeCell ref="A5:N5"/>
    <mergeCell ref="A6:N6"/>
    <mergeCell ref="A8:N8"/>
    <mergeCell ref="A9:N9"/>
  </mergeCells>
  <pageMargins left="0.7" right="0.7" top="0.75" bottom="0.75" header="0.3" footer="0.3"/>
  <pageSetup scale="64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553D8-A1E4-4848-9576-85C6DD0C4D55}">
  <sheetPr>
    <tabColor theme="3" tint="0.59999389629810485"/>
    <pageSetUpPr fitToPage="1"/>
  </sheetPr>
  <dimension ref="A1:AB55"/>
  <sheetViews>
    <sheetView zoomScaleNormal="100" workbookViewId="0"/>
  </sheetViews>
  <sheetFormatPr defaultRowHeight="12.5" x14ac:dyDescent="0.25"/>
  <cols>
    <col min="1" max="1" width="3.81640625" customWidth="1"/>
    <col min="2" max="2" width="4.453125" bestFit="1" customWidth="1"/>
    <col min="3" max="3" width="10.7265625" customWidth="1"/>
    <col min="4" max="6" width="14.7265625" customWidth="1"/>
    <col min="7" max="7" width="1.81640625" customWidth="1"/>
    <col min="8" max="10" width="14.7265625" customWidth="1"/>
    <col min="11" max="11" width="1.81640625" customWidth="1"/>
    <col min="12" max="13" width="11.7265625" customWidth="1"/>
  </cols>
  <sheetData>
    <row r="1" spans="1:28" ht="14" x14ac:dyDescent="0.3">
      <c r="C1" s="527"/>
      <c r="D1" s="528"/>
      <c r="E1" s="528"/>
      <c r="F1" s="528"/>
      <c r="G1" s="528"/>
      <c r="H1" s="528"/>
      <c r="I1" s="528"/>
      <c r="J1" s="528"/>
      <c r="K1" s="528"/>
      <c r="L1" s="528"/>
      <c r="M1" s="529"/>
    </row>
    <row r="2" spans="1:28" ht="14" x14ac:dyDescent="0.3">
      <c r="C2" s="530"/>
      <c r="D2" s="528"/>
      <c r="E2" s="528"/>
      <c r="F2" s="528"/>
      <c r="G2" s="528"/>
      <c r="H2" s="528"/>
      <c r="I2" s="528"/>
      <c r="J2" s="528"/>
      <c r="K2" s="528"/>
      <c r="L2" s="528"/>
      <c r="M2" s="529"/>
    </row>
    <row r="3" spans="1:28" ht="14" x14ac:dyDescent="0.3">
      <c r="D3" s="531" t="s">
        <v>46</v>
      </c>
      <c r="E3" s="531"/>
      <c r="F3" s="531"/>
      <c r="G3" s="531"/>
      <c r="L3" s="532"/>
      <c r="M3" s="529"/>
    </row>
    <row r="4" spans="1:28" ht="14" x14ac:dyDescent="0.3">
      <c r="A4" s="757" t="s">
        <v>344</v>
      </c>
      <c r="B4" s="757"/>
      <c r="C4" s="757"/>
      <c r="D4" s="757"/>
      <c r="E4" s="757"/>
      <c r="F4" s="757"/>
      <c r="G4" s="757"/>
      <c r="H4" s="757"/>
      <c r="I4" s="757"/>
      <c r="J4" s="757"/>
      <c r="K4" s="757"/>
      <c r="L4" s="757"/>
      <c r="M4" s="757"/>
      <c r="N4" s="330"/>
    </row>
    <row r="5" spans="1:28" ht="14" x14ac:dyDescent="0.3">
      <c r="A5" s="757" t="s">
        <v>547</v>
      </c>
      <c r="B5" s="757"/>
      <c r="C5" s="757"/>
      <c r="D5" s="757"/>
      <c r="E5" s="757"/>
      <c r="F5" s="757"/>
      <c r="G5" s="757"/>
      <c r="H5" s="757"/>
      <c r="I5" s="757"/>
      <c r="J5" s="757"/>
      <c r="K5" s="757"/>
      <c r="L5" s="757"/>
      <c r="M5" s="757"/>
      <c r="N5" s="330"/>
    </row>
    <row r="6" spans="1:28" ht="14" x14ac:dyDescent="0.3">
      <c r="A6" s="757" t="s">
        <v>621</v>
      </c>
      <c r="B6" s="757"/>
      <c r="C6" s="757"/>
      <c r="D6" s="757"/>
      <c r="E6" s="757"/>
      <c r="F6" s="757"/>
      <c r="G6" s="757"/>
      <c r="H6" s="757"/>
      <c r="I6" s="757"/>
      <c r="J6" s="757"/>
      <c r="K6" s="757"/>
      <c r="L6" s="757"/>
      <c r="M6" s="757"/>
      <c r="N6" s="330"/>
    </row>
    <row r="7" spans="1:28" ht="14" x14ac:dyDescent="0.3">
      <c r="A7" s="533"/>
      <c r="B7" s="533"/>
      <c r="D7" s="330"/>
      <c r="E7" s="330"/>
      <c r="F7" s="330"/>
      <c r="G7" s="330"/>
      <c r="H7" s="534"/>
      <c r="I7" s="534"/>
      <c r="J7" s="534"/>
      <c r="K7" s="534"/>
      <c r="L7" s="330"/>
      <c r="N7" s="330"/>
    </row>
    <row r="8" spans="1:28" ht="14" x14ac:dyDescent="0.3">
      <c r="A8" s="757" t="s">
        <v>506</v>
      </c>
      <c r="B8" s="757"/>
      <c r="C8" s="757"/>
      <c r="D8" s="757"/>
      <c r="E8" s="757"/>
      <c r="F8" s="757"/>
      <c r="G8" s="757"/>
      <c r="H8" s="757"/>
      <c r="I8" s="757"/>
      <c r="J8" s="757"/>
      <c r="K8" s="757"/>
      <c r="L8" s="757"/>
      <c r="M8" s="757"/>
      <c r="N8" s="330"/>
      <c r="AB8" s="535"/>
    </row>
    <row r="9" spans="1:28" ht="14" x14ac:dyDescent="0.3">
      <c r="A9" s="329"/>
      <c r="B9" s="329"/>
      <c r="D9" s="330"/>
      <c r="E9" s="330"/>
      <c r="F9" s="330"/>
      <c r="G9" s="536"/>
      <c r="H9" s="330"/>
      <c r="I9" s="330"/>
      <c r="J9" s="330"/>
      <c r="K9" s="330"/>
      <c r="L9" s="330"/>
      <c r="M9" s="331"/>
      <c r="N9" s="330"/>
    </row>
    <row r="10" spans="1:28" ht="14" x14ac:dyDescent="0.3">
      <c r="A10" s="329"/>
      <c r="B10" s="329"/>
      <c r="D10" s="330"/>
      <c r="E10" s="330"/>
      <c r="F10" s="330"/>
      <c r="G10" s="536"/>
      <c r="H10" s="330"/>
      <c r="I10" s="330"/>
      <c r="J10" s="330"/>
      <c r="K10" s="330"/>
      <c r="L10" s="330"/>
      <c r="M10" s="332"/>
      <c r="N10" s="330"/>
    </row>
    <row r="11" spans="1:28" ht="14" x14ac:dyDescent="0.3">
      <c r="A11" s="329">
        <f>IF(C11&lt;&gt;"",COUNTA($C11:C$11),"")</f>
        <v>1</v>
      </c>
      <c r="B11" s="329"/>
      <c r="C11" s="329" t="s">
        <v>528</v>
      </c>
      <c r="D11" s="758" t="s">
        <v>548</v>
      </c>
      <c r="E11" s="758"/>
      <c r="F11" s="758"/>
      <c r="G11" s="537"/>
      <c r="H11" s="758" t="s">
        <v>549</v>
      </c>
      <c r="I11" s="758"/>
      <c r="J11" s="758"/>
      <c r="K11" s="538"/>
      <c r="L11" s="758" t="s">
        <v>550</v>
      </c>
      <c r="M11" s="758"/>
      <c r="N11" s="330"/>
      <c r="O11" s="335"/>
      <c r="P11" s="335"/>
      <c r="Q11" s="335"/>
      <c r="R11" s="335"/>
      <c r="T11" s="335"/>
      <c r="U11" s="335"/>
      <c r="V11" s="335"/>
      <c r="W11" s="335"/>
    </row>
    <row r="12" spans="1:28" ht="14" x14ac:dyDescent="0.3">
      <c r="A12" s="329">
        <f>IF(C12&lt;&gt;"",COUNTA($C$11:C12),"")</f>
        <v>2</v>
      </c>
      <c r="B12" s="329"/>
      <c r="C12" s="336" t="s">
        <v>551</v>
      </c>
      <c r="D12" s="336" t="s">
        <v>552</v>
      </c>
      <c r="E12" s="336" t="s">
        <v>553</v>
      </c>
      <c r="F12" s="336" t="s">
        <v>47</v>
      </c>
      <c r="G12" s="539"/>
      <c r="H12" s="336" t="str">
        <f>+D12</f>
        <v>Delivery</v>
      </c>
      <c r="I12" s="336" t="str">
        <f>+E12</f>
        <v>Supplier</v>
      </c>
      <c r="J12" s="336" t="str">
        <f>+F12</f>
        <v>Total</v>
      </c>
      <c r="K12" s="539"/>
      <c r="L12" s="336" t="s">
        <v>65</v>
      </c>
      <c r="M12" s="336" t="s">
        <v>325</v>
      </c>
      <c r="N12" s="330"/>
    </row>
    <row r="13" spans="1:28" ht="14" x14ac:dyDescent="0.3">
      <c r="A13" s="329">
        <f>IF(C13&lt;&gt;"",COUNTA($C$11:C13),"")</f>
        <v>3</v>
      </c>
      <c r="B13" s="329"/>
      <c r="C13" s="540">
        <v>50</v>
      </c>
      <c r="D13" s="338">
        <f t="shared" ref="D13:D20" si="0">(+$F$25+SUM($F$26:$F$45)*$C13)</f>
        <v>20.914999999999999</v>
      </c>
      <c r="E13" s="338">
        <f t="shared" ref="E13:E20" si="1">($F$46*$C13)</f>
        <v>5.4295</v>
      </c>
      <c r="F13" s="338">
        <f t="shared" ref="F13:F20" si="2">SUM(D13:E13)</f>
        <v>26.3445</v>
      </c>
      <c r="G13" s="541"/>
      <c r="H13" s="338">
        <f t="shared" ref="H13:H20" si="3">(+$H$25+SUM($H$26:$H$45)*$C13)</f>
        <v>20.5825</v>
      </c>
      <c r="I13" s="338">
        <f t="shared" ref="I13:I20" si="4">($H$46*$C13)</f>
        <v>6.1774999999999993</v>
      </c>
      <c r="J13" s="338">
        <f t="shared" ref="J13:J20" si="5">SUM(H13:I13)</f>
        <v>26.759999999999998</v>
      </c>
      <c r="K13" s="338"/>
      <c r="L13" s="338">
        <f t="shared" ref="L13:L20" si="6">J13-F13</f>
        <v>0.41549999999999798</v>
      </c>
      <c r="M13" s="542">
        <f t="shared" ref="M13:M20" si="7">L13/F13</f>
        <v>1.5771792973865436E-2</v>
      </c>
      <c r="N13" s="543"/>
      <c r="O13" s="339"/>
      <c r="P13" s="339"/>
      <c r="Q13" s="339"/>
      <c r="R13" s="339"/>
      <c r="S13" s="339"/>
      <c r="T13" s="339"/>
      <c r="U13" s="339"/>
      <c r="V13" s="339"/>
      <c r="W13" s="339"/>
      <c r="X13" s="339"/>
    </row>
    <row r="14" spans="1:28" ht="14" x14ac:dyDescent="0.3">
      <c r="A14" s="329">
        <f>IF(C14&lt;&gt;"",COUNTA($C$11:C14),"")</f>
        <v>4</v>
      </c>
      <c r="B14" s="329"/>
      <c r="C14" s="540">
        <v>100</v>
      </c>
      <c r="D14" s="338">
        <f t="shared" si="0"/>
        <v>24.830000000000002</v>
      </c>
      <c r="E14" s="338">
        <f t="shared" si="1"/>
        <v>10.859</v>
      </c>
      <c r="F14" s="338">
        <f t="shared" si="2"/>
        <v>35.689</v>
      </c>
      <c r="G14" s="338"/>
      <c r="H14" s="338">
        <f t="shared" si="3"/>
        <v>24.165000000000003</v>
      </c>
      <c r="I14" s="338">
        <f t="shared" si="4"/>
        <v>12.354999999999999</v>
      </c>
      <c r="J14" s="338">
        <f t="shared" si="5"/>
        <v>36.520000000000003</v>
      </c>
      <c r="K14" s="338"/>
      <c r="L14" s="338">
        <f t="shared" si="6"/>
        <v>0.83100000000000307</v>
      </c>
      <c r="M14" s="542">
        <f t="shared" si="7"/>
        <v>2.3284485415674384E-2</v>
      </c>
      <c r="N14" s="543"/>
      <c r="O14" s="339"/>
      <c r="P14" s="339"/>
      <c r="Q14" s="339"/>
      <c r="R14" s="339"/>
      <c r="S14" s="339"/>
      <c r="T14" s="339"/>
      <c r="U14" s="339"/>
      <c r="V14" s="339"/>
      <c r="W14" s="339"/>
      <c r="X14" s="339"/>
    </row>
    <row r="15" spans="1:28" ht="14" x14ac:dyDescent="0.3">
      <c r="A15" s="329">
        <f>IF(C15&lt;&gt;"",COUNTA($C$11:C15),"")</f>
        <v>5</v>
      </c>
      <c r="B15" s="329"/>
      <c r="C15" s="540">
        <v>150</v>
      </c>
      <c r="D15" s="338">
        <f t="shared" si="0"/>
        <v>28.745000000000001</v>
      </c>
      <c r="E15" s="338">
        <f t="shared" si="1"/>
        <v>16.288500000000003</v>
      </c>
      <c r="F15" s="338">
        <f t="shared" si="2"/>
        <v>45.033500000000004</v>
      </c>
      <c r="G15" s="338"/>
      <c r="H15" s="338">
        <f t="shared" si="3"/>
        <v>27.747500000000002</v>
      </c>
      <c r="I15" s="338">
        <f t="shared" si="4"/>
        <v>18.532499999999999</v>
      </c>
      <c r="J15" s="338">
        <f t="shared" si="5"/>
        <v>46.28</v>
      </c>
      <c r="K15" s="338"/>
      <c r="L15" s="338">
        <f t="shared" si="6"/>
        <v>1.2464999999999975</v>
      </c>
      <c r="M15" s="542">
        <f t="shared" si="7"/>
        <v>2.7679394228740769E-2</v>
      </c>
      <c r="N15" s="543"/>
      <c r="O15" s="339"/>
      <c r="P15" s="339"/>
      <c r="Q15" s="339"/>
      <c r="R15" s="339"/>
      <c r="S15" s="339"/>
      <c r="T15" s="339"/>
      <c r="U15" s="339"/>
      <c r="V15" s="339"/>
      <c r="W15" s="339"/>
      <c r="X15" s="339"/>
    </row>
    <row r="16" spans="1:28" ht="14" x14ac:dyDescent="0.3">
      <c r="A16" s="329">
        <f>IF(C16&lt;&gt;"",COUNTA($C$11:C16),"")</f>
        <v>6</v>
      </c>
      <c r="B16" s="329"/>
      <c r="C16" s="540">
        <v>300</v>
      </c>
      <c r="D16" s="338">
        <f t="shared" si="0"/>
        <v>40.49</v>
      </c>
      <c r="E16" s="338">
        <f t="shared" si="1"/>
        <v>32.577000000000005</v>
      </c>
      <c r="F16" s="338">
        <f t="shared" si="2"/>
        <v>73.067000000000007</v>
      </c>
      <c r="G16" s="338"/>
      <c r="H16" s="338">
        <f t="shared" si="3"/>
        <v>38.495000000000005</v>
      </c>
      <c r="I16" s="338">
        <f t="shared" si="4"/>
        <v>37.064999999999998</v>
      </c>
      <c r="J16" s="338">
        <f t="shared" si="5"/>
        <v>75.56</v>
      </c>
      <c r="K16" s="338"/>
      <c r="L16" s="338">
        <f t="shared" si="6"/>
        <v>2.492999999999995</v>
      </c>
      <c r="M16" s="542">
        <f t="shared" si="7"/>
        <v>3.4119369893385453E-2</v>
      </c>
      <c r="N16" s="543"/>
      <c r="O16" s="339"/>
      <c r="P16" s="339"/>
      <c r="Q16" s="339"/>
      <c r="R16" s="339"/>
      <c r="S16" s="339"/>
      <c r="T16" s="339"/>
      <c r="U16" s="339"/>
      <c r="V16" s="339"/>
      <c r="W16" s="339"/>
      <c r="X16" s="339"/>
    </row>
    <row r="17" spans="1:24" ht="14" x14ac:dyDescent="0.3">
      <c r="A17" s="329">
        <f>IF(C17&lt;&gt;"",COUNTA($C$11:C17),"")</f>
        <v>7</v>
      </c>
      <c r="B17" s="329"/>
      <c r="C17" s="540">
        <v>500</v>
      </c>
      <c r="D17" s="338">
        <f t="shared" si="0"/>
        <v>56.150000000000006</v>
      </c>
      <c r="E17" s="338">
        <f t="shared" si="1"/>
        <v>54.295000000000002</v>
      </c>
      <c r="F17" s="338">
        <f t="shared" si="2"/>
        <v>110.44500000000001</v>
      </c>
      <c r="G17" s="338"/>
      <c r="H17" s="338">
        <f t="shared" si="3"/>
        <v>52.82500000000001</v>
      </c>
      <c r="I17" s="338">
        <f t="shared" si="4"/>
        <v>61.774999999999999</v>
      </c>
      <c r="J17" s="338">
        <f t="shared" si="5"/>
        <v>114.60000000000001</v>
      </c>
      <c r="K17" s="338"/>
      <c r="L17" s="338">
        <f t="shared" si="6"/>
        <v>4.1550000000000011</v>
      </c>
      <c r="M17" s="542">
        <f t="shared" si="7"/>
        <v>3.7620535107972301E-2</v>
      </c>
      <c r="N17" s="543"/>
      <c r="O17" s="339"/>
      <c r="P17" s="339"/>
      <c r="Q17" s="339"/>
      <c r="R17" s="339"/>
      <c r="S17" s="339"/>
      <c r="T17" s="339"/>
      <c r="U17" s="339"/>
      <c r="V17" s="339"/>
      <c r="W17" s="339"/>
      <c r="X17" s="339"/>
    </row>
    <row r="18" spans="1:24" ht="14" x14ac:dyDescent="0.3">
      <c r="A18" s="329">
        <f>IF(C18&lt;&gt;"",COUNTA($C$11:C18),"")</f>
        <v>8</v>
      </c>
      <c r="B18" s="329"/>
      <c r="C18" s="540">
        <v>1000</v>
      </c>
      <c r="D18" s="338">
        <f t="shared" si="0"/>
        <v>95.300000000000011</v>
      </c>
      <c r="E18" s="338">
        <f t="shared" si="1"/>
        <v>108.59</v>
      </c>
      <c r="F18" s="338">
        <f t="shared" si="2"/>
        <v>203.89000000000001</v>
      </c>
      <c r="G18" s="338"/>
      <c r="H18" s="338">
        <f t="shared" si="3"/>
        <v>88.65000000000002</v>
      </c>
      <c r="I18" s="338">
        <f t="shared" si="4"/>
        <v>123.55</v>
      </c>
      <c r="J18" s="338">
        <f t="shared" si="5"/>
        <v>212.20000000000002</v>
      </c>
      <c r="K18" s="338"/>
      <c r="L18" s="338">
        <f t="shared" si="6"/>
        <v>8.3100000000000023</v>
      </c>
      <c r="M18" s="542">
        <f t="shared" si="7"/>
        <v>4.0757271077541818E-2</v>
      </c>
      <c r="N18" s="543"/>
      <c r="O18" s="339"/>
      <c r="P18" s="339"/>
      <c r="Q18" s="339"/>
      <c r="R18" s="339"/>
      <c r="S18" s="339"/>
      <c r="T18" s="339"/>
      <c r="U18" s="339"/>
      <c r="V18" s="339"/>
      <c r="W18" s="339"/>
      <c r="X18" s="339"/>
    </row>
    <row r="19" spans="1:24" ht="14" x14ac:dyDescent="0.3">
      <c r="A19" s="329">
        <f>IF(C19&lt;&gt;"",COUNTA($C$11:C19),"")</f>
        <v>9</v>
      </c>
      <c r="B19" s="329"/>
      <c r="C19" s="540">
        <v>2000</v>
      </c>
      <c r="D19" s="338">
        <f t="shared" si="0"/>
        <v>173.60000000000002</v>
      </c>
      <c r="E19" s="338">
        <f t="shared" si="1"/>
        <v>217.18</v>
      </c>
      <c r="F19" s="338">
        <f t="shared" si="2"/>
        <v>390.78000000000003</v>
      </c>
      <c r="G19" s="338"/>
      <c r="H19" s="338">
        <f t="shared" si="3"/>
        <v>160.30000000000004</v>
      </c>
      <c r="I19" s="338">
        <f t="shared" si="4"/>
        <v>247.1</v>
      </c>
      <c r="J19" s="338">
        <f t="shared" si="5"/>
        <v>407.40000000000003</v>
      </c>
      <c r="K19" s="338"/>
      <c r="L19" s="338">
        <f t="shared" si="6"/>
        <v>16.620000000000005</v>
      </c>
      <c r="M19" s="542">
        <f t="shared" si="7"/>
        <v>4.2530323967449726E-2</v>
      </c>
      <c r="N19" s="543"/>
      <c r="O19" s="339"/>
      <c r="P19" s="339"/>
      <c r="Q19" s="339"/>
      <c r="R19" s="339"/>
      <c r="S19" s="339"/>
      <c r="T19" s="339"/>
      <c r="U19" s="339"/>
      <c r="V19" s="339"/>
      <c r="W19" s="339"/>
      <c r="X19" s="339"/>
    </row>
    <row r="20" spans="1:24" ht="14" x14ac:dyDescent="0.3">
      <c r="A20" s="329">
        <f>IF(C20&lt;&gt;"",COUNTA($C$11:C20),"")</f>
        <v>10</v>
      </c>
      <c r="B20" s="544" t="s">
        <v>554</v>
      </c>
      <c r="C20" s="540">
        <v>644</v>
      </c>
      <c r="D20" s="338">
        <f t="shared" si="0"/>
        <v>67.425200000000004</v>
      </c>
      <c r="E20" s="338">
        <f t="shared" si="1"/>
        <v>69.931960000000004</v>
      </c>
      <c r="F20" s="338">
        <f t="shared" si="2"/>
        <v>137.35716000000002</v>
      </c>
      <c r="G20" s="338"/>
      <c r="H20" s="338">
        <f t="shared" si="3"/>
        <v>63.142600000000016</v>
      </c>
      <c r="I20" s="338">
        <f t="shared" si="4"/>
        <v>79.566199999999995</v>
      </c>
      <c r="J20" s="338">
        <f t="shared" si="5"/>
        <v>142.7088</v>
      </c>
      <c r="K20" s="338"/>
      <c r="L20" s="338">
        <f t="shared" si="6"/>
        <v>5.3516399999999749</v>
      </c>
      <c r="M20" s="542">
        <f t="shared" si="7"/>
        <v>3.89614927973174E-2</v>
      </c>
      <c r="O20" s="339"/>
      <c r="P20" s="339"/>
      <c r="Q20" s="339"/>
      <c r="R20" s="339"/>
      <c r="S20" s="339"/>
      <c r="T20" s="339"/>
      <c r="U20" s="339"/>
      <c r="V20" s="339"/>
      <c r="W20" s="339"/>
      <c r="X20" s="339"/>
    </row>
    <row r="21" spans="1:24" ht="14" x14ac:dyDescent="0.3">
      <c r="A21" s="329"/>
      <c r="B21" s="545"/>
      <c r="C21" s="545"/>
      <c r="D21" s="344"/>
      <c r="E21" s="344"/>
      <c r="F21" s="344"/>
      <c r="G21" s="344"/>
      <c r="H21" s="344"/>
      <c r="I21" s="344"/>
      <c r="J21" s="344"/>
      <c r="K21" s="344"/>
      <c r="L21" s="344"/>
      <c r="M21" s="546"/>
      <c r="O21" s="339"/>
      <c r="P21" s="339"/>
    </row>
    <row r="22" spans="1:24" ht="14" x14ac:dyDescent="0.3">
      <c r="A22" s="329" t="str">
        <f>IF(C22&lt;&gt;"",COUNTA($C$11:C22),"")</f>
        <v/>
      </c>
      <c r="B22" s="329"/>
      <c r="C22" s="330"/>
      <c r="D22" s="361"/>
      <c r="E22" s="361"/>
      <c r="F22" s="361"/>
      <c r="G22" s="361"/>
      <c r="H22" s="361"/>
      <c r="I22" s="361"/>
      <c r="J22" s="361"/>
      <c r="K22" s="361"/>
      <c r="L22" s="361"/>
      <c r="M22" s="547"/>
      <c r="N22" s="536"/>
    </row>
    <row r="23" spans="1:24" ht="14" x14ac:dyDescent="0.3">
      <c r="A23" s="329">
        <f>IF(C23&lt;&gt;"",COUNTA($C$11:C23),"")</f>
        <v>11</v>
      </c>
      <c r="B23" s="329"/>
      <c r="C23" s="330" t="s">
        <v>46</v>
      </c>
      <c r="D23" s="361"/>
      <c r="E23" s="361"/>
      <c r="F23" s="508" t="str">
        <f>+'Bill_Cam G0'!F27</f>
        <v>Current</v>
      </c>
      <c r="G23" s="508"/>
      <c r="H23" s="508" t="str">
        <f>+'Bill_Cam G0'!H27</f>
        <v>Proposed</v>
      </c>
      <c r="I23" s="348"/>
      <c r="J23" s="548"/>
      <c r="K23" s="339"/>
      <c r="L23" s="339"/>
      <c r="M23" s="332"/>
      <c r="N23" s="330"/>
    </row>
    <row r="24" spans="1:24" ht="17" x14ac:dyDescent="0.6">
      <c r="A24" s="329">
        <f>IF(C24&lt;&gt;"",COUNTA($C$11:C24),"")</f>
        <v>12</v>
      </c>
      <c r="B24" s="329"/>
      <c r="C24" s="274" t="s">
        <v>46</v>
      </c>
      <c r="D24" s="361"/>
      <c r="E24" s="361"/>
      <c r="F24" s="510" t="str">
        <f>+'Bill_Cam G0'!F28</f>
        <v>Rates</v>
      </c>
      <c r="G24" s="510"/>
      <c r="H24" s="510" t="str">
        <f>+'Bill_Cam G0'!H28</f>
        <v>Rates</v>
      </c>
      <c r="I24" s="510" t="str">
        <f>+'Bill_Cam G0'!I28</f>
        <v>Change</v>
      </c>
      <c r="J24" s="549"/>
      <c r="K24" s="339"/>
      <c r="L24" s="339"/>
      <c r="M24" s="332"/>
      <c r="N24" s="330"/>
    </row>
    <row r="25" spans="1:24" ht="14" x14ac:dyDescent="0.3">
      <c r="A25" s="329">
        <f>IF(C25&lt;&gt;"",COUNTA($C$11:C25),"")</f>
        <v>13</v>
      </c>
      <c r="B25" s="329"/>
      <c r="C25" s="330" t="str">
        <f>+'Bill_Cam G0'!C29</f>
        <v>Customer Charge</v>
      </c>
      <c r="D25" s="483"/>
      <c r="E25" s="483"/>
      <c r="F25" s="454">
        <v>17</v>
      </c>
      <c r="G25" s="550"/>
      <c r="H25" s="454">
        <f>F25</f>
        <v>17</v>
      </c>
      <c r="I25" s="354">
        <f>+H25-F25</f>
        <v>0</v>
      </c>
      <c r="J25" s="339"/>
      <c r="K25" s="339"/>
      <c r="L25" s="339"/>
      <c r="M25" s="332"/>
      <c r="N25" s="330"/>
    </row>
    <row r="26" spans="1:24" ht="14" x14ac:dyDescent="0.3">
      <c r="A26" s="329">
        <f>IF(C26&lt;&gt;"",COUNTA($C$11:C26),"")</f>
        <v>14</v>
      </c>
      <c r="B26" s="329"/>
      <c r="C26" s="330" t="str">
        <f>+'Bill_Cam G0'!C30</f>
        <v>Distribution Energy</v>
      </c>
      <c r="D26" s="483"/>
      <c r="E26" s="483"/>
      <c r="F26" s="308">
        <v>2.3990000000000001E-2</v>
      </c>
      <c r="G26" s="404"/>
      <c r="H26" s="308">
        <v>2.5739999999999999E-2</v>
      </c>
      <c r="I26" s="354">
        <f t="shared" ref="I26:I46" si="8">+H26-F26</f>
        <v>1.7499999999999981E-3</v>
      </c>
      <c r="J26" s="339"/>
      <c r="K26" s="339"/>
      <c r="L26" s="339"/>
      <c r="N26" s="330"/>
    </row>
    <row r="27" spans="1:24" ht="14" x14ac:dyDescent="0.3">
      <c r="A27" s="329">
        <f>IF(C27&lt;&gt;"",COUNTA($C$11:C27),"")</f>
        <v>15</v>
      </c>
      <c r="B27" s="329"/>
      <c r="C27" s="330" t="str">
        <f>+'Bill_Cam G0'!C31</f>
        <v>Revenue Decoupling</v>
      </c>
      <c r="D27" s="339"/>
      <c r="E27" s="339"/>
      <c r="F27" s="308">
        <v>5.6999999999999998E-4</v>
      </c>
      <c r="G27" s="400"/>
      <c r="H27" s="277">
        <v>-4.2999999999999999E-4</v>
      </c>
      <c r="I27" s="354">
        <f t="shared" si="8"/>
        <v>-1E-3</v>
      </c>
      <c r="J27" s="339"/>
      <c r="K27" s="339"/>
      <c r="L27" s="339"/>
      <c r="N27" s="330"/>
    </row>
    <row r="28" spans="1:24" ht="14" x14ac:dyDescent="0.3">
      <c r="A28" s="329">
        <f>IF(C28&lt;&gt;"",COUNTA($C$11:C28),"")</f>
        <v>16</v>
      </c>
      <c r="B28" s="329"/>
      <c r="C28" s="330" t="str">
        <f>+'Bill_Cam G0'!C32</f>
        <v>Residential Assistance Adjustment Factor</v>
      </c>
      <c r="D28" s="483"/>
      <c r="E28" s="483"/>
      <c r="F28" s="277">
        <v>1.0189999999999999E-2</v>
      </c>
      <c r="G28" s="400"/>
      <c r="H28" s="277">
        <v>3.65E-3</v>
      </c>
      <c r="I28" s="354">
        <f t="shared" si="8"/>
        <v>-6.5399999999999989E-3</v>
      </c>
      <c r="J28" s="339"/>
      <c r="K28" s="339"/>
      <c r="L28" s="339"/>
      <c r="M28" s="551"/>
      <c r="N28" s="330"/>
    </row>
    <row r="29" spans="1:24" ht="14" x14ac:dyDescent="0.3">
      <c r="A29" s="329">
        <f>IF(C29&lt;&gt;"",COUNTA($C$11:C29),"")</f>
        <v>17</v>
      </c>
      <c r="B29" s="329"/>
      <c r="C29" s="330" t="str">
        <f>+'Bill_Cam G0'!C33</f>
        <v>Pension Adjustment Factor</v>
      </c>
      <c r="D29" s="483"/>
      <c r="E29" s="483"/>
      <c r="F29" s="277">
        <v>1.1100000000000001E-3</v>
      </c>
      <c r="G29" s="400"/>
      <c r="H29" s="277">
        <v>6.4000000000000005E-4</v>
      </c>
      <c r="I29" s="354">
        <f t="shared" si="8"/>
        <v>-4.7000000000000004E-4</v>
      </c>
      <c r="J29" s="339"/>
      <c r="K29" s="339"/>
      <c r="L29" s="339"/>
      <c r="M29" s="551"/>
      <c r="N29" s="330"/>
    </row>
    <row r="30" spans="1:24" ht="14" x14ac:dyDescent="0.3">
      <c r="A30" s="329">
        <f>IF(C30&lt;&gt;"",COUNTA($C$11:C30),"")</f>
        <v>18</v>
      </c>
      <c r="B30" s="329"/>
      <c r="C30" s="330" t="str">
        <f>+'Bill_Cam G0'!C34</f>
        <v>Net Metering Recovery Surcharge</v>
      </c>
      <c r="D30" s="483"/>
      <c r="E30" s="483"/>
      <c r="F30" s="277">
        <v>4.4299999999999999E-3</v>
      </c>
      <c r="G30" s="400"/>
      <c r="H30" s="277">
        <v>4.7699999999999999E-3</v>
      </c>
      <c r="I30" s="354">
        <f t="shared" si="8"/>
        <v>3.4000000000000002E-4</v>
      </c>
      <c r="J30" s="339"/>
      <c r="K30" s="339"/>
      <c r="L30" s="339"/>
      <c r="M30" s="552"/>
      <c r="N30" s="330"/>
    </row>
    <row r="31" spans="1:24" ht="14" x14ac:dyDescent="0.3">
      <c r="A31" s="329">
        <f>IF(C31&lt;&gt;"",COUNTA($C$11:C31),"")</f>
        <v>19</v>
      </c>
      <c r="B31" s="329"/>
      <c r="C31" s="330" t="str">
        <f>+'Bill_Cam G0'!C35</f>
        <v>Long Term Renewable Contract Adjustment</v>
      </c>
      <c r="D31" s="339"/>
      <c r="E31" s="339"/>
      <c r="F31" s="277">
        <v>3.31E-3</v>
      </c>
      <c r="G31" s="400"/>
      <c r="H31" s="277">
        <v>1.74E-3</v>
      </c>
      <c r="I31" s="354">
        <f t="shared" si="8"/>
        <v>-1.57E-3</v>
      </c>
      <c r="J31" s="339"/>
      <c r="K31" s="339"/>
      <c r="L31" s="339"/>
      <c r="M31" s="552"/>
      <c r="N31" s="330"/>
    </row>
    <row r="32" spans="1:24" ht="14" x14ac:dyDescent="0.3">
      <c r="A32" s="329">
        <f>IF(C32&lt;&gt;"",COUNTA($C$11:C32),"")</f>
        <v>20</v>
      </c>
      <c r="B32" s="329"/>
      <c r="C32" s="330" t="str">
        <f>+'Bill_Cam G0'!C36</f>
        <v>AG Consulting Expense</v>
      </c>
      <c r="D32" s="483"/>
      <c r="E32" s="483"/>
      <c r="F32" s="277">
        <v>3.0000000000000001E-5</v>
      </c>
      <c r="G32" s="400"/>
      <c r="H32" s="277">
        <v>1.0000000000000001E-5</v>
      </c>
      <c r="I32" s="354">
        <f t="shared" si="8"/>
        <v>-1.9999999999999998E-5</v>
      </c>
      <c r="J32" s="339"/>
      <c r="K32" s="339"/>
      <c r="L32" s="339"/>
      <c r="M32" s="552"/>
      <c r="N32" s="330"/>
    </row>
    <row r="33" spans="1:14" ht="14" x14ac:dyDescent="0.3">
      <c r="A33" s="329">
        <f>IF(C33&lt;&gt;"",COUNTA($C$11:C33),"")</f>
        <v>21</v>
      </c>
      <c r="B33" s="329"/>
      <c r="C33" s="330" t="str">
        <f>+'Bill_Cam G0'!C37</f>
        <v>Storm Cost Recovery Adjustment Factor</v>
      </c>
      <c r="D33" s="483"/>
      <c r="E33" s="483"/>
      <c r="F33" s="277">
        <v>2.3700000000000001E-3</v>
      </c>
      <c r="G33" s="400"/>
      <c r="H33" s="277">
        <v>2.7499999999999998E-3</v>
      </c>
      <c r="I33" s="354">
        <f t="shared" si="8"/>
        <v>3.799999999999997E-4</v>
      </c>
      <c r="J33" s="339"/>
      <c r="K33" s="339"/>
      <c r="L33" s="339"/>
      <c r="M33" s="552"/>
      <c r="N33" s="330"/>
    </row>
    <row r="34" spans="1:14" ht="14" x14ac:dyDescent="0.3">
      <c r="A34" s="329">
        <f>IF(C34&lt;&gt;"",COUNTA($C$11:C34),"")</f>
        <v>22</v>
      </c>
      <c r="B34" s="329"/>
      <c r="C34" s="330" t="str">
        <f>+'Bill_Cam G0'!C38</f>
        <v>Storm Reserve Adjustment</v>
      </c>
      <c r="D34" s="483"/>
      <c r="E34" s="483"/>
      <c r="F34" s="277">
        <v>0</v>
      </c>
      <c r="G34" s="400"/>
      <c r="H34" s="277">
        <v>0</v>
      </c>
      <c r="I34" s="354">
        <f t="shared" si="8"/>
        <v>0</v>
      </c>
      <c r="J34" s="339"/>
      <c r="K34" s="339"/>
      <c r="L34" s="339"/>
      <c r="M34" s="552"/>
      <c r="N34" s="330"/>
    </row>
    <row r="35" spans="1:14" ht="14" x14ac:dyDescent="0.3">
      <c r="A35" s="329">
        <f>IF(C35&lt;&gt;"",COUNTA($C$11:C35),"")</f>
        <v>23</v>
      </c>
      <c r="B35" s="329"/>
      <c r="C35" s="330" t="str">
        <f>+'Bill_Cam G0'!C39</f>
        <v>Basic Service Cost True Up Factor</v>
      </c>
      <c r="D35" s="483"/>
      <c r="E35" s="483"/>
      <c r="F35" s="277">
        <v>2.1000000000000001E-4</v>
      </c>
      <c r="G35" s="400"/>
      <c r="H35" s="277">
        <v>-1.8000000000000001E-4</v>
      </c>
      <c r="I35" s="354">
        <f t="shared" si="8"/>
        <v>-3.9000000000000005E-4</v>
      </c>
      <c r="J35" s="339"/>
      <c r="K35" s="339"/>
      <c r="L35" s="339"/>
      <c r="M35" s="552"/>
      <c r="N35" s="330"/>
    </row>
    <row r="36" spans="1:14" ht="14" x14ac:dyDescent="0.3">
      <c r="A36" s="329">
        <f>IF(C36&lt;&gt;"",COUNTA($C$11:C36),"")</f>
        <v>24</v>
      </c>
      <c r="B36" s="329"/>
      <c r="C36" s="330" t="str">
        <f>+'Bill_Cam G0'!C40</f>
        <v>Solar Program Cost Adjustment Factor</v>
      </c>
      <c r="D36" s="483"/>
      <c r="E36" s="483"/>
      <c r="F36" s="277">
        <v>-1.2999999999999999E-4</v>
      </c>
      <c r="G36" s="400"/>
      <c r="H36" s="277">
        <v>3.0000000000000001E-5</v>
      </c>
      <c r="I36" s="354">
        <f t="shared" si="8"/>
        <v>1.5999999999999999E-4</v>
      </c>
      <c r="J36" s="339"/>
      <c r="K36" s="339"/>
      <c r="L36" s="339"/>
      <c r="N36" s="330"/>
    </row>
    <row r="37" spans="1:14" ht="14" x14ac:dyDescent="0.3">
      <c r="A37" s="329">
        <f>IF(C37&lt;&gt;"",COUNTA($C$11:C37),"")</f>
        <v>25</v>
      </c>
      <c r="B37" s="329"/>
      <c r="C37" s="330" t="str">
        <f>+'Bill_Cam G0'!C41</f>
        <v>Solar Expansion Cost Recovery Factor</v>
      </c>
      <c r="D37" s="483"/>
      <c r="E37" s="483"/>
      <c r="F37" s="277">
        <v>0</v>
      </c>
      <c r="G37" s="400"/>
      <c r="H37" s="277">
        <v>5.6999999999999998E-4</v>
      </c>
      <c r="I37" s="354">
        <f t="shared" si="8"/>
        <v>5.6999999999999998E-4</v>
      </c>
      <c r="J37" s="339"/>
      <c r="K37" s="339"/>
      <c r="L37" s="339"/>
      <c r="N37" s="330"/>
    </row>
    <row r="38" spans="1:14" ht="14" x14ac:dyDescent="0.3">
      <c r="A38" s="329">
        <f>IF(C38&lt;&gt;"",COUNTA($C$11:C38),"")</f>
        <v>26</v>
      </c>
      <c r="B38" s="329"/>
      <c r="C38" s="330" t="str">
        <f>+'Bill_Cam G0'!C42</f>
        <v>Vegetation Management</v>
      </c>
      <c r="D38" s="483"/>
      <c r="E38" s="483"/>
      <c r="F38" s="277">
        <v>0</v>
      </c>
      <c r="G38" s="400"/>
      <c r="H38" s="277">
        <v>1.14E-3</v>
      </c>
      <c r="I38" s="354">
        <f t="shared" si="8"/>
        <v>1.14E-3</v>
      </c>
      <c r="J38" s="339"/>
      <c r="K38" s="339"/>
      <c r="L38" s="339"/>
      <c r="N38" s="330"/>
    </row>
    <row r="39" spans="1:14" ht="14" x14ac:dyDescent="0.3">
      <c r="A39" s="329">
        <f>IF(C39&lt;&gt;"",COUNTA($C$11:C39),"")</f>
        <v>27</v>
      </c>
      <c r="B39" s="329"/>
      <c r="C39" s="330" t="str">
        <f>+'Bill_Cam G0'!C43</f>
        <v>Solar Massachusetts Renewable Target</v>
      </c>
      <c r="D39" s="339"/>
      <c r="E39" s="339"/>
      <c r="F39" s="277">
        <v>0</v>
      </c>
      <c r="G39" s="277"/>
      <c r="H39" s="277">
        <v>6.7000000000000002E-4</v>
      </c>
      <c r="I39" s="354">
        <f t="shared" si="8"/>
        <v>6.7000000000000002E-4</v>
      </c>
      <c r="J39" s="339"/>
      <c r="K39" s="339"/>
      <c r="L39" s="339"/>
    </row>
    <row r="40" spans="1:14" ht="14" x14ac:dyDescent="0.3">
      <c r="A40" s="329">
        <f>IF(C40&lt;&gt;"",COUNTA($C$11:C40),"")</f>
        <v>28</v>
      </c>
      <c r="B40" s="329"/>
      <c r="C40" s="330" t="str">
        <f>+'Bill_Cam G0'!C44</f>
        <v>Tax Act Credit Factor</v>
      </c>
      <c r="D40" s="339"/>
      <c r="E40" s="339"/>
      <c r="F40" s="277">
        <v>0</v>
      </c>
      <c r="G40" s="277"/>
      <c r="H40" s="277">
        <v>-1.01E-3</v>
      </c>
      <c r="I40" s="354">
        <f t="shared" si="8"/>
        <v>-1.01E-3</v>
      </c>
      <c r="J40" s="339"/>
      <c r="K40" s="339"/>
      <c r="L40" s="339"/>
    </row>
    <row r="41" spans="1:14" ht="14" x14ac:dyDescent="0.3">
      <c r="A41" s="329">
        <f>IF(C41&lt;&gt;"",COUNTA($C$11:C41),"")</f>
        <v>29</v>
      </c>
      <c r="B41" s="329"/>
      <c r="C41" s="330" t="str">
        <f>+'Bill_Cam G0'!C45</f>
        <v>Transition</v>
      </c>
      <c r="D41" s="483"/>
      <c r="E41" s="483"/>
      <c r="F41" s="308">
        <v>-1.7099999999999999E-3</v>
      </c>
      <c r="G41" s="400"/>
      <c r="H41" s="277">
        <v>-5.1999999999999995E-4</v>
      </c>
      <c r="I41" s="354">
        <f t="shared" si="8"/>
        <v>1.1900000000000001E-3</v>
      </c>
      <c r="J41" s="339"/>
      <c r="K41" s="339"/>
      <c r="L41" s="339"/>
      <c r="N41" s="330"/>
    </row>
    <row r="42" spans="1:14" ht="14" x14ac:dyDescent="0.3">
      <c r="A42" s="329">
        <f>IF(C42&lt;&gt;"",COUNTA($C$11:C42),"")</f>
        <v>30</v>
      </c>
      <c r="B42" s="329"/>
      <c r="C42" s="330" t="str">
        <f>+'Bill_Cam G0'!C46</f>
        <v>Transmission Energy</v>
      </c>
      <c r="D42" s="483"/>
      <c r="E42" s="483"/>
      <c r="F42" s="308">
        <v>2.121E-2</v>
      </c>
      <c r="G42" s="404"/>
      <c r="H42" s="308">
        <v>1.9359999999999999E-2</v>
      </c>
      <c r="I42" s="354">
        <f t="shared" si="8"/>
        <v>-1.8500000000000009E-3</v>
      </c>
      <c r="J42" s="339"/>
      <c r="K42" s="339"/>
      <c r="L42" s="339"/>
      <c r="N42" s="330"/>
    </row>
    <row r="43" spans="1:14" ht="14" x14ac:dyDescent="0.3">
      <c r="A43" s="329">
        <f>IF(C43&lt;&gt;"",COUNTA($C$11:C43),"")</f>
        <v>31</v>
      </c>
      <c r="B43" s="329"/>
      <c r="C43" s="330" t="str">
        <f>+'Bill_Cam G0'!C47</f>
        <v>Energy Efficiency Reconciliation Factor</v>
      </c>
      <c r="D43" s="339"/>
      <c r="E43" s="339"/>
      <c r="F43" s="308">
        <v>9.7199999999999995E-3</v>
      </c>
      <c r="G43" s="404"/>
      <c r="H43" s="308">
        <v>9.7199999999999995E-3</v>
      </c>
      <c r="I43" s="354">
        <f t="shared" si="8"/>
        <v>0</v>
      </c>
      <c r="J43" s="339"/>
      <c r="K43" s="339"/>
      <c r="L43" s="339"/>
      <c r="N43" s="330"/>
    </row>
    <row r="44" spans="1:14" ht="14" x14ac:dyDescent="0.3">
      <c r="A44" s="329">
        <f>IF(C44&lt;&gt;"",COUNTA($C$11:C44),"")</f>
        <v>32</v>
      </c>
      <c r="B44" s="329"/>
      <c r="C44" s="330" t="str">
        <f>+'Bill_Cam G0'!C48</f>
        <v>System Benefits Charge</v>
      </c>
      <c r="D44" s="483"/>
      <c r="E44" s="483"/>
      <c r="F44" s="308">
        <v>2.5000000000000001E-3</v>
      </c>
      <c r="G44" s="404"/>
      <c r="H44" s="308">
        <f>F44</f>
        <v>2.5000000000000001E-3</v>
      </c>
      <c r="I44" s="354">
        <f t="shared" si="8"/>
        <v>0</v>
      </c>
      <c r="J44" s="339"/>
      <c r="K44" s="339"/>
      <c r="L44" s="339"/>
      <c r="N44" s="330"/>
    </row>
    <row r="45" spans="1:14" ht="14" x14ac:dyDescent="0.3">
      <c r="A45" s="329">
        <f>IF(C45&lt;&gt;"",COUNTA($C$11:C45),"")</f>
        <v>33</v>
      </c>
      <c r="B45" s="329"/>
      <c r="C45" s="330" t="str">
        <f>+'Bill_Cam G0'!C49</f>
        <v>Renewable Energy Charge</v>
      </c>
      <c r="D45" s="483"/>
      <c r="E45" s="483"/>
      <c r="F45" s="308">
        <v>5.0000000000000001E-4</v>
      </c>
      <c r="G45" s="404"/>
      <c r="H45" s="308">
        <f>F45</f>
        <v>5.0000000000000001E-4</v>
      </c>
      <c r="I45" s="354">
        <f t="shared" si="8"/>
        <v>0</v>
      </c>
      <c r="J45" s="339"/>
      <c r="K45" s="339"/>
      <c r="L45" s="339"/>
      <c r="N45" s="330"/>
    </row>
    <row r="46" spans="1:14" ht="14" x14ac:dyDescent="0.3">
      <c r="A46" s="329">
        <f>IF(C46&lt;&gt;"",COUNTA($C$11:C46),"")</f>
        <v>34</v>
      </c>
      <c r="B46" s="329"/>
      <c r="C46" s="330" t="str">
        <f>+'Bill_Cam G0'!C50</f>
        <v>Basic Service Charge</v>
      </c>
      <c r="D46" s="483"/>
      <c r="E46" s="483"/>
      <c r="F46" s="308">
        <v>0.10859000000000001</v>
      </c>
      <c r="G46" s="404"/>
      <c r="H46" s="308">
        <v>0.12354999999999999</v>
      </c>
      <c r="I46" s="354">
        <f t="shared" si="8"/>
        <v>1.4959999999999987E-2</v>
      </c>
      <c r="J46" s="339"/>
      <c r="K46" s="339"/>
      <c r="L46" s="339"/>
      <c r="M46" s="335"/>
    </row>
    <row r="47" spans="1:14" ht="14" x14ac:dyDescent="0.3">
      <c r="D47" s="339"/>
      <c r="E47" s="339"/>
      <c r="F47" s="356"/>
      <c r="G47" s="356"/>
      <c r="H47" s="356"/>
      <c r="I47" s="354"/>
      <c r="J47" s="339"/>
      <c r="K47" s="339"/>
      <c r="L47" s="339"/>
    </row>
    <row r="48" spans="1:14" ht="14" x14ac:dyDescent="0.3">
      <c r="D48" s="339"/>
      <c r="E48" s="339"/>
      <c r="F48" s="356"/>
      <c r="G48" s="356"/>
      <c r="H48" s="356"/>
      <c r="I48" s="354"/>
      <c r="J48" s="339"/>
      <c r="K48" s="339"/>
      <c r="L48" s="339"/>
    </row>
    <row r="49" spans="3:12" ht="14" x14ac:dyDescent="0.3">
      <c r="C49" s="330" t="str">
        <f>+'Bill_Cam G0'!C53</f>
        <v>Total Energy</v>
      </c>
      <c r="D49" s="339"/>
      <c r="E49" s="339"/>
      <c r="F49" s="356">
        <f>SUM(F26:F45)</f>
        <v>7.8300000000000008E-2</v>
      </c>
      <c r="G49" s="356"/>
      <c r="H49" s="356">
        <f>SUM(H26:H45)</f>
        <v>7.1650000000000019E-2</v>
      </c>
      <c r="I49" s="354">
        <f t="shared" ref="I49:I50" si="9">+H49-F49</f>
        <v>-6.6499999999999893E-3</v>
      </c>
      <c r="J49" s="339"/>
      <c r="K49" s="339"/>
      <c r="L49" s="339"/>
    </row>
    <row r="50" spans="3:12" ht="14" x14ac:dyDescent="0.3">
      <c r="C50" s="330" t="str">
        <f>+'Bill_Cam G0'!C54</f>
        <v>Total Basic Service</v>
      </c>
      <c r="D50" s="339"/>
      <c r="E50" s="339"/>
      <c r="F50" s="356">
        <f>+F46</f>
        <v>0.10859000000000001</v>
      </c>
      <c r="G50" s="356"/>
      <c r="H50" s="356">
        <f>+H46</f>
        <v>0.12354999999999999</v>
      </c>
      <c r="I50" s="354">
        <f t="shared" si="9"/>
        <v>1.4959999999999987E-2</v>
      </c>
      <c r="J50" s="339"/>
      <c r="K50" s="339"/>
      <c r="L50" s="339"/>
    </row>
    <row r="51" spans="3:12" ht="14" x14ac:dyDescent="0.3">
      <c r="D51" s="339"/>
      <c r="E51" s="339"/>
      <c r="F51" s="339"/>
      <c r="G51" s="339"/>
      <c r="H51" s="339"/>
      <c r="I51" s="354"/>
      <c r="J51" s="339"/>
      <c r="K51" s="339"/>
      <c r="L51" s="339"/>
    </row>
    <row r="52" spans="3:12" ht="14" x14ac:dyDescent="0.3">
      <c r="D52" s="339"/>
      <c r="E52" s="339"/>
      <c r="F52" s="339"/>
      <c r="G52" s="339"/>
      <c r="H52" s="339"/>
      <c r="I52" s="339"/>
      <c r="J52" s="339"/>
      <c r="K52" s="339"/>
      <c r="L52" s="339"/>
    </row>
    <row r="53" spans="3:12" ht="14" x14ac:dyDescent="0.3">
      <c r="D53" s="339"/>
      <c r="E53" s="339"/>
      <c r="F53" s="339"/>
      <c r="G53" s="339"/>
      <c r="H53" s="339"/>
      <c r="I53" s="339"/>
      <c r="J53" s="339"/>
      <c r="K53" s="339"/>
      <c r="L53" s="339"/>
    </row>
    <row r="54" spans="3:12" ht="14" x14ac:dyDescent="0.3">
      <c r="D54" s="339"/>
      <c r="E54" s="339"/>
      <c r="F54" s="339"/>
      <c r="G54" s="339"/>
      <c r="H54" s="339"/>
      <c r="I54" s="339"/>
      <c r="J54" s="339"/>
      <c r="K54" s="339"/>
      <c r="L54" s="339"/>
    </row>
    <row r="55" spans="3:12" ht="14" x14ac:dyDescent="0.3">
      <c r="D55" s="339"/>
      <c r="E55" s="339"/>
      <c r="F55" s="339"/>
      <c r="G55" s="339"/>
      <c r="H55" s="339"/>
      <c r="I55" s="339"/>
      <c r="J55" s="339"/>
      <c r="K55" s="339"/>
      <c r="L55" s="339"/>
    </row>
  </sheetData>
  <mergeCells count="7">
    <mergeCell ref="A4:M4"/>
    <mergeCell ref="A5:M5"/>
    <mergeCell ref="A6:M6"/>
    <mergeCell ref="A8:M8"/>
    <mergeCell ref="D11:F11"/>
    <mergeCell ref="H11:J11"/>
    <mergeCell ref="L11:M11"/>
  </mergeCells>
  <pageMargins left="0.7" right="0.7" top="0.75" bottom="0.75" header="0.3" footer="0.3"/>
  <pageSetup scale="68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026AD-507B-4604-BBF8-275ED43BD2F5}">
  <sheetPr>
    <tabColor theme="3" tint="0.59999389629810485"/>
    <pageSetUpPr fitToPage="1"/>
  </sheetPr>
  <dimension ref="A1:Z261"/>
  <sheetViews>
    <sheetView zoomScaleNormal="100" workbookViewId="0"/>
  </sheetViews>
  <sheetFormatPr defaultRowHeight="12.5" x14ac:dyDescent="0.25"/>
  <cols>
    <col min="1" max="1" width="4" customWidth="1"/>
    <col min="2" max="2" width="4.453125" bestFit="1" customWidth="1"/>
    <col min="3" max="3" width="9.7265625" customWidth="1"/>
    <col min="4" max="4" width="10.7265625" customWidth="1"/>
    <col min="5" max="7" width="14.54296875" customWidth="1"/>
    <col min="8" max="8" width="1.7265625" customWidth="1"/>
    <col min="9" max="11" width="14.54296875" customWidth="1"/>
    <col min="12" max="12" width="1.7265625" customWidth="1"/>
    <col min="13" max="14" width="11.7265625" customWidth="1"/>
    <col min="15" max="15" width="9.26953125" bestFit="1" customWidth="1"/>
    <col min="16" max="16" width="10.81640625" bestFit="1" customWidth="1"/>
    <col min="17" max="17" width="10.1796875" bestFit="1" customWidth="1"/>
  </cols>
  <sheetData>
    <row r="1" spans="1:26" ht="14" x14ac:dyDescent="0.3">
      <c r="C1" s="527"/>
      <c r="D1" s="527"/>
      <c r="E1" s="553"/>
      <c r="F1" s="553"/>
      <c r="G1" s="528"/>
      <c r="H1" s="554"/>
    </row>
    <row r="2" spans="1:26" ht="14" x14ac:dyDescent="0.3">
      <c r="C2" s="528"/>
      <c r="D2" s="528"/>
      <c r="E2" s="555"/>
      <c r="F2" s="553"/>
      <c r="G2" s="528"/>
      <c r="H2" s="554"/>
    </row>
    <row r="3" spans="1:26" ht="14" x14ac:dyDescent="0.3">
      <c r="E3" s="556"/>
      <c r="G3" s="528"/>
      <c r="H3" s="554"/>
    </row>
    <row r="4" spans="1:26" ht="14" x14ac:dyDescent="0.3">
      <c r="A4" s="757" t="str">
        <f>+'Bill_WMA 23'!A4</f>
        <v>Western Massachusetts</v>
      </c>
      <c r="B4" s="757"/>
      <c r="C4" s="757"/>
      <c r="D4" s="757"/>
      <c r="E4" s="757"/>
      <c r="F4" s="757"/>
      <c r="G4" s="757"/>
      <c r="H4" s="757"/>
      <c r="I4" s="757"/>
      <c r="J4" s="757"/>
      <c r="K4" s="757"/>
      <c r="L4" s="757"/>
      <c r="M4" s="757"/>
      <c r="N4" s="757"/>
    </row>
    <row r="5" spans="1:26" ht="14" x14ac:dyDescent="0.3">
      <c r="A5" s="757" t="str">
        <f>+'Bill_WMA 23'!A5</f>
        <v>Calculation of Monthly Typical Bill</v>
      </c>
      <c r="B5" s="757"/>
      <c r="C5" s="757"/>
      <c r="D5" s="757"/>
      <c r="E5" s="757"/>
      <c r="F5" s="757"/>
      <c r="G5" s="757"/>
      <c r="H5" s="757"/>
      <c r="I5" s="757"/>
      <c r="J5" s="757"/>
      <c r="K5" s="757"/>
      <c r="L5" s="757"/>
      <c r="M5" s="757"/>
      <c r="N5" s="757"/>
    </row>
    <row r="6" spans="1:26" ht="14" x14ac:dyDescent="0.3">
      <c r="A6" s="757" t="str">
        <f>+'Bill_WMA 23'!A6</f>
        <v>Proposed January 1, 2019</v>
      </c>
      <c r="B6" s="757"/>
      <c r="C6" s="757"/>
      <c r="D6" s="757"/>
      <c r="E6" s="757"/>
      <c r="F6" s="757"/>
      <c r="G6" s="757"/>
      <c r="H6" s="757"/>
      <c r="I6" s="757"/>
      <c r="J6" s="757"/>
      <c r="K6" s="757"/>
      <c r="L6" s="757"/>
      <c r="M6" s="757"/>
      <c r="N6" s="757"/>
      <c r="W6" s="557"/>
    </row>
    <row r="7" spans="1:26" ht="14" x14ac:dyDescent="0.3">
      <c r="A7" s="518"/>
      <c r="B7" s="330"/>
      <c r="E7" s="555"/>
      <c r="F7" s="555"/>
      <c r="G7" s="555"/>
      <c r="H7" s="331"/>
      <c r="I7" s="555"/>
    </row>
    <row r="8" spans="1:26" ht="14" x14ac:dyDescent="0.3">
      <c r="A8" s="757" t="s">
        <v>507</v>
      </c>
      <c r="B8" s="757"/>
      <c r="C8" s="757"/>
      <c r="D8" s="757"/>
      <c r="E8" s="757"/>
      <c r="F8" s="757"/>
      <c r="G8" s="757"/>
      <c r="H8" s="757"/>
      <c r="I8" s="757"/>
      <c r="J8" s="757"/>
      <c r="K8" s="757"/>
      <c r="L8" s="757"/>
      <c r="M8" s="757"/>
      <c r="N8" s="757"/>
    </row>
    <row r="9" spans="1:26" ht="14" x14ac:dyDescent="0.3">
      <c r="A9" s="518"/>
      <c r="B9" s="330"/>
      <c r="E9" s="555"/>
      <c r="G9" s="555"/>
      <c r="H9" s="558"/>
      <c r="I9" s="555"/>
    </row>
    <row r="10" spans="1:26" ht="14" x14ac:dyDescent="0.3">
      <c r="A10" s="559"/>
      <c r="B10" s="559"/>
      <c r="E10" s="555"/>
      <c r="F10" s="555"/>
      <c r="G10" s="555"/>
      <c r="H10" s="558"/>
      <c r="I10" s="555"/>
    </row>
    <row r="11" spans="1:26" ht="14" x14ac:dyDescent="0.3">
      <c r="A11" s="329">
        <f>IF(C11&lt;&gt;"",COUNTA($C$11:C11),"")</f>
        <v>1</v>
      </c>
      <c r="B11" s="329"/>
      <c r="C11" s="329" t="str">
        <f>+'Bill_WMA 23'!C11</f>
        <v>Monthly</v>
      </c>
      <c r="D11" s="329" t="s">
        <v>528</v>
      </c>
      <c r="E11" s="758" t="str">
        <f>+'Bill_WMA 23'!D11</f>
        <v>Current Monthly Bill</v>
      </c>
      <c r="F11" s="758"/>
      <c r="G11" s="758"/>
      <c r="H11" s="537"/>
      <c r="I11" s="758" t="str">
        <f>+'Bill_WMA 23'!H11</f>
        <v>Proposed Monthly Bill</v>
      </c>
      <c r="J11" s="758"/>
      <c r="K11" s="758"/>
      <c r="L11" s="538"/>
      <c r="M11" s="758" t="str">
        <f>+'Bill_WMA 23'!L11</f>
        <v>Total Bill Impact</v>
      </c>
      <c r="N11" s="758"/>
      <c r="O11" s="559"/>
      <c r="P11" s="538"/>
      <c r="Q11" s="559"/>
      <c r="R11" s="559"/>
      <c r="S11" s="559"/>
      <c r="U11" s="559"/>
      <c r="V11" s="538"/>
      <c r="W11" s="559"/>
      <c r="X11" s="559"/>
      <c r="Y11" s="559"/>
    </row>
    <row r="12" spans="1:26" ht="14" x14ac:dyDescent="0.3">
      <c r="A12" s="329">
        <f>IF(C12&lt;&gt;"",COUNTA($C$11:C12),"")</f>
        <v>2</v>
      </c>
      <c r="B12" s="329"/>
      <c r="C12" s="336" t="s">
        <v>534</v>
      </c>
      <c r="D12" s="336" t="str">
        <f>+'Bill_WMA 23'!C12</f>
        <v xml:space="preserve">kWh </v>
      </c>
      <c r="E12" s="336" t="str">
        <f>+'Bill_WMA 23'!D12</f>
        <v>Delivery</v>
      </c>
      <c r="F12" s="336" t="str">
        <f>+'Bill_WMA 23'!E12</f>
        <v>Supplier</v>
      </c>
      <c r="G12" s="336" t="str">
        <f>+'Bill_WMA 23'!F12</f>
        <v>Total</v>
      </c>
      <c r="H12" s="539"/>
      <c r="I12" s="336" t="str">
        <f>+'Bill_WMA 23'!H12</f>
        <v>Delivery</v>
      </c>
      <c r="J12" s="336" t="str">
        <f>+'Bill_WMA 23'!I12</f>
        <v>Supplier</v>
      </c>
      <c r="K12" s="336" t="str">
        <f>+'Bill_WMA 23'!J12</f>
        <v>Total</v>
      </c>
      <c r="L12" s="539"/>
      <c r="M12" s="336" t="str">
        <f>+'Bill_WMA 23'!L12</f>
        <v>Change</v>
      </c>
      <c r="N12" s="336" t="str">
        <f>+'Bill_WMA 23'!M12</f>
        <v>% Change</v>
      </c>
      <c r="P12" s="539"/>
      <c r="V12" s="539"/>
    </row>
    <row r="13" spans="1:26" ht="14" x14ac:dyDescent="0.3">
      <c r="A13" s="329" t="str">
        <f>IF(C13&lt;&gt;"",COUNTA($C$11:C13),"")</f>
        <v/>
      </c>
      <c r="B13" s="559"/>
      <c r="C13" s="336"/>
      <c r="D13" s="336"/>
      <c r="E13" s="336"/>
      <c r="F13" s="336"/>
      <c r="G13" s="336"/>
      <c r="H13" s="539"/>
      <c r="I13" s="336"/>
      <c r="J13" s="336"/>
      <c r="K13" s="336"/>
      <c r="L13" s="539"/>
      <c r="M13" s="336"/>
      <c r="N13" s="336"/>
      <c r="P13" s="539"/>
      <c r="V13" s="539"/>
    </row>
    <row r="14" spans="1:26" ht="14" x14ac:dyDescent="0.3">
      <c r="A14" s="329">
        <f>IF(C14&lt;&gt;"",COUNTA($C$11:C14),"")</f>
        <v>3</v>
      </c>
      <c r="B14" s="329"/>
      <c r="C14" s="555" t="s">
        <v>568</v>
      </c>
      <c r="D14" s="560"/>
      <c r="E14" s="336"/>
      <c r="F14" s="336"/>
      <c r="G14" s="336"/>
      <c r="H14" s="539"/>
      <c r="I14" s="336"/>
      <c r="J14" s="336"/>
      <c r="K14" s="336"/>
      <c r="L14" s="539"/>
      <c r="M14" s="336"/>
      <c r="N14" s="336"/>
      <c r="P14" s="539"/>
      <c r="V14" s="539"/>
    </row>
    <row r="15" spans="1:26" ht="14" x14ac:dyDescent="0.3">
      <c r="A15" s="329">
        <f>IF(C15&lt;&gt;"",COUNTA($C$11:C15),"")</f>
        <v>4</v>
      </c>
      <c r="B15" s="329"/>
      <c r="C15" s="561">
        <v>5</v>
      </c>
      <c r="D15" s="562">
        <f>+C15*100</f>
        <v>500</v>
      </c>
      <c r="E15" s="338">
        <f t="shared" ref="E15:E21" si="0">+$G$44+SUM($G$47:$G$66)*$D15+IF($C15&gt;2,($C15-2)*SUM($G$45,$G$46),0)</f>
        <v>106.08</v>
      </c>
      <c r="F15" s="338">
        <f t="shared" ref="F15:F21" si="1">($G$67*$D15)</f>
        <v>54.295000000000002</v>
      </c>
      <c r="G15" s="338">
        <f>SUM(E15:F15)</f>
        <v>160.375</v>
      </c>
      <c r="H15" s="563"/>
      <c r="I15" s="338">
        <f t="shared" ref="I15:I21" si="2">+$I$44+SUM($I$47:$I$66)*$D15+IF($C15&gt;2,($C15-2)*SUM($I$45,$I$46),0)</f>
        <v>103.44</v>
      </c>
      <c r="J15" s="338">
        <f t="shared" ref="J15:J21" si="3">($I$67*$D15)</f>
        <v>61.774999999999999</v>
      </c>
      <c r="K15" s="338">
        <f>SUM(I15:J15)</f>
        <v>165.215</v>
      </c>
      <c r="L15" s="564"/>
      <c r="M15" s="338">
        <f t="shared" ref="M15:M30" si="4">K15-G15</f>
        <v>4.8400000000000034</v>
      </c>
      <c r="N15" s="542">
        <f t="shared" ref="N15:N30" si="5">M15/G15</f>
        <v>3.0179267342166818E-2</v>
      </c>
      <c r="O15" s="565"/>
      <c r="P15" s="566"/>
      <c r="Q15" s="564"/>
      <c r="R15" s="564"/>
      <c r="S15" s="565"/>
      <c r="T15" s="564"/>
      <c r="U15" s="565"/>
      <c r="V15" s="566"/>
      <c r="W15" s="564"/>
      <c r="X15" s="564"/>
      <c r="Y15" s="565"/>
      <c r="Z15" s="564"/>
    </row>
    <row r="16" spans="1:26" ht="14" x14ac:dyDescent="0.3">
      <c r="A16" s="329">
        <f>IF(C16&lt;&gt;"",COUNTA($C$11:C16),"")</f>
        <v>5</v>
      </c>
      <c r="B16" s="329"/>
      <c r="C16" s="561">
        <v>10</v>
      </c>
      <c r="D16" s="562">
        <f t="shared" ref="D16:D21" si="6">+C16*100</f>
        <v>1000</v>
      </c>
      <c r="E16" s="338">
        <f t="shared" si="0"/>
        <v>161.88</v>
      </c>
      <c r="F16" s="338">
        <f t="shared" si="1"/>
        <v>108.59</v>
      </c>
      <c r="G16" s="338">
        <f t="shared" ref="G16:G30" si="7">SUM(E16:F16)</f>
        <v>270.47000000000003</v>
      </c>
      <c r="H16" s="563"/>
      <c r="I16" s="338">
        <f t="shared" si="2"/>
        <v>156.91999999999999</v>
      </c>
      <c r="J16" s="338">
        <f t="shared" si="3"/>
        <v>123.55</v>
      </c>
      <c r="K16" s="338">
        <f t="shared" ref="K16:K30" si="8">SUM(I16:J16)</f>
        <v>280.46999999999997</v>
      </c>
      <c r="L16" s="564"/>
      <c r="M16" s="338">
        <f t="shared" si="4"/>
        <v>9.9999999999999432</v>
      </c>
      <c r="N16" s="542">
        <f t="shared" si="5"/>
        <v>3.6972677191555225E-2</v>
      </c>
      <c r="O16" s="565"/>
      <c r="P16" s="566"/>
      <c r="Q16" s="564"/>
      <c r="R16" s="564"/>
      <c r="S16" s="565"/>
      <c r="T16" s="564"/>
      <c r="U16" s="565"/>
      <c r="V16" s="566"/>
      <c r="W16" s="564"/>
      <c r="X16" s="564"/>
      <c r="Y16" s="565"/>
      <c r="Z16" s="564"/>
    </row>
    <row r="17" spans="1:26" ht="14" x14ac:dyDescent="0.3">
      <c r="A17" s="329">
        <f>IF(C17&lt;&gt;"",COUNTA($C$11:C17),"")</f>
        <v>6</v>
      </c>
      <c r="B17" s="329"/>
      <c r="C17" s="561">
        <v>15</v>
      </c>
      <c r="D17" s="562">
        <f t="shared" si="6"/>
        <v>1500</v>
      </c>
      <c r="E17" s="338">
        <f t="shared" si="0"/>
        <v>217.68</v>
      </c>
      <c r="F17" s="338">
        <f t="shared" si="1"/>
        <v>162.88500000000002</v>
      </c>
      <c r="G17" s="338">
        <f t="shared" si="7"/>
        <v>380.56500000000005</v>
      </c>
      <c r="H17" s="563"/>
      <c r="I17" s="338">
        <f t="shared" si="2"/>
        <v>210.39999999999998</v>
      </c>
      <c r="J17" s="338">
        <f t="shared" si="3"/>
        <v>185.32499999999999</v>
      </c>
      <c r="K17" s="338">
        <f t="shared" si="8"/>
        <v>395.72499999999997</v>
      </c>
      <c r="L17" s="564"/>
      <c r="M17" s="338">
        <f t="shared" si="4"/>
        <v>15.159999999999911</v>
      </c>
      <c r="N17" s="542">
        <f t="shared" si="5"/>
        <v>3.9835507731924666E-2</v>
      </c>
      <c r="O17" s="565"/>
      <c r="P17" s="566"/>
      <c r="Q17" s="564"/>
      <c r="R17" s="564"/>
      <c r="S17" s="565"/>
      <c r="T17" s="564"/>
      <c r="U17" s="565"/>
      <c r="V17" s="566"/>
      <c r="W17" s="564"/>
      <c r="X17" s="564"/>
      <c r="Y17" s="565"/>
      <c r="Z17" s="564"/>
    </row>
    <row r="18" spans="1:26" ht="14" x14ac:dyDescent="0.3">
      <c r="A18" s="329">
        <f>IF(C18&lt;&gt;"",COUNTA($C$11:C18),"")</f>
        <v>7</v>
      </c>
      <c r="B18" s="329"/>
      <c r="C18" s="561">
        <v>30</v>
      </c>
      <c r="D18" s="562">
        <f t="shared" si="6"/>
        <v>3000</v>
      </c>
      <c r="E18" s="338">
        <f t="shared" si="0"/>
        <v>385.08</v>
      </c>
      <c r="F18" s="338">
        <f t="shared" si="1"/>
        <v>325.77000000000004</v>
      </c>
      <c r="G18" s="338">
        <f t="shared" si="7"/>
        <v>710.85</v>
      </c>
      <c r="H18" s="563"/>
      <c r="I18" s="338">
        <f t="shared" si="2"/>
        <v>370.84</v>
      </c>
      <c r="J18" s="338">
        <f t="shared" si="3"/>
        <v>370.65</v>
      </c>
      <c r="K18" s="338">
        <f t="shared" si="8"/>
        <v>741.49</v>
      </c>
      <c r="L18" s="564"/>
      <c r="M18" s="338">
        <f t="shared" si="4"/>
        <v>30.639999999999986</v>
      </c>
      <c r="N18" s="542">
        <f t="shared" si="5"/>
        <v>4.310332700288385E-2</v>
      </c>
      <c r="O18" s="565"/>
      <c r="P18" s="566"/>
      <c r="Q18" s="564"/>
      <c r="R18" s="564"/>
      <c r="S18" s="565"/>
      <c r="T18" s="564"/>
      <c r="U18" s="565"/>
      <c r="V18" s="566"/>
      <c r="W18" s="564"/>
      <c r="X18" s="564"/>
      <c r="Y18" s="565"/>
      <c r="Z18" s="564"/>
    </row>
    <row r="19" spans="1:26" ht="14" x14ac:dyDescent="0.3">
      <c r="A19" s="329">
        <f>IF(C19&lt;&gt;"",COUNTA($C$11:C19),"")</f>
        <v>8</v>
      </c>
      <c r="B19" s="329"/>
      <c r="C19" s="561">
        <v>60</v>
      </c>
      <c r="D19" s="562">
        <f t="shared" si="6"/>
        <v>6000</v>
      </c>
      <c r="E19" s="338">
        <f t="shared" si="0"/>
        <v>719.88</v>
      </c>
      <c r="F19" s="338">
        <f t="shared" si="1"/>
        <v>651.54000000000008</v>
      </c>
      <c r="G19" s="338">
        <f t="shared" si="7"/>
        <v>1371.42</v>
      </c>
      <c r="H19" s="563"/>
      <c r="I19" s="338">
        <f t="shared" si="2"/>
        <v>691.71999999999991</v>
      </c>
      <c r="J19" s="338">
        <f t="shared" si="3"/>
        <v>741.3</v>
      </c>
      <c r="K19" s="338">
        <f t="shared" si="8"/>
        <v>1433.02</v>
      </c>
      <c r="L19" s="564"/>
      <c r="M19" s="338">
        <f t="shared" si="4"/>
        <v>61.599999999999909</v>
      </c>
      <c r="N19" s="542">
        <f t="shared" si="5"/>
        <v>4.4916947397587829E-2</v>
      </c>
      <c r="O19" s="565"/>
      <c r="P19" s="566"/>
      <c r="Q19" s="564"/>
      <c r="R19" s="564"/>
      <c r="S19" s="565"/>
      <c r="T19" s="564"/>
      <c r="U19" s="565"/>
      <c r="V19" s="566"/>
      <c r="W19" s="564"/>
      <c r="X19" s="564"/>
      <c r="Y19" s="565"/>
      <c r="Z19" s="564"/>
    </row>
    <row r="20" spans="1:26" ht="14" x14ac:dyDescent="0.3">
      <c r="A20" s="329">
        <f>IF(C20&lt;&gt;"",COUNTA($C$11:C20),"")</f>
        <v>9</v>
      </c>
      <c r="B20" s="559"/>
      <c r="C20" s="561">
        <v>100</v>
      </c>
      <c r="D20" s="562">
        <f t="shared" si="6"/>
        <v>10000</v>
      </c>
      <c r="E20" s="338">
        <f t="shared" si="0"/>
        <v>1166.28</v>
      </c>
      <c r="F20" s="338">
        <f t="shared" si="1"/>
        <v>1085.9000000000001</v>
      </c>
      <c r="G20" s="338">
        <f t="shared" si="7"/>
        <v>2252.1800000000003</v>
      </c>
      <c r="H20" s="563"/>
      <c r="I20" s="338">
        <f t="shared" si="2"/>
        <v>1119.56</v>
      </c>
      <c r="J20" s="338">
        <f t="shared" si="3"/>
        <v>1235.5</v>
      </c>
      <c r="K20" s="338">
        <f t="shared" si="8"/>
        <v>2355.06</v>
      </c>
      <c r="L20" s="564"/>
      <c r="M20" s="338">
        <f t="shared" si="4"/>
        <v>102.87999999999965</v>
      </c>
      <c r="N20" s="542">
        <f t="shared" si="5"/>
        <v>4.5680185420348123E-2</v>
      </c>
      <c r="O20" s="565"/>
      <c r="P20" s="566"/>
      <c r="Q20" s="564"/>
      <c r="R20" s="564"/>
      <c r="S20" s="565"/>
      <c r="T20" s="564"/>
      <c r="U20" s="565"/>
      <c r="V20" s="566"/>
      <c r="W20" s="564"/>
      <c r="X20" s="564"/>
      <c r="Y20" s="565"/>
      <c r="Z20" s="564"/>
    </row>
    <row r="21" spans="1:26" ht="14" x14ac:dyDescent="0.3">
      <c r="A21" s="329">
        <f>IF(C21&lt;&gt;"",COUNTA($C$11:C21),"")</f>
        <v>10</v>
      </c>
      <c r="B21" s="567" t="s">
        <v>554</v>
      </c>
      <c r="C21" s="561">
        <v>13</v>
      </c>
      <c r="D21" s="562">
        <f t="shared" si="6"/>
        <v>1300</v>
      </c>
      <c r="E21" s="338">
        <f t="shared" si="0"/>
        <v>195.36</v>
      </c>
      <c r="F21" s="338">
        <f t="shared" si="1"/>
        <v>141.167</v>
      </c>
      <c r="G21" s="338">
        <f t="shared" si="7"/>
        <v>336.52700000000004</v>
      </c>
      <c r="H21" s="563"/>
      <c r="I21" s="338">
        <f t="shared" si="2"/>
        <v>189.00799999999998</v>
      </c>
      <c r="J21" s="338">
        <f t="shared" si="3"/>
        <v>160.61499999999998</v>
      </c>
      <c r="K21" s="338">
        <f t="shared" si="8"/>
        <v>349.62299999999993</v>
      </c>
      <c r="L21" s="564"/>
      <c r="M21" s="338">
        <f t="shared" si="4"/>
        <v>13.09599999999989</v>
      </c>
      <c r="N21" s="542">
        <f t="shared" si="5"/>
        <v>3.8915153910384276E-2</v>
      </c>
      <c r="O21" s="565"/>
      <c r="P21" s="566"/>
      <c r="Q21" s="564"/>
      <c r="R21" s="564"/>
      <c r="S21" s="565"/>
      <c r="T21" s="564"/>
      <c r="U21" s="565"/>
      <c r="V21" s="566"/>
      <c r="W21" s="564"/>
      <c r="X21" s="564"/>
      <c r="Y21" s="565"/>
      <c r="Z21" s="564"/>
    </row>
    <row r="22" spans="1:26" ht="14" x14ac:dyDescent="0.3">
      <c r="A22" s="329" t="str">
        <f>IF(C22&lt;&gt;"",COUNTA($C$11:C22),"")</f>
        <v/>
      </c>
      <c r="B22" s="329"/>
      <c r="C22" s="561"/>
      <c r="D22" s="561"/>
      <c r="E22" s="338"/>
      <c r="F22" s="338"/>
      <c r="G22" s="338"/>
      <c r="H22" s="563"/>
      <c r="I22" s="338"/>
      <c r="J22" s="338"/>
      <c r="K22" s="338"/>
      <c r="L22" s="564"/>
      <c r="M22" s="338"/>
      <c r="N22" s="542"/>
      <c r="P22" s="568"/>
      <c r="V22" s="568"/>
      <c r="Z22" s="564"/>
    </row>
    <row r="23" spans="1:26" ht="14" x14ac:dyDescent="0.3">
      <c r="A23" s="329">
        <f>IF(C23&lt;&gt;"",COUNTA($C$11:C23),"")</f>
        <v>11</v>
      </c>
      <c r="B23" s="569"/>
      <c r="C23" s="555" t="s">
        <v>576</v>
      </c>
      <c r="D23" s="560"/>
      <c r="E23" s="570"/>
      <c r="F23" s="570"/>
      <c r="G23" s="570"/>
      <c r="H23" s="570"/>
      <c r="I23" s="570"/>
      <c r="J23" s="564"/>
      <c r="K23" s="564"/>
      <c r="L23" s="564"/>
      <c r="M23" s="564"/>
      <c r="P23" s="568"/>
      <c r="V23" s="568"/>
    </row>
    <row r="24" spans="1:26" ht="14" x14ac:dyDescent="0.3">
      <c r="A24" s="329">
        <f>IF(C24&lt;&gt;"",COUNTA($C$11:C24),"")</f>
        <v>12</v>
      </c>
      <c r="B24" s="569"/>
      <c r="C24" s="562">
        <f t="shared" ref="C24:C29" si="9">+C15</f>
        <v>5</v>
      </c>
      <c r="D24" s="562">
        <f>+C24*200</f>
        <v>1000</v>
      </c>
      <c r="E24" s="338">
        <f t="shared" ref="E24:E30" si="10">+$G$44+SUM($G$47:$G$66)*$D24+IF($C24&gt;2,($C24-2)*SUM($G$45,$G$46),0)</f>
        <v>125.08</v>
      </c>
      <c r="F24" s="338">
        <f t="shared" ref="F24:F30" si="11">($G$67*$D24)</f>
        <v>108.59</v>
      </c>
      <c r="G24" s="338">
        <f t="shared" si="7"/>
        <v>233.67000000000002</v>
      </c>
      <c r="H24" s="563"/>
      <c r="I24" s="338">
        <f t="shared" ref="I24:I30" si="12">+$I$44+SUM($I$47:$I$66)*$D24+IF($C24&gt;2,($C24-2)*SUM($I$45,$I$46),0)</f>
        <v>119.32</v>
      </c>
      <c r="J24" s="338">
        <f t="shared" ref="J24:J30" si="13">($I$67*$D24)</f>
        <v>123.55</v>
      </c>
      <c r="K24" s="338">
        <f t="shared" si="8"/>
        <v>242.87</v>
      </c>
      <c r="L24" s="564"/>
      <c r="M24" s="338">
        <f t="shared" si="4"/>
        <v>9.1999999999999886</v>
      </c>
      <c r="N24" s="542">
        <f t="shared" si="5"/>
        <v>3.9371763598236777E-2</v>
      </c>
      <c r="O24" s="565"/>
      <c r="P24" s="566"/>
      <c r="Q24" s="564"/>
      <c r="R24" s="564"/>
      <c r="S24" s="565"/>
      <c r="T24" s="564"/>
      <c r="U24" s="565"/>
      <c r="V24" s="566"/>
      <c r="W24" s="564"/>
      <c r="X24" s="564"/>
      <c r="Y24" s="565"/>
      <c r="Z24" s="564"/>
    </row>
    <row r="25" spans="1:26" ht="14" x14ac:dyDescent="0.3">
      <c r="A25" s="329">
        <f>IF(C25&lt;&gt;"",COUNTA($C$11:C25),"")</f>
        <v>13</v>
      </c>
      <c r="B25" s="569"/>
      <c r="C25" s="562">
        <f t="shared" si="9"/>
        <v>10</v>
      </c>
      <c r="D25" s="562">
        <f t="shared" ref="D25:D30" si="14">+C25*200</f>
        <v>2000</v>
      </c>
      <c r="E25" s="338">
        <f t="shared" si="10"/>
        <v>199.88</v>
      </c>
      <c r="F25" s="338">
        <f t="shared" si="11"/>
        <v>217.18</v>
      </c>
      <c r="G25" s="338">
        <f t="shared" si="7"/>
        <v>417.06</v>
      </c>
      <c r="H25" s="563"/>
      <c r="I25" s="338">
        <f t="shared" si="12"/>
        <v>188.67999999999998</v>
      </c>
      <c r="J25" s="338">
        <f t="shared" si="13"/>
        <v>247.1</v>
      </c>
      <c r="K25" s="338">
        <f t="shared" si="8"/>
        <v>435.78</v>
      </c>
      <c r="L25" s="564"/>
      <c r="M25" s="338">
        <f t="shared" si="4"/>
        <v>18.71999999999997</v>
      </c>
      <c r="N25" s="542">
        <f t="shared" si="5"/>
        <v>4.4885627967198895E-2</v>
      </c>
      <c r="O25" s="565"/>
      <c r="P25" s="566"/>
      <c r="Q25" s="564"/>
      <c r="R25" s="564"/>
      <c r="S25" s="565"/>
      <c r="T25" s="564"/>
      <c r="U25" s="565"/>
      <c r="V25" s="566"/>
      <c r="W25" s="564"/>
      <c r="X25" s="564"/>
      <c r="Y25" s="565"/>
      <c r="Z25" s="564"/>
    </row>
    <row r="26" spans="1:26" ht="14" x14ac:dyDescent="0.3">
      <c r="A26" s="329">
        <f>IF(C26&lt;&gt;"",COUNTA($C$11:C26),"")</f>
        <v>14</v>
      </c>
      <c r="B26" s="569"/>
      <c r="C26" s="562">
        <f t="shared" si="9"/>
        <v>15</v>
      </c>
      <c r="D26" s="562">
        <f t="shared" si="14"/>
        <v>3000</v>
      </c>
      <c r="E26" s="338">
        <f t="shared" si="10"/>
        <v>274.68</v>
      </c>
      <c r="F26" s="338">
        <f t="shared" si="11"/>
        <v>325.77000000000004</v>
      </c>
      <c r="G26" s="338">
        <f t="shared" si="7"/>
        <v>600.45000000000005</v>
      </c>
      <c r="H26" s="563"/>
      <c r="I26" s="338">
        <f t="shared" si="12"/>
        <v>258.03999999999996</v>
      </c>
      <c r="J26" s="338">
        <f t="shared" si="13"/>
        <v>370.65</v>
      </c>
      <c r="K26" s="338">
        <f t="shared" si="8"/>
        <v>628.68999999999994</v>
      </c>
      <c r="L26" s="564"/>
      <c r="M26" s="338">
        <f t="shared" si="4"/>
        <v>28.239999999999895</v>
      </c>
      <c r="N26" s="542">
        <f t="shared" si="5"/>
        <v>4.7031393121825117E-2</v>
      </c>
      <c r="O26" s="565"/>
      <c r="P26" s="566"/>
      <c r="Q26" s="564"/>
      <c r="R26" s="564"/>
      <c r="S26" s="565"/>
      <c r="T26" s="564"/>
      <c r="U26" s="565"/>
      <c r="V26" s="566"/>
      <c r="W26" s="564"/>
      <c r="X26" s="564"/>
      <c r="Y26" s="565"/>
      <c r="Z26" s="564"/>
    </row>
    <row r="27" spans="1:26" ht="14" x14ac:dyDescent="0.3">
      <c r="A27" s="329">
        <f>IF(C27&lt;&gt;"",COUNTA($C$11:C27),"")</f>
        <v>15</v>
      </c>
      <c r="B27" s="569"/>
      <c r="C27" s="562">
        <f t="shared" si="9"/>
        <v>30</v>
      </c>
      <c r="D27" s="562">
        <f t="shared" si="14"/>
        <v>6000</v>
      </c>
      <c r="E27" s="338">
        <f t="shared" si="10"/>
        <v>499.08</v>
      </c>
      <c r="F27" s="338">
        <f t="shared" si="11"/>
        <v>651.54000000000008</v>
      </c>
      <c r="G27" s="338">
        <f t="shared" si="7"/>
        <v>1150.6200000000001</v>
      </c>
      <c r="H27" s="563"/>
      <c r="I27" s="338">
        <f t="shared" si="12"/>
        <v>466.12</v>
      </c>
      <c r="J27" s="338">
        <f t="shared" si="13"/>
        <v>741.3</v>
      </c>
      <c r="K27" s="338">
        <f t="shared" si="8"/>
        <v>1207.42</v>
      </c>
      <c r="L27" s="564"/>
      <c r="M27" s="338">
        <f t="shared" si="4"/>
        <v>56.799999999999955</v>
      </c>
      <c r="N27" s="542">
        <f t="shared" si="5"/>
        <v>4.9364690340859663E-2</v>
      </c>
      <c r="O27" s="565"/>
      <c r="P27" s="566"/>
      <c r="Q27" s="564"/>
      <c r="R27" s="564"/>
      <c r="S27" s="565"/>
      <c r="T27" s="564"/>
      <c r="U27" s="565"/>
      <c r="V27" s="566"/>
      <c r="W27" s="564"/>
      <c r="X27" s="564"/>
      <c r="Y27" s="565"/>
      <c r="Z27" s="564"/>
    </row>
    <row r="28" spans="1:26" ht="14" x14ac:dyDescent="0.3">
      <c r="A28" s="329">
        <f>IF(C28&lt;&gt;"",COUNTA($C$11:C28),"")</f>
        <v>16</v>
      </c>
      <c r="B28" s="569"/>
      <c r="C28" s="562">
        <f t="shared" si="9"/>
        <v>60</v>
      </c>
      <c r="D28" s="562">
        <f t="shared" si="14"/>
        <v>12000</v>
      </c>
      <c r="E28" s="338">
        <f t="shared" si="10"/>
        <v>947.88</v>
      </c>
      <c r="F28" s="338">
        <f t="shared" si="11"/>
        <v>1303.0800000000002</v>
      </c>
      <c r="G28" s="338">
        <f t="shared" si="7"/>
        <v>2250.96</v>
      </c>
      <c r="H28" s="563"/>
      <c r="I28" s="338">
        <f t="shared" si="12"/>
        <v>882.28</v>
      </c>
      <c r="J28" s="338">
        <f t="shared" si="13"/>
        <v>1482.6</v>
      </c>
      <c r="K28" s="338">
        <f t="shared" si="8"/>
        <v>2364.88</v>
      </c>
      <c r="L28" s="564"/>
      <c r="M28" s="338">
        <f t="shared" si="4"/>
        <v>113.92000000000007</v>
      </c>
      <c r="N28" s="542">
        <f t="shared" si="5"/>
        <v>5.0609517716885273E-2</v>
      </c>
      <c r="O28" s="565"/>
      <c r="P28" s="566"/>
      <c r="Q28" s="564"/>
      <c r="R28" s="564"/>
      <c r="S28" s="565"/>
      <c r="T28" s="564"/>
      <c r="U28" s="565"/>
      <c r="V28" s="566"/>
      <c r="W28" s="564"/>
      <c r="X28" s="564"/>
      <c r="Y28" s="565"/>
      <c r="Z28" s="564"/>
    </row>
    <row r="29" spans="1:26" ht="14" x14ac:dyDescent="0.3">
      <c r="A29" s="329">
        <f>IF(C29&lt;&gt;"",COUNTA($C$11:C29),"")</f>
        <v>17</v>
      </c>
      <c r="B29" s="569"/>
      <c r="C29" s="562">
        <f t="shared" si="9"/>
        <v>100</v>
      </c>
      <c r="D29" s="562">
        <f t="shared" si="14"/>
        <v>20000</v>
      </c>
      <c r="E29" s="338">
        <f t="shared" si="10"/>
        <v>1546.28</v>
      </c>
      <c r="F29" s="338">
        <f t="shared" si="11"/>
        <v>2171.8000000000002</v>
      </c>
      <c r="G29" s="338">
        <f t="shared" si="7"/>
        <v>3718.08</v>
      </c>
      <c r="H29" s="563"/>
      <c r="I29" s="338">
        <f t="shared" si="12"/>
        <v>1437.1599999999999</v>
      </c>
      <c r="J29" s="338">
        <f t="shared" si="13"/>
        <v>2471</v>
      </c>
      <c r="K29" s="338">
        <f t="shared" si="8"/>
        <v>3908.16</v>
      </c>
      <c r="L29" s="564"/>
      <c r="M29" s="338">
        <f t="shared" si="4"/>
        <v>190.07999999999993</v>
      </c>
      <c r="N29" s="542">
        <f t="shared" si="5"/>
        <v>5.1123160340821053E-2</v>
      </c>
      <c r="O29" s="565"/>
      <c r="P29" s="566"/>
      <c r="Q29" s="564"/>
      <c r="R29" s="564"/>
      <c r="S29" s="565"/>
      <c r="T29" s="564"/>
      <c r="U29" s="565"/>
      <c r="V29" s="566"/>
      <c r="W29" s="564"/>
      <c r="X29" s="564"/>
      <c r="Y29" s="565"/>
      <c r="Z29" s="564"/>
    </row>
    <row r="30" spans="1:26" ht="14" x14ac:dyDescent="0.3">
      <c r="A30" s="329">
        <f>IF(C30&lt;&gt;"",COUNTA($C$11:C30),"")</f>
        <v>18</v>
      </c>
      <c r="B30" s="567" t="s">
        <v>554</v>
      </c>
      <c r="C30" s="561">
        <v>21</v>
      </c>
      <c r="D30" s="562">
        <f t="shared" si="14"/>
        <v>4200</v>
      </c>
      <c r="E30" s="338">
        <f t="shared" si="10"/>
        <v>364.43999999999994</v>
      </c>
      <c r="F30" s="338">
        <f t="shared" si="11"/>
        <v>456.07800000000003</v>
      </c>
      <c r="G30" s="338">
        <f t="shared" si="7"/>
        <v>820.51800000000003</v>
      </c>
      <c r="H30" s="563"/>
      <c r="I30" s="338">
        <f t="shared" si="12"/>
        <v>341.27199999999999</v>
      </c>
      <c r="J30" s="338">
        <f t="shared" si="13"/>
        <v>518.91</v>
      </c>
      <c r="K30" s="338">
        <f t="shared" si="8"/>
        <v>860.18200000000002</v>
      </c>
      <c r="L30" s="564"/>
      <c r="M30" s="338">
        <f t="shared" si="4"/>
        <v>39.663999999999987</v>
      </c>
      <c r="N30" s="542">
        <f t="shared" si="5"/>
        <v>4.8340194852519974E-2</v>
      </c>
      <c r="O30" s="565"/>
      <c r="P30" s="566"/>
      <c r="Q30" s="564"/>
      <c r="R30" s="564"/>
      <c r="S30" s="565"/>
      <c r="T30" s="564"/>
      <c r="U30" s="565"/>
      <c r="V30" s="566"/>
      <c r="W30" s="564"/>
      <c r="X30" s="564"/>
      <c r="Y30" s="565"/>
      <c r="Z30" s="564"/>
    </row>
    <row r="31" spans="1:26" ht="14" x14ac:dyDescent="0.3">
      <c r="A31" s="329" t="str">
        <f>IF(C31&lt;&gt;"",COUNTA($C$11:C31),"")</f>
        <v/>
      </c>
      <c r="B31" s="569"/>
      <c r="C31" s="561"/>
      <c r="D31" s="561"/>
      <c r="E31" s="570"/>
      <c r="F31" s="570"/>
      <c r="G31" s="570"/>
      <c r="H31" s="563"/>
      <c r="I31" s="570"/>
      <c r="J31" s="564"/>
      <c r="K31" s="564"/>
      <c r="L31" s="564"/>
      <c r="M31" s="564"/>
      <c r="Z31" s="564"/>
    </row>
    <row r="32" spans="1:26" ht="14" x14ac:dyDescent="0.3">
      <c r="A32" s="329">
        <f>IF(C32&lt;&gt;"",COUNTA($C$11:C32),"")</f>
        <v>19</v>
      </c>
      <c r="B32" s="569"/>
      <c r="C32" s="555" t="s">
        <v>577</v>
      </c>
      <c r="D32" s="560"/>
      <c r="E32" s="570"/>
      <c r="F32" s="570"/>
      <c r="G32" s="570"/>
      <c r="H32" s="570"/>
      <c r="I32" s="570"/>
      <c r="J32" s="564"/>
      <c r="K32" s="564"/>
      <c r="L32" s="564"/>
      <c r="M32" s="564"/>
    </row>
    <row r="33" spans="1:26" ht="14" x14ac:dyDescent="0.3">
      <c r="A33" s="329">
        <f>IF(C33&lt;&gt;"",COUNTA($C$11:C33),"")</f>
        <v>20</v>
      </c>
      <c r="B33" s="569"/>
      <c r="C33" s="562">
        <f t="shared" ref="C33:C38" si="15">+C24</f>
        <v>5</v>
      </c>
      <c r="D33" s="562">
        <f>+C33*300</f>
        <v>1500</v>
      </c>
      <c r="E33" s="338">
        <f>+$G$44+SUM($G$47:$G$66)*$D33+IF($C33&gt;2,($C33-2)*SUM($G$45,$G$46),0)</f>
        <v>144.07999999999998</v>
      </c>
      <c r="F33" s="338">
        <f t="shared" ref="F33:F39" si="16">($G$67*$D33)</f>
        <v>162.88500000000002</v>
      </c>
      <c r="G33" s="338">
        <f t="shared" ref="G33:G38" si="17">SUM(E33:F33)</f>
        <v>306.96500000000003</v>
      </c>
      <c r="H33" s="563"/>
      <c r="I33" s="338">
        <f>+$I$44+SUM($I$47:$I$66)*$D33+IF($C33&gt;2,($C33-2)*SUM($I$45,$I$46),0)</f>
        <v>135.19999999999999</v>
      </c>
      <c r="J33" s="338">
        <f t="shared" ref="J33:J39" si="18">($I$67*$D33)</f>
        <v>185.32499999999999</v>
      </c>
      <c r="K33" s="338">
        <f t="shared" ref="K33:K38" si="19">SUM(I33:J33)</f>
        <v>320.52499999999998</v>
      </c>
      <c r="L33" s="564"/>
      <c r="M33" s="338">
        <f t="shared" ref="M33:M39" si="20">K33-G33</f>
        <v>13.559999999999945</v>
      </c>
      <c r="N33" s="542">
        <f t="shared" ref="N33:N39" si="21">M33/G33</f>
        <v>4.4174417278842686E-2</v>
      </c>
      <c r="O33" s="565"/>
      <c r="P33" s="566"/>
      <c r="Q33" s="564"/>
      <c r="R33" s="564"/>
      <c r="S33" s="565"/>
      <c r="T33" s="564"/>
      <c r="U33" s="565"/>
      <c r="V33" s="566"/>
      <c r="W33" s="564"/>
      <c r="X33" s="564"/>
      <c r="Y33" s="565"/>
      <c r="Z33" s="564"/>
    </row>
    <row r="34" spans="1:26" ht="14" x14ac:dyDescent="0.3">
      <c r="A34" s="329">
        <f>IF(C34&lt;&gt;"",COUNTA($C$11:C34),"")</f>
        <v>21</v>
      </c>
      <c r="B34" s="569"/>
      <c r="C34" s="562">
        <f t="shared" si="15"/>
        <v>10</v>
      </c>
      <c r="D34" s="562">
        <f t="shared" ref="D34:D39" si="22">+C34*300</f>
        <v>3000</v>
      </c>
      <c r="E34" s="338">
        <f t="shared" ref="E34:E39" si="23">+$G$44+SUM($G$47:$G$66)*$D34+IF($C34&gt;2,($C34-2)*SUM($G$45,$G$46),0)</f>
        <v>237.88</v>
      </c>
      <c r="F34" s="338">
        <f t="shared" si="16"/>
        <v>325.77000000000004</v>
      </c>
      <c r="G34" s="338">
        <f t="shared" si="17"/>
        <v>563.65000000000009</v>
      </c>
      <c r="H34" s="563"/>
      <c r="I34" s="338">
        <f t="shared" ref="I34:I39" si="24">+$I$44+SUM($I$47:$I$66)*$D34+IF($C34&gt;2,($C34-2)*SUM($I$45,$I$46),0)</f>
        <v>220.43999999999997</v>
      </c>
      <c r="J34" s="338">
        <f t="shared" si="18"/>
        <v>370.65</v>
      </c>
      <c r="K34" s="338">
        <f t="shared" si="19"/>
        <v>591.08999999999992</v>
      </c>
      <c r="L34" s="564"/>
      <c r="M34" s="338">
        <f t="shared" si="20"/>
        <v>27.439999999999827</v>
      </c>
      <c r="N34" s="542">
        <f t="shared" si="21"/>
        <v>4.8682693160649028E-2</v>
      </c>
      <c r="O34" s="565"/>
      <c r="P34" s="566"/>
      <c r="Q34" s="564"/>
      <c r="R34" s="564"/>
      <c r="S34" s="565"/>
      <c r="T34" s="564"/>
      <c r="U34" s="565"/>
      <c r="V34" s="566"/>
      <c r="W34" s="564"/>
      <c r="X34" s="564"/>
      <c r="Y34" s="565"/>
      <c r="Z34" s="564"/>
    </row>
    <row r="35" spans="1:26" ht="14" x14ac:dyDescent="0.3">
      <c r="A35" s="329">
        <f>IF(C35&lt;&gt;"",COUNTA($C$11:C35),"")</f>
        <v>22</v>
      </c>
      <c r="B35" s="569"/>
      <c r="C35" s="562">
        <f t="shared" si="15"/>
        <v>15</v>
      </c>
      <c r="D35" s="562">
        <f t="shared" si="22"/>
        <v>4500</v>
      </c>
      <c r="E35" s="338">
        <f t="shared" si="23"/>
        <v>331.68</v>
      </c>
      <c r="F35" s="338">
        <f t="shared" si="16"/>
        <v>488.65500000000003</v>
      </c>
      <c r="G35" s="338">
        <f t="shared" si="17"/>
        <v>820.33500000000004</v>
      </c>
      <c r="H35" s="563"/>
      <c r="I35" s="338">
        <f t="shared" si="24"/>
        <v>305.67999999999995</v>
      </c>
      <c r="J35" s="338">
        <f t="shared" si="18"/>
        <v>555.97500000000002</v>
      </c>
      <c r="K35" s="338">
        <f t="shared" si="19"/>
        <v>861.65499999999997</v>
      </c>
      <c r="L35" s="564"/>
      <c r="M35" s="338">
        <f t="shared" si="20"/>
        <v>41.319999999999936</v>
      </c>
      <c r="N35" s="542">
        <f t="shared" si="21"/>
        <v>5.0369666051064424E-2</v>
      </c>
      <c r="O35" s="565"/>
      <c r="P35" s="566"/>
      <c r="Q35" s="564"/>
      <c r="R35" s="564"/>
      <c r="S35" s="565"/>
      <c r="T35" s="564"/>
      <c r="U35" s="565"/>
      <c r="V35" s="566"/>
      <c r="W35" s="564"/>
      <c r="X35" s="564"/>
      <c r="Y35" s="565"/>
      <c r="Z35" s="564"/>
    </row>
    <row r="36" spans="1:26" ht="14" x14ac:dyDescent="0.3">
      <c r="A36" s="329">
        <f>IF(C36&lt;&gt;"",COUNTA($C$11:C36),"")</f>
        <v>23</v>
      </c>
      <c r="B36" s="569"/>
      <c r="C36" s="562">
        <f t="shared" si="15"/>
        <v>30</v>
      </c>
      <c r="D36" s="562">
        <f t="shared" si="22"/>
        <v>9000</v>
      </c>
      <c r="E36" s="338">
        <f t="shared" si="23"/>
        <v>613.07999999999993</v>
      </c>
      <c r="F36" s="338">
        <f t="shared" si="16"/>
        <v>977.31000000000006</v>
      </c>
      <c r="G36" s="338">
        <f t="shared" si="17"/>
        <v>1590.3899999999999</v>
      </c>
      <c r="H36" s="563"/>
      <c r="I36" s="338">
        <f t="shared" si="24"/>
        <v>561.4</v>
      </c>
      <c r="J36" s="338">
        <f t="shared" si="18"/>
        <v>1111.95</v>
      </c>
      <c r="K36" s="338">
        <f t="shared" si="19"/>
        <v>1673.35</v>
      </c>
      <c r="L36" s="564"/>
      <c r="M36" s="338">
        <f t="shared" si="20"/>
        <v>82.960000000000036</v>
      </c>
      <c r="N36" s="542">
        <f t="shared" si="21"/>
        <v>5.2163305855796406E-2</v>
      </c>
      <c r="O36" s="565"/>
      <c r="P36" s="566"/>
      <c r="Q36" s="564"/>
      <c r="R36" s="564"/>
      <c r="S36" s="565"/>
      <c r="T36" s="564"/>
      <c r="U36" s="565"/>
      <c r="V36" s="566"/>
      <c r="W36" s="564"/>
      <c r="X36" s="564"/>
      <c r="Y36" s="565"/>
      <c r="Z36" s="564"/>
    </row>
    <row r="37" spans="1:26" ht="14" x14ac:dyDescent="0.3">
      <c r="A37" s="329">
        <f>IF(C37&lt;&gt;"",COUNTA($C$11:C37),"")</f>
        <v>24</v>
      </c>
      <c r="B37" s="569"/>
      <c r="C37" s="562">
        <f t="shared" si="15"/>
        <v>60</v>
      </c>
      <c r="D37" s="562">
        <f t="shared" si="22"/>
        <v>18000</v>
      </c>
      <c r="E37" s="338">
        <f t="shared" si="23"/>
        <v>1175.8800000000001</v>
      </c>
      <c r="F37" s="338">
        <f t="shared" si="16"/>
        <v>1954.6200000000001</v>
      </c>
      <c r="G37" s="338">
        <f t="shared" si="17"/>
        <v>3130.5</v>
      </c>
      <c r="H37" s="563"/>
      <c r="I37" s="338">
        <f t="shared" si="24"/>
        <v>1072.8399999999999</v>
      </c>
      <c r="J37" s="338">
        <f t="shared" si="18"/>
        <v>2223.9</v>
      </c>
      <c r="K37" s="338">
        <f t="shared" si="19"/>
        <v>3296.74</v>
      </c>
      <c r="L37" s="564"/>
      <c r="M37" s="338">
        <f t="shared" si="20"/>
        <v>166.23999999999978</v>
      </c>
      <c r="N37" s="542">
        <f t="shared" si="21"/>
        <v>5.3103338124900104E-2</v>
      </c>
      <c r="O37" s="565"/>
      <c r="P37" s="566"/>
      <c r="Q37" s="564"/>
      <c r="R37" s="564"/>
      <c r="S37" s="565"/>
      <c r="T37" s="564"/>
      <c r="U37" s="565"/>
      <c r="V37" s="566"/>
      <c r="W37" s="564"/>
      <c r="X37" s="564"/>
      <c r="Y37" s="565"/>
      <c r="Z37" s="564"/>
    </row>
    <row r="38" spans="1:26" ht="14" x14ac:dyDescent="0.3">
      <c r="A38" s="329">
        <f>IF(C38&lt;&gt;"",COUNTA($C$11:C38),"")</f>
        <v>25</v>
      </c>
      <c r="B38" s="569"/>
      <c r="C38" s="562">
        <f t="shared" si="15"/>
        <v>100</v>
      </c>
      <c r="D38" s="562">
        <f t="shared" si="22"/>
        <v>30000</v>
      </c>
      <c r="E38" s="338">
        <f t="shared" si="23"/>
        <v>1926.28</v>
      </c>
      <c r="F38" s="338">
        <f t="shared" si="16"/>
        <v>3257.7000000000003</v>
      </c>
      <c r="G38" s="338">
        <f t="shared" si="17"/>
        <v>5183.9800000000005</v>
      </c>
      <c r="H38" s="563"/>
      <c r="I38" s="338">
        <f t="shared" si="24"/>
        <v>1754.7599999999998</v>
      </c>
      <c r="J38" s="338">
        <f t="shared" si="18"/>
        <v>3706.5</v>
      </c>
      <c r="K38" s="338">
        <f t="shared" si="19"/>
        <v>5461.26</v>
      </c>
      <c r="L38" s="564"/>
      <c r="M38" s="338">
        <f t="shared" si="20"/>
        <v>277.27999999999975</v>
      </c>
      <c r="N38" s="542">
        <f t="shared" si="21"/>
        <v>5.3487860678474788E-2</v>
      </c>
      <c r="O38" s="565"/>
      <c r="P38" s="566"/>
      <c r="Q38" s="564"/>
      <c r="R38" s="564"/>
      <c r="S38" s="565"/>
      <c r="T38" s="564"/>
      <c r="U38" s="565"/>
      <c r="V38" s="566"/>
      <c r="W38" s="564"/>
      <c r="X38" s="564"/>
      <c r="Y38" s="565"/>
      <c r="Z38" s="564"/>
    </row>
    <row r="39" spans="1:26" ht="14" x14ac:dyDescent="0.3">
      <c r="A39" s="329">
        <f>IF(C39&lt;&gt;"",COUNTA($C$11:C39),"")</f>
        <v>26</v>
      </c>
      <c r="B39" s="567" t="s">
        <v>554</v>
      </c>
      <c r="C39" s="561">
        <v>24</v>
      </c>
      <c r="D39" s="562">
        <f t="shared" si="22"/>
        <v>7200</v>
      </c>
      <c r="E39" s="338">
        <f t="shared" si="23"/>
        <v>500.52</v>
      </c>
      <c r="F39" s="338">
        <f t="shared" si="16"/>
        <v>781.84800000000007</v>
      </c>
      <c r="G39" s="338">
        <f t="shared" ref="G39" si="25">SUM(E39:F39)</f>
        <v>1282.3679999999999</v>
      </c>
      <c r="H39" s="563"/>
      <c r="I39" s="338">
        <f t="shared" si="24"/>
        <v>459.11199999999997</v>
      </c>
      <c r="J39" s="338">
        <f t="shared" si="18"/>
        <v>889.56</v>
      </c>
      <c r="K39" s="338">
        <f t="shared" ref="K39" si="26">SUM(I39:J39)</f>
        <v>1348.672</v>
      </c>
      <c r="L39" s="564"/>
      <c r="M39" s="338">
        <f t="shared" si="20"/>
        <v>66.304000000000087</v>
      </c>
      <c r="N39" s="542">
        <f t="shared" si="21"/>
        <v>5.1704346958127534E-2</v>
      </c>
      <c r="O39" s="565"/>
      <c r="P39" s="566"/>
      <c r="Q39" s="564"/>
      <c r="R39" s="564"/>
      <c r="S39" s="565"/>
      <c r="T39" s="564"/>
      <c r="U39" s="565"/>
      <c r="V39" s="566"/>
      <c r="W39" s="564"/>
      <c r="X39" s="564"/>
      <c r="Y39" s="565"/>
      <c r="Z39" s="564"/>
    </row>
    <row r="40" spans="1:26" ht="14" x14ac:dyDescent="0.3">
      <c r="A40" s="329"/>
      <c r="B40" s="567"/>
      <c r="C40" s="561"/>
      <c r="D40" s="561"/>
      <c r="E40" s="338"/>
      <c r="F40" s="338"/>
      <c r="G40" s="338"/>
      <c r="H40" s="571"/>
      <c r="I40" s="338"/>
      <c r="J40" s="338"/>
      <c r="K40" s="338"/>
      <c r="M40" s="572"/>
      <c r="N40" s="542"/>
      <c r="Z40" s="564"/>
    </row>
    <row r="41" spans="1:26" ht="14" x14ac:dyDescent="0.3">
      <c r="A41" s="329" t="str">
        <f>IF(C41&lt;&gt;"",COUNTA($C$11:C41),"")</f>
        <v/>
      </c>
      <c r="B41" s="569"/>
      <c r="C41" s="555"/>
      <c r="D41" s="561"/>
      <c r="E41" s="338"/>
      <c r="F41" s="338"/>
      <c r="G41" s="338"/>
      <c r="H41" s="571"/>
      <c r="I41" s="338"/>
      <c r="J41" s="338"/>
      <c r="K41" s="338"/>
      <c r="M41" s="572"/>
      <c r="N41" s="542"/>
    </row>
    <row r="42" spans="1:26" ht="14" x14ac:dyDescent="0.3">
      <c r="A42" s="329">
        <f>IF(C42&lt;&gt;"",COUNTA($C$11:C42),"")</f>
        <v>27</v>
      </c>
      <c r="B42" s="569"/>
      <c r="C42" s="555" t="s">
        <v>46</v>
      </c>
      <c r="D42" s="555"/>
      <c r="E42" s="555"/>
      <c r="G42" s="395" t="str">
        <f>+'Bill_WMA 23'!F23</f>
        <v>Current</v>
      </c>
      <c r="H42" s="395"/>
      <c r="I42" s="395" t="str">
        <f>+'Bill_WMA 23'!H23</f>
        <v>Proposed</v>
      </c>
    </row>
    <row r="43" spans="1:26" ht="17" x14ac:dyDescent="0.6">
      <c r="A43" s="329">
        <f>IF(C43&lt;&gt;"",COUNTA($C$11:C43),"")</f>
        <v>28</v>
      </c>
      <c r="B43" s="569"/>
      <c r="C43" s="274" t="s">
        <v>46</v>
      </c>
      <c r="D43" s="274"/>
      <c r="E43" s="555"/>
      <c r="G43" s="396" t="str">
        <f>+'Bill_WMA 23'!F24</f>
        <v>Rates</v>
      </c>
      <c r="H43" s="396"/>
      <c r="I43" s="396" t="str">
        <f>+'Bill_WMA 23'!H24</f>
        <v>Rates</v>
      </c>
      <c r="J43" s="396" t="str">
        <f>+'Bill_WMA 23'!I24</f>
        <v>Change</v>
      </c>
    </row>
    <row r="44" spans="1:26" ht="14" x14ac:dyDescent="0.3">
      <c r="A44" s="329">
        <f>IF(C44&lt;&gt;"",COUNTA($C$11:C44),"")</f>
        <v>29</v>
      </c>
      <c r="B44" s="569"/>
      <c r="C44" s="330" t="s">
        <v>296</v>
      </c>
      <c r="D44" s="330"/>
      <c r="E44" s="274"/>
      <c r="G44" s="454">
        <v>65</v>
      </c>
      <c r="H44" s="558"/>
      <c r="I44" s="397">
        <f>G44</f>
        <v>65</v>
      </c>
      <c r="J44" s="421">
        <f>+I44-G44</f>
        <v>0</v>
      </c>
    </row>
    <row r="45" spans="1:26" ht="14" x14ac:dyDescent="0.3">
      <c r="A45" s="329">
        <f>IF(C45&lt;&gt;"",COUNTA($C$11:C45),"")</f>
        <v>30</v>
      </c>
      <c r="B45" s="569"/>
      <c r="C45" s="555" t="s">
        <v>622</v>
      </c>
      <c r="D45" s="555"/>
      <c r="E45" s="274"/>
      <c r="G45" s="454">
        <v>3.84</v>
      </c>
      <c r="H45" s="558"/>
      <c r="I45" s="397">
        <v>4.08</v>
      </c>
      <c r="J45" s="421">
        <f t="shared" ref="J45:J67" si="27">+I45-G45</f>
        <v>0.24000000000000021</v>
      </c>
    </row>
    <row r="46" spans="1:26" ht="14" x14ac:dyDescent="0.3">
      <c r="A46" s="329">
        <f>IF(C46&lt;&gt;"",COUNTA($C$11:C46),"")</f>
        <v>31</v>
      </c>
      <c r="B46" s="569"/>
      <c r="C46" s="573" t="s">
        <v>623</v>
      </c>
      <c r="D46" s="573"/>
      <c r="E46" s="274"/>
      <c r="G46" s="454">
        <v>3.52</v>
      </c>
      <c r="H46" s="558"/>
      <c r="I46" s="397">
        <v>3.44</v>
      </c>
      <c r="J46" s="421">
        <f t="shared" si="27"/>
        <v>-8.0000000000000071E-2</v>
      </c>
    </row>
    <row r="47" spans="1:26" ht="14" x14ac:dyDescent="0.3">
      <c r="A47" s="329">
        <f>IF(C47&lt;&gt;"",COUNTA($C$11:C47),"")</f>
        <v>32</v>
      </c>
      <c r="B47" s="569"/>
      <c r="C47" s="335" t="str">
        <f>+'Bill_WMA 23'!C26</f>
        <v>Distribution Energy</v>
      </c>
      <c r="D47" s="330"/>
      <c r="E47" s="274"/>
      <c r="G47" s="308">
        <v>4.8999999999999998E-3</v>
      </c>
      <c r="H47" s="574"/>
      <c r="I47" s="308">
        <v>5.2100000000000002E-3</v>
      </c>
      <c r="J47" s="354">
        <f t="shared" si="27"/>
        <v>3.1000000000000038E-4</v>
      </c>
    </row>
    <row r="48" spans="1:26" ht="14" x14ac:dyDescent="0.3">
      <c r="A48" s="329">
        <f>IF(C48&lt;&gt;"",COUNTA($C$11:C48),"")</f>
        <v>33</v>
      </c>
      <c r="B48" s="569"/>
      <c r="C48" s="335" t="str">
        <f>+'Bill_WMA 23'!C27</f>
        <v>Revenue Decoupling</v>
      </c>
      <c r="D48" s="335"/>
      <c r="E48" s="575"/>
      <c r="G48" s="308">
        <v>5.6999999999999998E-4</v>
      </c>
      <c r="H48" s="400"/>
      <c r="I48" s="277">
        <v>-4.2999999999999999E-4</v>
      </c>
      <c r="J48" s="354">
        <f t="shared" si="27"/>
        <v>-1E-3</v>
      </c>
    </row>
    <row r="49" spans="1:12" ht="14" x14ac:dyDescent="0.3">
      <c r="A49" s="329">
        <f>IF(C49&lt;&gt;"",COUNTA($C$11:C49),"")</f>
        <v>34</v>
      </c>
      <c r="B49" s="569"/>
      <c r="C49" s="335" t="str">
        <f>+'Bill_WMA 23'!C28</f>
        <v>Residential Assistance Adjustment Factor</v>
      </c>
      <c r="D49" s="330"/>
      <c r="E49" s="274"/>
      <c r="G49" s="277">
        <v>1.0189999999999999E-2</v>
      </c>
      <c r="H49" s="400"/>
      <c r="I49" s="277">
        <v>3.65E-3</v>
      </c>
      <c r="J49" s="354">
        <f t="shared" si="27"/>
        <v>-6.5399999999999989E-3</v>
      </c>
    </row>
    <row r="50" spans="1:12" ht="14" x14ac:dyDescent="0.3">
      <c r="A50" s="329">
        <f>IF(C50&lt;&gt;"",COUNTA($C$11:C50),"")</f>
        <v>35</v>
      </c>
      <c r="B50" s="569"/>
      <c r="C50" s="335" t="str">
        <f>+'Bill_WMA 23'!C29</f>
        <v>Pension Adjustment Factor</v>
      </c>
      <c r="D50" s="330"/>
      <c r="E50" s="274"/>
      <c r="G50" s="277">
        <v>1.1100000000000001E-3</v>
      </c>
      <c r="H50" s="400"/>
      <c r="I50" s="277">
        <v>6.4000000000000005E-4</v>
      </c>
      <c r="J50" s="354">
        <f t="shared" si="27"/>
        <v>-4.7000000000000004E-4</v>
      </c>
    </row>
    <row r="51" spans="1:12" ht="14" x14ac:dyDescent="0.3">
      <c r="A51" s="329">
        <f>IF(C51&lt;&gt;"",COUNTA($C$11:C51),"")</f>
        <v>36</v>
      </c>
      <c r="B51" s="569"/>
      <c r="C51" s="335" t="str">
        <f>+'Bill_WMA 23'!C30</f>
        <v>Net Metering Recovery Surcharge</v>
      </c>
      <c r="D51" s="330"/>
      <c r="E51" s="274"/>
      <c r="G51" s="277">
        <v>4.4299999999999999E-3</v>
      </c>
      <c r="H51" s="400"/>
      <c r="I51" s="277">
        <v>4.7699999999999999E-3</v>
      </c>
      <c r="J51" s="354">
        <f t="shared" si="27"/>
        <v>3.4000000000000002E-4</v>
      </c>
    </row>
    <row r="52" spans="1:12" ht="14" x14ac:dyDescent="0.3">
      <c r="A52" s="329">
        <f>IF(C52&lt;&gt;"",COUNTA($C$11:C52),"")</f>
        <v>37</v>
      </c>
      <c r="B52" s="569"/>
      <c r="C52" s="335" t="str">
        <f>+'Bill_WMA 23'!C31</f>
        <v>Long Term Renewable Contract Adjustment</v>
      </c>
      <c r="D52" s="335"/>
      <c r="E52" s="575"/>
      <c r="G52" s="277">
        <v>3.31E-3</v>
      </c>
      <c r="H52" s="400"/>
      <c r="I52" s="277">
        <v>1.74E-3</v>
      </c>
      <c r="J52" s="354">
        <f t="shared" si="27"/>
        <v>-1.57E-3</v>
      </c>
    </row>
    <row r="53" spans="1:12" ht="14" x14ac:dyDescent="0.3">
      <c r="A53" s="329">
        <f>IF(C53&lt;&gt;"",COUNTA($C$11:C53),"")</f>
        <v>38</v>
      </c>
      <c r="B53" s="569"/>
      <c r="C53" s="335" t="str">
        <f>+'Bill_WMA 23'!C32</f>
        <v>AG Consulting Expense</v>
      </c>
      <c r="D53" s="330"/>
      <c r="E53" s="274"/>
      <c r="G53" s="277">
        <v>3.0000000000000001E-5</v>
      </c>
      <c r="H53" s="400"/>
      <c r="I53" s="277">
        <v>1.0000000000000001E-5</v>
      </c>
      <c r="J53" s="354">
        <f t="shared" si="27"/>
        <v>-1.9999999999999998E-5</v>
      </c>
    </row>
    <row r="54" spans="1:12" ht="14" x14ac:dyDescent="0.3">
      <c r="A54" s="329">
        <f>IF(C54&lt;&gt;"",COUNTA($C$11:C54),"")</f>
        <v>39</v>
      </c>
      <c r="B54" s="569"/>
      <c r="C54" s="335" t="str">
        <f>+'Bill_WMA 23'!C33</f>
        <v>Storm Cost Recovery Adjustment Factor</v>
      </c>
      <c r="D54" s="330"/>
      <c r="E54" s="274"/>
      <c r="G54" s="277">
        <v>2.3700000000000001E-3</v>
      </c>
      <c r="H54" s="400"/>
      <c r="I54" s="277">
        <v>2.7499999999999998E-3</v>
      </c>
      <c r="J54" s="354">
        <f t="shared" si="27"/>
        <v>3.799999999999997E-4</v>
      </c>
    </row>
    <row r="55" spans="1:12" ht="14" x14ac:dyDescent="0.3">
      <c r="A55" s="329">
        <f>IF(C55&lt;&gt;"",COUNTA($C$11:C55),"")</f>
        <v>40</v>
      </c>
      <c r="B55" s="569"/>
      <c r="C55" s="335" t="str">
        <f>+'Bill_WMA 23'!C34</f>
        <v>Storm Reserve Adjustment</v>
      </c>
      <c r="D55" s="330"/>
      <c r="E55" s="274"/>
      <c r="G55" s="277">
        <v>0</v>
      </c>
      <c r="H55" s="400"/>
      <c r="I55" s="277">
        <v>0</v>
      </c>
      <c r="J55" s="354">
        <f t="shared" si="27"/>
        <v>0</v>
      </c>
    </row>
    <row r="56" spans="1:12" ht="14" x14ac:dyDescent="0.3">
      <c r="A56" s="329">
        <f>IF(C56&lt;&gt;"",COUNTA($C$11:C56),"")</f>
        <v>41</v>
      </c>
      <c r="B56" s="569"/>
      <c r="C56" s="335" t="str">
        <f>+'Bill_WMA 23'!C35</f>
        <v>Basic Service Cost True Up Factor</v>
      </c>
      <c r="D56" s="330"/>
      <c r="E56" s="274"/>
      <c r="G56" s="277">
        <v>2.1000000000000001E-4</v>
      </c>
      <c r="H56" s="400"/>
      <c r="I56" s="277">
        <v>-1.8000000000000001E-4</v>
      </c>
      <c r="J56" s="354">
        <f t="shared" si="27"/>
        <v>-3.9000000000000005E-4</v>
      </c>
    </row>
    <row r="57" spans="1:12" ht="14" x14ac:dyDescent="0.3">
      <c r="A57" s="329">
        <f>IF(C57&lt;&gt;"",COUNTA($C$11:C57),"")</f>
        <v>42</v>
      </c>
      <c r="B57" s="569"/>
      <c r="C57" s="335" t="str">
        <f>+'Bill_WMA 23'!C36</f>
        <v>Solar Program Cost Adjustment Factor</v>
      </c>
      <c r="D57" s="330"/>
      <c r="E57" s="274"/>
      <c r="G57" s="277">
        <v>-1.2999999999999999E-4</v>
      </c>
      <c r="H57" s="400"/>
      <c r="I57" s="277">
        <v>3.0000000000000001E-5</v>
      </c>
      <c r="J57" s="354">
        <f t="shared" si="27"/>
        <v>1.5999999999999999E-4</v>
      </c>
    </row>
    <row r="58" spans="1:12" ht="14" x14ac:dyDescent="0.3">
      <c r="A58" s="329">
        <f>IF(C58&lt;&gt;"",COUNTA($C$11:C58),"")</f>
        <v>43</v>
      </c>
      <c r="B58" s="569"/>
      <c r="C58" s="335" t="str">
        <f>+'Bill_WMA 23'!C37</f>
        <v>Solar Expansion Cost Recovery Factor</v>
      </c>
      <c r="D58" s="330"/>
      <c r="E58" s="274"/>
      <c r="G58" s="277">
        <v>0</v>
      </c>
      <c r="H58" s="400"/>
      <c r="I58" s="277">
        <v>5.6999999999999998E-4</v>
      </c>
      <c r="J58" s="354">
        <f t="shared" si="27"/>
        <v>5.6999999999999998E-4</v>
      </c>
    </row>
    <row r="59" spans="1:12" ht="14" x14ac:dyDescent="0.3">
      <c r="A59" s="329">
        <f>IF(C59&lt;&gt;"",COUNTA($C$11:C59),"")</f>
        <v>44</v>
      </c>
      <c r="B59" s="569"/>
      <c r="C59" s="335" t="str">
        <f>+'Bill_WMA 23'!C38</f>
        <v>Vegetation Management</v>
      </c>
      <c r="D59" s="330"/>
      <c r="E59" s="274"/>
      <c r="G59" s="277">
        <v>0</v>
      </c>
      <c r="H59" s="400"/>
      <c r="I59" s="277">
        <v>1.14E-3</v>
      </c>
      <c r="J59" s="354">
        <f t="shared" si="27"/>
        <v>1.14E-3</v>
      </c>
    </row>
    <row r="60" spans="1:12" ht="14" x14ac:dyDescent="0.3">
      <c r="A60" s="329">
        <f>IF(C60&lt;&gt;"",COUNTA($C$11:C60),"")</f>
        <v>45</v>
      </c>
      <c r="B60" s="569"/>
      <c r="C60" s="335" t="str">
        <f>+'Bill_WMA 23'!C39</f>
        <v>Solar Massachusetts Renewable Target</v>
      </c>
      <c r="D60" s="339"/>
      <c r="E60" s="339"/>
      <c r="F60" s="277"/>
      <c r="G60" s="277">
        <v>0</v>
      </c>
      <c r="H60" s="277"/>
      <c r="I60" s="277">
        <v>6.7000000000000002E-4</v>
      </c>
      <c r="J60" s="354">
        <f t="shared" si="27"/>
        <v>6.7000000000000002E-4</v>
      </c>
      <c r="K60" s="339"/>
      <c r="L60" s="339"/>
    </row>
    <row r="61" spans="1:12" ht="14" x14ac:dyDescent="0.3">
      <c r="A61" s="329">
        <f>IF(C61&lt;&gt;"",COUNTA($C$11:C61),"")</f>
        <v>46</v>
      </c>
      <c r="B61" s="569"/>
      <c r="C61" s="335" t="str">
        <f>+'Bill_WMA 23'!C40</f>
        <v>Tax Act Credit Factor</v>
      </c>
      <c r="D61" s="339"/>
      <c r="E61" s="339"/>
      <c r="F61" s="277"/>
      <c r="G61" s="277">
        <v>0</v>
      </c>
      <c r="H61" s="277"/>
      <c r="I61" s="277">
        <v>-1.01E-3</v>
      </c>
      <c r="J61" s="354">
        <f t="shared" si="27"/>
        <v>-1.01E-3</v>
      </c>
      <c r="K61" s="339"/>
      <c r="L61" s="339"/>
    </row>
    <row r="62" spans="1:12" ht="14" x14ac:dyDescent="0.3">
      <c r="A62" s="329">
        <f>IF(C62&lt;&gt;"",COUNTA($C$11:C62),"")</f>
        <v>47</v>
      </c>
      <c r="B62" s="569"/>
      <c r="C62" s="335" t="str">
        <f>+'Bill_WMA 23'!C41</f>
        <v>Transition</v>
      </c>
      <c r="D62" s="330"/>
      <c r="E62" s="576"/>
      <c r="G62" s="308">
        <v>-1.7099999999999999E-3</v>
      </c>
      <c r="H62" s="400"/>
      <c r="I62" s="277">
        <v>-5.1999999999999995E-4</v>
      </c>
      <c r="J62" s="354">
        <f t="shared" si="27"/>
        <v>1.1900000000000001E-3</v>
      </c>
    </row>
    <row r="63" spans="1:12" ht="14" x14ac:dyDescent="0.3">
      <c r="A63" s="329">
        <f>IF(C63&lt;&gt;"",COUNTA($C$11:C63),"")</f>
        <v>48</v>
      </c>
      <c r="B63" s="569"/>
      <c r="C63" s="335" t="str">
        <f>+'Bill_WMA 23'!C42</f>
        <v>Transmission Energy</v>
      </c>
      <c r="D63" s="330"/>
      <c r="G63" s="308">
        <v>0</v>
      </c>
      <c r="H63" s="574"/>
      <c r="I63" s="404">
        <v>0</v>
      </c>
      <c r="J63" s="354">
        <f t="shared" si="27"/>
        <v>0</v>
      </c>
    </row>
    <row r="64" spans="1:12" ht="14" x14ac:dyDescent="0.3">
      <c r="A64" s="329">
        <f>IF(C64&lt;&gt;"",COUNTA($C$11:C64),"")</f>
        <v>49</v>
      </c>
      <c r="B64" s="569"/>
      <c r="C64" s="335" t="str">
        <f>+'Bill_WMA 23'!C43</f>
        <v>Energy Efficiency Reconciliation Factor</v>
      </c>
      <c r="D64" s="335"/>
      <c r="E64" s="575"/>
      <c r="G64" s="308">
        <v>9.7199999999999995E-3</v>
      </c>
      <c r="H64" s="574"/>
      <c r="I64" s="308">
        <v>9.7199999999999995E-3</v>
      </c>
      <c r="J64" s="354">
        <f t="shared" si="27"/>
        <v>0</v>
      </c>
    </row>
    <row r="65" spans="1:10" ht="14" x14ac:dyDescent="0.3">
      <c r="A65" s="329">
        <f>IF(C65&lt;&gt;"",COUNTA($C$11:C65),"")</f>
        <v>50</v>
      </c>
      <c r="B65" s="569"/>
      <c r="C65" s="335" t="str">
        <f>+'Bill_WMA 23'!C44</f>
        <v>System Benefits Charge</v>
      </c>
      <c r="D65" s="330"/>
      <c r="E65" s="274"/>
      <c r="G65" s="308">
        <v>2.5000000000000001E-3</v>
      </c>
      <c r="H65" s="574"/>
      <c r="I65" s="308">
        <f>G65</f>
        <v>2.5000000000000001E-3</v>
      </c>
      <c r="J65" s="354">
        <f t="shared" si="27"/>
        <v>0</v>
      </c>
    </row>
    <row r="66" spans="1:10" ht="14" x14ac:dyDescent="0.3">
      <c r="A66" s="329">
        <f>IF(C66&lt;&gt;"",COUNTA($C$11:C66),"")</f>
        <v>51</v>
      </c>
      <c r="B66" s="569"/>
      <c r="C66" s="335" t="str">
        <f>+'Bill_WMA 23'!C45</f>
        <v>Renewable Energy Charge</v>
      </c>
      <c r="D66" s="330"/>
      <c r="E66" s="274"/>
      <c r="G66" s="308">
        <v>5.0000000000000001E-4</v>
      </c>
      <c r="H66" s="574"/>
      <c r="I66" s="308">
        <f>G66</f>
        <v>5.0000000000000001E-4</v>
      </c>
      <c r="J66" s="354">
        <f t="shared" si="27"/>
        <v>0</v>
      </c>
    </row>
    <row r="67" spans="1:10" ht="14" x14ac:dyDescent="0.3">
      <c r="A67" s="329">
        <f>IF(C67&lt;&gt;"",COUNTA($C$11:C67),"")</f>
        <v>52</v>
      </c>
      <c r="B67" s="569"/>
      <c r="C67" s="335" t="str">
        <f>+'Bill_WMA 23'!C46</f>
        <v>Basic Service Charge</v>
      </c>
      <c r="D67" s="330"/>
      <c r="E67" s="575"/>
      <c r="G67" s="308">
        <v>0.10859000000000001</v>
      </c>
      <c r="H67" s="574"/>
      <c r="I67" s="308">
        <v>0.12354999999999999</v>
      </c>
      <c r="J67" s="354">
        <f t="shared" si="27"/>
        <v>1.4959999999999987E-2</v>
      </c>
    </row>
    <row r="68" spans="1:10" ht="14" x14ac:dyDescent="0.3">
      <c r="A68" s="569"/>
      <c r="B68" s="569"/>
      <c r="C68" s="555"/>
      <c r="D68" s="555"/>
      <c r="E68" s="555"/>
      <c r="F68" s="577"/>
      <c r="G68" s="574"/>
      <c r="H68" s="574"/>
      <c r="I68" s="574"/>
      <c r="J68" s="578"/>
    </row>
    <row r="69" spans="1:10" ht="14" x14ac:dyDescent="0.3">
      <c r="A69" s="569"/>
      <c r="B69" s="569"/>
      <c r="C69" s="579"/>
      <c r="D69" s="579"/>
      <c r="E69" s="570"/>
      <c r="F69" s="580"/>
      <c r="G69" s="580"/>
      <c r="H69" s="558"/>
      <c r="I69" s="580"/>
    </row>
    <row r="70" spans="1:10" ht="14" x14ac:dyDescent="0.3">
      <c r="A70" s="569"/>
      <c r="B70" s="569"/>
      <c r="C70" s="581" t="s">
        <v>624</v>
      </c>
      <c r="D70" s="581"/>
      <c r="E70" s="580"/>
      <c r="F70" s="580"/>
      <c r="G70" s="570">
        <f>+G45+G46</f>
        <v>7.3599999999999994</v>
      </c>
      <c r="H70" s="570"/>
      <c r="I70" s="570">
        <f>+I45+I46</f>
        <v>7.52</v>
      </c>
      <c r="J70" s="421">
        <f t="shared" ref="J70:J72" si="28">+I70-G70</f>
        <v>0.16000000000000014</v>
      </c>
    </row>
    <row r="71" spans="1:10" ht="14" x14ac:dyDescent="0.3">
      <c r="A71" s="569"/>
      <c r="B71" s="569"/>
      <c r="C71" s="582" t="str">
        <f>+'Bill_WMA 23'!C49</f>
        <v>Total Energy</v>
      </c>
      <c r="D71" s="581"/>
      <c r="E71" s="580"/>
      <c r="F71" s="580"/>
      <c r="G71" s="574">
        <f>SUM(G47:G66)</f>
        <v>3.7999999999999999E-2</v>
      </c>
      <c r="H71" s="574"/>
      <c r="I71" s="574">
        <f>SUM(I47:I66)</f>
        <v>3.1759999999999997E-2</v>
      </c>
      <c r="J71" s="354">
        <f t="shared" si="28"/>
        <v>-6.2400000000000025E-3</v>
      </c>
    </row>
    <row r="72" spans="1:10" ht="14" x14ac:dyDescent="0.3">
      <c r="A72" s="569"/>
      <c r="B72" s="569"/>
      <c r="C72" s="582" t="str">
        <f>+'Bill_WMA 23'!C50</f>
        <v>Total Basic Service</v>
      </c>
      <c r="D72" s="581"/>
      <c r="E72" s="580"/>
      <c r="F72" s="580"/>
      <c r="G72" s="574">
        <f>+G67</f>
        <v>0.10859000000000001</v>
      </c>
      <c r="H72" s="574"/>
      <c r="I72" s="574">
        <f>+I67</f>
        <v>0.12354999999999999</v>
      </c>
      <c r="J72" s="354">
        <f t="shared" si="28"/>
        <v>1.4959999999999987E-2</v>
      </c>
    </row>
    <row r="73" spans="1:10" ht="14" x14ac:dyDescent="0.3">
      <c r="A73" s="569"/>
      <c r="B73" s="569"/>
      <c r="C73" s="581"/>
      <c r="D73" s="581"/>
      <c r="E73" s="580"/>
      <c r="F73" s="580"/>
      <c r="G73" s="580"/>
      <c r="H73" s="558"/>
      <c r="I73" s="580"/>
    </row>
    <row r="74" spans="1:10" ht="14" x14ac:dyDescent="0.3">
      <c r="A74" s="569"/>
      <c r="B74" s="569"/>
      <c r="C74" s="579"/>
      <c r="D74" s="579"/>
      <c r="E74" s="580"/>
      <c r="F74" s="580"/>
      <c r="G74" s="580"/>
      <c r="H74" s="558"/>
      <c r="I74" s="580"/>
    </row>
    <row r="75" spans="1:10" ht="14" x14ac:dyDescent="0.3">
      <c r="A75" s="569"/>
      <c r="B75" s="569"/>
      <c r="C75" s="579"/>
      <c r="D75" s="579"/>
      <c r="E75" s="580"/>
      <c r="F75" s="580"/>
      <c r="G75" s="580"/>
      <c r="H75" s="558"/>
      <c r="I75" s="580"/>
    </row>
    <row r="76" spans="1:10" ht="14" x14ac:dyDescent="0.3">
      <c r="A76" s="569"/>
      <c r="B76" s="569"/>
      <c r="C76" s="579"/>
      <c r="D76" s="579"/>
      <c r="E76" s="580"/>
      <c r="F76" s="580"/>
      <c r="G76" s="580"/>
      <c r="H76" s="558"/>
      <c r="I76" s="580"/>
    </row>
    <row r="77" spans="1:10" ht="14" x14ac:dyDescent="0.3">
      <c r="A77" s="569"/>
      <c r="B77" s="569"/>
      <c r="C77" s="579"/>
      <c r="D77" s="579"/>
      <c r="E77" s="580"/>
      <c r="F77" s="580"/>
      <c r="G77" s="580"/>
      <c r="H77" s="558"/>
      <c r="I77" s="580"/>
    </row>
    <row r="78" spans="1:10" ht="14" x14ac:dyDescent="0.3">
      <c r="A78" s="569"/>
      <c r="B78" s="569"/>
      <c r="C78" s="579"/>
      <c r="D78" s="579"/>
      <c r="E78" s="580"/>
      <c r="F78" s="580"/>
      <c r="G78" s="580"/>
      <c r="H78" s="558"/>
      <c r="I78" s="580"/>
    </row>
    <row r="79" spans="1:10" ht="14" x14ac:dyDescent="0.3">
      <c r="A79" s="569"/>
      <c r="B79" s="569"/>
      <c r="C79" s="579"/>
      <c r="D79" s="579"/>
      <c r="E79" s="580"/>
      <c r="F79" s="580"/>
      <c r="G79" s="580"/>
      <c r="H79" s="558"/>
      <c r="I79" s="580"/>
    </row>
    <row r="80" spans="1:10" ht="14" x14ac:dyDescent="0.3">
      <c r="A80" s="569"/>
      <c r="B80" s="569"/>
      <c r="C80" s="579"/>
      <c r="D80" s="579"/>
      <c r="E80" s="580"/>
      <c r="F80" s="580"/>
      <c r="G80" s="580"/>
      <c r="H80" s="558"/>
      <c r="I80" s="580"/>
    </row>
    <row r="81" spans="1:9" ht="14" x14ac:dyDescent="0.3">
      <c r="A81" s="569"/>
      <c r="B81" s="569"/>
      <c r="C81" s="555"/>
      <c r="D81" s="555"/>
      <c r="E81" s="555"/>
      <c r="F81" s="555"/>
      <c r="G81" s="555"/>
      <c r="H81" s="558"/>
      <c r="I81" s="555"/>
    </row>
    <row r="82" spans="1:9" ht="14" x14ac:dyDescent="0.3">
      <c r="A82" s="569"/>
      <c r="B82" s="569"/>
      <c r="C82" s="555"/>
      <c r="D82" s="555"/>
      <c r="E82" s="555"/>
      <c r="F82" s="555"/>
      <c r="G82" s="555"/>
      <c r="H82" s="558"/>
      <c r="I82" s="555"/>
    </row>
    <row r="83" spans="1:9" ht="14" x14ac:dyDescent="0.3">
      <c r="A83" s="569"/>
      <c r="B83" s="569"/>
      <c r="C83" s="555"/>
      <c r="D83" s="555"/>
      <c r="E83" s="555"/>
      <c r="F83" s="555"/>
      <c r="G83" s="555"/>
      <c r="H83" s="558"/>
      <c r="I83" s="555"/>
    </row>
    <row r="84" spans="1:9" ht="14" x14ac:dyDescent="0.3">
      <c r="A84" s="569"/>
      <c r="B84" s="569"/>
      <c r="C84" s="555"/>
      <c r="D84" s="555"/>
      <c r="E84" s="555"/>
      <c r="F84" s="555"/>
      <c r="G84" s="555"/>
      <c r="H84" s="558"/>
      <c r="I84" s="555"/>
    </row>
    <row r="85" spans="1:9" ht="14" x14ac:dyDescent="0.3">
      <c r="A85" s="569"/>
      <c r="B85" s="569"/>
      <c r="C85" s="555"/>
      <c r="D85" s="555"/>
      <c r="E85" s="555"/>
      <c r="F85" s="555"/>
      <c r="G85" s="555"/>
      <c r="H85" s="558"/>
      <c r="I85" s="555"/>
    </row>
    <row r="86" spans="1:9" ht="14" x14ac:dyDescent="0.3">
      <c r="A86" s="569"/>
      <c r="B86" s="569"/>
      <c r="C86" s="555"/>
      <c r="D86" s="555"/>
      <c r="E86" s="555"/>
      <c r="F86" s="555"/>
      <c r="G86" s="555"/>
      <c r="H86" s="558"/>
      <c r="I86" s="555"/>
    </row>
    <row r="87" spans="1:9" ht="14" x14ac:dyDescent="0.3">
      <c r="A87" s="569"/>
      <c r="B87" s="569"/>
      <c r="C87" s="555"/>
      <c r="D87" s="555"/>
      <c r="E87" s="555"/>
      <c r="F87" s="555"/>
      <c r="G87" s="555"/>
      <c r="H87" s="558"/>
      <c r="I87" s="555"/>
    </row>
    <row r="88" spans="1:9" ht="14" x14ac:dyDescent="0.3">
      <c r="A88" s="569"/>
      <c r="B88" s="569"/>
      <c r="C88" s="555"/>
      <c r="D88" s="555"/>
      <c r="E88" s="555"/>
      <c r="F88" s="555"/>
      <c r="G88" s="555"/>
      <c r="H88" s="558"/>
      <c r="I88" s="555"/>
    </row>
    <row r="89" spans="1:9" ht="14" x14ac:dyDescent="0.3">
      <c r="A89" s="569"/>
      <c r="B89" s="569"/>
      <c r="C89" s="555"/>
      <c r="D89" s="555"/>
      <c r="E89" s="555"/>
      <c r="F89" s="555"/>
      <c r="G89" s="555"/>
      <c r="H89" s="558"/>
      <c r="I89" s="555"/>
    </row>
    <row r="90" spans="1:9" ht="14" x14ac:dyDescent="0.3">
      <c r="A90" s="569"/>
      <c r="B90" s="569"/>
      <c r="C90" s="555"/>
      <c r="D90" s="555"/>
      <c r="E90" s="555"/>
      <c r="F90" s="555"/>
      <c r="G90" s="555"/>
      <c r="H90" s="558"/>
      <c r="I90" s="555"/>
    </row>
    <row r="91" spans="1:9" ht="14" x14ac:dyDescent="0.3">
      <c r="A91" s="569"/>
      <c r="B91" s="569"/>
      <c r="C91" s="555"/>
      <c r="D91" s="555"/>
      <c r="E91" s="555"/>
      <c r="F91" s="555"/>
      <c r="G91" s="555"/>
      <c r="H91" s="558"/>
      <c r="I91" s="555"/>
    </row>
    <row r="92" spans="1:9" ht="14" x14ac:dyDescent="0.3">
      <c r="A92" s="569"/>
      <c r="B92" s="569"/>
      <c r="C92" s="555"/>
      <c r="D92" s="555"/>
      <c r="E92" s="555"/>
      <c r="F92" s="555"/>
      <c r="G92" s="555"/>
      <c r="H92" s="558"/>
      <c r="I92" s="555"/>
    </row>
    <row r="93" spans="1:9" ht="14" x14ac:dyDescent="0.3">
      <c r="A93" s="569"/>
      <c r="B93" s="569"/>
      <c r="C93" s="555"/>
      <c r="D93" s="555"/>
      <c r="E93" s="555"/>
      <c r="F93" s="555"/>
      <c r="G93" s="555"/>
      <c r="H93" s="558"/>
      <c r="I93" s="555"/>
    </row>
    <row r="94" spans="1:9" ht="14" x14ac:dyDescent="0.3">
      <c r="A94" s="569"/>
      <c r="B94" s="569"/>
      <c r="C94" s="555"/>
      <c r="D94" s="555"/>
      <c r="E94" s="555"/>
      <c r="F94" s="555"/>
      <c r="G94" s="555"/>
      <c r="H94" s="558"/>
      <c r="I94" s="555"/>
    </row>
    <row r="95" spans="1:9" ht="14" x14ac:dyDescent="0.3">
      <c r="A95" s="569"/>
      <c r="B95" s="569"/>
      <c r="C95" s="555"/>
      <c r="D95" s="555"/>
      <c r="E95" s="555"/>
      <c r="F95" s="555"/>
      <c r="G95" s="555"/>
      <c r="H95" s="558"/>
      <c r="I95" s="555"/>
    </row>
    <row r="96" spans="1:9" ht="14" x14ac:dyDescent="0.3">
      <c r="A96" s="569"/>
      <c r="B96" s="569"/>
      <c r="C96" s="555"/>
      <c r="D96" s="555"/>
      <c r="E96" s="555"/>
      <c r="F96" s="555"/>
      <c r="G96" s="555"/>
      <c r="H96" s="558"/>
      <c r="I96" s="555"/>
    </row>
    <row r="97" spans="1:9" ht="14" x14ac:dyDescent="0.3">
      <c r="A97" s="569"/>
      <c r="B97" s="569"/>
      <c r="C97" s="555"/>
      <c r="D97" s="555"/>
      <c r="E97" s="555"/>
      <c r="F97" s="555"/>
      <c r="G97" s="555"/>
      <c r="H97" s="558"/>
    </row>
    <row r="98" spans="1:9" ht="14" x14ac:dyDescent="0.3">
      <c r="A98" s="569"/>
      <c r="B98" s="569"/>
      <c r="C98" s="555"/>
      <c r="D98" s="555"/>
      <c r="E98" s="555"/>
      <c r="F98" s="555"/>
      <c r="G98" s="555"/>
      <c r="H98" s="558"/>
      <c r="I98" s="555"/>
    </row>
    <row r="99" spans="1:9" ht="14" x14ac:dyDescent="0.3">
      <c r="A99" s="569"/>
      <c r="B99" s="569"/>
      <c r="C99" s="555"/>
      <c r="D99" s="555"/>
      <c r="E99" s="555"/>
      <c r="F99" s="555"/>
      <c r="G99" s="555"/>
      <c r="H99" s="558"/>
      <c r="I99" s="555"/>
    </row>
    <row r="100" spans="1:9" ht="14" x14ac:dyDescent="0.3">
      <c r="A100" s="569"/>
      <c r="B100" s="569"/>
      <c r="C100" s="555"/>
      <c r="D100" s="555"/>
      <c r="E100" s="555"/>
      <c r="F100" s="555"/>
      <c r="G100" s="555"/>
      <c r="H100" s="558"/>
      <c r="I100" s="555"/>
    </row>
    <row r="101" spans="1:9" ht="14" x14ac:dyDescent="0.3">
      <c r="A101" s="569"/>
      <c r="B101" s="569"/>
      <c r="C101" s="555"/>
      <c r="D101" s="555"/>
      <c r="E101" s="555"/>
      <c r="F101" s="555"/>
      <c r="G101" s="555"/>
      <c r="H101" s="558"/>
      <c r="I101" s="555"/>
    </row>
    <row r="102" spans="1:9" ht="14" x14ac:dyDescent="0.3">
      <c r="A102" s="569"/>
      <c r="B102" s="569"/>
      <c r="C102" s="555"/>
      <c r="D102" s="555"/>
      <c r="E102" s="555"/>
      <c r="F102" s="555"/>
      <c r="G102" s="555"/>
      <c r="H102" s="558"/>
      <c r="I102" s="555"/>
    </row>
    <row r="103" spans="1:9" ht="14" x14ac:dyDescent="0.3">
      <c r="A103" s="569"/>
      <c r="B103" s="569"/>
      <c r="C103" s="555"/>
      <c r="D103" s="555"/>
      <c r="E103" s="555"/>
      <c r="F103" s="555"/>
      <c r="G103" s="555"/>
      <c r="H103" s="558"/>
      <c r="I103" s="555"/>
    </row>
    <row r="104" spans="1:9" ht="14" x14ac:dyDescent="0.3">
      <c r="A104" s="569"/>
      <c r="B104" s="569"/>
      <c r="C104" s="555"/>
      <c r="D104" s="555"/>
      <c r="E104" s="555"/>
      <c r="F104" s="555"/>
      <c r="G104" s="555"/>
      <c r="H104" s="558"/>
      <c r="I104" s="555"/>
    </row>
    <row r="105" spans="1:9" ht="14" x14ac:dyDescent="0.3">
      <c r="A105" s="569"/>
      <c r="B105" s="569"/>
      <c r="C105" s="555"/>
      <c r="D105" s="555"/>
      <c r="E105" s="555"/>
      <c r="F105" s="555"/>
      <c r="G105" s="555"/>
      <c r="H105" s="558"/>
      <c r="I105" s="555"/>
    </row>
    <row r="106" spans="1:9" ht="14" x14ac:dyDescent="0.3">
      <c r="A106" s="569"/>
      <c r="B106" s="569"/>
      <c r="C106" s="555"/>
      <c r="D106" s="555"/>
      <c r="E106" s="555"/>
      <c r="F106" s="555"/>
      <c r="G106" s="555"/>
      <c r="H106" s="558"/>
      <c r="I106" s="555"/>
    </row>
    <row r="107" spans="1:9" ht="14" x14ac:dyDescent="0.3">
      <c r="A107" s="569"/>
      <c r="B107" s="569"/>
      <c r="C107" s="555"/>
      <c r="D107" s="555"/>
      <c r="E107" s="555"/>
      <c r="F107" s="555"/>
      <c r="G107" s="555"/>
      <c r="H107" s="558"/>
      <c r="I107" s="555"/>
    </row>
    <row r="108" spans="1:9" ht="14" x14ac:dyDescent="0.3">
      <c r="A108" s="569"/>
      <c r="B108" s="569"/>
      <c r="C108" s="555"/>
      <c r="D108" s="555"/>
      <c r="E108" s="555"/>
      <c r="F108" s="555"/>
      <c r="G108" s="555"/>
      <c r="H108" s="558"/>
      <c r="I108" s="555"/>
    </row>
    <row r="109" spans="1:9" ht="14" x14ac:dyDescent="0.3">
      <c r="A109" s="569"/>
      <c r="B109" s="569"/>
      <c r="C109" s="555"/>
      <c r="D109" s="555"/>
      <c r="E109" s="555"/>
      <c r="F109" s="555"/>
      <c r="G109" s="555"/>
      <c r="H109" s="558"/>
      <c r="I109" s="555"/>
    </row>
    <row r="110" spans="1:9" ht="14" x14ac:dyDescent="0.3">
      <c r="A110" s="569"/>
      <c r="B110" s="569"/>
      <c r="C110" s="555"/>
      <c r="D110" s="555"/>
      <c r="E110" s="555"/>
      <c r="F110" s="555"/>
      <c r="G110" s="555"/>
      <c r="H110" s="558"/>
      <c r="I110" s="555"/>
    </row>
    <row r="111" spans="1:9" ht="14" x14ac:dyDescent="0.3">
      <c r="A111" s="569"/>
      <c r="B111" s="569"/>
      <c r="C111" s="555"/>
      <c r="D111" s="555"/>
      <c r="E111" s="555"/>
      <c r="F111" s="555"/>
      <c r="G111" s="555"/>
      <c r="H111" s="558"/>
      <c r="I111" s="555"/>
    </row>
    <row r="112" spans="1:9" ht="14" x14ac:dyDescent="0.3">
      <c r="A112" s="569"/>
      <c r="B112" s="569"/>
      <c r="C112" s="555"/>
      <c r="D112" s="555"/>
      <c r="E112" s="555"/>
      <c r="F112" s="555"/>
      <c r="G112" s="555"/>
      <c r="H112" s="558"/>
      <c r="I112" s="555"/>
    </row>
    <row r="113" spans="1:9" ht="14" x14ac:dyDescent="0.3">
      <c r="A113" s="569"/>
      <c r="B113" s="569"/>
      <c r="C113" s="555"/>
      <c r="D113" s="555"/>
      <c r="E113" s="555"/>
      <c r="F113" s="555"/>
      <c r="G113" s="555"/>
      <c r="H113" s="558"/>
      <c r="I113" s="555"/>
    </row>
    <row r="114" spans="1:9" ht="14" x14ac:dyDescent="0.3">
      <c r="A114" s="569"/>
      <c r="B114" s="569"/>
      <c r="C114" s="555"/>
      <c r="D114" s="555"/>
      <c r="E114" s="555"/>
      <c r="F114" s="555"/>
      <c r="G114" s="555"/>
      <c r="H114" s="558"/>
      <c r="I114" s="555"/>
    </row>
    <row r="115" spans="1:9" ht="14" x14ac:dyDescent="0.3">
      <c r="A115" s="569"/>
      <c r="B115" s="569"/>
      <c r="C115" s="555"/>
      <c r="D115" s="555"/>
      <c r="E115" s="555"/>
      <c r="F115" s="555"/>
      <c r="G115" s="555"/>
      <c r="H115" s="558"/>
      <c r="I115" s="555"/>
    </row>
    <row r="116" spans="1:9" ht="14" x14ac:dyDescent="0.3">
      <c r="A116" s="569"/>
      <c r="B116" s="569"/>
      <c r="C116" s="555"/>
      <c r="D116" s="555"/>
      <c r="E116" s="555"/>
      <c r="F116" s="555"/>
      <c r="G116" s="555"/>
      <c r="H116" s="558"/>
      <c r="I116" s="555"/>
    </row>
    <row r="117" spans="1:9" ht="14" x14ac:dyDescent="0.3">
      <c r="A117" s="569"/>
      <c r="B117" s="569"/>
      <c r="C117" s="555"/>
      <c r="D117" s="555"/>
      <c r="E117" s="555"/>
      <c r="F117" s="555"/>
      <c r="G117" s="555"/>
      <c r="H117" s="558"/>
      <c r="I117" s="555"/>
    </row>
    <row r="118" spans="1:9" ht="14" x14ac:dyDescent="0.3">
      <c r="A118" s="569"/>
      <c r="B118" s="569"/>
      <c r="C118" s="555"/>
      <c r="D118" s="555"/>
      <c r="E118" s="555"/>
      <c r="F118" s="555"/>
      <c r="G118" s="555"/>
      <c r="H118" s="558"/>
      <c r="I118" s="555"/>
    </row>
    <row r="119" spans="1:9" ht="14" x14ac:dyDescent="0.3">
      <c r="A119" s="569"/>
      <c r="B119" s="569"/>
      <c r="C119" s="555"/>
      <c r="D119" s="555"/>
      <c r="E119" s="555"/>
      <c r="F119" s="555"/>
      <c r="G119" s="555"/>
      <c r="H119" s="558"/>
      <c r="I119" s="555"/>
    </row>
    <row r="120" spans="1:9" ht="14" x14ac:dyDescent="0.3">
      <c r="A120" s="569"/>
      <c r="B120" s="569"/>
      <c r="C120" s="555"/>
      <c r="D120" s="555"/>
      <c r="E120" s="555"/>
      <c r="F120" s="555"/>
      <c r="G120" s="555"/>
      <c r="H120" s="558"/>
      <c r="I120" s="555"/>
    </row>
    <row r="121" spans="1:9" ht="14" x14ac:dyDescent="0.3">
      <c r="A121" s="569"/>
      <c r="B121" s="569"/>
      <c r="C121" s="555"/>
      <c r="D121" s="555"/>
      <c r="E121" s="555"/>
      <c r="F121" s="555"/>
      <c r="G121" s="555"/>
      <c r="H121" s="558"/>
      <c r="I121" s="555"/>
    </row>
    <row r="122" spans="1:9" ht="14" x14ac:dyDescent="0.3">
      <c r="A122" s="569"/>
      <c r="B122" s="569"/>
      <c r="C122" s="555"/>
      <c r="D122" s="555"/>
      <c r="E122" s="555"/>
      <c r="F122" s="555"/>
      <c r="G122" s="555"/>
      <c r="H122" s="558"/>
      <c r="I122" s="555"/>
    </row>
    <row r="123" spans="1:9" ht="14" x14ac:dyDescent="0.3">
      <c r="A123" s="569"/>
      <c r="B123" s="569"/>
      <c r="C123" s="555"/>
      <c r="D123" s="555"/>
      <c r="E123" s="555"/>
      <c r="F123" s="555"/>
      <c r="G123" s="555"/>
      <c r="H123" s="558"/>
      <c r="I123" s="555"/>
    </row>
    <row r="124" spans="1:9" ht="14" x14ac:dyDescent="0.3">
      <c r="A124" s="569"/>
      <c r="B124" s="569"/>
      <c r="C124" s="555"/>
      <c r="D124" s="555"/>
      <c r="E124" s="555"/>
      <c r="F124" s="555"/>
      <c r="G124" s="555"/>
      <c r="H124" s="558"/>
      <c r="I124" s="555"/>
    </row>
    <row r="125" spans="1:9" ht="14" x14ac:dyDescent="0.3">
      <c r="A125" s="569"/>
      <c r="B125" s="569"/>
      <c r="C125" s="555"/>
      <c r="D125" s="555"/>
      <c r="E125" s="555"/>
      <c r="F125" s="555"/>
      <c r="G125" s="555"/>
      <c r="H125" s="558"/>
      <c r="I125" s="555"/>
    </row>
    <row r="126" spans="1:9" ht="14" x14ac:dyDescent="0.3">
      <c r="A126" s="569"/>
      <c r="B126" s="569"/>
      <c r="C126" s="555"/>
      <c r="D126" s="555"/>
      <c r="E126" s="555"/>
      <c r="F126" s="555"/>
      <c r="G126" s="555"/>
      <c r="H126" s="558"/>
      <c r="I126" s="555"/>
    </row>
    <row r="127" spans="1:9" ht="14" x14ac:dyDescent="0.3">
      <c r="A127" s="569"/>
      <c r="B127" s="569"/>
      <c r="C127" s="555"/>
      <c r="D127" s="555"/>
      <c r="E127" s="555"/>
      <c r="F127" s="555"/>
      <c r="G127" s="555"/>
      <c r="H127" s="558"/>
      <c r="I127" s="555"/>
    </row>
    <row r="128" spans="1:9" ht="14" x14ac:dyDescent="0.3">
      <c r="A128" s="569"/>
      <c r="B128" s="569"/>
      <c r="C128" s="555"/>
      <c r="D128" s="555"/>
      <c r="E128" s="555"/>
      <c r="F128" s="555"/>
      <c r="G128" s="555"/>
      <c r="H128" s="558"/>
      <c r="I128" s="555"/>
    </row>
    <row r="129" spans="1:9" ht="14" x14ac:dyDescent="0.3">
      <c r="A129" s="569"/>
      <c r="B129" s="569"/>
      <c r="C129" s="555"/>
      <c r="D129" s="555"/>
      <c r="E129" s="555"/>
      <c r="F129" s="555"/>
      <c r="G129" s="555"/>
      <c r="H129" s="558"/>
      <c r="I129" s="555"/>
    </row>
    <row r="130" spans="1:9" ht="14" x14ac:dyDescent="0.3">
      <c r="A130" s="569"/>
      <c r="B130" s="569"/>
      <c r="C130" s="555"/>
      <c r="D130" s="555"/>
      <c r="E130" s="555"/>
      <c r="F130" s="555"/>
      <c r="G130" s="555"/>
      <c r="H130" s="558"/>
      <c r="I130" s="555"/>
    </row>
    <row r="131" spans="1:9" ht="14" x14ac:dyDescent="0.3">
      <c r="A131" s="569"/>
      <c r="B131" s="569"/>
      <c r="C131" s="555"/>
      <c r="D131" s="555"/>
      <c r="E131" s="555"/>
      <c r="F131" s="555"/>
      <c r="G131" s="555"/>
      <c r="H131" s="558"/>
      <c r="I131" s="555"/>
    </row>
    <row r="132" spans="1:9" ht="14" x14ac:dyDescent="0.3">
      <c r="A132" s="569"/>
      <c r="B132" s="569"/>
      <c r="C132" s="555"/>
      <c r="D132" s="555"/>
      <c r="E132" s="555"/>
      <c r="F132" s="555"/>
      <c r="G132" s="555"/>
      <c r="H132" s="558"/>
      <c r="I132" s="555"/>
    </row>
    <row r="133" spans="1:9" ht="14" x14ac:dyDescent="0.3">
      <c r="A133" s="569"/>
      <c r="B133" s="569"/>
      <c r="C133" s="555"/>
      <c r="D133" s="555"/>
      <c r="E133" s="555"/>
      <c r="F133" s="555"/>
      <c r="G133" s="555"/>
      <c r="H133" s="558"/>
      <c r="I133" s="555"/>
    </row>
    <row r="134" spans="1:9" ht="14" x14ac:dyDescent="0.3">
      <c r="A134" s="569"/>
      <c r="B134" s="569"/>
      <c r="C134" s="555"/>
      <c r="D134" s="555"/>
      <c r="E134" s="555"/>
      <c r="F134" s="555"/>
      <c r="G134" s="555"/>
      <c r="H134" s="558"/>
      <c r="I134" s="555"/>
    </row>
    <row r="135" spans="1:9" ht="14" x14ac:dyDescent="0.3">
      <c r="A135" s="569"/>
      <c r="B135" s="569"/>
      <c r="C135" s="555"/>
      <c r="D135" s="555"/>
      <c r="E135" s="555"/>
      <c r="F135" s="555"/>
      <c r="G135" s="555"/>
      <c r="H135" s="558"/>
      <c r="I135" s="555"/>
    </row>
    <row r="136" spans="1:9" ht="14" x14ac:dyDescent="0.3">
      <c r="A136" s="569"/>
      <c r="B136" s="569"/>
      <c r="C136" s="555"/>
      <c r="D136" s="555"/>
      <c r="E136" s="555"/>
      <c r="F136" s="555"/>
      <c r="G136" s="555"/>
      <c r="H136" s="558"/>
      <c r="I136" s="555"/>
    </row>
    <row r="137" spans="1:9" ht="14" x14ac:dyDescent="0.3">
      <c r="A137" s="569"/>
      <c r="B137" s="569"/>
      <c r="C137" s="555"/>
      <c r="D137" s="555"/>
      <c r="E137" s="555"/>
      <c r="F137" s="555"/>
      <c r="G137" s="555"/>
      <c r="H137" s="558"/>
      <c r="I137" s="555"/>
    </row>
    <row r="138" spans="1:9" ht="14" x14ac:dyDescent="0.3">
      <c r="A138" s="569"/>
      <c r="B138" s="569"/>
      <c r="C138" s="555"/>
      <c r="D138" s="555"/>
      <c r="E138" s="555"/>
      <c r="F138" s="555"/>
      <c r="G138" s="555"/>
      <c r="H138" s="558"/>
      <c r="I138" s="555"/>
    </row>
    <row r="139" spans="1:9" ht="14" x14ac:dyDescent="0.3">
      <c r="A139" s="569"/>
      <c r="B139" s="569"/>
      <c r="C139" s="555"/>
      <c r="D139" s="555"/>
      <c r="E139" s="555"/>
      <c r="F139" s="555"/>
      <c r="G139" s="555"/>
      <c r="H139" s="558"/>
      <c r="I139" s="555"/>
    </row>
    <row r="140" spans="1:9" ht="14" x14ac:dyDescent="0.3">
      <c r="A140" s="569"/>
      <c r="B140" s="569"/>
      <c r="C140" s="555"/>
      <c r="D140" s="555"/>
      <c r="E140" s="555"/>
      <c r="F140" s="555"/>
      <c r="G140" s="555"/>
      <c r="H140" s="558"/>
      <c r="I140" s="555"/>
    </row>
    <row r="141" spans="1:9" ht="14" x14ac:dyDescent="0.3">
      <c r="A141" s="569"/>
      <c r="B141" s="569"/>
      <c r="C141" s="555"/>
      <c r="D141" s="555"/>
      <c r="E141" s="555"/>
      <c r="F141" s="555"/>
      <c r="G141" s="555"/>
      <c r="H141" s="558"/>
      <c r="I141" s="555"/>
    </row>
    <row r="142" spans="1:9" ht="14" x14ac:dyDescent="0.3">
      <c r="A142" s="569"/>
      <c r="B142" s="569"/>
      <c r="C142" s="555"/>
      <c r="D142" s="555"/>
      <c r="E142" s="555"/>
      <c r="F142" s="555"/>
      <c r="G142" s="555"/>
      <c r="H142" s="558"/>
      <c r="I142" s="555"/>
    </row>
    <row r="143" spans="1:9" ht="14" x14ac:dyDescent="0.3">
      <c r="A143" s="569"/>
      <c r="B143" s="569"/>
      <c r="C143" s="555"/>
      <c r="D143" s="555"/>
      <c r="E143" s="555"/>
      <c r="F143" s="555"/>
      <c r="G143" s="555"/>
      <c r="H143" s="558"/>
      <c r="I143" s="555"/>
    </row>
    <row r="144" spans="1:9" ht="14" x14ac:dyDescent="0.3">
      <c r="A144" s="569"/>
      <c r="B144" s="569"/>
      <c r="C144" s="555"/>
      <c r="D144" s="555"/>
      <c r="E144" s="555"/>
      <c r="F144" s="555"/>
      <c r="G144" s="555"/>
      <c r="H144" s="558"/>
      <c r="I144" s="555"/>
    </row>
    <row r="145" spans="1:9" ht="14" x14ac:dyDescent="0.3">
      <c r="A145" s="569"/>
      <c r="B145" s="569"/>
      <c r="C145" s="555"/>
      <c r="D145" s="555"/>
      <c r="E145" s="555"/>
      <c r="F145" s="555"/>
      <c r="G145" s="555"/>
      <c r="H145" s="558"/>
      <c r="I145" s="555"/>
    </row>
    <row r="146" spans="1:9" ht="14" x14ac:dyDescent="0.3">
      <c r="A146" s="569"/>
      <c r="B146" s="569"/>
      <c r="C146" s="555"/>
      <c r="D146" s="555"/>
      <c r="E146" s="555"/>
      <c r="F146" s="555"/>
      <c r="G146" s="555"/>
      <c r="H146" s="558"/>
      <c r="I146" s="555"/>
    </row>
    <row r="147" spans="1:9" ht="14" x14ac:dyDescent="0.3">
      <c r="A147" s="569"/>
      <c r="B147" s="569"/>
      <c r="C147" s="555"/>
      <c r="D147" s="555"/>
      <c r="E147" s="555"/>
      <c r="F147" s="555"/>
      <c r="G147" s="555"/>
      <c r="H147" s="558"/>
      <c r="I147" s="555"/>
    </row>
    <row r="148" spans="1:9" ht="14" x14ac:dyDescent="0.3">
      <c r="A148" s="569"/>
      <c r="B148" s="569"/>
      <c r="C148" s="555"/>
      <c r="D148" s="555"/>
      <c r="E148" s="555"/>
      <c r="F148" s="555"/>
      <c r="G148" s="555"/>
      <c r="H148" s="558"/>
      <c r="I148" s="555"/>
    </row>
    <row r="149" spans="1:9" ht="14" x14ac:dyDescent="0.3">
      <c r="A149" s="569"/>
      <c r="B149" s="569"/>
      <c r="C149" s="555"/>
      <c r="D149" s="555"/>
      <c r="E149" s="555"/>
      <c r="F149" s="555"/>
      <c r="G149" s="555"/>
      <c r="H149" s="558"/>
      <c r="I149" s="555"/>
    </row>
    <row r="150" spans="1:9" ht="14" x14ac:dyDescent="0.3">
      <c r="A150" s="569"/>
      <c r="B150" s="569"/>
      <c r="C150" s="555"/>
      <c r="D150" s="555"/>
      <c r="E150" s="555"/>
      <c r="F150" s="555"/>
      <c r="G150" s="555"/>
      <c r="H150" s="558"/>
      <c r="I150" s="555"/>
    </row>
    <row r="151" spans="1:9" ht="14" x14ac:dyDescent="0.3">
      <c r="A151" s="569"/>
      <c r="B151" s="569"/>
      <c r="C151" s="555"/>
      <c r="D151" s="555"/>
      <c r="E151" s="555"/>
      <c r="F151" s="555"/>
      <c r="G151" s="555"/>
      <c r="H151" s="558"/>
      <c r="I151" s="555"/>
    </row>
    <row r="152" spans="1:9" ht="14" x14ac:dyDescent="0.3">
      <c r="A152" s="569"/>
      <c r="B152" s="569"/>
      <c r="C152" s="555"/>
      <c r="D152" s="555"/>
      <c r="E152" s="555"/>
      <c r="F152" s="555"/>
      <c r="G152" s="555"/>
      <c r="H152" s="558"/>
      <c r="I152" s="555"/>
    </row>
    <row r="153" spans="1:9" ht="14" x14ac:dyDescent="0.3">
      <c r="A153" s="569"/>
      <c r="B153" s="569"/>
      <c r="C153" s="555"/>
      <c r="D153" s="555"/>
      <c r="E153" s="555"/>
      <c r="F153" s="555"/>
      <c r="G153" s="555"/>
      <c r="H153" s="558"/>
      <c r="I153" s="555"/>
    </row>
    <row r="154" spans="1:9" ht="14" x14ac:dyDescent="0.3">
      <c r="A154" s="569"/>
      <c r="B154" s="569"/>
      <c r="C154" s="555"/>
      <c r="D154" s="555"/>
      <c r="E154" s="555"/>
      <c r="F154" s="555"/>
      <c r="G154" s="555"/>
      <c r="H154" s="558"/>
      <c r="I154" s="555"/>
    </row>
    <row r="155" spans="1:9" ht="14" x14ac:dyDescent="0.3">
      <c r="A155" s="569"/>
      <c r="B155" s="569"/>
      <c r="C155" s="555"/>
      <c r="D155" s="555"/>
      <c r="E155" s="555"/>
      <c r="F155" s="555"/>
      <c r="G155" s="555"/>
      <c r="H155" s="558"/>
      <c r="I155" s="555"/>
    </row>
    <row r="156" spans="1:9" ht="14" x14ac:dyDescent="0.3">
      <c r="A156" s="569"/>
      <c r="B156" s="569"/>
      <c r="C156" s="555"/>
      <c r="D156" s="555"/>
      <c r="E156" s="555"/>
      <c r="F156" s="555"/>
      <c r="G156" s="555"/>
      <c r="H156" s="558"/>
      <c r="I156" s="555"/>
    </row>
    <row r="157" spans="1:9" ht="14" x14ac:dyDescent="0.3">
      <c r="A157" s="569"/>
      <c r="B157" s="569"/>
      <c r="C157" s="555"/>
      <c r="D157" s="555"/>
      <c r="E157" s="555"/>
      <c r="F157" s="555"/>
      <c r="G157" s="555"/>
      <c r="H157" s="558"/>
      <c r="I157" s="555"/>
    </row>
    <row r="158" spans="1:9" ht="14" x14ac:dyDescent="0.3">
      <c r="A158" s="569"/>
      <c r="B158" s="569"/>
      <c r="C158" s="555"/>
      <c r="D158" s="555"/>
      <c r="E158" s="555"/>
      <c r="F158" s="555"/>
      <c r="G158" s="555"/>
      <c r="H158" s="558"/>
      <c r="I158" s="555"/>
    </row>
    <row r="159" spans="1:9" ht="14" x14ac:dyDescent="0.3">
      <c r="A159" s="569"/>
      <c r="B159" s="569"/>
      <c r="C159" s="555"/>
      <c r="D159" s="555"/>
      <c r="E159" s="555"/>
      <c r="F159" s="555"/>
      <c r="G159" s="555"/>
      <c r="H159" s="558"/>
      <c r="I159" s="555"/>
    </row>
    <row r="160" spans="1:9" ht="14" x14ac:dyDescent="0.3">
      <c r="A160" s="569"/>
      <c r="B160" s="569"/>
      <c r="C160" s="555"/>
      <c r="D160" s="555"/>
      <c r="E160" s="555"/>
      <c r="F160" s="555"/>
      <c r="G160" s="555"/>
      <c r="H160" s="558"/>
      <c r="I160" s="555"/>
    </row>
    <row r="161" spans="1:9" ht="14" x14ac:dyDescent="0.3">
      <c r="A161" s="569"/>
      <c r="B161" s="569"/>
      <c r="C161" s="555"/>
      <c r="D161" s="555"/>
      <c r="E161" s="555"/>
      <c r="F161" s="555"/>
      <c r="G161" s="555"/>
      <c r="H161" s="558"/>
      <c r="I161" s="555"/>
    </row>
    <row r="162" spans="1:9" ht="14" x14ac:dyDescent="0.3">
      <c r="A162" s="569"/>
      <c r="B162" s="569"/>
      <c r="C162" s="555"/>
      <c r="D162" s="555"/>
      <c r="E162" s="555"/>
      <c r="F162" s="555"/>
      <c r="G162" s="555"/>
      <c r="H162" s="558"/>
      <c r="I162" s="555"/>
    </row>
    <row r="163" spans="1:9" ht="14" x14ac:dyDescent="0.3">
      <c r="A163" s="569"/>
      <c r="B163" s="569"/>
      <c r="C163" s="555"/>
      <c r="D163" s="555"/>
      <c r="E163" s="555"/>
      <c r="F163" s="555"/>
      <c r="G163" s="555"/>
      <c r="H163" s="558"/>
      <c r="I163" s="555"/>
    </row>
    <row r="164" spans="1:9" ht="14" x14ac:dyDescent="0.3">
      <c r="A164" s="569"/>
      <c r="B164" s="569"/>
      <c r="C164" s="555"/>
      <c r="D164" s="555"/>
      <c r="E164" s="555"/>
      <c r="F164" s="555"/>
      <c r="G164" s="555"/>
      <c r="H164" s="558"/>
      <c r="I164" s="555"/>
    </row>
    <row r="165" spans="1:9" ht="14" x14ac:dyDescent="0.3">
      <c r="A165" s="569"/>
      <c r="B165" s="569"/>
      <c r="C165" s="555"/>
      <c r="D165" s="555"/>
      <c r="E165" s="555"/>
      <c r="F165" s="555"/>
      <c r="G165" s="555"/>
      <c r="H165" s="558"/>
      <c r="I165" s="555"/>
    </row>
    <row r="166" spans="1:9" ht="14" x14ac:dyDescent="0.3">
      <c r="A166" s="569"/>
      <c r="B166" s="569"/>
      <c r="C166" s="555"/>
      <c r="D166" s="555"/>
      <c r="E166" s="555"/>
      <c r="F166" s="555"/>
      <c r="G166" s="555"/>
      <c r="H166" s="558"/>
      <c r="I166" s="555"/>
    </row>
    <row r="167" spans="1:9" ht="14" x14ac:dyDescent="0.3">
      <c r="A167" s="569"/>
      <c r="B167" s="569"/>
      <c r="C167" s="555"/>
      <c r="D167" s="555"/>
      <c r="E167" s="555"/>
      <c r="F167" s="555"/>
      <c r="G167" s="555"/>
      <c r="H167" s="558"/>
      <c r="I167" s="555"/>
    </row>
    <row r="168" spans="1:9" ht="14" x14ac:dyDescent="0.3">
      <c r="A168" s="569"/>
      <c r="B168" s="569"/>
      <c r="C168" s="555"/>
      <c r="D168" s="555"/>
      <c r="E168" s="555"/>
      <c r="F168" s="555"/>
      <c r="G168" s="555"/>
      <c r="H168" s="558"/>
      <c r="I168" s="555"/>
    </row>
    <row r="169" spans="1:9" ht="14" x14ac:dyDescent="0.3">
      <c r="A169" s="569"/>
      <c r="B169" s="569"/>
      <c r="C169" s="555"/>
      <c r="D169" s="555"/>
      <c r="E169" s="555"/>
      <c r="F169" s="555"/>
      <c r="G169" s="555"/>
      <c r="H169" s="558"/>
      <c r="I169" s="555"/>
    </row>
    <row r="170" spans="1:9" ht="14" x14ac:dyDescent="0.3">
      <c r="A170" s="569"/>
      <c r="B170" s="569"/>
      <c r="C170" s="555"/>
      <c r="D170" s="555"/>
      <c r="E170" s="555"/>
      <c r="F170" s="555"/>
      <c r="G170" s="555"/>
      <c r="H170" s="558"/>
      <c r="I170" s="555"/>
    </row>
    <row r="171" spans="1:9" ht="14" x14ac:dyDescent="0.3">
      <c r="A171" s="569"/>
      <c r="B171" s="569"/>
      <c r="C171" s="555"/>
      <c r="D171" s="555"/>
      <c r="E171" s="555"/>
      <c r="F171" s="555"/>
      <c r="G171" s="555"/>
      <c r="H171" s="558"/>
      <c r="I171" s="555"/>
    </row>
    <row r="172" spans="1:9" ht="14" x14ac:dyDescent="0.3">
      <c r="A172" s="569"/>
      <c r="B172" s="569"/>
      <c r="C172" s="555"/>
      <c r="D172" s="555"/>
      <c r="E172" s="555"/>
      <c r="F172" s="555"/>
      <c r="G172" s="555"/>
      <c r="H172" s="558"/>
      <c r="I172" s="555"/>
    </row>
    <row r="173" spans="1:9" ht="14" x14ac:dyDescent="0.3">
      <c r="A173" s="569"/>
      <c r="B173" s="569"/>
      <c r="C173" s="555"/>
      <c r="D173" s="555"/>
      <c r="E173" s="555"/>
      <c r="F173" s="555"/>
      <c r="G173" s="555"/>
      <c r="H173" s="558"/>
      <c r="I173" s="555"/>
    </row>
    <row r="174" spans="1:9" ht="14" x14ac:dyDescent="0.3">
      <c r="A174" s="569"/>
      <c r="B174" s="569"/>
      <c r="C174" s="555"/>
      <c r="D174" s="555"/>
      <c r="E174" s="555"/>
      <c r="F174" s="555"/>
      <c r="G174" s="555"/>
      <c r="H174" s="558"/>
      <c r="I174" s="555"/>
    </row>
    <row r="175" spans="1:9" ht="14" x14ac:dyDescent="0.3">
      <c r="A175" s="569"/>
      <c r="B175" s="569"/>
      <c r="C175" s="555"/>
      <c r="D175" s="555"/>
      <c r="E175" s="555"/>
      <c r="F175" s="555"/>
      <c r="G175" s="555"/>
      <c r="H175" s="558"/>
      <c r="I175" s="555"/>
    </row>
    <row r="176" spans="1:9" ht="14" x14ac:dyDescent="0.3">
      <c r="A176" s="569"/>
      <c r="B176" s="569"/>
      <c r="C176" s="555"/>
      <c r="D176" s="555"/>
      <c r="E176" s="555"/>
      <c r="F176" s="555"/>
      <c r="G176" s="555"/>
      <c r="H176" s="558"/>
      <c r="I176" s="555"/>
    </row>
    <row r="177" spans="1:9" ht="14" x14ac:dyDescent="0.3">
      <c r="A177" s="569"/>
      <c r="B177" s="569"/>
      <c r="C177" s="555"/>
      <c r="D177" s="555"/>
      <c r="E177" s="555"/>
      <c r="F177" s="555"/>
      <c r="G177" s="555"/>
      <c r="H177" s="558"/>
      <c r="I177" s="555"/>
    </row>
    <row r="178" spans="1:9" ht="14" x14ac:dyDescent="0.3">
      <c r="A178" s="569"/>
      <c r="B178" s="569"/>
      <c r="C178" s="555"/>
      <c r="D178" s="555"/>
      <c r="E178" s="555"/>
      <c r="F178" s="555"/>
      <c r="G178" s="555"/>
      <c r="H178" s="558"/>
      <c r="I178" s="555"/>
    </row>
    <row r="179" spans="1:9" ht="14" x14ac:dyDescent="0.3">
      <c r="A179" s="569"/>
      <c r="B179" s="569"/>
      <c r="C179" s="555"/>
      <c r="D179" s="555"/>
      <c r="E179" s="555"/>
      <c r="F179" s="555"/>
      <c r="G179" s="555"/>
      <c r="H179" s="558"/>
      <c r="I179" s="555"/>
    </row>
    <row r="180" spans="1:9" ht="14" x14ac:dyDescent="0.3">
      <c r="A180" s="569"/>
      <c r="B180" s="569"/>
      <c r="C180" s="555"/>
      <c r="D180" s="555"/>
      <c r="E180" s="555"/>
      <c r="F180" s="555"/>
      <c r="G180" s="555"/>
      <c r="H180" s="558"/>
      <c r="I180" s="555"/>
    </row>
    <row r="181" spans="1:9" ht="14" x14ac:dyDescent="0.3">
      <c r="A181" s="569"/>
      <c r="B181" s="569"/>
      <c r="C181" s="555"/>
      <c r="D181" s="555"/>
      <c r="E181" s="555"/>
      <c r="F181" s="555"/>
      <c r="G181" s="555"/>
      <c r="H181" s="558"/>
      <c r="I181" s="555"/>
    </row>
    <row r="182" spans="1:9" ht="14" x14ac:dyDescent="0.3">
      <c r="A182" s="569"/>
      <c r="B182" s="569"/>
      <c r="C182" s="555"/>
      <c r="D182" s="555"/>
      <c r="E182" s="555"/>
      <c r="F182" s="555"/>
      <c r="G182" s="555"/>
      <c r="H182" s="558"/>
      <c r="I182" s="555"/>
    </row>
    <row r="183" spans="1:9" ht="14" x14ac:dyDescent="0.3">
      <c r="A183" s="569"/>
      <c r="B183" s="569"/>
      <c r="C183" s="555"/>
      <c r="D183" s="555"/>
      <c r="E183" s="555"/>
      <c r="F183" s="555"/>
      <c r="G183" s="555"/>
      <c r="H183" s="558"/>
      <c r="I183" s="555"/>
    </row>
    <row r="184" spans="1:9" ht="14" x14ac:dyDescent="0.3">
      <c r="A184" s="569"/>
      <c r="B184" s="569"/>
      <c r="C184" s="555"/>
      <c r="D184" s="555"/>
      <c r="E184" s="555"/>
      <c r="F184" s="555"/>
      <c r="G184" s="555"/>
      <c r="H184" s="558"/>
      <c r="I184" s="555"/>
    </row>
    <row r="185" spans="1:9" ht="14" x14ac:dyDescent="0.3">
      <c r="A185" s="569"/>
      <c r="B185" s="569"/>
      <c r="C185" s="555"/>
      <c r="D185" s="555"/>
      <c r="E185" s="555"/>
      <c r="F185" s="555"/>
      <c r="G185" s="555"/>
      <c r="H185" s="558"/>
      <c r="I185" s="555"/>
    </row>
    <row r="186" spans="1:9" ht="14" x14ac:dyDescent="0.3">
      <c r="A186" s="569"/>
      <c r="B186" s="569"/>
      <c r="C186" s="555"/>
      <c r="D186" s="555"/>
      <c r="E186" s="555"/>
      <c r="F186" s="555"/>
      <c r="G186" s="555"/>
      <c r="H186" s="558"/>
      <c r="I186" s="555"/>
    </row>
    <row r="187" spans="1:9" ht="14" x14ac:dyDescent="0.3">
      <c r="A187" s="569"/>
      <c r="B187" s="569"/>
      <c r="C187" s="555"/>
      <c r="D187" s="555"/>
      <c r="E187" s="555"/>
      <c r="F187" s="555"/>
      <c r="G187" s="555"/>
      <c r="H187" s="558"/>
      <c r="I187" s="555"/>
    </row>
    <row r="188" spans="1:9" ht="14" x14ac:dyDescent="0.3">
      <c r="A188" s="569"/>
      <c r="B188" s="569"/>
      <c r="C188" s="555"/>
      <c r="D188" s="555"/>
      <c r="E188" s="555"/>
      <c r="F188" s="555"/>
      <c r="G188" s="555"/>
      <c r="H188" s="558"/>
      <c r="I188" s="555"/>
    </row>
    <row r="189" spans="1:9" ht="14" x14ac:dyDescent="0.3">
      <c r="A189" s="569"/>
      <c r="B189" s="569"/>
      <c r="C189" s="555"/>
      <c r="D189" s="555"/>
      <c r="E189" s="555"/>
      <c r="F189" s="555"/>
      <c r="G189" s="555"/>
      <c r="H189" s="558"/>
      <c r="I189" s="555"/>
    </row>
    <row r="190" spans="1:9" ht="14" x14ac:dyDescent="0.3">
      <c r="A190" s="569"/>
      <c r="B190" s="569"/>
      <c r="C190" s="555"/>
      <c r="D190" s="555"/>
      <c r="E190" s="555"/>
      <c r="F190" s="555"/>
      <c r="G190" s="555"/>
      <c r="H190" s="558"/>
      <c r="I190" s="555"/>
    </row>
    <row r="191" spans="1:9" ht="14" x14ac:dyDescent="0.3">
      <c r="A191" s="569"/>
      <c r="B191" s="569"/>
      <c r="C191" s="555"/>
      <c r="D191" s="555"/>
      <c r="E191" s="555"/>
      <c r="F191" s="555"/>
      <c r="G191" s="555"/>
      <c r="H191" s="558"/>
      <c r="I191" s="555"/>
    </row>
    <row r="192" spans="1:9" ht="14" x14ac:dyDescent="0.3">
      <c r="A192" s="569"/>
      <c r="B192" s="569"/>
      <c r="C192" s="555"/>
      <c r="D192" s="555"/>
      <c r="E192" s="555"/>
      <c r="F192" s="555"/>
      <c r="G192" s="555"/>
      <c r="H192" s="558"/>
      <c r="I192" s="555"/>
    </row>
    <row r="193" spans="1:9" ht="14" x14ac:dyDescent="0.3">
      <c r="A193" s="569"/>
      <c r="B193" s="569"/>
      <c r="C193" s="555"/>
      <c r="D193" s="555"/>
      <c r="E193" s="555"/>
      <c r="F193" s="555"/>
      <c r="G193" s="555"/>
      <c r="H193" s="558"/>
      <c r="I193" s="555"/>
    </row>
    <row r="194" spans="1:9" ht="14" x14ac:dyDescent="0.3">
      <c r="A194" s="569"/>
      <c r="B194" s="569"/>
      <c r="C194" s="555"/>
      <c r="D194" s="555"/>
      <c r="E194" s="555"/>
      <c r="F194" s="555"/>
      <c r="G194" s="555"/>
      <c r="H194" s="558"/>
      <c r="I194" s="555"/>
    </row>
    <row r="195" spans="1:9" ht="14" x14ac:dyDescent="0.3">
      <c r="A195" s="569"/>
      <c r="B195" s="569"/>
      <c r="C195" s="555"/>
      <c r="D195" s="555"/>
      <c r="E195" s="555"/>
      <c r="F195" s="555"/>
      <c r="G195" s="555"/>
      <c r="H195" s="558"/>
      <c r="I195" s="555"/>
    </row>
    <row r="196" spans="1:9" ht="14" x14ac:dyDescent="0.3">
      <c r="A196" s="569"/>
      <c r="B196" s="569"/>
      <c r="C196" s="555"/>
      <c r="D196" s="555"/>
      <c r="E196" s="555"/>
      <c r="F196" s="555"/>
      <c r="G196" s="555"/>
      <c r="H196" s="558"/>
      <c r="I196" s="555"/>
    </row>
    <row r="197" spans="1:9" ht="14" x14ac:dyDescent="0.3">
      <c r="A197" s="569"/>
      <c r="B197" s="569"/>
      <c r="C197" s="555"/>
      <c r="D197" s="555"/>
      <c r="E197" s="555"/>
      <c r="F197" s="555"/>
      <c r="G197" s="555"/>
      <c r="H197" s="558"/>
      <c r="I197" s="555"/>
    </row>
    <row r="198" spans="1:9" ht="14" x14ac:dyDescent="0.3">
      <c r="A198" s="569"/>
      <c r="B198" s="569"/>
      <c r="C198" s="555"/>
      <c r="D198" s="555"/>
      <c r="E198" s="555"/>
      <c r="F198" s="555"/>
      <c r="G198" s="555"/>
      <c r="H198" s="558"/>
      <c r="I198" s="555"/>
    </row>
    <row r="199" spans="1:9" ht="14" x14ac:dyDescent="0.3">
      <c r="A199" s="569"/>
      <c r="B199" s="569"/>
      <c r="C199" s="555"/>
      <c r="D199" s="555"/>
      <c r="E199" s="555"/>
      <c r="F199" s="555"/>
      <c r="G199" s="555"/>
      <c r="H199" s="558"/>
      <c r="I199" s="555"/>
    </row>
    <row r="200" spans="1:9" ht="14" x14ac:dyDescent="0.3">
      <c r="A200" s="569"/>
      <c r="B200" s="569"/>
      <c r="C200" s="555"/>
      <c r="D200" s="555"/>
      <c r="E200" s="555"/>
      <c r="F200" s="555"/>
      <c r="G200" s="555"/>
      <c r="H200" s="558"/>
      <c r="I200" s="555"/>
    </row>
    <row r="201" spans="1:9" ht="14" x14ac:dyDescent="0.3">
      <c r="A201" s="569"/>
      <c r="B201" s="569"/>
      <c r="C201" s="555"/>
      <c r="D201" s="555"/>
      <c r="E201" s="555"/>
      <c r="F201" s="555"/>
      <c r="G201" s="555"/>
      <c r="H201" s="558"/>
      <c r="I201" s="555"/>
    </row>
    <row r="202" spans="1:9" ht="14" x14ac:dyDescent="0.3">
      <c r="A202" s="569"/>
      <c r="B202" s="569"/>
      <c r="C202" s="555"/>
      <c r="D202" s="555"/>
      <c r="E202" s="555"/>
      <c r="F202" s="555"/>
      <c r="G202" s="555"/>
      <c r="H202" s="558"/>
      <c r="I202" s="555"/>
    </row>
    <row r="203" spans="1:9" ht="14" x14ac:dyDescent="0.3">
      <c r="A203" s="569"/>
      <c r="B203" s="569"/>
      <c r="C203" s="555"/>
      <c r="D203" s="555"/>
      <c r="E203" s="555"/>
      <c r="F203" s="555"/>
      <c r="G203" s="555"/>
      <c r="H203" s="558"/>
      <c r="I203" s="555"/>
    </row>
    <row r="204" spans="1:9" ht="14" x14ac:dyDescent="0.3">
      <c r="A204" s="569"/>
      <c r="B204" s="569"/>
      <c r="C204" s="555"/>
      <c r="D204" s="555"/>
      <c r="E204" s="555"/>
      <c r="F204" s="555"/>
      <c r="G204" s="555"/>
      <c r="H204" s="558"/>
      <c r="I204" s="555"/>
    </row>
    <row r="205" spans="1:9" ht="14" x14ac:dyDescent="0.3">
      <c r="A205" s="569"/>
      <c r="B205" s="569"/>
      <c r="C205" s="555"/>
      <c r="D205" s="555"/>
      <c r="E205" s="555"/>
      <c r="F205" s="555"/>
      <c r="G205" s="555"/>
      <c r="H205" s="558"/>
      <c r="I205" s="555"/>
    </row>
    <row r="206" spans="1:9" ht="14" x14ac:dyDescent="0.3">
      <c r="A206" s="569"/>
      <c r="B206" s="569"/>
      <c r="C206" s="555"/>
      <c r="D206" s="555"/>
      <c r="E206" s="555"/>
      <c r="F206" s="555"/>
      <c r="G206" s="555"/>
      <c r="H206" s="558"/>
      <c r="I206" s="555"/>
    </row>
    <row r="207" spans="1:9" ht="14" x14ac:dyDescent="0.3">
      <c r="A207" s="569"/>
      <c r="B207" s="569"/>
      <c r="C207" s="555"/>
      <c r="D207" s="555"/>
      <c r="E207" s="555"/>
      <c r="F207" s="555"/>
      <c r="G207" s="555"/>
      <c r="H207" s="558"/>
      <c r="I207" s="555"/>
    </row>
    <row r="208" spans="1:9" ht="14" x14ac:dyDescent="0.3">
      <c r="A208" s="569"/>
      <c r="B208" s="569"/>
      <c r="C208" s="555"/>
      <c r="D208" s="555"/>
      <c r="E208" s="555"/>
      <c r="F208" s="555"/>
      <c r="G208" s="555"/>
      <c r="H208" s="558"/>
      <c r="I208" s="555"/>
    </row>
    <row r="209" spans="1:9" ht="14" x14ac:dyDescent="0.3">
      <c r="A209" s="569"/>
      <c r="B209" s="569"/>
      <c r="C209" s="555"/>
      <c r="D209" s="555"/>
      <c r="E209" s="555"/>
      <c r="F209" s="555"/>
      <c r="G209" s="555"/>
      <c r="H209" s="558"/>
      <c r="I209" s="555"/>
    </row>
    <row r="210" spans="1:9" ht="14" x14ac:dyDescent="0.3">
      <c r="A210" s="569"/>
      <c r="B210" s="569"/>
      <c r="C210" s="555"/>
      <c r="D210" s="555"/>
      <c r="E210" s="555"/>
      <c r="F210" s="555"/>
      <c r="G210" s="555"/>
      <c r="H210" s="558"/>
      <c r="I210" s="555"/>
    </row>
    <row r="211" spans="1:9" ht="14" x14ac:dyDescent="0.3">
      <c r="A211" s="569"/>
      <c r="B211" s="569"/>
      <c r="C211" s="555"/>
      <c r="D211" s="555"/>
      <c r="E211" s="555"/>
      <c r="F211" s="555"/>
      <c r="G211" s="555"/>
      <c r="H211" s="558"/>
      <c r="I211" s="555"/>
    </row>
    <row r="212" spans="1:9" ht="14" x14ac:dyDescent="0.3">
      <c r="A212" s="569"/>
      <c r="B212" s="569"/>
      <c r="C212" s="555"/>
      <c r="D212" s="555"/>
      <c r="E212" s="555"/>
      <c r="F212" s="555"/>
      <c r="G212" s="555"/>
      <c r="H212" s="558"/>
      <c r="I212" s="555"/>
    </row>
    <row r="213" spans="1:9" ht="14" x14ac:dyDescent="0.3">
      <c r="A213" s="569"/>
      <c r="B213" s="569"/>
      <c r="C213" s="555"/>
      <c r="D213" s="555"/>
      <c r="E213" s="555"/>
      <c r="F213" s="555"/>
      <c r="G213" s="555"/>
      <c r="H213" s="558"/>
      <c r="I213" s="555"/>
    </row>
    <row r="214" spans="1:9" ht="14" x14ac:dyDescent="0.3">
      <c r="A214" s="569"/>
      <c r="B214" s="569"/>
      <c r="C214" s="555"/>
      <c r="D214" s="555"/>
      <c r="E214" s="555"/>
      <c r="F214" s="555"/>
      <c r="G214" s="555"/>
      <c r="H214" s="558"/>
      <c r="I214" s="555"/>
    </row>
    <row r="215" spans="1:9" ht="14" x14ac:dyDescent="0.3">
      <c r="A215" s="569"/>
      <c r="B215" s="569"/>
      <c r="C215" s="555"/>
      <c r="D215" s="555"/>
      <c r="E215" s="555"/>
      <c r="F215" s="555"/>
      <c r="G215" s="555"/>
      <c r="H215" s="558"/>
      <c r="I215" s="555"/>
    </row>
    <row r="216" spans="1:9" ht="14" x14ac:dyDescent="0.3">
      <c r="A216" s="569"/>
      <c r="B216" s="569"/>
      <c r="C216" s="555"/>
      <c r="D216" s="555"/>
      <c r="E216" s="555"/>
      <c r="F216" s="555"/>
      <c r="G216" s="555"/>
      <c r="H216" s="558"/>
      <c r="I216" s="555"/>
    </row>
    <row r="217" spans="1:9" ht="14" x14ac:dyDescent="0.3">
      <c r="A217" s="569"/>
      <c r="B217" s="569"/>
      <c r="C217" s="555"/>
      <c r="D217" s="555"/>
      <c r="E217" s="555"/>
      <c r="F217" s="555"/>
      <c r="G217" s="555"/>
      <c r="H217" s="558"/>
      <c r="I217" s="555"/>
    </row>
    <row r="218" spans="1:9" ht="14" x14ac:dyDescent="0.3">
      <c r="A218" s="569"/>
      <c r="B218" s="569"/>
      <c r="C218" s="555"/>
      <c r="D218" s="555"/>
      <c r="E218" s="555"/>
      <c r="F218" s="555"/>
      <c r="G218" s="555"/>
      <c r="H218" s="558"/>
      <c r="I218" s="555"/>
    </row>
    <row r="219" spans="1:9" ht="14" x14ac:dyDescent="0.3">
      <c r="A219" s="569"/>
      <c r="B219" s="569"/>
      <c r="C219" s="555"/>
      <c r="D219" s="555"/>
      <c r="E219" s="555"/>
      <c r="F219" s="555"/>
      <c r="G219" s="555"/>
      <c r="H219" s="558"/>
      <c r="I219" s="555"/>
    </row>
    <row r="220" spans="1:9" ht="14" x14ac:dyDescent="0.3">
      <c r="A220" s="569"/>
      <c r="B220" s="569"/>
      <c r="C220" s="555"/>
      <c r="D220" s="555"/>
      <c r="E220" s="555"/>
      <c r="F220" s="555"/>
      <c r="G220" s="555"/>
      <c r="H220" s="558"/>
      <c r="I220" s="555"/>
    </row>
    <row r="221" spans="1:9" ht="14" x14ac:dyDescent="0.3">
      <c r="A221" s="569"/>
      <c r="B221" s="569"/>
      <c r="C221" s="555"/>
      <c r="D221" s="555"/>
      <c r="E221" s="555"/>
      <c r="F221" s="555"/>
      <c r="G221" s="555"/>
      <c r="H221" s="558"/>
      <c r="I221" s="555"/>
    </row>
    <row r="222" spans="1:9" ht="14" x14ac:dyDescent="0.3">
      <c r="A222" s="569"/>
      <c r="B222" s="569"/>
      <c r="C222" s="555"/>
      <c r="D222" s="555"/>
      <c r="E222" s="555"/>
      <c r="F222" s="555"/>
      <c r="G222" s="555"/>
      <c r="H222" s="558"/>
      <c r="I222" s="555"/>
    </row>
    <row r="223" spans="1:9" ht="14" x14ac:dyDescent="0.3">
      <c r="A223" s="569"/>
      <c r="B223" s="569"/>
      <c r="C223" s="555"/>
      <c r="D223" s="555"/>
      <c r="E223" s="555"/>
      <c r="F223" s="555"/>
      <c r="G223" s="555"/>
      <c r="H223" s="558"/>
      <c r="I223" s="555"/>
    </row>
    <row r="224" spans="1:9" ht="14" x14ac:dyDescent="0.3">
      <c r="A224" s="569"/>
      <c r="B224" s="569"/>
      <c r="C224" s="555"/>
      <c r="D224" s="555"/>
      <c r="E224" s="555"/>
      <c r="F224" s="555"/>
      <c r="G224" s="555"/>
      <c r="H224" s="558"/>
      <c r="I224" s="555"/>
    </row>
    <row r="225" spans="1:9" ht="14" x14ac:dyDescent="0.3">
      <c r="A225" s="569"/>
      <c r="B225" s="569"/>
      <c r="C225" s="555"/>
      <c r="D225" s="555"/>
      <c r="E225" s="555"/>
      <c r="F225" s="555"/>
      <c r="G225" s="555"/>
      <c r="H225" s="558"/>
      <c r="I225" s="555"/>
    </row>
    <row r="226" spans="1:9" ht="14" x14ac:dyDescent="0.3">
      <c r="A226" s="569"/>
      <c r="B226" s="569"/>
      <c r="C226" s="555"/>
      <c r="D226" s="555"/>
      <c r="E226" s="555"/>
      <c r="F226" s="555"/>
      <c r="G226" s="555"/>
      <c r="H226" s="558"/>
      <c r="I226" s="555"/>
    </row>
    <row r="227" spans="1:9" ht="14" x14ac:dyDescent="0.3">
      <c r="A227" s="569"/>
      <c r="B227" s="569"/>
      <c r="C227" s="555"/>
      <c r="D227" s="555"/>
      <c r="E227" s="555"/>
      <c r="F227" s="555"/>
      <c r="G227" s="555"/>
      <c r="H227" s="558"/>
      <c r="I227" s="555"/>
    </row>
    <row r="228" spans="1:9" ht="14" x14ac:dyDescent="0.3">
      <c r="A228" s="569"/>
      <c r="B228" s="569"/>
      <c r="C228" s="555"/>
      <c r="D228" s="555"/>
      <c r="E228" s="555"/>
      <c r="F228" s="555"/>
      <c r="G228" s="555"/>
      <c r="H228" s="558"/>
      <c r="I228" s="555"/>
    </row>
    <row r="229" spans="1:9" ht="14" x14ac:dyDescent="0.3">
      <c r="A229" s="569"/>
      <c r="B229" s="569"/>
      <c r="C229" s="555"/>
      <c r="D229" s="555"/>
      <c r="E229" s="555"/>
      <c r="F229" s="555"/>
      <c r="G229" s="555"/>
      <c r="H229" s="558"/>
      <c r="I229" s="555"/>
    </row>
    <row r="230" spans="1:9" ht="14" x14ac:dyDescent="0.3">
      <c r="A230" s="569"/>
      <c r="B230" s="569"/>
      <c r="C230" s="555"/>
      <c r="D230" s="555"/>
      <c r="E230" s="555"/>
      <c r="F230" s="555"/>
      <c r="G230" s="555"/>
      <c r="H230" s="558"/>
      <c r="I230" s="555"/>
    </row>
    <row r="231" spans="1:9" ht="14" x14ac:dyDescent="0.3">
      <c r="A231" s="569"/>
      <c r="B231" s="569"/>
      <c r="C231" s="555"/>
      <c r="D231" s="555"/>
      <c r="E231" s="555"/>
      <c r="F231" s="555"/>
      <c r="G231" s="555"/>
      <c r="H231" s="558"/>
      <c r="I231" s="555"/>
    </row>
    <row r="232" spans="1:9" ht="14" x14ac:dyDescent="0.3">
      <c r="A232" s="569"/>
      <c r="B232" s="569"/>
      <c r="C232" s="555"/>
      <c r="D232" s="555"/>
      <c r="E232" s="555"/>
      <c r="F232" s="555"/>
      <c r="G232" s="555"/>
      <c r="H232" s="558"/>
      <c r="I232" s="555"/>
    </row>
    <row r="233" spans="1:9" ht="14" x14ac:dyDescent="0.3">
      <c r="A233" s="569"/>
      <c r="B233" s="569"/>
      <c r="C233" s="555"/>
      <c r="D233" s="555"/>
      <c r="E233" s="555"/>
      <c r="F233" s="555"/>
      <c r="G233" s="555"/>
      <c r="H233" s="558"/>
      <c r="I233" s="555"/>
    </row>
    <row r="234" spans="1:9" ht="14" x14ac:dyDescent="0.3">
      <c r="A234" s="569"/>
      <c r="B234" s="569"/>
      <c r="C234" s="555"/>
      <c r="D234" s="555"/>
      <c r="E234" s="555"/>
      <c r="F234" s="555"/>
      <c r="G234" s="555"/>
      <c r="H234" s="558"/>
      <c r="I234" s="555"/>
    </row>
    <row r="235" spans="1:9" ht="14" x14ac:dyDescent="0.3">
      <c r="A235" s="569"/>
      <c r="B235" s="569"/>
      <c r="C235" s="555"/>
      <c r="D235" s="555"/>
      <c r="E235" s="555"/>
      <c r="F235" s="555"/>
      <c r="G235" s="555"/>
      <c r="H235" s="558"/>
      <c r="I235" s="555"/>
    </row>
    <row r="236" spans="1:9" ht="14" x14ac:dyDescent="0.3">
      <c r="A236" s="569"/>
      <c r="B236" s="569"/>
      <c r="C236" s="555"/>
      <c r="D236" s="555"/>
      <c r="E236" s="555"/>
      <c r="F236" s="555"/>
      <c r="G236" s="555"/>
      <c r="H236" s="558"/>
      <c r="I236" s="555"/>
    </row>
    <row r="237" spans="1:9" ht="14" x14ac:dyDescent="0.3">
      <c r="A237" s="569"/>
      <c r="B237" s="569"/>
      <c r="C237" s="555"/>
      <c r="D237" s="555"/>
      <c r="E237" s="555"/>
      <c r="F237" s="555"/>
      <c r="G237" s="555"/>
      <c r="H237" s="558"/>
      <c r="I237" s="555"/>
    </row>
    <row r="238" spans="1:9" ht="14" x14ac:dyDescent="0.3">
      <c r="A238" s="569"/>
      <c r="B238" s="569"/>
      <c r="C238" s="555"/>
      <c r="D238" s="555"/>
      <c r="E238" s="555"/>
      <c r="F238" s="555"/>
      <c r="G238" s="555"/>
      <c r="H238" s="558"/>
      <c r="I238" s="555"/>
    </row>
    <row r="239" spans="1:9" ht="14" x14ac:dyDescent="0.3">
      <c r="A239" s="569"/>
      <c r="B239" s="569"/>
      <c r="C239" s="555"/>
      <c r="D239" s="555"/>
      <c r="E239" s="555"/>
      <c r="F239" s="555"/>
      <c r="G239" s="555"/>
      <c r="H239" s="558"/>
      <c r="I239" s="555"/>
    </row>
    <row r="240" spans="1:9" ht="14" x14ac:dyDescent="0.3">
      <c r="A240" s="569"/>
      <c r="B240" s="569"/>
      <c r="C240" s="555"/>
      <c r="D240" s="555"/>
      <c r="E240" s="555"/>
      <c r="F240" s="555"/>
      <c r="G240" s="555"/>
      <c r="H240" s="558"/>
      <c r="I240" s="555"/>
    </row>
    <row r="241" spans="1:9" ht="14" x14ac:dyDescent="0.3">
      <c r="A241" s="569"/>
      <c r="B241" s="569"/>
      <c r="C241" s="555"/>
      <c r="D241" s="555"/>
      <c r="E241" s="555"/>
      <c r="F241" s="555"/>
      <c r="G241" s="555"/>
      <c r="H241" s="558"/>
      <c r="I241" s="555"/>
    </row>
    <row r="242" spans="1:9" ht="14" x14ac:dyDescent="0.3">
      <c r="A242" s="569"/>
      <c r="B242" s="569"/>
      <c r="C242" s="555"/>
      <c r="D242" s="555"/>
      <c r="E242" s="555"/>
      <c r="F242" s="555"/>
      <c r="G242" s="555"/>
      <c r="H242" s="558"/>
      <c r="I242" s="555"/>
    </row>
    <row r="243" spans="1:9" ht="14" x14ac:dyDescent="0.3">
      <c r="A243" s="569"/>
      <c r="B243" s="569"/>
      <c r="C243" s="555"/>
      <c r="D243" s="555"/>
      <c r="E243" s="555"/>
      <c r="F243" s="555"/>
      <c r="G243" s="555"/>
      <c r="H243" s="558"/>
      <c r="I243" s="555"/>
    </row>
    <row r="244" spans="1:9" ht="14" x14ac:dyDescent="0.3">
      <c r="A244" s="569"/>
      <c r="B244" s="569"/>
      <c r="C244" s="555"/>
      <c r="D244" s="555"/>
      <c r="E244" s="555"/>
      <c r="F244" s="555"/>
      <c r="G244" s="555"/>
      <c r="H244" s="558"/>
      <c r="I244" s="555"/>
    </row>
    <row r="245" spans="1:9" ht="14" x14ac:dyDescent="0.3">
      <c r="A245" s="569"/>
      <c r="B245" s="569"/>
      <c r="C245" s="555"/>
      <c r="D245" s="555"/>
      <c r="E245" s="555"/>
      <c r="F245" s="555"/>
      <c r="G245" s="555"/>
      <c r="H245" s="558"/>
      <c r="I245" s="555"/>
    </row>
    <row r="246" spans="1:9" ht="14" x14ac:dyDescent="0.3">
      <c r="A246" s="569"/>
      <c r="B246" s="569"/>
      <c r="C246" s="555"/>
      <c r="D246" s="555"/>
      <c r="E246" s="555"/>
      <c r="F246" s="555"/>
      <c r="G246" s="555"/>
      <c r="H246" s="558"/>
      <c r="I246" s="555"/>
    </row>
    <row r="247" spans="1:9" ht="14" x14ac:dyDescent="0.3">
      <c r="A247" s="569"/>
      <c r="B247" s="569"/>
      <c r="C247" s="555"/>
      <c r="D247" s="555"/>
      <c r="E247" s="555"/>
      <c r="F247" s="555"/>
      <c r="G247" s="555"/>
      <c r="H247" s="558"/>
      <c r="I247" s="555"/>
    </row>
    <row r="248" spans="1:9" ht="14" x14ac:dyDescent="0.3">
      <c r="A248" s="569"/>
      <c r="B248" s="569"/>
      <c r="C248" s="555"/>
      <c r="D248" s="555"/>
      <c r="E248" s="555"/>
      <c r="F248" s="555"/>
      <c r="G248" s="555"/>
      <c r="H248" s="558"/>
      <c r="I248" s="555"/>
    </row>
    <row r="249" spans="1:9" ht="14" x14ac:dyDescent="0.3">
      <c r="A249" s="569"/>
      <c r="B249" s="569"/>
      <c r="C249" s="555"/>
      <c r="D249" s="555"/>
      <c r="E249" s="555"/>
      <c r="F249" s="555"/>
      <c r="G249" s="555"/>
      <c r="H249" s="558"/>
      <c r="I249" s="555"/>
    </row>
    <row r="250" spans="1:9" ht="14" x14ac:dyDescent="0.3">
      <c r="A250" s="569"/>
      <c r="B250" s="569"/>
      <c r="C250" s="555"/>
      <c r="D250" s="555"/>
      <c r="E250" s="555"/>
      <c r="F250" s="555"/>
      <c r="G250" s="555"/>
      <c r="H250" s="558"/>
      <c r="I250" s="555"/>
    </row>
    <row r="251" spans="1:9" ht="14" x14ac:dyDescent="0.3">
      <c r="A251" s="569"/>
      <c r="B251" s="569"/>
      <c r="C251" s="555"/>
      <c r="D251" s="555"/>
      <c r="E251" s="555"/>
      <c r="F251" s="555"/>
      <c r="G251" s="555"/>
      <c r="H251" s="558"/>
      <c r="I251" s="555"/>
    </row>
    <row r="252" spans="1:9" ht="14" x14ac:dyDescent="0.3">
      <c r="A252" s="569"/>
      <c r="B252" s="569"/>
      <c r="C252" s="555"/>
      <c r="D252" s="555"/>
      <c r="E252" s="555"/>
      <c r="F252" s="555"/>
      <c r="G252" s="555"/>
      <c r="H252" s="558"/>
      <c r="I252" s="555"/>
    </row>
    <row r="253" spans="1:9" ht="14" x14ac:dyDescent="0.3">
      <c r="A253" s="569"/>
      <c r="B253" s="569"/>
      <c r="C253" s="555"/>
      <c r="D253" s="555"/>
      <c r="E253" s="555"/>
      <c r="F253" s="555"/>
      <c r="G253" s="555"/>
      <c r="H253" s="558"/>
      <c r="I253" s="555"/>
    </row>
    <row r="254" spans="1:9" ht="14" x14ac:dyDescent="0.3">
      <c r="A254" s="569"/>
      <c r="B254" s="569"/>
      <c r="C254" s="555"/>
      <c r="D254" s="555"/>
      <c r="E254" s="555"/>
      <c r="F254" s="555"/>
      <c r="G254" s="555"/>
      <c r="H254" s="558"/>
      <c r="I254" s="555"/>
    </row>
    <row r="255" spans="1:9" ht="14" x14ac:dyDescent="0.3">
      <c r="A255" s="569"/>
      <c r="B255" s="569"/>
      <c r="C255" s="555"/>
      <c r="D255" s="555"/>
      <c r="E255" s="555"/>
      <c r="F255" s="555"/>
      <c r="G255" s="555"/>
      <c r="H255" s="558"/>
      <c r="I255" s="555"/>
    </row>
    <row r="256" spans="1:9" ht="14" x14ac:dyDescent="0.3">
      <c r="A256" s="569"/>
      <c r="B256" s="569"/>
      <c r="C256" s="555"/>
      <c r="D256" s="555"/>
      <c r="E256" s="555"/>
      <c r="F256" s="555"/>
      <c r="G256" s="555"/>
      <c r="H256" s="558"/>
      <c r="I256" s="555"/>
    </row>
    <row r="257" spans="1:9" ht="14" x14ac:dyDescent="0.3">
      <c r="A257" s="569"/>
      <c r="B257" s="569"/>
      <c r="C257" s="555"/>
      <c r="D257" s="555"/>
      <c r="E257" s="555"/>
      <c r="F257" s="555"/>
      <c r="G257" s="555"/>
      <c r="H257" s="558"/>
      <c r="I257" s="555"/>
    </row>
    <row r="258" spans="1:9" ht="14" x14ac:dyDescent="0.3">
      <c r="A258" s="569"/>
      <c r="B258" s="569"/>
      <c r="C258" s="555"/>
      <c r="D258" s="555"/>
      <c r="E258" s="555"/>
      <c r="F258" s="555"/>
      <c r="G258" s="555"/>
      <c r="H258" s="558"/>
      <c r="I258" s="555"/>
    </row>
    <row r="259" spans="1:9" ht="14" x14ac:dyDescent="0.3">
      <c r="A259" s="569"/>
      <c r="B259" s="569"/>
      <c r="C259" s="555"/>
      <c r="D259" s="555"/>
      <c r="E259" s="555"/>
      <c r="F259" s="555"/>
      <c r="G259" s="555"/>
      <c r="H259" s="558"/>
      <c r="I259" s="555"/>
    </row>
    <row r="260" spans="1:9" ht="14" x14ac:dyDescent="0.3">
      <c r="A260" s="569"/>
      <c r="B260" s="569"/>
      <c r="C260" s="555"/>
      <c r="D260" s="555"/>
      <c r="E260" s="555"/>
      <c r="F260" s="555"/>
      <c r="G260" s="555"/>
      <c r="H260" s="558"/>
      <c r="I260" s="555"/>
    </row>
    <row r="261" spans="1:9" ht="14" x14ac:dyDescent="0.3">
      <c r="A261" s="569"/>
      <c r="B261" s="569"/>
      <c r="C261" s="555"/>
      <c r="D261" s="555"/>
      <c r="E261" s="555"/>
      <c r="F261" s="555"/>
      <c r="G261" s="555"/>
      <c r="H261" s="558"/>
      <c r="I261" s="555"/>
    </row>
  </sheetData>
  <mergeCells count="7">
    <mergeCell ref="A4:N4"/>
    <mergeCell ref="A5:N5"/>
    <mergeCell ref="A6:N6"/>
    <mergeCell ref="A8:N8"/>
    <mergeCell ref="E11:G11"/>
    <mergeCell ref="I11:K11"/>
    <mergeCell ref="M11:N11"/>
  </mergeCells>
  <pageMargins left="0.7" right="0.7" top="0.75" bottom="0.75" header="0.3" footer="0.3"/>
  <pageSetup scale="64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54614-8CD7-4071-88B0-7CBD01A949A0}">
  <sheetPr>
    <tabColor theme="3" tint="0.59999389629810485"/>
    <pageSetUpPr fitToPage="1"/>
  </sheetPr>
  <dimension ref="A1:AJ254"/>
  <sheetViews>
    <sheetView zoomScaleNormal="100" workbookViewId="0"/>
  </sheetViews>
  <sheetFormatPr defaultRowHeight="12.5" x14ac:dyDescent="0.25"/>
  <cols>
    <col min="1" max="1" width="4" customWidth="1"/>
    <col min="2" max="2" width="4.453125" bestFit="1" customWidth="1"/>
    <col min="3" max="3" width="9.7265625" customWidth="1"/>
    <col min="4" max="4" width="10.7265625" customWidth="1"/>
    <col min="5" max="7" width="14.54296875" customWidth="1"/>
    <col min="8" max="8" width="1.7265625" customWidth="1"/>
    <col min="9" max="11" width="14.54296875" customWidth="1"/>
    <col min="12" max="12" width="1.7265625" customWidth="1"/>
    <col min="13" max="14" width="11.7265625" customWidth="1"/>
    <col min="15" max="15" width="9.26953125" bestFit="1" customWidth="1"/>
    <col min="16" max="16" width="10.81640625" bestFit="1" customWidth="1"/>
    <col min="17" max="17" width="9.7265625" bestFit="1" customWidth="1"/>
    <col min="18" max="18" width="10.1796875" bestFit="1" customWidth="1"/>
    <col min="19" max="19" width="11.26953125" bestFit="1" customWidth="1"/>
  </cols>
  <sheetData>
    <row r="1" spans="1:36" ht="14" x14ac:dyDescent="0.3">
      <c r="C1" s="527"/>
      <c r="D1" s="583"/>
      <c r="E1" s="583"/>
      <c r="F1" s="583"/>
      <c r="G1" s="529"/>
      <c r="H1" s="584"/>
    </row>
    <row r="2" spans="1:36" ht="14" x14ac:dyDescent="0.3">
      <c r="C2" s="528"/>
      <c r="D2" s="583"/>
      <c r="E2" s="583"/>
      <c r="F2" s="583"/>
      <c r="G2" s="529"/>
      <c r="H2" s="584"/>
    </row>
    <row r="3" spans="1:36" ht="14" x14ac:dyDescent="0.3">
      <c r="D3" s="585" t="s">
        <v>46</v>
      </c>
      <c r="F3" s="585"/>
      <c r="G3" s="529"/>
      <c r="H3" s="586"/>
    </row>
    <row r="4" spans="1:36" ht="14" x14ac:dyDescent="0.3">
      <c r="A4" s="757" t="str">
        <f>+'Bill_WMA 23'!A4</f>
        <v>Western Massachusetts</v>
      </c>
      <c r="B4" s="757"/>
      <c r="C4" s="757"/>
      <c r="D4" s="757"/>
      <c r="E4" s="757"/>
      <c r="F4" s="757"/>
      <c r="G4" s="757"/>
      <c r="H4" s="757"/>
      <c r="I4" s="757"/>
      <c r="J4" s="757"/>
      <c r="K4" s="757"/>
      <c r="L4" s="757"/>
      <c r="M4" s="757"/>
      <c r="N4" s="757"/>
      <c r="O4" s="587"/>
      <c r="P4" s="587"/>
      <c r="Q4" s="587"/>
      <c r="R4" s="587"/>
      <c r="S4" s="587"/>
      <c r="T4" s="587"/>
      <c r="U4" s="587"/>
      <c r="V4" s="587"/>
      <c r="W4" s="587"/>
      <c r="X4" s="587"/>
      <c r="Y4" s="587"/>
      <c r="Z4" s="587"/>
      <c r="AA4" s="587"/>
      <c r="AB4" s="587"/>
      <c r="AC4" s="587"/>
      <c r="AD4" s="587"/>
      <c r="AE4" s="587"/>
      <c r="AF4" s="587"/>
      <c r="AG4" s="587"/>
      <c r="AH4" s="587"/>
      <c r="AI4" s="587"/>
      <c r="AJ4" s="587"/>
    </row>
    <row r="5" spans="1:36" ht="14" x14ac:dyDescent="0.3">
      <c r="A5" s="757" t="str">
        <f>+'Bill_WMA 23'!A5</f>
        <v>Calculation of Monthly Typical Bill</v>
      </c>
      <c r="B5" s="757"/>
      <c r="C5" s="757"/>
      <c r="D5" s="757"/>
      <c r="E5" s="757"/>
      <c r="F5" s="757"/>
      <c r="G5" s="757"/>
      <c r="H5" s="757"/>
      <c r="I5" s="757"/>
      <c r="J5" s="757"/>
      <c r="K5" s="757"/>
      <c r="L5" s="757"/>
      <c r="M5" s="757"/>
      <c r="N5" s="757"/>
      <c r="O5" s="587"/>
      <c r="P5" s="587"/>
      <c r="Q5" s="587"/>
      <c r="R5" s="587"/>
      <c r="S5" s="587"/>
      <c r="T5" s="587"/>
      <c r="U5" s="587"/>
      <c r="V5" s="587"/>
      <c r="W5" s="587"/>
      <c r="X5" s="587"/>
      <c r="Y5" s="587"/>
      <c r="Z5" s="587"/>
      <c r="AA5" s="587"/>
      <c r="AB5" s="587"/>
      <c r="AC5" s="587"/>
      <c r="AD5" s="587"/>
      <c r="AE5" s="587"/>
      <c r="AF5" s="587"/>
      <c r="AG5" s="587"/>
      <c r="AH5" s="587"/>
      <c r="AI5" s="587"/>
      <c r="AJ5" s="587"/>
    </row>
    <row r="6" spans="1:36" ht="14" x14ac:dyDescent="0.3">
      <c r="A6" s="757" t="str">
        <f>+'Bill_WMA 23'!A6</f>
        <v>Proposed January 1, 2019</v>
      </c>
      <c r="B6" s="757"/>
      <c r="C6" s="757"/>
      <c r="D6" s="757"/>
      <c r="E6" s="757"/>
      <c r="F6" s="757"/>
      <c r="G6" s="757"/>
      <c r="H6" s="757"/>
      <c r="I6" s="757"/>
      <c r="J6" s="757"/>
      <c r="K6" s="757"/>
      <c r="L6" s="757"/>
      <c r="M6" s="757"/>
      <c r="N6" s="757"/>
      <c r="O6" s="587"/>
      <c r="P6" s="587"/>
      <c r="Q6" s="587"/>
      <c r="R6" s="587"/>
      <c r="S6" s="587"/>
      <c r="T6" s="587"/>
      <c r="U6" s="587"/>
      <c r="V6" s="587"/>
      <c r="W6" s="587"/>
      <c r="X6" s="587"/>
      <c r="Y6" s="587"/>
      <c r="Z6" s="587"/>
      <c r="AA6" s="587"/>
      <c r="AB6" s="587"/>
      <c r="AC6" s="587"/>
      <c r="AD6" s="587"/>
      <c r="AE6" s="587"/>
      <c r="AF6" s="587"/>
      <c r="AG6" s="587"/>
      <c r="AH6" s="587"/>
      <c r="AI6" s="587"/>
      <c r="AJ6" s="587"/>
    </row>
    <row r="7" spans="1:36" ht="14" x14ac:dyDescent="0.3">
      <c r="A7" s="518"/>
      <c r="B7" s="518"/>
      <c r="D7" s="555"/>
      <c r="E7" s="555"/>
      <c r="F7" s="555"/>
      <c r="G7" s="331"/>
      <c r="H7" s="587"/>
      <c r="I7" s="587"/>
      <c r="J7" s="587"/>
      <c r="K7" s="587"/>
      <c r="L7" s="587"/>
      <c r="M7" s="587"/>
      <c r="N7" s="587"/>
      <c r="O7" s="587"/>
      <c r="P7" s="587"/>
      <c r="Q7" s="587"/>
      <c r="R7" s="587"/>
      <c r="S7" s="587"/>
      <c r="T7" s="587"/>
      <c r="U7" s="587"/>
      <c r="V7" s="587"/>
      <c r="W7" s="587"/>
      <c r="X7" s="587"/>
      <c r="Y7" s="587"/>
      <c r="Z7" s="587"/>
      <c r="AA7" s="587"/>
      <c r="AB7" s="587"/>
      <c r="AC7" s="587"/>
      <c r="AD7" s="587"/>
      <c r="AE7" s="587"/>
      <c r="AF7" s="587"/>
      <c r="AG7" s="587"/>
      <c r="AH7" s="587"/>
      <c r="AI7" s="587"/>
      <c r="AJ7" s="587"/>
    </row>
    <row r="8" spans="1:36" ht="14" x14ac:dyDescent="0.3">
      <c r="A8" s="757" t="s">
        <v>510</v>
      </c>
      <c r="B8" s="757"/>
      <c r="C8" s="757"/>
      <c r="D8" s="757"/>
      <c r="E8" s="757"/>
      <c r="F8" s="757"/>
      <c r="G8" s="757"/>
      <c r="H8" s="757"/>
      <c r="I8" s="757"/>
      <c r="J8" s="757"/>
      <c r="K8" s="757"/>
      <c r="L8" s="757"/>
      <c r="M8" s="757"/>
      <c r="N8" s="757"/>
      <c r="O8" s="587"/>
      <c r="P8" s="587"/>
      <c r="Q8" s="587"/>
      <c r="R8" s="587"/>
      <c r="S8" s="587"/>
      <c r="T8" s="587"/>
      <c r="U8" s="587"/>
      <c r="V8" s="587"/>
      <c r="W8" s="587"/>
      <c r="X8" s="587"/>
      <c r="Y8" s="587"/>
      <c r="Z8" s="587"/>
      <c r="AA8" s="587"/>
      <c r="AB8" s="587"/>
      <c r="AC8" s="587"/>
      <c r="AD8" s="587"/>
      <c r="AE8" s="587"/>
      <c r="AF8" s="587"/>
      <c r="AG8" s="587"/>
      <c r="AH8" s="587"/>
      <c r="AI8" s="587"/>
      <c r="AJ8" s="587"/>
    </row>
    <row r="9" spans="1:36" ht="14" x14ac:dyDescent="0.3">
      <c r="A9" s="518"/>
      <c r="B9" s="518"/>
      <c r="D9" s="587"/>
      <c r="E9" s="587"/>
      <c r="F9" s="587"/>
      <c r="G9" s="588"/>
      <c r="H9" s="587"/>
      <c r="I9" s="587"/>
      <c r="J9" s="587"/>
      <c r="K9" s="587"/>
      <c r="L9" s="587"/>
      <c r="M9" s="587"/>
      <c r="N9" s="587"/>
      <c r="O9" s="587"/>
      <c r="P9" s="587"/>
      <c r="Q9" s="587"/>
      <c r="R9" s="587"/>
      <c r="S9" s="587"/>
      <c r="T9" s="587"/>
      <c r="U9" s="587"/>
      <c r="V9" s="587"/>
      <c r="W9" s="587"/>
      <c r="X9" s="587"/>
      <c r="Y9" s="587"/>
      <c r="Z9" s="587"/>
      <c r="AA9" s="587"/>
      <c r="AB9" s="587"/>
      <c r="AC9" s="587"/>
      <c r="AD9" s="587"/>
      <c r="AE9" s="587"/>
      <c r="AF9" s="587"/>
      <c r="AG9" s="587"/>
      <c r="AH9" s="587"/>
      <c r="AI9" s="587"/>
      <c r="AJ9" s="587"/>
    </row>
    <row r="10" spans="1:36" ht="14" x14ac:dyDescent="0.3">
      <c r="C10" s="587"/>
      <c r="D10" s="587"/>
      <c r="E10" s="587"/>
      <c r="F10" s="587"/>
      <c r="G10" s="588"/>
      <c r="H10" s="587"/>
      <c r="I10" s="587"/>
      <c r="J10" s="587"/>
      <c r="K10" s="587"/>
      <c r="L10" s="587"/>
      <c r="M10" s="587"/>
      <c r="N10" s="587"/>
      <c r="O10" s="587"/>
      <c r="P10" s="587"/>
      <c r="Q10" s="587"/>
      <c r="R10" s="587"/>
      <c r="S10" s="587"/>
      <c r="T10" s="587"/>
      <c r="U10" s="587"/>
      <c r="V10" s="587"/>
      <c r="W10" s="587"/>
      <c r="X10" s="587"/>
      <c r="Y10" s="587"/>
      <c r="Z10" s="587"/>
      <c r="AA10" s="587"/>
      <c r="AB10" s="587"/>
      <c r="AC10" s="587"/>
      <c r="AD10" s="587"/>
      <c r="AE10" s="587"/>
      <c r="AF10" s="587"/>
      <c r="AG10" s="587"/>
      <c r="AH10" s="587"/>
      <c r="AI10" s="587"/>
      <c r="AJ10" s="587"/>
    </row>
    <row r="11" spans="1:36" ht="14" x14ac:dyDescent="0.3">
      <c r="A11" s="329">
        <f>IF(C11&lt;&gt;"",COUNTA($C11:C$11),"")</f>
        <v>1</v>
      </c>
      <c r="B11" s="329"/>
      <c r="C11" s="589" t="s">
        <v>528</v>
      </c>
      <c r="D11" s="589" t="s">
        <v>528</v>
      </c>
      <c r="E11" s="767" t="str">
        <f>+'Bill_WMA 23'!D11</f>
        <v>Current Monthly Bill</v>
      </c>
      <c r="F11" s="767"/>
      <c r="G11" s="767"/>
      <c r="H11" s="587"/>
      <c r="I11" s="767" t="str">
        <f>+'Bill_WMA 23'!H11</f>
        <v>Proposed Monthly Bill</v>
      </c>
      <c r="J11" s="767"/>
      <c r="K11" s="767"/>
      <c r="L11" s="587"/>
      <c r="M11" s="767" t="str">
        <f>+'Bill_WMA 23'!L11</f>
        <v>Total Bill Impact</v>
      </c>
      <c r="N11" s="767"/>
      <c r="O11" s="559"/>
      <c r="P11" s="538"/>
      <c r="Q11" s="559"/>
      <c r="R11" s="559"/>
      <c r="S11" s="559"/>
      <c r="T11" s="559"/>
      <c r="U11" s="559"/>
      <c r="V11" s="538"/>
      <c r="W11" s="559"/>
      <c r="X11" s="559"/>
      <c r="Y11" s="559"/>
      <c r="Z11" s="559"/>
      <c r="AA11" s="587"/>
      <c r="AB11" s="587"/>
      <c r="AC11" s="587"/>
      <c r="AD11" s="587"/>
      <c r="AE11" s="587"/>
      <c r="AF11" s="587"/>
      <c r="AG11" s="587"/>
      <c r="AH11" s="587"/>
      <c r="AI11" s="587"/>
      <c r="AJ11" s="587"/>
    </row>
    <row r="12" spans="1:36" ht="14" x14ac:dyDescent="0.3">
      <c r="A12" s="329">
        <f>IF(C12&lt;&gt;"",COUNTA($C$11:C12),"")</f>
        <v>2</v>
      </c>
      <c r="B12" s="329"/>
      <c r="C12" s="590" t="s">
        <v>534</v>
      </c>
      <c r="D12" s="590" t="s">
        <v>533</v>
      </c>
      <c r="E12" s="591" t="str">
        <f>+'Bill_WMA 23'!D12</f>
        <v>Delivery</v>
      </c>
      <c r="F12" s="591" t="str">
        <f>+'Bill_WMA 23'!E12</f>
        <v>Supplier</v>
      </c>
      <c r="G12" s="591" t="str">
        <f>+'Bill_WMA 23'!F12</f>
        <v>Total</v>
      </c>
      <c r="H12" s="587"/>
      <c r="I12" s="591" t="str">
        <f>+'Bill_WMA 23'!H12</f>
        <v>Delivery</v>
      </c>
      <c r="J12" s="591" t="str">
        <f>+'Bill_WMA 23'!I12</f>
        <v>Supplier</v>
      </c>
      <c r="K12" s="591" t="str">
        <f>+'Bill_WMA 23'!J12</f>
        <v>Total</v>
      </c>
      <c r="M12" s="591" t="str">
        <f>+'Bill_WMA 23'!L12</f>
        <v>Change</v>
      </c>
      <c r="N12" s="591" t="str">
        <f>+'Bill_WMA 23'!M12</f>
        <v>% Change</v>
      </c>
      <c r="O12" s="559"/>
      <c r="P12" s="539"/>
      <c r="Q12" s="559"/>
      <c r="R12" s="559"/>
      <c r="S12" s="559"/>
      <c r="T12" s="559"/>
      <c r="U12" s="559"/>
      <c r="V12" s="539"/>
      <c r="W12" s="559"/>
      <c r="X12" s="559"/>
      <c r="Y12" s="559"/>
      <c r="Z12" s="559"/>
      <c r="AA12" s="587"/>
      <c r="AB12" s="587"/>
      <c r="AC12" s="587"/>
      <c r="AD12" s="587"/>
      <c r="AE12" s="587"/>
      <c r="AF12" s="587"/>
      <c r="AG12" s="587"/>
      <c r="AH12" s="587"/>
      <c r="AI12" s="587"/>
      <c r="AJ12" s="587"/>
    </row>
    <row r="13" spans="1:36" ht="14" x14ac:dyDescent="0.3">
      <c r="A13" s="329" t="str">
        <f>IF(C13&lt;&gt;"",COUNTA($C$11:C13),"")</f>
        <v/>
      </c>
      <c r="C13" s="587"/>
      <c r="E13" s="592"/>
      <c r="H13" s="593"/>
      <c r="I13" s="592"/>
      <c r="M13" s="587"/>
      <c r="N13" s="588"/>
      <c r="O13" s="559"/>
      <c r="P13" s="539"/>
      <c r="Q13" s="559"/>
      <c r="R13" s="559"/>
      <c r="S13" s="559"/>
      <c r="T13" s="559"/>
      <c r="U13" s="559"/>
      <c r="V13" s="539"/>
      <c r="W13" s="559"/>
      <c r="X13" s="559"/>
      <c r="Y13" s="559"/>
      <c r="Z13" s="559"/>
      <c r="AA13" s="587"/>
      <c r="AB13" s="587"/>
      <c r="AC13" s="587"/>
      <c r="AD13" s="587"/>
      <c r="AE13" s="594"/>
      <c r="AF13" s="587"/>
      <c r="AG13" s="587"/>
      <c r="AH13" s="587"/>
      <c r="AI13" s="587"/>
      <c r="AJ13" s="587"/>
    </row>
    <row r="14" spans="1:36" ht="14" x14ac:dyDescent="0.3">
      <c r="A14" s="329">
        <f>IF(C14&lt;&gt;"",COUNTA($C$11:C14),"")</f>
        <v>3</v>
      </c>
      <c r="C14" s="587" t="s">
        <v>609</v>
      </c>
      <c r="E14" s="592"/>
      <c r="H14" s="593"/>
      <c r="I14" s="592"/>
      <c r="M14" s="587"/>
      <c r="N14" s="588"/>
      <c r="O14" s="559"/>
      <c r="P14" s="539"/>
      <c r="Q14" s="559"/>
      <c r="R14" s="559"/>
      <c r="S14" s="559"/>
      <c r="T14" s="559"/>
      <c r="U14" s="559"/>
      <c r="V14" s="539"/>
      <c r="W14" s="559"/>
      <c r="X14" s="559"/>
      <c r="Y14" s="559"/>
      <c r="Z14" s="559"/>
      <c r="AA14" s="587"/>
      <c r="AB14" s="587"/>
      <c r="AC14" s="587"/>
      <c r="AD14" s="587"/>
      <c r="AE14" s="594"/>
      <c r="AF14" s="587"/>
      <c r="AG14" s="587"/>
      <c r="AH14" s="587"/>
      <c r="AI14" s="587"/>
      <c r="AJ14" s="587"/>
    </row>
    <row r="15" spans="1:36" ht="14" x14ac:dyDescent="0.3">
      <c r="A15" s="329">
        <f>IF(C15&lt;&gt;"",COUNTA($C$11:C15),"")</f>
        <v>4</v>
      </c>
      <c r="C15" s="595">
        <v>5</v>
      </c>
      <c r="D15" s="596">
        <f>+C15*150</f>
        <v>750</v>
      </c>
      <c r="E15" s="597">
        <f t="shared" ref="E15:E20" si="0">$G$41+SUM($G$42:$G$43)*MAX(0,$C15-2)+SUM($G$44:$G$63)*$D15</f>
        <v>90.802499999999995</v>
      </c>
      <c r="F15" s="597">
        <f t="shared" ref="F15:F20" si="1">+$D15*$G$64</f>
        <v>81.44250000000001</v>
      </c>
      <c r="G15" s="597">
        <f t="shared" ref="G15:G20" si="2">SUM(E15:F15)</f>
        <v>172.245</v>
      </c>
      <c r="H15" s="597"/>
      <c r="I15" s="597">
        <f t="shared" ref="I15:I20" si="3">$I$41+SUM($I$42:$I$43)*MAX(0,$C15-2)+SUM($I$44:$I$63)*$D15</f>
        <v>85.987500000000011</v>
      </c>
      <c r="J15" s="597">
        <f t="shared" ref="J15:J20" si="4">+$D15*$I$64</f>
        <v>92.662499999999994</v>
      </c>
      <c r="K15" s="597">
        <f t="shared" ref="K15:K20" si="5">SUM(I15:J15)</f>
        <v>178.65</v>
      </c>
      <c r="L15" s="598"/>
      <c r="M15" s="597">
        <f t="shared" ref="M15:M20" si="6">K15-G15</f>
        <v>6.4050000000000011</v>
      </c>
      <c r="N15" s="571">
        <f t="shared" ref="N15:N20" si="7">M15/G15</f>
        <v>3.718540451101629E-2</v>
      </c>
      <c r="O15" s="565"/>
      <c r="P15" s="566"/>
      <c r="Q15" s="564"/>
      <c r="R15" s="564"/>
      <c r="S15" s="565"/>
      <c r="T15" s="564"/>
      <c r="U15" s="565"/>
      <c r="V15" s="566"/>
      <c r="W15" s="564"/>
      <c r="X15" s="564"/>
      <c r="Y15" s="565"/>
      <c r="Z15" s="564"/>
      <c r="AA15" s="587"/>
      <c r="AB15" s="587"/>
      <c r="AC15" s="587"/>
      <c r="AD15" s="587"/>
      <c r="AE15" s="599"/>
      <c r="AF15" s="599"/>
      <c r="AG15" s="600"/>
      <c r="AH15" s="600"/>
      <c r="AI15" s="600"/>
      <c r="AJ15" s="601"/>
    </row>
    <row r="16" spans="1:36" ht="14" x14ac:dyDescent="0.3">
      <c r="A16" s="329">
        <f>IF(C16&lt;&gt;"",COUNTA($C$11:C16),"")</f>
        <v>5</v>
      </c>
      <c r="C16" s="595">
        <v>10</v>
      </c>
      <c r="D16" s="596">
        <f t="shared" ref="D16:D20" si="8">+C16*150</f>
        <v>1500</v>
      </c>
      <c r="E16" s="597">
        <f t="shared" si="0"/>
        <v>199.70499999999998</v>
      </c>
      <c r="F16" s="597">
        <f t="shared" si="1"/>
        <v>162.88500000000002</v>
      </c>
      <c r="G16" s="597">
        <f t="shared" si="2"/>
        <v>362.59000000000003</v>
      </c>
      <c r="H16" s="597"/>
      <c r="I16" s="597">
        <f t="shared" si="3"/>
        <v>190.09500000000003</v>
      </c>
      <c r="J16" s="597">
        <f t="shared" si="4"/>
        <v>185.32499999999999</v>
      </c>
      <c r="K16" s="597">
        <f t="shared" si="5"/>
        <v>375.42</v>
      </c>
      <c r="L16" s="598"/>
      <c r="M16" s="597">
        <f t="shared" si="6"/>
        <v>12.829999999999984</v>
      </c>
      <c r="N16" s="571">
        <f t="shared" si="7"/>
        <v>3.5384318376127259E-2</v>
      </c>
      <c r="O16" s="565"/>
      <c r="P16" s="566"/>
      <c r="Q16" s="564"/>
      <c r="R16" s="564"/>
      <c r="S16" s="565"/>
      <c r="T16" s="564"/>
      <c r="U16" s="565"/>
      <c r="V16" s="566"/>
      <c r="W16" s="564"/>
      <c r="X16" s="564"/>
      <c r="Y16" s="565"/>
      <c r="Z16" s="564"/>
      <c r="AA16" s="587"/>
      <c r="AB16" s="587"/>
      <c r="AC16" s="587"/>
      <c r="AD16" s="587"/>
      <c r="AE16" s="599"/>
      <c r="AF16" s="599"/>
      <c r="AG16" s="601"/>
      <c r="AH16" s="601"/>
      <c r="AI16" s="601"/>
      <c r="AJ16" s="601"/>
    </row>
    <row r="17" spans="1:36" ht="14" x14ac:dyDescent="0.3">
      <c r="A17" s="329">
        <f>IF(C17&lt;&gt;"",COUNTA($C$11:C17),"")</f>
        <v>6</v>
      </c>
      <c r="C17" s="595">
        <v>15</v>
      </c>
      <c r="D17" s="596">
        <f t="shared" si="8"/>
        <v>2250</v>
      </c>
      <c r="E17" s="597">
        <f t="shared" si="0"/>
        <v>308.60749999999996</v>
      </c>
      <c r="F17" s="597">
        <f t="shared" si="1"/>
        <v>244.32750000000001</v>
      </c>
      <c r="G17" s="597">
        <f t="shared" si="2"/>
        <v>552.93499999999995</v>
      </c>
      <c r="H17" s="597"/>
      <c r="I17" s="597">
        <f t="shared" si="3"/>
        <v>294.20250000000004</v>
      </c>
      <c r="J17" s="597">
        <f t="shared" si="4"/>
        <v>277.98750000000001</v>
      </c>
      <c r="K17" s="597">
        <f t="shared" si="5"/>
        <v>572.19000000000005</v>
      </c>
      <c r="L17" s="598"/>
      <c r="M17" s="597">
        <f t="shared" si="6"/>
        <v>19.255000000000109</v>
      </c>
      <c r="N17" s="571">
        <f t="shared" si="7"/>
        <v>3.4823261323663923E-2</v>
      </c>
      <c r="O17" s="565"/>
      <c r="P17" s="566"/>
      <c r="Q17" s="564"/>
      <c r="R17" s="564"/>
      <c r="S17" s="565"/>
      <c r="T17" s="564"/>
      <c r="U17" s="565"/>
      <c r="V17" s="566"/>
      <c r="W17" s="564"/>
      <c r="X17" s="564"/>
      <c r="Y17" s="565"/>
      <c r="Z17" s="564"/>
      <c r="AA17" s="587"/>
      <c r="AB17" s="587"/>
      <c r="AC17" s="587"/>
      <c r="AD17" s="587"/>
      <c r="AE17" s="599"/>
      <c r="AF17" s="599"/>
      <c r="AG17" s="601"/>
      <c r="AH17" s="601"/>
      <c r="AI17" s="601"/>
      <c r="AJ17" s="601"/>
    </row>
    <row r="18" spans="1:36" ht="14" x14ac:dyDescent="0.3">
      <c r="A18" s="329">
        <f>IF(C18&lt;&gt;"",COUNTA($C$11:C18),"")</f>
        <v>7</v>
      </c>
      <c r="C18" s="595">
        <v>20</v>
      </c>
      <c r="D18" s="596">
        <f t="shared" si="8"/>
        <v>3000</v>
      </c>
      <c r="E18" s="597">
        <f t="shared" si="0"/>
        <v>417.51</v>
      </c>
      <c r="F18" s="597">
        <f t="shared" si="1"/>
        <v>325.77000000000004</v>
      </c>
      <c r="G18" s="597">
        <f t="shared" si="2"/>
        <v>743.28</v>
      </c>
      <c r="H18" s="597"/>
      <c r="I18" s="597">
        <f t="shared" si="3"/>
        <v>398.31000000000006</v>
      </c>
      <c r="J18" s="597">
        <f t="shared" si="4"/>
        <v>370.65</v>
      </c>
      <c r="K18" s="597">
        <f t="shared" si="5"/>
        <v>768.96</v>
      </c>
      <c r="L18" s="598"/>
      <c r="M18" s="597">
        <f t="shared" si="6"/>
        <v>25.680000000000064</v>
      </c>
      <c r="N18" s="571">
        <f t="shared" si="7"/>
        <v>3.4549564094284876E-2</v>
      </c>
      <c r="O18" s="565"/>
      <c r="P18" s="566"/>
      <c r="Q18" s="564"/>
      <c r="R18" s="564"/>
      <c r="S18" s="565"/>
      <c r="T18" s="564"/>
      <c r="U18" s="565"/>
      <c r="V18" s="566"/>
      <c r="W18" s="564"/>
      <c r="X18" s="564"/>
      <c r="Y18" s="565"/>
      <c r="Z18" s="564"/>
      <c r="AA18" s="587"/>
      <c r="AB18" s="587"/>
      <c r="AC18" s="587"/>
      <c r="AD18" s="587"/>
      <c r="AE18" s="599"/>
      <c r="AF18" s="599"/>
      <c r="AG18" s="601"/>
      <c r="AH18" s="601"/>
      <c r="AI18" s="601"/>
      <c r="AJ18" s="601"/>
    </row>
    <row r="19" spans="1:36" ht="14" x14ac:dyDescent="0.3">
      <c r="A19" s="329">
        <f>IF(C19&lt;&gt;"",COUNTA($C$11:C19),"")</f>
        <v>8</v>
      </c>
      <c r="C19" s="595">
        <v>50</v>
      </c>
      <c r="D19" s="596">
        <f t="shared" si="8"/>
        <v>7500</v>
      </c>
      <c r="E19" s="597">
        <f t="shared" si="0"/>
        <v>1070.9249999999997</v>
      </c>
      <c r="F19" s="597">
        <f t="shared" si="1"/>
        <v>814.42500000000007</v>
      </c>
      <c r="G19" s="597">
        <f t="shared" si="2"/>
        <v>1885.35</v>
      </c>
      <c r="H19" s="597"/>
      <c r="I19" s="597">
        <f t="shared" si="3"/>
        <v>1022.9550000000002</v>
      </c>
      <c r="J19" s="597">
        <f t="shared" si="4"/>
        <v>926.625</v>
      </c>
      <c r="K19" s="597">
        <f t="shared" si="5"/>
        <v>1949.5800000000002</v>
      </c>
      <c r="L19" s="598"/>
      <c r="M19" s="597">
        <f t="shared" si="6"/>
        <v>64.230000000000246</v>
      </c>
      <c r="N19" s="571">
        <f t="shared" si="7"/>
        <v>3.4067944943909752E-2</v>
      </c>
      <c r="O19" s="565"/>
      <c r="P19" s="566"/>
      <c r="Q19" s="564"/>
      <c r="R19" s="564"/>
      <c r="S19" s="565"/>
      <c r="T19" s="564"/>
      <c r="U19" s="565"/>
      <c r="V19" s="566"/>
      <c r="W19" s="564"/>
      <c r="X19" s="564"/>
      <c r="Y19" s="565"/>
      <c r="Z19" s="564"/>
      <c r="AA19" s="587"/>
      <c r="AB19" s="587"/>
      <c r="AC19" s="587"/>
      <c r="AD19" s="587"/>
      <c r="AE19" s="599"/>
      <c r="AF19" s="599"/>
      <c r="AG19" s="601"/>
      <c r="AH19" s="601"/>
      <c r="AI19" s="601"/>
      <c r="AJ19" s="601"/>
    </row>
    <row r="20" spans="1:36" ht="14" x14ac:dyDescent="0.3">
      <c r="A20" s="329">
        <f>IF(C20&lt;&gt;"",COUNTA($C$11:C20),"")</f>
        <v>9</v>
      </c>
      <c r="B20" s="567" t="s">
        <v>554</v>
      </c>
      <c r="C20" s="595">
        <v>6</v>
      </c>
      <c r="D20" s="596">
        <f t="shared" si="8"/>
        <v>900</v>
      </c>
      <c r="E20" s="597">
        <f t="shared" si="0"/>
        <v>112.58299999999998</v>
      </c>
      <c r="F20" s="597">
        <f t="shared" si="1"/>
        <v>97.731000000000009</v>
      </c>
      <c r="G20" s="597">
        <f t="shared" si="2"/>
        <v>210.31399999999999</v>
      </c>
      <c r="H20" s="597"/>
      <c r="I20" s="597">
        <f t="shared" si="3"/>
        <v>106.80900000000001</v>
      </c>
      <c r="J20" s="597">
        <f t="shared" si="4"/>
        <v>111.19499999999999</v>
      </c>
      <c r="K20" s="597">
        <f t="shared" si="5"/>
        <v>218.00400000000002</v>
      </c>
      <c r="L20" s="598"/>
      <c r="M20" s="597">
        <f t="shared" si="6"/>
        <v>7.6900000000000261</v>
      </c>
      <c r="N20" s="571">
        <f t="shared" si="7"/>
        <v>3.6564375172361455E-2</v>
      </c>
      <c r="O20" s="565"/>
      <c r="P20" s="566"/>
      <c r="Q20" s="564"/>
      <c r="R20" s="564"/>
      <c r="S20" s="565"/>
      <c r="T20" s="564"/>
      <c r="U20" s="565"/>
      <c r="V20" s="566"/>
      <c r="W20" s="564"/>
      <c r="X20" s="564"/>
      <c r="Y20" s="565"/>
      <c r="Z20" s="564"/>
      <c r="AA20" s="587"/>
      <c r="AB20" s="587"/>
      <c r="AC20" s="587"/>
      <c r="AD20" s="587"/>
      <c r="AE20" s="599"/>
      <c r="AF20" s="599"/>
      <c r="AG20" s="601"/>
      <c r="AH20" s="601"/>
      <c r="AI20" s="601"/>
      <c r="AJ20" s="601"/>
    </row>
    <row r="21" spans="1:36" ht="14" x14ac:dyDescent="0.3">
      <c r="A21" s="329" t="str">
        <f>IF(C21&lt;&gt;"",COUNTA($C$11:C21),"")</f>
        <v/>
      </c>
      <c r="E21" s="597"/>
      <c r="F21" s="597"/>
      <c r="G21" s="597"/>
      <c r="H21" s="597"/>
      <c r="I21" s="597"/>
      <c r="J21" s="597"/>
      <c r="K21" s="597"/>
      <c r="L21" s="598"/>
      <c r="M21" s="597"/>
      <c r="N21" s="571"/>
      <c r="O21" s="565"/>
      <c r="P21" s="566"/>
      <c r="Q21" s="564"/>
      <c r="R21" s="564"/>
      <c r="S21" s="565"/>
      <c r="T21" s="564"/>
      <c r="U21" s="565"/>
      <c r="V21" s="566"/>
      <c r="W21" s="564"/>
      <c r="X21" s="564"/>
      <c r="Y21" s="565"/>
      <c r="Z21" s="564"/>
      <c r="AA21" s="587"/>
      <c r="AB21" s="587"/>
      <c r="AC21" s="587"/>
      <c r="AD21" s="587"/>
      <c r="AE21" s="599"/>
      <c r="AF21" s="599"/>
      <c r="AG21" s="601"/>
      <c r="AH21" s="601"/>
      <c r="AI21" s="601"/>
      <c r="AJ21" s="601"/>
    </row>
    <row r="22" spans="1:36" ht="14" x14ac:dyDescent="0.3">
      <c r="A22" s="329">
        <f>IF(C22&lt;&gt;"",COUNTA($C$11:C22),"")</f>
        <v>10</v>
      </c>
      <c r="C22" s="587" t="s">
        <v>577</v>
      </c>
      <c r="E22" s="597" t="s">
        <v>46</v>
      </c>
      <c r="F22" s="597"/>
      <c r="G22" s="597"/>
      <c r="H22" s="597"/>
      <c r="I22" s="597" t="s">
        <v>46</v>
      </c>
      <c r="J22" s="597"/>
      <c r="K22" s="597"/>
      <c r="L22" s="598"/>
      <c r="M22" s="597"/>
      <c r="N22" s="602"/>
      <c r="O22" s="559"/>
      <c r="P22" s="568"/>
      <c r="Q22" s="559"/>
      <c r="R22" s="559"/>
      <c r="S22" s="559"/>
      <c r="T22" s="559"/>
      <c r="U22" s="559"/>
      <c r="V22" s="568"/>
      <c r="W22" s="559"/>
      <c r="X22" s="559"/>
      <c r="Y22" s="559"/>
      <c r="Z22" s="564"/>
      <c r="AA22" s="587"/>
      <c r="AB22" s="587"/>
      <c r="AC22" s="587"/>
      <c r="AD22" s="587"/>
      <c r="AE22" s="587"/>
      <c r="AF22" s="587"/>
      <c r="AG22" s="587"/>
      <c r="AH22" s="587"/>
      <c r="AI22" s="587"/>
      <c r="AJ22" s="587"/>
    </row>
    <row r="23" spans="1:36" ht="14" x14ac:dyDescent="0.3">
      <c r="A23" s="329">
        <f>IF(C23&lt;&gt;"",COUNTA($C$11:C23),"")</f>
        <v>11</v>
      </c>
      <c r="C23" s="593">
        <f>+C15</f>
        <v>5</v>
      </c>
      <c r="D23" s="596">
        <f>+C23*300</f>
        <v>1500</v>
      </c>
      <c r="E23" s="597">
        <f t="shared" ref="E23:E28" si="9">$G$41+SUM($G$42:$G$43)*MAX(0,$C23-2)+SUM($G$44:$G$63)*$D23</f>
        <v>116.95499999999998</v>
      </c>
      <c r="F23" s="597">
        <f t="shared" ref="F23:F28" si="10">+$D23*$G$64</f>
        <v>162.88500000000002</v>
      </c>
      <c r="G23" s="597">
        <f t="shared" ref="G23:G28" si="11">SUM(E23:F23)</f>
        <v>279.84000000000003</v>
      </c>
      <c r="H23" s="597"/>
      <c r="I23" s="597">
        <f t="shared" ref="I23:I28" si="12">$I$41+SUM($I$42:$I$43)*MAX(0,$C23-2)+SUM($I$44:$I$63)*$D23</f>
        <v>107.295</v>
      </c>
      <c r="J23" s="597">
        <f t="shared" ref="J23:J28" si="13">+$D23*$I$64</f>
        <v>185.32499999999999</v>
      </c>
      <c r="K23" s="597">
        <f t="shared" ref="K23:K28" si="14">SUM(I23:J23)</f>
        <v>292.62</v>
      </c>
      <c r="L23" s="598"/>
      <c r="M23" s="597">
        <f t="shared" ref="M23:M28" si="15">K23-G23</f>
        <v>12.779999999999973</v>
      </c>
      <c r="N23" s="571">
        <f t="shared" ref="N23:N28" si="16">M23/G23</f>
        <v>4.5668953687821506E-2</v>
      </c>
      <c r="O23" s="565"/>
      <c r="P23" s="566"/>
      <c r="Q23" s="564"/>
      <c r="R23" s="564"/>
      <c r="S23" s="559"/>
      <c r="T23" s="559"/>
      <c r="U23" s="565"/>
      <c r="V23" s="566"/>
      <c r="W23" s="564"/>
      <c r="X23" s="564"/>
      <c r="Y23" s="559"/>
      <c r="Z23" s="559"/>
      <c r="AA23" s="587"/>
      <c r="AB23" s="587"/>
      <c r="AC23" s="587"/>
      <c r="AD23" s="587"/>
      <c r="AE23" s="599"/>
      <c r="AF23" s="599"/>
      <c r="AG23" s="601"/>
      <c r="AH23" s="601"/>
      <c r="AI23" s="601"/>
      <c r="AJ23" s="601"/>
    </row>
    <row r="24" spans="1:36" ht="14" x14ac:dyDescent="0.3">
      <c r="A24" s="329">
        <f>IF(C24&lt;&gt;"",COUNTA($C$11:C24),"")</f>
        <v>12</v>
      </c>
      <c r="C24" s="593">
        <f>+C16</f>
        <v>10</v>
      </c>
      <c r="D24" s="596">
        <f t="shared" ref="D24:D28" si="17">+C24*300</f>
        <v>3000</v>
      </c>
      <c r="E24" s="597">
        <f t="shared" si="9"/>
        <v>252.01</v>
      </c>
      <c r="F24" s="597">
        <f t="shared" si="10"/>
        <v>325.77000000000004</v>
      </c>
      <c r="G24" s="597">
        <f t="shared" si="11"/>
        <v>577.78</v>
      </c>
      <c r="H24" s="597"/>
      <c r="I24" s="597">
        <f t="shared" si="12"/>
        <v>232.71</v>
      </c>
      <c r="J24" s="597">
        <f t="shared" si="13"/>
        <v>370.65</v>
      </c>
      <c r="K24" s="597">
        <f t="shared" si="14"/>
        <v>603.36</v>
      </c>
      <c r="L24" s="598"/>
      <c r="M24" s="597">
        <f t="shared" si="15"/>
        <v>25.580000000000041</v>
      </c>
      <c r="N24" s="571">
        <f t="shared" si="16"/>
        <v>4.427290664266683E-2</v>
      </c>
      <c r="O24" s="565"/>
      <c r="P24" s="566"/>
      <c r="Q24" s="564"/>
      <c r="R24" s="564"/>
      <c r="S24" s="565"/>
      <c r="T24" s="564"/>
      <c r="U24" s="565"/>
      <c r="V24" s="566"/>
      <c r="W24" s="564"/>
      <c r="X24" s="564"/>
      <c r="Y24" s="565"/>
      <c r="Z24" s="564"/>
      <c r="AA24" s="587"/>
      <c r="AB24" s="587"/>
      <c r="AC24" s="587"/>
      <c r="AD24" s="587"/>
      <c r="AE24" s="599"/>
      <c r="AF24" s="599"/>
      <c r="AG24" s="601"/>
      <c r="AH24" s="601"/>
      <c r="AI24" s="601"/>
      <c r="AJ24" s="601"/>
    </row>
    <row r="25" spans="1:36" ht="14" x14ac:dyDescent="0.3">
      <c r="A25" s="329">
        <f>IF(C25&lt;&gt;"",COUNTA($C$11:C25),"")</f>
        <v>13</v>
      </c>
      <c r="C25" s="593">
        <f>+C17</f>
        <v>15</v>
      </c>
      <c r="D25" s="596">
        <f t="shared" si="17"/>
        <v>4500</v>
      </c>
      <c r="E25" s="597">
        <f t="shared" si="9"/>
        <v>387.06499999999994</v>
      </c>
      <c r="F25" s="597">
        <f t="shared" si="10"/>
        <v>488.65500000000003</v>
      </c>
      <c r="G25" s="597">
        <f t="shared" si="11"/>
        <v>875.72</v>
      </c>
      <c r="H25" s="597"/>
      <c r="I25" s="597">
        <f t="shared" si="12"/>
        <v>358.125</v>
      </c>
      <c r="J25" s="597">
        <f t="shared" si="13"/>
        <v>555.97500000000002</v>
      </c>
      <c r="K25" s="597">
        <f t="shared" si="14"/>
        <v>914.1</v>
      </c>
      <c r="L25" s="598"/>
      <c r="M25" s="597">
        <f t="shared" si="15"/>
        <v>38.379999999999995</v>
      </c>
      <c r="N25" s="571">
        <f t="shared" si="16"/>
        <v>4.3826793952404873E-2</v>
      </c>
      <c r="O25" s="565"/>
      <c r="P25" s="566"/>
      <c r="Q25" s="564"/>
      <c r="R25" s="564"/>
      <c r="S25" s="565"/>
      <c r="T25" s="564"/>
      <c r="U25" s="565"/>
      <c r="V25" s="566"/>
      <c r="W25" s="564"/>
      <c r="X25" s="564"/>
      <c r="Y25" s="565"/>
      <c r="Z25" s="564"/>
      <c r="AA25" s="587"/>
      <c r="AB25" s="587"/>
      <c r="AC25" s="587"/>
      <c r="AD25" s="587"/>
      <c r="AE25" s="599"/>
      <c r="AF25" s="599"/>
      <c r="AG25" s="601"/>
      <c r="AH25" s="601"/>
      <c r="AI25" s="601"/>
      <c r="AJ25" s="601"/>
    </row>
    <row r="26" spans="1:36" ht="14" x14ac:dyDescent="0.3">
      <c r="A26" s="329">
        <f>IF(C26&lt;&gt;"",COUNTA($C$11:C26),"")</f>
        <v>14</v>
      </c>
      <c r="C26" s="593">
        <f>+C18</f>
        <v>20</v>
      </c>
      <c r="D26" s="596">
        <f t="shared" si="17"/>
        <v>6000</v>
      </c>
      <c r="E26" s="597">
        <f t="shared" si="9"/>
        <v>522.12</v>
      </c>
      <c r="F26" s="597">
        <f t="shared" si="10"/>
        <v>651.54000000000008</v>
      </c>
      <c r="G26" s="597">
        <f t="shared" si="11"/>
        <v>1173.6600000000001</v>
      </c>
      <c r="H26" s="597"/>
      <c r="I26" s="597">
        <f t="shared" si="12"/>
        <v>483.54</v>
      </c>
      <c r="J26" s="597">
        <f t="shared" si="13"/>
        <v>741.3</v>
      </c>
      <c r="K26" s="597">
        <f t="shared" si="14"/>
        <v>1224.8399999999999</v>
      </c>
      <c r="L26" s="598"/>
      <c r="M26" s="597">
        <f t="shared" si="15"/>
        <v>51.179999999999836</v>
      </c>
      <c r="N26" s="571">
        <f t="shared" si="16"/>
        <v>4.3607177547160023E-2</v>
      </c>
      <c r="O26" s="565"/>
      <c r="P26" s="566"/>
      <c r="Q26" s="564"/>
      <c r="R26" s="564"/>
      <c r="S26" s="565"/>
      <c r="T26" s="564"/>
      <c r="U26" s="565"/>
      <c r="V26" s="566"/>
      <c r="W26" s="564"/>
      <c r="X26" s="564"/>
      <c r="Y26" s="565"/>
      <c r="Z26" s="564"/>
      <c r="AA26" s="587"/>
      <c r="AB26" s="587"/>
      <c r="AC26" s="587"/>
      <c r="AD26" s="587"/>
      <c r="AE26" s="599"/>
      <c r="AF26" s="599"/>
      <c r="AG26" s="601"/>
      <c r="AH26" s="601"/>
      <c r="AI26" s="601"/>
      <c r="AJ26" s="601"/>
    </row>
    <row r="27" spans="1:36" ht="14" x14ac:dyDescent="0.3">
      <c r="A27" s="329">
        <f>IF(C27&lt;&gt;"",COUNTA($C$11:C27),"")</f>
        <v>15</v>
      </c>
      <c r="C27" s="593">
        <f>+C19</f>
        <v>50</v>
      </c>
      <c r="D27" s="596">
        <f t="shared" si="17"/>
        <v>15000</v>
      </c>
      <c r="E27" s="597">
        <f t="shared" si="9"/>
        <v>1332.4499999999998</v>
      </c>
      <c r="F27" s="597">
        <f t="shared" si="10"/>
        <v>1628.8500000000001</v>
      </c>
      <c r="G27" s="597">
        <f t="shared" si="11"/>
        <v>2961.3</v>
      </c>
      <c r="H27" s="597"/>
      <c r="I27" s="597">
        <f t="shared" si="12"/>
        <v>1236.0300000000002</v>
      </c>
      <c r="J27" s="597">
        <f t="shared" si="13"/>
        <v>1853.25</v>
      </c>
      <c r="K27" s="597">
        <f t="shared" si="14"/>
        <v>3089.28</v>
      </c>
      <c r="L27" s="598"/>
      <c r="M27" s="597">
        <f t="shared" si="15"/>
        <v>127.98000000000002</v>
      </c>
      <c r="N27" s="571">
        <f t="shared" si="16"/>
        <v>4.3217505825144366E-2</v>
      </c>
      <c r="O27" s="565"/>
      <c r="P27" s="566"/>
      <c r="Q27" s="564"/>
      <c r="R27" s="564"/>
      <c r="S27" s="565"/>
      <c r="T27" s="564"/>
      <c r="U27" s="565"/>
      <c r="V27" s="566"/>
      <c r="W27" s="564"/>
      <c r="X27" s="564"/>
      <c r="Y27" s="565"/>
      <c r="Z27" s="564"/>
      <c r="AA27" s="587"/>
      <c r="AB27" s="587"/>
      <c r="AC27" s="587"/>
      <c r="AD27" s="587"/>
      <c r="AE27" s="599"/>
      <c r="AF27" s="599"/>
      <c r="AG27" s="601"/>
      <c r="AH27" s="601"/>
      <c r="AI27" s="601"/>
      <c r="AJ27" s="601"/>
    </row>
    <row r="28" spans="1:36" ht="14" x14ac:dyDescent="0.3">
      <c r="A28" s="329">
        <f>IF(C28&lt;&gt;"",COUNTA($C$11:C28),"")</f>
        <v>16</v>
      </c>
      <c r="B28" s="567" t="s">
        <v>554</v>
      </c>
      <c r="C28" s="595">
        <v>11</v>
      </c>
      <c r="D28" s="596">
        <f t="shared" si="17"/>
        <v>3300</v>
      </c>
      <c r="E28" s="597">
        <f t="shared" si="9"/>
        <v>279.02099999999996</v>
      </c>
      <c r="F28" s="597">
        <f t="shared" si="10"/>
        <v>358.34700000000004</v>
      </c>
      <c r="G28" s="597">
        <f t="shared" si="11"/>
        <v>637.36799999999994</v>
      </c>
      <c r="H28" s="597"/>
      <c r="I28" s="597">
        <f t="shared" si="12"/>
        <v>257.79300000000001</v>
      </c>
      <c r="J28" s="597">
        <f t="shared" si="13"/>
        <v>407.71499999999997</v>
      </c>
      <c r="K28" s="597">
        <f t="shared" si="14"/>
        <v>665.50800000000004</v>
      </c>
      <c r="L28" s="598"/>
      <c r="M28" s="597">
        <f t="shared" si="15"/>
        <v>28.1400000000001</v>
      </c>
      <c r="N28" s="571">
        <f t="shared" si="16"/>
        <v>4.4150318183529928E-2</v>
      </c>
      <c r="O28" s="565"/>
      <c r="P28" s="566"/>
      <c r="Q28" s="564"/>
      <c r="R28" s="564"/>
      <c r="S28" s="565"/>
      <c r="T28" s="564"/>
      <c r="U28" s="565"/>
      <c r="V28" s="566"/>
      <c r="W28" s="564"/>
      <c r="X28" s="564"/>
      <c r="Y28" s="565"/>
      <c r="Z28" s="564"/>
      <c r="AA28" s="587"/>
      <c r="AB28" s="587"/>
      <c r="AC28" s="587"/>
      <c r="AD28" s="587"/>
      <c r="AE28" s="599"/>
      <c r="AF28" s="599"/>
      <c r="AG28" s="601"/>
      <c r="AH28" s="601"/>
      <c r="AI28" s="601"/>
      <c r="AJ28" s="601"/>
    </row>
    <row r="29" spans="1:36" ht="14" x14ac:dyDescent="0.3">
      <c r="A29" s="329" t="str">
        <f>IF(C29&lt;&gt;"",COUNTA($C$11:C29),"")</f>
        <v/>
      </c>
      <c r="C29" s="595"/>
      <c r="D29" s="603"/>
      <c r="E29" s="597"/>
      <c r="F29" s="597"/>
      <c r="G29" s="597"/>
      <c r="H29" s="597"/>
      <c r="I29" s="597"/>
      <c r="J29" s="597"/>
      <c r="K29" s="597"/>
      <c r="L29" s="598"/>
      <c r="M29" s="597"/>
      <c r="N29" s="571"/>
      <c r="O29" s="565"/>
      <c r="P29" s="566"/>
      <c r="Q29" s="564"/>
      <c r="R29" s="564"/>
      <c r="S29" s="565"/>
      <c r="T29" s="564"/>
      <c r="U29" s="565"/>
      <c r="V29" s="566"/>
      <c r="W29" s="564"/>
      <c r="X29" s="564"/>
      <c r="Y29" s="565"/>
      <c r="Z29" s="564"/>
      <c r="AA29" s="587"/>
      <c r="AB29" s="587"/>
      <c r="AC29" s="587"/>
      <c r="AD29" s="587"/>
      <c r="AE29" s="599"/>
      <c r="AF29" s="599"/>
      <c r="AG29" s="601"/>
      <c r="AH29" s="601"/>
      <c r="AI29" s="601"/>
      <c r="AJ29" s="601"/>
    </row>
    <row r="30" spans="1:36" ht="14" x14ac:dyDescent="0.3">
      <c r="A30" s="329">
        <f>IF(C30&lt;&gt;"",COUNTA($C$11:C30),"")</f>
        <v>17</v>
      </c>
      <c r="C30" s="587" t="s">
        <v>578</v>
      </c>
      <c r="E30" s="597" t="s">
        <v>46</v>
      </c>
      <c r="F30" s="597"/>
      <c r="G30" s="597"/>
      <c r="H30" s="597"/>
      <c r="I30" s="597" t="s">
        <v>46</v>
      </c>
      <c r="J30" s="597"/>
      <c r="K30" s="597"/>
      <c r="L30" s="598"/>
      <c r="M30" s="597"/>
      <c r="N30" s="602"/>
      <c r="O30" s="565"/>
      <c r="P30" s="566"/>
      <c r="Q30" s="564"/>
      <c r="R30" s="564"/>
      <c r="S30" s="565"/>
      <c r="T30" s="564"/>
      <c r="U30" s="565"/>
      <c r="V30" s="566"/>
      <c r="W30" s="564"/>
      <c r="X30" s="564"/>
      <c r="Y30" s="565"/>
      <c r="Z30" s="564"/>
      <c r="AA30" s="587"/>
      <c r="AB30" s="587"/>
      <c r="AC30" s="587"/>
      <c r="AD30" s="587"/>
      <c r="AE30" s="587"/>
      <c r="AF30" s="587"/>
      <c r="AG30" s="587"/>
      <c r="AH30" s="587"/>
      <c r="AI30" s="587"/>
      <c r="AJ30" s="587"/>
    </row>
    <row r="31" spans="1:36" ht="14" x14ac:dyDescent="0.3">
      <c r="A31" s="329">
        <f>IF(C31&lt;&gt;"",COUNTA($C$11:C31),"")</f>
        <v>18</v>
      </c>
      <c r="C31" s="593">
        <f>+C23</f>
        <v>5</v>
      </c>
      <c r="D31" s="596">
        <f>+C31*450</f>
        <v>2250</v>
      </c>
      <c r="E31" s="597">
        <f t="shared" ref="E31:E36" si="18">$G$41+SUM($G$42:$G$43)*MAX(0,$C31-2)+SUM($G$44:$G$63)*$D31</f>
        <v>143.10749999999999</v>
      </c>
      <c r="F31" s="597">
        <f t="shared" ref="F31:F36" si="19">+$D31*$G$64</f>
        <v>244.32750000000001</v>
      </c>
      <c r="G31" s="597">
        <f t="shared" ref="G31:G36" si="20">SUM(E31:F31)</f>
        <v>387.435</v>
      </c>
      <c r="H31" s="597"/>
      <c r="I31" s="597">
        <f t="shared" ref="I31:I36" si="21">$I$41+SUM($I$42:$I$43)*MAX(0,$C31-2)+SUM($I$44:$I$63)*$D31</f>
        <v>128.60249999999999</v>
      </c>
      <c r="J31" s="597">
        <f t="shared" ref="J31:J36" si="22">+$D31*$I$64</f>
        <v>277.98750000000001</v>
      </c>
      <c r="K31" s="597">
        <f t="shared" ref="K31:K36" si="23">SUM(I31:J31)</f>
        <v>406.59000000000003</v>
      </c>
      <c r="L31" s="598"/>
      <c r="M31" s="597">
        <f t="shared" ref="M31:M36" si="24">K31-G31</f>
        <v>19.15500000000003</v>
      </c>
      <c r="N31" s="571">
        <f t="shared" ref="N31:N36" si="25">M31/G31</f>
        <v>4.9440551318285723E-2</v>
      </c>
      <c r="O31" s="565"/>
      <c r="P31" s="566"/>
      <c r="Q31" s="564"/>
      <c r="R31" s="564"/>
      <c r="S31" s="559"/>
      <c r="T31" s="559"/>
      <c r="U31" s="565"/>
      <c r="V31" s="566"/>
      <c r="W31" s="564"/>
      <c r="X31" s="564"/>
      <c r="Y31" s="559"/>
      <c r="Z31" s="564"/>
      <c r="AA31" s="587"/>
      <c r="AB31" s="587"/>
      <c r="AC31" s="587"/>
      <c r="AD31" s="587"/>
      <c r="AE31" s="599"/>
      <c r="AF31" s="599"/>
      <c r="AG31" s="601"/>
      <c r="AH31" s="601"/>
      <c r="AI31" s="601"/>
      <c r="AJ31" s="601"/>
    </row>
    <row r="32" spans="1:36" ht="14" x14ac:dyDescent="0.3">
      <c r="A32" s="329">
        <f>IF(C32&lt;&gt;"",COUNTA($C$11:C32),"")</f>
        <v>19</v>
      </c>
      <c r="C32" s="593">
        <f>+C24</f>
        <v>10</v>
      </c>
      <c r="D32" s="596">
        <f t="shared" ref="D32:D36" si="26">+C32*450</f>
        <v>4500</v>
      </c>
      <c r="E32" s="597">
        <f t="shared" si="18"/>
        <v>304.31499999999994</v>
      </c>
      <c r="F32" s="597">
        <f t="shared" si="19"/>
        <v>488.65500000000003</v>
      </c>
      <c r="G32" s="597">
        <f t="shared" si="20"/>
        <v>792.97</v>
      </c>
      <c r="H32" s="597"/>
      <c r="I32" s="597">
        <f t="shared" si="21"/>
        <v>275.32499999999999</v>
      </c>
      <c r="J32" s="597">
        <f t="shared" si="22"/>
        <v>555.97500000000002</v>
      </c>
      <c r="K32" s="597">
        <f t="shared" si="23"/>
        <v>831.3</v>
      </c>
      <c r="L32" s="598"/>
      <c r="M32" s="597">
        <f t="shared" si="24"/>
        <v>38.329999999999927</v>
      </c>
      <c r="N32" s="571">
        <f t="shared" si="25"/>
        <v>4.8337263704805893E-2</v>
      </c>
      <c r="O32" s="565"/>
      <c r="P32" s="566"/>
      <c r="Q32" s="564"/>
      <c r="R32" s="564"/>
      <c r="S32" s="559"/>
      <c r="T32" s="559"/>
      <c r="U32" s="565"/>
      <c r="V32" s="566"/>
      <c r="W32" s="564"/>
      <c r="X32" s="564"/>
      <c r="Y32" s="559"/>
      <c r="Z32" s="559"/>
      <c r="AA32" s="587"/>
      <c r="AB32" s="587"/>
      <c r="AC32" s="587"/>
      <c r="AD32" s="587"/>
      <c r="AE32" s="599"/>
      <c r="AF32" s="599"/>
      <c r="AG32" s="601"/>
      <c r="AH32" s="601"/>
      <c r="AI32" s="601"/>
      <c r="AJ32" s="601"/>
    </row>
    <row r="33" spans="1:36" ht="14" x14ac:dyDescent="0.3">
      <c r="A33" s="329">
        <f>IF(C33&lt;&gt;"",COUNTA($C$11:C33),"")</f>
        <v>20</v>
      </c>
      <c r="C33" s="593">
        <f>+C25</f>
        <v>15</v>
      </c>
      <c r="D33" s="596">
        <f t="shared" si="26"/>
        <v>6750</v>
      </c>
      <c r="E33" s="597">
        <f t="shared" si="18"/>
        <v>465.52249999999992</v>
      </c>
      <c r="F33" s="597">
        <f t="shared" si="19"/>
        <v>732.98250000000007</v>
      </c>
      <c r="G33" s="597">
        <f t="shared" si="20"/>
        <v>1198.5050000000001</v>
      </c>
      <c r="H33" s="597"/>
      <c r="I33" s="597">
        <f t="shared" si="21"/>
        <v>422.04750000000001</v>
      </c>
      <c r="J33" s="597">
        <f t="shared" si="22"/>
        <v>833.96249999999998</v>
      </c>
      <c r="K33" s="597">
        <f t="shared" si="23"/>
        <v>1256.01</v>
      </c>
      <c r="L33" s="598"/>
      <c r="M33" s="597">
        <f t="shared" si="24"/>
        <v>57.504999999999882</v>
      </c>
      <c r="N33" s="571">
        <f t="shared" si="25"/>
        <v>4.7980609175597828E-2</v>
      </c>
      <c r="O33" s="565"/>
      <c r="P33" s="566"/>
      <c r="Q33" s="564"/>
      <c r="R33" s="564"/>
      <c r="S33" s="565"/>
      <c r="T33" s="564"/>
      <c r="U33" s="565"/>
      <c r="V33" s="566"/>
      <c r="W33" s="564"/>
      <c r="X33" s="564"/>
      <c r="Y33" s="565"/>
      <c r="Z33" s="564"/>
      <c r="AA33" s="587"/>
      <c r="AB33" s="587"/>
      <c r="AC33" s="587"/>
      <c r="AD33" s="587"/>
      <c r="AE33" s="599"/>
      <c r="AF33" s="599"/>
      <c r="AG33" s="601"/>
      <c r="AH33" s="601"/>
      <c r="AI33" s="601"/>
      <c r="AJ33" s="601"/>
    </row>
    <row r="34" spans="1:36" ht="14" x14ac:dyDescent="0.3">
      <c r="A34" s="329">
        <f>IF(C34&lt;&gt;"",COUNTA($C$11:C34),"")</f>
        <v>21</v>
      </c>
      <c r="C34" s="593">
        <f>+C26</f>
        <v>20</v>
      </c>
      <c r="D34" s="596">
        <f t="shared" si="26"/>
        <v>9000</v>
      </c>
      <c r="E34" s="597">
        <f t="shared" si="18"/>
        <v>626.73</v>
      </c>
      <c r="F34" s="597">
        <f t="shared" si="19"/>
        <v>977.31000000000006</v>
      </c>
      <c r="G34" s="597">
        <f t="shared" si="20"/>
        <v>1604.04</v>
      </c>
      <c r="H34" s="597"/>
      <c r="I34" s="597">
        <f t="shared" si="21"/>
        <v>568.77</v>
      </c>
      <c r="J34" s="597">
        <f t="shared" si="22"/>
        <v>1111.95</v>
      </c>
      <c r="K34" s="597">
        <f t="shared" si="23"/>
        <v>1680.72</v>
      </c>
      <c r="L34" s="598"/>
      <c r="M34" s="597">
        <f t="shared" si="24"/>
        <v>76.680000000000064</v>
      </c>
      <c r="N34" s="571">
        <f t="shared" si="25"/>
        <v>4.7804294157252979E-2</v>
      </c>
      <c r="O34" s="565"/>
      <c r="P34" s="566"/>
      <c r="Q34" s="564"/>
      <c r="R34" s="564"/>
      <c r="S34" s="565"/>
      <c r="T34" s="564"/>
      <c r="U34" s="565"/>
      <c r="V34" s="566"/>
      <c r="W34" s="564"/>
      <c r="X34" s="564"/>
      <c r="Y34" s="565"/>
      <c r="Z34" s="564"/>
      <c r="AA34" s="587"/>
      <c r="AB34" s="587"/>
      <c r="AC34" s="587"/>
      <c r="AD34" s="587"/>
      <c r="AE34" s="599"/>
      <c r="AF34" s="599"/>
      <c r="AG34" s="601"/>
      <c r="AH34" s="601"/>
      <c r="AI34" s="601"/>
      <c r="AJ34" s="601"/>
    </row>
    <row r="35" spans="1:36" ht="14" x14ac:dyDescent="0.3">
      <c r="A35" s="329">
        <f>IF(C35&lt;&gt;"",COUNTA($C$11:C35),"")</f>
        <v>22</v>
      </c>
      <c r="C35" s="593">
        <f>+C27</f>
        <v>50</v>
      </c>
      <c r="D35" s="596">
        <f t="shared" si="26"/>
        <v>22500</v>
      </c>
      <c r="E35" s="597">
        <f t="shared" si="18"/>
        <v>1593.9749999999999</v>
      </c>
      <c r="F35" s="597">
        <f t="shared" si="19"/>
        <v>2443.2750000000001</v>
      </c>
      <c r="G35" s="597">
        <f t="shared" si="20"/>
        <v>4037.25</v>
      </c>
      <c r="H35" s="597"/>
      <c r="I35" s="597">
        <f t="shared" si="21"/>
        <v>1449.105</v>
      </c>
      <c r="J35" s="597">
        <f t="shared" si="22"/>
        <v>2779.875</v>
      </c>
      <c r="K35" s="597">
        <f t="shared" si="23"/>
        <v>4228.9799999999996</v>
      </c>
      <c r="L35" s="598"/>
      <c r="M35" s="597">
        <f t="shared" si="24"/>
        <v>191.72999999999956</v>
      </c>
      <c r="N35" s="571">
        <f t="shared" si="25"/>
        <v>4.7490247074122131E-2</v>
      </c>
      <c r="O35" s="565"/>
      <c r="P35" s="566"/>
      <c r="Q35" s="564"/>
      <c r="R35" s="564"/>
      <c r="S35" s="565"/>
      <c r="T35" s="564"/>
      <c r="U35" s="565"/>
      <c r="V35" s="566"/>
      <c r="W35" s="564"/>
      <c r="X35" s="564"/>
      <c r="Y35" s="565"/>
      <c r="Z35" s="564"/>
      <c r="AA35" s="587"/>
      <c r="AB35" s="587"/>
      <c r="AC35" s="587"/>
      <c r="AD35" s="587"/>
      <c r="AE35" s="599"/>
      <c r="AF35" s="599"/>
      <c r="AG35" s="601"/>
      <c r="AH35" s="601"/>
      <c r="AI35" s="601"/>
      <c r="AJ35" s="601"/>
    </row>
    <row r="36" spans="1:36" ht="14" x14ac:dyDescent="0.3">
      <c r="A36" s="329">
        <f>IF(C36&lt;&gt;"",COUNTA($C$11:C36),"")</f>
        <v>23</v>
      </c>
      <c r="B36" s="567" t="s">
        <v>554</v>
      </c>
      <c r="C36" s="595">
        <v>17</v>
      </c>
      <c r="D36" s="596">
        <f t="shared" si="26"/>
        <v>7650</v>
      </c>
      <c r="E36" s="597">
        <f t="shared" si="18"/>
        <v>530.00549999999998</v>
      </c>
      <c r="F36" s="597">
        <f t="shared" si="19"/>
        <v>830.71350000000007</v>
      </c>
      <c r="G36" s="597">
        <f t="shared" si="20"/>
        <v>1360.7190000000001</v>
      </c>
      <c r="H36" s="597"/>
      <c r="I36" s="597">
        <f t="shared" si="21"/>
        <v>480.73649999999998</v>
      </c>
      <c r="J36" s="597">
        <f t="shared" si="22"/>
        <v>945.15749999999991</v>
      </c>
      <c r="K36" s="597">
        <f t="shared" si="23"/>
        <v>1425.8939999999998</v>
      </c>
      <c r="L36" s="598"/>
      <c r="M36" s="597">
        <f t="shared" si="24"/>
        <v>65.174999999999727</v>
      </c>
      <c r="N36" s="571">
        <f t="shared" si="25"/>
        <v>4.789747185127842E-2</v>
      </c>
      <c r="O36" s="565"/>
      <c r="P36" s="566"/>
      <c r="Q36" s="564"/>
      <c r="R36" s="564"/>
      <c r="S36" s="565"/>
      <c r="T36" s="564"/>
      <c r="U36" s="565"/>
      <c r="V36" s="566"/>
      <c r="W36" s="564"/>
      <c r="X36" s="564"/>
      <c r="Y36" s="565"/>
      <c r="Z36" s="564"/>
      <c r="AA36" s="587"/>
      <c r="AB36" s="587"/>
      <c r="AC36" s="587"/>
      <c r="AD36" s="587"/>
      <c r="AE36" s="599"/>
      <c r="AF36" s="599"/>
      <c r="AG36" s="601"/>
      <c r="AH36" s="601"/>
      <c r="AI36" s="601"/>
      <c r="AJ36" s="601"/>
    </row>
    <row r="37" spans="1:36" ht="14" x14ac:dyDescent="0.3">
      <c r="A37" s="329" t="str">
        <f>IF(C37&lt;&gt;"",COUNTA($C$11:C37),"")</f>
        <v/>
      </c>
      <c r="C37" s="593"/>
      <c r="D37" s="593"/>
      <c r="E37" s="597"/>
      <c r="F37" s="597"/>
      <c r="G37" s="597"/>
      <c r="H37" s="597"/>
      <c r="I37" s="597"/>
      <c r="J37" s="597"/>
      <c r="K37" s="597"/>
      <c r="L37" s="598"/>
      <c r="M37" s="597"/>
      <c r="N37" s="602"/>
      <c r="O37" s="565"/>
      <c r="P37" s="566"/>
      <c r="Q37" s="564"/>
      <c r="R37" s="564"/>
      <c r="S37" s="565"/>
      <c r="T37" s="564"/>
      <c r="U37" s="565"/>
      <c r="V37" s="566"/>
      <c r="W37" s="564"/>
      <c r="X37" s="564"/>
      <c r="Y37" s="565"/>
      <c r="Z37" s="564"/>
      <c r="AA37" s="587"/>
      <c r="AB37" s="587"/>
      <c r="AC37" s="587"/>
      <c r="AD37" s="587"/>
      <c r="AE37" s="587"/>
      <c r="AF37" s="587"/>
      <c r="AG37" s="587"/>
      <c r="AH37" s="587"/>
      <c r="AI37" s="587"/>
      <c r="AJ37" s="587"/>
    </row>
    <row r="38" spans="1:36" ht="14" x14ac:dyDescent="0.3">
      <c r="A38" s="329" t="str">
        <f>IF(C38&lt;&gt;"",COUNTA($C$11:C38),"")</f>
        <v/>
      </c>
      <c r="C38" s="593"/>
      <c r="D38" s="593"/>
      <c r="E38" s="597"/>
      <c r="F38" s="598"/>
      <c r="G38" s="597"/>
      <c r="H38" s="597"/>
      <c r="I38" s="597"/>
      <c r="J38" s="597"/>
      <c r="K38" s="597"/>
      <c r="L38" s="598"/>
      <c r="M38" s="597"/>
      <c r="N38" s="602"/>
      <c r="O38" s="565"/>
      <c r="P38" s="566"/>
      <c r="Q38" s="564"/>
      <c r="R38" s="564"/>
      <c r="S38" s="565"/>
      <c r="T38" s="564"/>
      <c r="U38" s="565"/>
      <c r="V38" s="566"/>
      <c r="W38" s="564"/>
      <c r="X38" s="564"/>
      <c r="Y38" s="565"/>
      <c r="Z38" s="564"/>
      <c r="AA38" s="587"/>
      <c r="AB38" s="587"/>
      <c r="AC38" s="587"/>
      <c r="AD38" s="587"/>
      <c r="AE38" s="587"/>
      <c r="AF38" s="587"/>
      <c r="AG38" s="587"/>
      <c r="AH38" s="587"/>
      <c r="AI38" s="587"/>
      <c r="AJ38" s="587"/>
    </row>
    <row r="39" spans="1:36" ht="14" x14ac:dyDescent="0.3">
      <c r="A39" s="329">
        <f>IF(C39&lt;&gt;"",COUNTA($C$11:C39),"")</f>
        <v>24</v>
      </c>
      <c r="C39" s="587" t="s">
        <v>46</v>
      </c>
      <c r="D39" s="587"/>
      <c r="E39" s="598"/>
      <c r="F39" s="598"/>
      <c r="G39" s="508" t="str">
        <f>+'Bill_WMA 23'!F23</f>
        <v>Current</v>
      </c>
      <c r="H39" s="508"/>
      <c r="I39" s="508" t="str">
        <f>+'Bill_WMA 23'!H23</f>
        <v>Proposed</v>
      </c>
      <c r="J39" s="360"/>
      <c r="K39" s="600"/>
      <c r="L39" s="600"/>
      <c r="M39" s="600"/>
      <c r="N39" s="587"/>
      <c r="O39" s="565"/>
      <c r="P39" s="566"/>
      <c r="Q39" s="564"/>
      <c r="R39" s="564"/>
      <c r="S39" s="565"/>
      <c r="T39" s="564"/>
      <c r="U39" s="565"/>
      <c r="V39" s="566"/>
      <c r="W39" s="564"/>
      <c r="X39" s="564"/>
      <c r="Y39" s="565"/>
      <c r="Z39" s="564"/>
      <c r="AA39" s="587"/>
      <c r="AB39" s="587"/>
      <c r="AC39" s="587"/>
      <c r="AD39" s="587"/>
      <c r="AE39" s="587"/>
      <c r="AF39" s="604"/>
      <c r="AG39" s="587"/>
      <c r="AH39" s="587"/>
      <c r="AI39" s="587"/>
      <c r="AJ39" s="587"/>
    </row>
    <row r="40" spans="1:36" ht="17" x14ac:dyDescent="0.6">
      <c r="A40" s="329">
        <f>IF(C40&lt;&gt;"",COUNTA($C$11:C40),"")</f>
        <v>25</v>
      </c>
      <c r="C40" s="274" t="s">
        <v>46</v>
      </c>
      <c r="D40" s="587"/>
      <c r="E40" s="598"/>
      <c r="F40" s="598"/>
      <c r="G40" s="510" t="str">
        <f>+'Bill_WMA 23'!F24</f>
        <v>Rates</v>
      </c>
      <c r="H40" s="510"/>
      <c r="I40" s="510" t="str">
        <f>+'Bill_WMA 23'!H24</f>
        <v>Rates</v>
      </c>
      <c r="J40" s="510" t="str">
        <f>+'Bill_WMA 23'!I24</f>
        <v>Change</v>
      </c>
      <c r="K40" s="600"/>
      <c r="L40" s="600"/>
      <c r="M40" s="600"/>
      <c r="N40" s="587"/>
      <c r="O40" s="587"/>
      <c r="P40" s="587"/>
      <c r="Q40" s="587"/>
      <c r="R40" s="587"/>
      <c r="S40" s="605"/>
      <c r="T40" s="587"/>
      <c r="U40" s="587"/>
      <c r="V40" s="587"/>
      <c r="W40" s="587"/>
      <c r="X40" s="587"/>
      <c r="Y40" s="587"/>
      <c r="Z40" s="587"/>
      <c r="AA40" s="587"/>
      <c r="AB40" s="587"/>
      <c r="AC40" s="587"/>
      <c r="AD40" s="587"/>
      <c r="AE40" s="587"/>
      <c r="AF40" s="604"/>
      <c r="AG40" s="587"/>
      <c r="AH40" s="587"/>
      <c r="AI40" s="587"/>
      <c r="AJ40" s="587"/>
    </row>
    <row r="41" spans="1:36" ht="14" x14ac:dyDescent="0.3">
      <c r="A41" s="329">
        <f>IF(C41&lt;&gt;"",COUNTA($C$11:C41),"")</f>
        <v>26</v>
      </c>
      <c r="C41" s="330" t="s">
        <v>296</v>
      </c>
      <c r="D41" s="274"/>
      <c r="E41" s="598"/>
      <c r="F41" s="598"/>
      <c r="G41" s="454">
        <v>15</v>
      </c>
      <c r="H41" s="558"/>
      <c r="I41" s="397">
        <f>G41</f>
        <v>15</v>
      </c>
      <c r="J41" s="421">
        <f>+I41-G41</f>
        <v>0</v>
      </c>
      <c r="K41" s="600"/>
      <c r="L41" s="600"/>
      <c r="M41" s="600"/>
      <c r="N41" s="587"/>
      <c r="O41" s="587"/>
      <c r="P41" s="587"/>
      <c r="Q41" s="587"/>
      <c r="R41" s="587"/>
      <c r="S41" s="605"/>
      <c r="T41" s="587"/>
      <c r="U41" s="587"/>
      <c r="V41" s="587"/>
      <c r="W41" s="587"/>
      <c r="X41" s="587"/>
      <c r="Y41" s="587"/>
      <c r="Z41" s="587"/>
      <c r="AA41" s="587"/>
      <c r="AB41" s="587"/>
      <c r="AC41" s="587"/>
      <c r="AD41" s="587"/>
      <c r="AE41" s="587"/>
      <c r="AF41" s="604"/>
      <c r="AG41" s="587"/>
      <c r="AH41" s="587"/>
      <c r="AI41" s="587"/>
      <c r="AJ41" s="587"/>
    </row>
    <row r="42" spans="1:36" ht="14" x14ac:dyDescent="0.3">
      <c r="A42" s="329">
        <f>IF(C42&lt;&gt;"",COUNTA($C$11:C42),"")</f>
        <v>27</v>
      </c>
      <c r="C42" s="330" t="str">
        <f>+'Bill_WMA 24'!C45</f>
        <v xml:space="preserve">Distribution Demand &gt;2 KW </v>
      </c>
      <c r="D42" s="274"/>
      <c r="E42" s="598"/>
      <c r="F42" s="598"/>
      <c r="G42" s="454">
        <v>9.0299999999999994</v>
      </c>
      <c r="H42" s="558"/>
      <c r="I42" s="397">
        <v>9.4700000000000006</v>
      </c>
      <c r="J42" s="421">
        <f t="shared" ref="J42:J64" si="27">+I42-G42</f>
        <v>0.44000000000000128</v>
      </c>
      <c r="K42" s="600"/>
      <c r="L42" s="600"/>
      <c r="M42" s="600"/>
      <c r="N42" s="587"/>
      <c r="O42" s="587"/>
      <c r="P42" s="587"/>
      <c r="Q42" s="587"/>
      <c r="R42" s="587"/>
      <c r="S42" s="605"/>
      <c r="T42" s="606"/>
      <c r="U42" s="587"/>
      <c r="V42" s="587"/>
      <c r="W42" s="587"/>
      <c r="X42" s="587"/>
      <c r="Y42" s="587"/>
      <c r="Z42" s="587"/>
      <c r="AA42" s="587"/>
      <c r="AB42" s="587"/>
      <c r="AC42" s="587"/>
      <c r="AD42" s="587"/>
      <c r="AE42" s="587"/>
      <c r="AF42" s="605"/>
      <c r="AG42" s="606"/>
      <c r="AH42" s="587"/>
      <c r="AI42" s="587"/>
      <c r="AJ42" s="587"/>
    </row>
    <row r="43" spans="1:36" ht="14" x14ac:dyDescent="0.3">
      <c r="A43" s="329">
        <f>IF(C43&lt;&gt;"",COUNTA($C$11:C43),"")</f>
        <v>28</v>
      </c>
      <c r="C43" s="330" t="str">
        <f>+'Bill_WMA 24'!C46</f>
        <v xml:space="preserve">Transmission Demand &gt;2 KW </v>
      </c>
      <c r="D43" s="274"/>
      <c r="E43" s="598"/>
      <c r="F43" s="598"/>
      <c r="G43" s="454">
        <v>7.52</v>
      </c>
      <c r="H43" s="558"/>
      <c r="I43" s="397">
        <v>7.09</v>
      </c>
      <c r="J43" s="421">
        <f t="shared" si="27"/>
        <v>-0.42999999999999972</v>
      </c>
      <c r="K43" s="600"/>
      <c r="L43" s="600"/>
      <c r="M43" s="600"/>
      <c r="N43" s="587"/>
      <c r="O43" s="587"/>
      <c r="P43" s="587"/>
      <c r="Q43" s="587"/>
      <c r="R43" s="587"/>
      <c r="S43" s="587"/>
      <c r="T43" s="587"/>
      <c r="U43" s="587"/>
      <c r="V43" s="587"/>
      <c r="W43" s="587"/>
      <c r="X43" s="587"/>
      <c r="Y43" s="587"/>
      <c r="Z43" s="587"/>
      <c r="AA43" s="587"/>
      <c r="AB43" s="587"/>
      <c r="AC43" s="587"/>
      <c r="AD43" s="587"/>
      <c r="AE43" s="587"/>
      <c r="AF43" s="587"/>
      <c r="AG43" s="587"/>
      <c r="AH43" s="587"/>
      <c r="AI43" s="587"/>
      <c r="AJ43" s="587"/>
    </row>
    <row r="44" spans="1:36" ht="14" x14ac:dyDescent="0.3">
      <c r="A44" s="329">
        <f>IF(C44&lt;&gt;"",COUNTA($C$11:C44),"")</f>
        <v>29</v>
      </c>
      <c r="C44" s="330" t="str">
        <f>+'Bill_WMA 24'!C47</f>
        <v>Distribution Energy</v>
      </c>
      <c r="D44" s="274"/>
      <c r="G44" s="308">
        <v>1.7700000000000001E-3</v>
      </c>
      <c r="H44" s="574"/>
      <c r="I44" s="308">
        <v>1.8600000000000001E-3</v>
      </c>
      <c r="J44" s="354">
        <f t="shared" si="27"/>
        <v>9.0000000000000019E-5</v>
      </c>
      <c r="K44" s="587"/>
      <c r="L44" s="587"/>
      <c r="M44" s="587"/>
      <c r="N44" s="587"/>
      <c r="O44" s="587"/>
      <c r="P44" s="587"/>
      <c r="Q44" s="587"/>
      <c r="R44" s="587"/>
      <c r="S44" s="605"/>
      <c r="T44" s="606"/>
      <c r="U44" s="587"/>
      <c r="V44" s="587"/>
      <c r="W44" s="587"/>
      <c r="X44" s="587"/>
      <c r="Y44" s="587"/>
      <c r="Z44" s="587"/>
      <c r="AA44" s="587"/>
      <c r="AB44" s="587"/>
      <c r="AC44" s="587"/>
      <c r="AD44" s="587"/>
      <c r="AE44" s="587"/>
      <c r="AF44" s="605"/>
      <c r="AG44" s="606"/>
      <c r="AH44" s="587"/>
      <c r="AI44" s="587"/>
      <c r="AJ44" s="587"/>
    </row>
    <row r="45" spans="1:36" ht="14" x14ac:dyDescent="0.3">
      <c r="A45" s="329">
        <f>IF(C45&lt;&gt;"",COUNTA($C$11:C45),"")</f>
        <v>30</v>
      </c>
      <c r="C45" s="330" t="str">
        <f>+'Bill_WMA 24'!C48</f>
        <v>Revenue Decoupling</v>
      </c>
      <c r="D45" s="587"/>
      <c r="G45" s="308">
        <v>5.6999999999999998E-4</v>
      </c>
      <c r="H45" s="400"/>
      <c r="I45" s="277">
        <v>-4.2999999999999999E-4</v>
      </c>
      <c r="J45" s="354">
        <f t="shared" si="27"/>
        <v>-1E-3</v>
      </c>
      <c r="K45" s="559"/>
      <c r="L45" s="559"/>
      <c r="M45" s="559"/>
      <c r="N45" s="559"/>
      <c r="O45" s="587"/>
      <c r="P45" s="587"/>
      <c r="Q45" s="587"/>
      <c r="R45" s="587"/>
      <c r="S45" s="605"/>
      <c r="T45" s="606"/>
      <c r="U45" s="587"/>
      <c r="V45" s="587"/>
      <c r="W45" s="587"/>
      <c r="X45" s="587"/>
      <c r="Y45" s="587"/>
      <c r="Z45" s="587"/>
      <c r="AA45" s="587"/>
      <c r="AB45" s="587"/>
      <c r="AC45" s="587"/>
      <c r="AD45" s="587"/>
      <c r="AE45" s="587"/>
      <c r="AF45" s="605"/>
      <c r="AG45" s="606"/>
      <c r="AH45" s="587"/>
      <c r="AI45" s="587"/>
      <c r="AJ45" s="587"/>
    </row>
    <row r="46" spans="1:36" ht="14" x14ac:dyDescent="0.3">
      <c r="A46" s="329">
        <f>IF(C46&lt;&gt;"",COUNTA($C$11:C46),"")</f>
        <v>31</v>
      </c>
      <c r="C46" s="330" t="str">
        <f>+'Bill_WMA 24'!C49</f>
        <v>Residential Assistance Adjustment Factor</v>
      </c>
      <c r="D46" s="274"/>
      <c r="G46" s="277">
        <v>1.0189999999999999E-2</v>
      </c>
      <c r="H46" s="400"/>
      <c r="I46" s="277">
        <v>3.65E-3</v>
      </c>
      <c r="J46" s="354">
        <f t="shared" si="27"/>
        <v>-6.5399999999999989E-3</v>
      </c>
      <c r="K46" s="559"/>
      <c r="L46" s="559"/>
      <c r="M46" s="559"/>
      <c r="N46" s="559"/>
      <c r="O46" s="587"/>
      <c r="P46" s="587"/>
      <c r="Q46" s="587"/>
      <c r="R46" s="587"/>
      <c r="S46" s="587"/>
      <c r="T46" s="587"/>
      <c r="U46" s="587"/>
      <c r="V46" s="587"/>
      <c r="W46" s="587"/>
      <c r="X46" s="587"/>
      <c r="Y46" s="587"/>
      <c r="Z46" s="587"/>
      <c r="AA46" s="587"/>
      <c r="AB46" s="587"/>
      <c r="AC46" s="587"/>
      <c r="AD46" s="587"/>
      <c r="AE46" s="587"/>
      <c r="AF46" s="587"/>
      <c r="AG46" s="587"/>
      <c r="AH46" s="587"/>
      <c r="AI46" s="587"/>
      <c r="AJ46" s="587"/>
    </row>
    <row r="47" spans="1:36" ht="14" x14ac:dyDescent="0.3">
      <c r="A47" s="329">
        <f>IF(C47&lt;&gt;"",COUNTA($C$11:C47),"")</f>
        <v>32</v>
      </c>
      <c r="C47" s="330" t="str">
        <f>+'Bill_WMA 24'!C50</f>
        <v>Pension Adjustment Factor</v>
      </c>
      <c r="D47" s="274"/>
      <c r="G47" s="277">
        <v>1.1100000000000001E-3</v>
      </c>
      <c r="H47" s="400"/>
      <c r="I47" s="277">
        <v>6.4000000000000005E-4</v>
      </c>
      <c r="J47" s="354">
        <f t="shared" si="27"/>
        <v>-4.7000000000000004E-4</v>
      </c>
      <c r="K47" s="559"/>
      <c r="L47" s="559"/>
      <c r="M47" s="559"/>
      <c r="N47" s="559"/>
      <c r="O47" s="587"/>
      <c r="P47" s="587"/>
      <c r="Q47" s="587"/>
      <c r="R47" s="587"/>
      <c r="S47" s="607"/>
      <c r="T47" s="587"/>
      <c r="U47" s="587"/>
      <c r="V47" s="587"/>
      <c r="W47" s="587"/>
      <c r="X47" s="587"/>
      <c r="Y47" s="587"/>
      <c r="Z47" s="587"/>
      <c r="AA47" s="587"/>
      <c r="AB47" s="587"/>
      <c r="AC47" s="587"/>
      <c r="AD47" s="587"/>
      <c r="AE47" s="587"/>
      <c r="AF47" s="607"/>
      <c r="AG47" s="587"/>
      <c r="AH47" s="587"/>
      <c r="AI47" s="608"/>
      <c r="AJ47" s="587"/>
    </row>
    <row r="48" spans="1:36" ht="14" x14ac:dyDescent="0.3">
      <c r="A48" s="329">
        <f>IF(C48&lt;&gt;"",COUNTA($C$11:C48),"")</f>
        <v>33</v>
      </c>
      <c r="C48" s="330" t="str">
        <f>+'Bill_WMA 24'!C51</f>
        <v>Net Metering Recovery Surcharge</v>
      </c>
      <c r="D48" s="274"/>
      <c r="G48" s="277">
        <v>4.4299999999999999E-3</v>
      </c>
      <c r="H48" s="400"/>
      <c r="I48" s="277">
        <v>4.7699999999999999E-3</v>
      </c>
      <c r="J48" s="354">
        <f t="shared" si="27"/>
        <v>3.4000000000000002E-4</v>
      </c>
      <c r="K48" s="559"/>
      <c r="L48" s="559"/>
      <c r="M48" s="559"/>
      <c r="N48" s="559"/>
      <c r="O48" s="587"/>
      <c r="P48" s="587"/>
      <c r="Q48" s="587"/>
      <c r="R48" s="587"/>
      <c r="S48" s="607"/>
      <c r="T48" s="587"/>
      <c r="U48" s="587"/>
      <c r="V48" s="587"/>
      <c r="W48" s="587"/>
      <c r="X48" s="587"/>
      <c r="Y48" s="587"/>
      <c r="Z48" s="587"/>
      <c r="AA48" s="587"/>
      <c r="AB48" s="587"/>
      <c r="AC48" s="587"/>
      <c r="AD48" s="587"/>
      <c r="AE48" s="587"/>
      <c r="AF48" s="607"/>
      <c r="AG48" s="587"/>
      <c r="AH48" s="587"/>
      <c r="AI48" s="608"/>
      <c r="AJ48" s="587"/>
    </row>
    <row r="49" spans="1:36" ht="14" x14ac:dyDescent="0.3">
      <c r="A49" s="329">
        <f>IF(C49&lt;&gt;"",COUNTA($C$11:C49),"")</f>
        <v>34</v>
      </c>
      <c r="C49" s="330" t="str">
        <f>+'Bill_WMA 24'!C52</f>
        <v>Long Term Renewable Contract Adjustment</v>
      </c>
      <c r="D49" s="274"/>
      <c r="G49" s="277">
        <v>3.31E-3</v>
      </c>
      <c r="H49" s="400"/>
      <c r="I49" s="277">
        <v>1.74E-3</v>
      </c>
      <c r="J49" s="354">
        <f t="shared" si="27"/>
        <v>-1.57E-3</v>
      </c>
      <c r="K49" s="559"/>
      <c r="L49" s="559"/>
      <c r="M49" s="559"/>
      <c r="N49" s="559"/>
      <c r="O49" s="587"/>
      <c r="P49" s="587"/>
      <c r="Q49" s="587"/>
      <c r="R49" s="587"/>
      <c r="S49" s="607"/>
      <c r="T49" s="587"/>
      <c r="U49" s="587"/>
      <c r="V49" s="587"/>
      <c r="W49" s="587"/>
      <c r="X49" s="587"/>
      <c r="Y49" s="587"/>
      <c r="Z49" s="587"/>
      <c r="AA49" s="587"/>
      <c r="AB49" s="587"/>
      <c r="AC49" s="587"/>
      <c r="AD49" s="587"/>
      <c r="AE49" s="587"/>
      <c r="AF49" s="607"/>
      <c r="AG49" s="587"/>
      <c r="AH49" s="587"/>
      <c r="AI49" s="608"/>
      <c r="AJ49" s="587"/>
    </row>
    <row r="50" spans="1:36" ht="14" x14ac:dyDescent="0.3">
      <c r="A50" s="329">
        <f>IF(C50&lt;&gt;"",COUNTA($C$11:C50),"")</f>
        <v>35</v>
      </c>
      <c r="C50" s="330" t="str">
        <f>+'Bill_WMA 24'!C53</f>
        <v>AG Consulting Expense</v>
      </c>
      <c r="D50" s="274"/>
      <c r="G50" s="277">
        <v>3.0000000000000001E-5</v>
      </c>
      <c r="H50" s="400"/>
      <c r="I50" s="277">
        <v>1.0000000000000001E-5</v>
      </c>
      <c r="J50" s="354">
        <f t="shared" si="27"/>
        <v>-1.9999999999999998E-5</v>
      </c>
      <c r="K50" s="559"/>
      <c r="L50" s="559"/>
      <c r="M50" s="559"/>
      <c r="N50" s="559"/>
      <c r="O50" s="587"/>
      <c r="P50" s="587"/>
      <c r="Q50" s="587"/>
      <c r="R50" s="587"/>
      <c r="S50" s="607"/>
      <c r="T50" s="587"/>
      <c r="U50" s="587"/>
      <c r="V50" s="587"/>
      <c r="W50" s="587"/>
      <c r="X50" s="587"/>
      <c r="Y50" s="587"/>
      <c r="Z50" s="587"/>
      <c r="AA50" s="587"/>
      <c r="AB50" s="587"/>
      <c r="AC50" s="587"/>
      <c r="AD50" s="587"/>
      <c r="AE50" s="587"/>
      <c r="AF50" s="607"/>
      <c r="AG50" s="587"/>
      <c r="AH50" s="587"/>
      <c r="AI50" s="608"/>
      <c r="AJ50" s="587"/>
    </row>
    <row r="51" spans="1:36" ht="14" x14ac:dyDescent="0.3">
      <c r="A51" s="329">
        <f>IF(C51&lt;&gt;"",COUNTA($C$11:C51),"")</f>
        <v>36</v>
      </c>
      <c r="C51" s="330" t="str">
        <f>+'Bill_WMA 24'!C54</f>
        <v>Storm Cost Recovery Adjustment Factor</v>
      </c>
      <c r="D51" s="274"/>
      <c r="G51" s="277">
        <v>2.3700000000000001E-3</v>
      </c>
      <c r="H51" s="400"/>
      <c r="I51" s="277">
        <v>2.7499999999999998E-3</v>
      </c>
      <c r="J51" s="354">
        <f t="shared" si="27"/>
        <v>3.799999999999997E-4</v>
      </c>
      <c r="K51" s="559"/>
      <c r="L51" s="559"/>
      <c r="M51" s="559"/>
      <c r="N51" s="559"/>
      <c r="O51" s="587"/>
      <c r="P51" s="587"/>
      <c r="Q51" s="587"/>
      <c r="R51" s="587"/>
      <c r="S51" s="607"/>
      <c r="T51" s="587"/>
      <c r="U51" s="587"/>
      <c r="V51" s="587"/>
      <c r="W51" s="587"/>
      <c r="X51" s="587"/>
      <c r="Y51" s="587"/>
      <c r="Z51" s="587"/>
      <c r="AA51" s="587"/>
      <c r="AB51" s="587"/>
      <c r="AC51" s="587"/>
      <c r="AD51" s="587"/>
      <c r="AE51" s="587"/>
      <c r="AF51" s="607"/>
      <c r="AG51" s="587"/>
      <c r="AH51" s="587"/>
      <c r="AI51" s="608"/>
      <c r="AJ51" s="587"/>
    </row>
    <row r="52" spans="1:36" ht="14" x14ac:dyDescent="0.3">
      <c r="A52" s="329">
        <f>IF(C52&lt;&gt;"",COUNTA($C$11:C52),"")</f>
        <v>37</v>
      </c>
      <c r="C52" s="330" t="str">
        <f>+'Bill_WMA 24'!C55</f>
        <v>Storm Reserve Adjustment</v>
      </c>
      <c r="D52" s="274"/>
      <c r="G52" s="277">
        <v>0</v>
      </c>
      <c r="H52" s="400"/>
      <c r="I52" s="277">
        <v>0</v>
      </c>
      <c r="J52" s="354">
        <f t="shared" si="27"/>
        <v>0</v>
      </c>
      <c r="K52" s="559"/>
      <c r="L52" s="559"/>
      <c r="M52" s="559"/>
      <c r="N52" s="559"/>
      <c r="O52" s="587"/>
      <c r="P52" s="587"/>
      <c r="Q52" s="587"/>
      <c r="R52" s="587"/>
      <c r="S52" s="607"/>
      <c r="T52" s="587"/>
      <c r="U52" s="587"/>
      <c r="V52" s="587"/>
      <c r="W52" s="587"/>
      <c r="X52" s="587"/>
      <c r="Y52" s="587"/>
      <c r="Z52" s="587"/>
      <c r="AA52" s="587"/>
      <c r="AB52" s="587"/>
      <c r="AC52" s="587"/>
      <c r="AD52" s="587"/>
      <c r="AE52" s="587"/>
      <c r="AF52" s="607"/>
      <c r="AG52" s="587"/>
      <c r="AH52" s="587"/>
      <c r="AI52" s="608"/>
      <c r="AJ52" s="587"/>
    </row>
    <row r="53" spans="1:36" ht="14" x14ac:dyDescent="0.3">
      <c r="A53" s="329">
        <f>IF(C53&lt;&gt;"",COUNTA($C$11:C53),"")</f>
        <v>38</v>
      </c>
      <c r="C53" s="330" t="str">
        <f>+'Bill_WMA 24'!C56</f>
        <v>Basic Service Cost True Up Factor</v>
      </c>
      <c r="D53" s="274"/>
      <c r="G53" s="277">
        <v>2.1000000000000001E-4</v>
      </c>
      <c r="H53" s="400"/>
      <c r="I53" s="277">
        <v>-1.8000000000000001E-4</v>
      </c>
      <c r="J53" s="354">
        <f t="shared" si="27"/>
        <v>-3.9000000000000005E-4</v>
      </c>
      <c r="K53" s="559"/>
      <c r="L53" s="559"/>
      <c r="M53" s="559"/>
      <c r="N53" s="559"/>
      <c r="O53" s="587"/>
      <c r="P53" s="587"/>
      <c r="Q53" s="587"/>
      <c r="R53" s="587"/>
      <c r="S53" s="607"/>
      <c r="T53" s="587"/>
      <c r="U53" s="587"/>
      <c r="V53" s="587"/>
      <c r="W53" s="587"/>
      <c r="X53" s="587"/>
      <c r="Y53" s="587"/>
      <c r="Z53" s="587"/>
      <c r="AA53" s="587"/>
      <c r="AB53" s="587"/>
      <c r="AC53" s="587"/>
      <c r="AD53" s="587"/>
      <c r="AE53" s="587"/>
      <c r="AF53" s="607"/>
      <c r="AG53" s="587"/>
      <c r="AH53" s="587"/>
      <c r="AI53" s="608"/>
      <c r="AJ53" s="587"/>
    </row>
    <row r="54" spans="1:36" ht="14" x14ac:dyDescent="0.3">
      <c r="A54" s="329">
        <f>IF(C54&lt;&gt;"",COUNTA($C$11:C54),"")</f>
        <v>39</v>
      </c>
      <c r="C54" s="330" t="str">
        <f>+'Bill_WMA 24'!C57</f>
        <v>Solar Program Cost Adjustment Factor</v>
      </c>
      <c r="D54" s="274"/>
      <c r="G54" s="277">
        <v>-1.2999999999999999E-4</v>
      </c>
      <c r="H54" s="400"/>
      <c r="I54" s="277">
        <v>3.0000000000000001E-5</v>
      </c>
      <c r="J54" s="354">
        <f t="shared" si="27"/>
        <v>1.5999999999999999E-4</v>
      </c>
      <c r="K54" s="559"/>
      <c r="L54" s="559"/>
      <c r="M54" s="559"/>
      <c r="N54" s="559"/>
      <c r="O54" s="587"/>
      <c r="P54" s="587"/>
      <c r="Q54" s="587"/>
      <c r="R54" s="587"/>
      <c r="S54" s="607"/>
      <c r="T54" s="587"/>
      <c r="U54" s="587"/>
      <c r="V54" s="587"/>
      <c r="W54" s="587"/>
      <c r="X54" s="587"/>
      <c r="Y54" s="587"/>
      <c r="Z54" s="587"/>
      <c r="AA54" s="587"/>
      <c r="AB54" s="587"/>
      <c r="AC54" s="587"/>
      <c r="AD54" s="587"/>
      <c r="AE54" s="587"/>
      <c r="AF54" s="607"/>
      <c r="AG54" s="587"/>
      <c r="AH54" s="587"/>
      <c r="AI54" s="608"/>
      <c r="AJ54" s="587"/>
    </row>
    <row r="55" spans="1:36" ht="14" x14ac:dyDescent="0.3">
      <c r="A55" s="329">
        <f>IF(C55&lt;&gt;"",COUNTA($C$11:C55),"")</f>
        <v>40</v>
      </c>
      <c r="C55" s="330" t="str">
        <f>+'Bill_WMA 24'!C58</f>
        <v>Solar Expansion Cost Recovery Factor</v>
      </c>
      <c r="D55" s="274"/>
      <c r="G55" s="277">
        <v>0</v>
      </c>
      <c r="H55" s="400"/>
      <c r="I55" s="277">
        <v>5.6999999999999998E-4</v>
      </c>
      <c r="J55" s="354">
        <f t="shared" si="27"/>
        <v>5.6999999999999998E-4</v>
      </c>
      <c r="K55" s="559"/>
      <c r="L55" s="559"/>
      <c r="M55" s="559"/>
      <c r="N55" s="559"/>
      <c r="O55" s="587"/>
      <c r="P55" s="587"/>
      <c r="Q55" s="587"/>
      <c r="R55" s="587"/>
      <c r="S55" s="607"/>
      <c r="T55" s="587"/>
      <c r="U55" s="587"/>
      <c r="V55" s="587"/>
      <c r="W55" s="587"/>
      <c r="X55" s="587"/>
      <c r="Y55" s="587"/>
      <c r="Z55" s="587"/>
      <c r="AA55" s="587"/>
      <c r="AB55" s="587"/>
      <c r="AC55" s="587"/>
      <c r="AD55" s="587"/>
      <c r="AE55" s="587"/>
      <c r="AF55" s="607"/>
      <c r="AG55" s="587"/>
      <c r="AH55" s="587"/>
      <c r="AI55" s="608"/>
      <c r="AJ55" s="587"/>
    </row>
    <row r="56" spans="1:36" ht="14" x14ac:dyDescent="0.3">
      <c r="A56" s="329">
        <f>IF(C56&lt;&gt;"",COUNTA($C$11:C56),"")</f>
        <v>41</v>
      </c>
      <c r="C56" s="330" t="str">
        <f>+'Bill_WMA 24'!C59</f>
        <v>Vegetation Management</v>
      </c>
      <c r="D56" s="274"/>
      <c r="G56" s="277">
        <v>0</v>
      </c>
      <c r="H56" s="400"/>
      <c r="I56" s="277">
        <v>1.14E-3</v>
      </c>
      <c r="J56" s="354">
        <f t="shared" si="27"/>
        <v>1.14E-3</v>
      </c>
      <c r="K56" s="559"/>
      <c r="L56" s="559"/>
      <c r="M56" s="559"/>
      <c r="N56" s="559"/>
      <c r="O56" s="587"/>
      <c r="P56" s="587"/>
      <c r="Q56" s="587"/>
      <c r="R56" s="587"/>
      <c r="S56" s="607"/>
      <c r="T56" s="587"/>
      <c r="U56" s="587"/>
      <c r="V56" s="587"/>
      <c r="W56" s="587"/>
      <c r="X56" s="587"/>
      <c r="Y56" s="587"/>
      <c r="Z56" s="587"/>
      <c r="AA56" s="587"/>
      <c r="AB56" s="587"/>
      <c r="AC56" s="587"/>
      <c r="AD56" s="587"/>
      <c r="AE56" s="587"/>
      <c r="AF56" s="607"/>
      <c r="AG56" s="587"/>
      <c r="AH56" s="587"/>
      <c r="AI56" s="608"/>
      <c r="AJ56" s="587"/>
    </row>
    <row r="57" spans="1:36" ht="14" x14ac:dyDescent="0.3">
      <c r="A57" s="329">
        <f>IF(C57&lt;&gt;"",COUNTA($C$11:C57),"")</f>
        <v>42</v>
      </c>
      <c r="C57" s="330" t="str">
        <f>+'Bill_WMA 24'!C60</f>
        <v>Solar Massachusetts Renewable Target</v>
      </c>
      <c r="D57" s="339"/>
      <c r="E57" s="339"/>
      <c r="F57" s="277"/>
      <c r="G57" s="277">
        <v>0</v>
      </c>
      <c r="H57" s="277"/>
      <c r="I57" s="277">
        <v>6.7000000000000002E-4</v>
      </c>
      <c r="J57" s="354">
        <f t="shared" si="27"/>
        <v>6.7000000000000002E-4</v>
      </c>
      <c r="K57" s="339"/>
      <c r="L57" s="339"/>
      <c r="O57" s="587"/>
      <c r="P57" s="587"/>
      <c r="Q57" s="587"/>
      <c r="R57" s="587"/>
      <c r="S57" s="607"/>
      <c r="T57" s="587"/>
      <c r="U57" s="587"/>
      <c r="V57" s="587"/>
      <c r="W57" s="587"/>
      <c r="X57" s="587"/>
      <c r="Y57" s="587"/>
      <c r="Z57" s="587"/>
      <c r="AA57" s="587"/>
      <c r="AB57" s="587"/>
      <c r="AC57" s="587"/>
      <c r="AD57" s="587"/>
      <c r="AE57" s="587"/>
      <c r="AF57" s="607"/>
      <c r="AG57" s="587"/>
      <c r="AH57" s="587"/>
      <c r="AI57" s="608"/>
      <c r="AJ57" s="587"/>
    </row>
    <row r="58" spans="1:36" ht="14" x14ac:dyDescent="0.3">
      <c r="A58" s="329">
        <f>IF(C58&lt;&gt;"",COUNTA($C$11:C58),"")</f>
        <v>43</v>
      </c>
      <c r="C58" s="330" t="str">
        <f>+'Bill_WMA 24'!C61</f>
        <v>Tax Act Credit Factor</v>
      </c>
      <c r="D58" s="339"/>
      <c r="E58" s="339"/>
      <c r="F58" s="277"/>
      <c r="G58" s="277">
        <v>0</v>
      </c>
      <c r="H58" s="277"/>
      <c r="I58" s="277">
        <v>-1.01E-3</v>
      </c>
      <c r="J58" s="354">
        <f t="shared" si="27"/>
        <v>-1.01E-3</v>
      </c>
      <c r="K58" s="339"/>
      <c r="L58" s="339"/>
      <c r="O58" s="587"/>
      <c r="P58" s="587"/>
      <c r="Q58" s="587"/>
      <c r="R58" s="587"/>
      <c r="S58" s="607"/>
      <c r="T58" s="587"/>
      <c r="U58" s="587"/>
      <c r="V58" s="587"/>
      <c r="W58" s="587"/>
      <c r="X58" s="587"/>
      <c r="Y58" s="587"/>
      <c r="Z58" s="587"/>
      <c r="AA58" s="587"/>
      <c r="AB58" s="587"/>
      <c r="AC58" s="587"/>
      <c r="AD58" s="587"/>
      <c r="AE58" s="587"/>
      <c r="AF58" s="607"/>
      <c r="AG58" s="587"/>
      <c r="AH58" s="587"/>
      <c r="AI58" s="608"/>
      <c r="AJ58" s="587"/>
    </row>
    <row r="59" spans="1:36" ht="14" x14ac:dyDescent="0.3">
      <c r="A59" s="329">
        <f>IF(C59&lt;&gt;"",COUNTA($C$11:C59),"")</f>
        <v>44</v>
      </c>
      <c r="C59" s="330" t="str">
        <f>+'Bill_WMA 24'!C62</f>
        <v>Transition</v>
      </c>
      <c r="D59" s="274"/>
      <c r="G59" s="308">
        <v>-1.7099999999999999E-3</v>
      </c>
      <c r="H59" s="400"/>
      <c r="I59" s="277">
        <v>-5.1999999999999995E-4</v>
      </c>
      <c r="J59" s="354">
        <f t="shared" si="27"/>
        <v>1.1900000000000001E-3</v>
      </c>
      <c r="K59" s="559"/>
      <c r="L59" s="559"/>
      <c r="M59" s="559"/>
      <c r="N59" s="559"/>
      <c r="O59" s="587"/>
      <c r="P59" s="587"/>
      <c r="Q59" s="587"/>
      <c r="R59" s="587"/>
      <c r="S59" s="607"/>
      <c r="T59" s="587"/>
      <c r="U59" s="587"/>
      <c r="V59" s="587"/>
      <c r="W59" s="587"/>
      <c r="X59" s="587"/>
      <c r="Y59" s="587"/>
      <c r="Z59" s="587"/>
      <c r="AA59" s="587"/>
      <c r="AB59" s="587"/>
      <c r="AC59" s="587"/>
      <c r="AD59" s="587"/>
      <c r="AE59" s="587"/>
      <c r="AF59" s="607"/>
      <c r="AG59" s="587"/>
      <c r="AH59" s="587"/>
      <c r="AI59" s="608"/>
      <c r="AJ59" s="587"/>
    </row>
    <row r="60" spans="1:36" ht="14" x14ac:dyDescent="0.3">
      <c r="A60" s="329">
        <f>IF(C60&lt;&gt;"",COUNTA($C$11:C60),"")</f>
        <v>45</v>
      </c>
      <c r="C60" s="330" t="str">
        <f>+'Bill_WMA 24'!C63</f>
        <v>Transmission Energy</v>
      </c>
      <c r="D60" s="274"/>
      <c r="G60" s="308">
        <v>0</v>
      </c>
      <c r="H60" s="574"/>
      <c r="I60" s="404">
        <v>0</v>
      </c>
      <c r="J60" s="354">
        <f t="shared" si="27"/>
        <v>0</v>
      </c>
      <c r="K60" s="559"/>
      <c r="L60" s="559"/>
      <c r="M60" s="559"/>
      <c r="N60" s="559"/>
      <c r="O60" s="587"/>
      <c r="P60" s="587"/>
      <c r="Q60" s="587"/>
      <c r="R60" s="587"/>
      <c r="S60" s="607"/>
      <c r="T60" s="587"/>
      <c r="U60" s="587"/>
      <c r="V60" s="587"/>
      <c r="W60" s="587"/>
      <c r="X60" s="587"/>
      <c r="Y60" s="587"/>
      <c r="Z60" s="587"/>
      <c r="AA60" s="587"/>
      <c r="AB60" s="587"/>
      <c r="AC60" s="587"/>
      <c r="AD60" s="587"/>
      <c r="AE60" s="587"/>
      <c r="AF60" s="607"/>
      <c r="AG60" s="587"/>
      <c r="AH60" s="587"/>
      <c r="AI60" s="608"/>
      <c r="AJ60" s="587"/>
    </row>
    <row r="61" spans="1:36" ht="14" x14ac:dyDescent="0.3">
      <c r="A61" s="329">
        <f>IF(C61&lt;&gt;"",COUNTA($C$11:C61),"")</f>
        <v>46</v>
      </c>
      <c r="C61" s="330" t="str">
        <f>+'Bill_WMA 24'!C64</f>
        <v>Energy Efficiency Reconciliation Factor</v>
      </c>
      <c r="D61" s="274"/>
      <c r="G61" s="308">
        <v>9.7199999999999995E-3</v>
      </c>
      <c r="H61" s="574"/>
      <c r="I61" s="308">
        <v>9.7199999999999995E-3</v>
      </c>
      <c r="J61" s="354">
        <f t="shared" si="27"/>
        <v>0</v>
      </c>
      <c r="K61" s="559"/>
      <c r="L61" s="559"/>
      <c r="M61" s="559"/>
      <c r="N61" s="559"/>
      <c r="O61" s="587"/>
      <c r="P61" s="587"/>
      <c r="Q61" s="587"/>
      <c r="R61" s="587"/>
      <c r="S61" s="607"/>
      <c r="T61" s="587"/>
      <c r="U61" s="587"/>
      <c r="V61" s="587"/>
      <c r="W61" s="587"/>
      <c r="X61" s="587"/>
      <c r="Y61" s="587"/>
      <c r="Z61" s="587"/>
      <c r="AA61" s="587"/>
      <c r="AB61" s="587"/>
      <c r="AC61" s="587"/>
      <c r="AD61" s="587"/>
      <c r="AE61" s="587"/>
      <c r="AF61" s="607"/>
      <c r="AG61" s="587"/>
      <c r="AH61" s="587"/>
      <c r="AI61" s="608"/>
      <c r="AJ61" s="587"/>
    </row>
    <row r="62" spans="1:36" ht="14" x14ac:dyDescent="0.3">
      <c r="A62" s="329">
        <f>IF(C62&lt;&gt;"",COUNTA($C$11:C62),"")</f>
        <v>47</v>
      </c>
      <c r="C62" s="330" t="str">
        <f>+'Bill_WMA 24'!C65</f>
        <v>System Benefits Charge</v>
      </c>
      <c r="D62" s="274"/>
      <c r="G62" s="308">
        <v>2.5000000000000001E-3</v>
      </c>
      <c r="H62" s="574"/>
      <c r="I62" s="308">
        <f>G62</f>
        <v>2.5000000000000001E-3</v>
      </c>
      <c r="J62" s="354">
        <f t="shared" si="27"/>
        <v>0</v>
      </c>
      <c r="K62" s="559"/>
      <c r="L62" s="559"/>
      <c r="M62" s="559"/>
      <c r="N62" s="559"/>
      <c r="O62" s="587"/>
      <c r="P62" s="587"/>
      <c r="Q62" s="587"/>
      <c r="R62" s="587"/>
      <c r="S62" s="607"/>
      <c r="T62" s="587"/>
      <c r="U62" s="587"/>
      <c r="V62" s="587"/>
      <c r="W62" s="587"/>
      <c r="X62" s="587"/>
      <c r="Y62" s="587"/>
      <c r="Z62" s="587"/>
      <c r="AA62" s="587"/>
      <c r="AB62" s="587"/>
      <c r="AC62" s="587"/>
      <c r="AD62" s="587"/>
      <c r="AE62" s="587"/>
      <c r="AF62" s="607"/>
      <c r="AG62" s="587"/>
      <c r="AH62" s="587"/>
      <c r="AI62" s="608"/>
      <c r="AJ62" s="587"/>
    </row>
    <row r="63" spans="1:36" ht="14" x14ac:dyDescent="0.3">
      <c r="A63" s="329">
        <f>IF(C63&lt;&gt;"",COUNTA($C$11:C63),"")</f>
        <v>48</v>
      </c>
      <c r="C63" s="330" t="str">
        <f>+'Bill_WMA 24'!C66</f>
        <v>Renewable Energy Charge</v>
      </c>
      <c r="D63" s="274"/>
      <c r="G63" s="308">
        <v>5.0000000000000001E-4</v>
      </c>
      <c r="H63" s="574"/>
      <c r="I63" s="308">
        <f>G63</f>
        <v>5.0000000000000001E-4</v>
      </c>
      <c r="J63" s="354">
        <f t="shared" si="27"/>
        <v>0</v>
      </c>
      <c r="K63" s="559"/>
      <c r="L63" s="559"/>
      <c r="M63" s="559"/>
      <c r="N63" s="559"/>
    </row>
    <row r="64" spans="1:36" ht="14" x14ac:dyDescent="0.3">
      <c r="A64" s="329">
        <f>IF(C64&lt;&gt;"",COUNTA($C$11:C64),"")</f>
        <v>49</v>
      </c>
      <c r="C64" s="330" t="str">
        <f>+'Bill_WMA 24'!C67</f>
        <v>Basic Service Charge</v>
      </c>
      <c r="D64" s="587"/>
      <c r="G64" s="308">
        <v>0.10859000000000001</v>
      </c>
      <c r="H64" s="574"/>
      <c r="I64" s="308">
        <v>0.12354999999999999</v>
      </c>
      <c r="J64" s="354">
        <f t="shared" si="27"/>
        <v>1.4959999999999987E-2</v>
      </c>
      <c r="K64" s="559"/>
      <c r="L64" s="559"/>
      <c r="M64" s="559"/>
      <c r="N64" s="559"/>
    </row>
    <row r="65" spans="1:17" ht="14" x14ac:dyDescent="0.3">
      <c r="A65" s="593"/>
      <c r="B65" s="593"/>
      <c r="C65" s="587"/>
      <c r="D65" s="587"/>
      <c r="E65" s="587"/>
      <c r="F65" s="587"/>
      <c r="G65" s="609"/>
      <c r="H65" s="609"/>
      <c r="I65" s="609"/>
      <c r="J65" s="609"/>
      <c r="K65" s="587"/>
      <c r="L65" s="587"/>
      <c r="M65" s="587"/>
      <c r="N65" s="587"/>
    </row>
    <row r="66" spans="1:17" ht="14" x14ac:dyDescent="0.3">
      <c r="A66" s="593"/>
      <c r="B66" s="593"/>
      <c r="C66" s="587"/>
      <c r="D66" s="587"/>
      <c r="E66" s="587"/>
      <c r="F66" s="587"/>
      <c r="G66" s="609"/>
      <c r="H66" s="609"/>
      <c r="I66" s="609"/>
      <c r="J66" s="609"/>
      <c r="K66" s="587"/>
      <c r="L66" s="587"/>
      <c r="M66" s="587"/>
      <c r="N66" s="587"/>
    </row>
    <row r="67" spans="1:17" ht="14" x14ac:dyDescent="0.3">
      <c r="A67" s="593"/>
      <c r="B67" s="593"/>
      <c r="C67" s="610" t="str">
        <f>+'Bill_WMA 24'!C70</f>
        <v>Total Demand &gt;2kW</v>
      </c>
      <c r="D67" s="587"/>
      <c r="E67" s="587"/>
      <c r="F67" s="587"/>
      <c r="G67" s="600">
        <f>+G42+G43</f>
        <v>16.549999999999997</v>
      </c>
      <c r="H67" s="609"/>
      <c r="I67" s="600">
        <f>+I42+I43</f>
        <v>16.560000000000002</v>
      </c>
      <c r="J67" s="421">
        <f t="shared" ref="J67:J69" si="28">+I67-G67</f>
        <v>1.0000000000005116E-2</v>
      </c>
      <c r="K67" s="587"/>
      <c r="L67" s="587"/>
      <c r="M67" s="587"/>
      <c r="N67" s="587"/>
    </row>
    <row r="68" spans="1:17" ht="14" x14ac:dyDescent="0.3">
      <c r="A68" s="593"/>
      <c r="B68" s="593"/>
      <c r="C68" s="610" t="str">
        <f>+'Bill_WMA 24'!C71</f>
        <v>Total Energy</v>
      </c>
      <c r="D68" s="611"/>
      <c r="E68" s="587"/>
      <c r="F68" s="611"/>
      <c r="G68" s="609">
        <f>SUM(G44:G63)</f>
        <v>3.4869999999999998E-2</v>
      </c>
      <c r="H68" s="609"/>
      <c r="I68" s="609">
        <f>SUM(I44:I63)</f>
        <v>2.8409999999999998E-2</v>
      </c>
      <c r="J68" s="354">
        <f t="shared" si="28"/>
        <v>-6.4600000000000005E-3</v>
      </c>
      <c r="K68" s="587"/>
      <c r="L68" s="587"/>
      <c r="M68" s="587"/>
      <c r="N68" s="587"/>
    </row>
    <row r="69" spans="1:17" ht="14" x14ac:dyDescent="0.3">
      <c r="A69" s="593"/>
      <c r="B69" s="593"/>
      <c r="C69" s="610" t="str">
        <f>+'Bill_WMA 24'!C72</f>
        <v>Total Basic Service</v>
      </c>
      <c r="D69" s="611"/>
      <c r="E69" s="587"/>
      <c r="F69" s="611"/>
      <c r="G69" s="609">
        <f>+G64</f>
        <v>0.10859000000000001</v>
      </c>
      <c r="H69" s="609"/>
      <c r="I69" s="609">
        <f>+I64</f>
        <v>0.12354999999999999</v>
      </c>
      <c r="J69" s="354">
        <f t="shared" si="28"/>
        <v>1.4959999999999987E-2</v>
      </c>
      <c r="K69" s="587"/>
      <c r="L69" s="587"/>
      <c r="M69" s="587"/>
      <c r="N69" s="587"/>
    </row>
    <row r="70" spans="1:17" ht="14" x14ac:dyDescent="0.3">
      <c r="A70" s="593"/>
      <c r="B70" s="593"/>
      <c r="C70" s="587"/>
      <c r="D70" s="587"/>
      <c r="E70" s="587"/>
      <c r="F70" s="587"/>
      <c r="G70" s="609"/>
      <c r="H70" s="609"/>
      <c r="I70" s="609"/>
      <c r="J70" s="609"/>
      <c r="K70" s="587"/>
      <c r="L70" s="587"/>
      <c r="M70" s="587"/>
      <c r="N70" s="587"/>
    </row>
    <row r="71" spans="1:17" ht="14" x14ac:dyDescent="0.3">
      <c r="A71" s="593"/>
      <c r="B71" s="593"/>
      <c r="C71" s="587"/>
      <c r="D71" s="587"/>
      <c r="E71" s="587"/>
      <c r="F71" s="587"/>
      <c r="G71" s="609"/>
      <c r="H71" s="609"/>
      <c r="I71" s="609"/>
      <c r="J71" s="609"/>
      <c r="K71" s="587"/>
      <c r="L71" s="587"/>
      <c r="M71" s="587"/>
      <c r="N71" s="587"/>
    </row>
    <row r="72" spans="1:17" ht="14" x14ac:dyDescent="0.3">
      <c r="A72" s="593"/>
      <c r="B72" s="593"/>
      <c r="C72" s="587"/>
      <c r="D72" s="587"/>
      <c r="E72" s="587"/>
      <c r="F72" s="587"/>
      <c r="G72" s="609"/>
      <c r="H72" s="609"/>
      <c r="I72" s="609"/>
      <c r="J72" s="609"/>
      <c r="K72" s="587"/>
      <c r="L72" s="587"/>
      <c r="M72" s="587"/>
      <c r="N72" s="587"/>
    </row>
    <row r="73" spans="1:17" ht="14" x14ac:dyDescent="0.3">
      <c r="A73" s="593"/>
      <c r="B73" s="593"/>
      <c r="C73" s="587"/>
      <c r="D73" s="587"/>
      <c r="E73" s="587"/>
      <c r="F73" s="587"/>
      <c r="G73" s="609"/>
      <c r="H73" s="609"/>
      <c r="I73" s="609"/>
      <c r="J73" s="609"/>
      <c r="K73" s="587"/>
      <c r="L73" s="587"/>
      <c r="M73" s="587"/>
      <c r="N73" s="587"/>
    </row>
    <row r="74" spans="1:17" ht="14" x14ac:dyDescent="0.3">
      <c r="A74" s="593"/>
      <c r="B74" s="593"/>
      <c r="C74" s="587"/>
      <c r="D74" s="587"/>
      <c r="E74" s="587"/>
      <c r="F74" s="587"/>
      <c r="G74" s="609"/>
      <c r="H74" s="609"/>
      <c r="I74" s="609"/>
      <c r="J74" s="609"/>
      <c r="K74" s="587"/>
      <c r="L74" s="587"/>
      <c r="M74" s="587"/>
      <c r="N74" s="587"/>
    </row>
    <row r="75" spans="1:17" ht="14" x14ac:dyDescent="0.3">
      <c r="A75" s="593"/>
      <c r="B75" s="593"/>
      <c r="C75" s="587"/>
      <c r="D75" s="587"/>
      <c r="E75" s="587"/>
      <c r="F75" s="587"/>
      <c r="G75" s="609"/>
      <c r="H75" s="609"/>
      <c r="I75" s="609"/>
      <c r="J75" s="609"/>
      <c r="K75" s="587"/>
      <c r="L75" s="587"/>
      <c r="M75" s="587"/>
      <c r="N75" s="587"/>
    </row>
    <row r="76" spans="1:17" ht="14" x14ac:dyDescent="0.3">
      <c r="A76" s="593"/>
      <c r="B76" s="593"/>
      <c r="C76" s="587"/>
      <c r="D76" s="587"/>
      <c r="E76" s="587"/>
      <c r="F76" s="587"/>
      <c r="G76" s="609"/>
      <c r="H76" s="609"/>
      <c r="I76" s="609"/>
      <c r="J76" s="609"/>
      <c r="K76" s="587"/>
      <c r="L76" s="587"/>
      <c r="M76" s="587"/>
      <c r="N76" s="587"/>
    </row>
    <row r="77" spans="1:17" ht="14" x14ac:dyDescent="0.3">
      <c r="A77" s="593"/>
      <c r="B77" s="593"/>
      <c r="C77" s="587"/>
      <c r="D77" s="587"/>
      <c r="E77" s="587"/>
      <c r="F77" s="587"/>
      <c r="G77" s="588"/>
      <c r="H77" s="587"/>
      <c r="I77" s="587"/>
      <c r="J77" s="587"/>
      <c r="K77" s="587"/>
      <c r="L77" s="587"/>
      <c r="M77" s="587"/>
      <c r="N77" s="587"/>
    </row>
    <row r="78" spans="1:17" ht="14" x14ac:dyDescent="0.3">
      <c r="A78" s="593"/>
      <c r="B78" s="593"/>
      <c r="C78" s="587"/>
      <c r="D78" s="587"/>
      <c r="E78" s="587"/>
      <c r="F78" s="587"/>
      <c r="G78" s="588"/>
      <c r="H78" s="587"/>
      <c r="I78" s="587"/>
      <c r="J78" s="587"/>
      <c r="K78" s="587"/>
      <c r="L78" s="587"/>
      <c r="M78" s="587"/>
      <c r="N78" s="587"/>
    </row>
    <row r="79" spans="1:17" ht="14" x14ac:dyDescent="0.3">
      <c r="A79" s="593"/>
      <c r="B79" s="593"/>
      <c r="C79" s="587"/>
      <c r="D79" s="587"/>
      <c r="E79" s="587"/>
      <c r="F79" s="587"/>
      <c r="G79" s="612"/>
      <c r="H79" s="587"/>
      <c r="I79" s="587"/>
      <c r="J79" s="587"/>
      <c r="K79" s="587"/>
      <c r="L79" s="587"/>
      <c r="M79" s="587"/>
      <c r="N79" s="587"/>
      <c r="O79" s="587"/>
      <c r="P79" s="587"/>
      <c r="Q79" s="587"/>
    </row>
    <row r="80" spans="1:17" ht="14" x14ac:dyDescent="0.3">
      <c r="A80" s="593"/>
      <c r="B80" s="593"/>
      <c r="C80" s="587"/>
      <c r="D80" s="587"/>
      <c r="E80" s="587"/>
      <c r="F80" s="587"/>
      <c r="G80" s="588"/>
      <c r="H80" s="587"/>
      <c r="I80" s="587"/>
      <c r="J80" s="587"/>
      <c r="K80" s="587"/>
      <c r="L80" s="587"/>
      <c r="M80" s="587"/>
      <c r="N80" s="587"/>
      <c r="O80" s="587"/>
      <c r="P80" s="587"/>
      <c r="Q80" s="587"/>
    </row>
    <row r="81" spans="1:19" ht="14" x14ac:dyDescent="0.3">
      <c r="A81" s="593"/>
      <c r="B81" s="593"/>
      <c r="C81" s="587"/>
      <c r="D81" s="587"/>
      <c r="E81" s="587"/>
      <c r="F81" s="587"/>
      <c r="G81" s="588"/>
      <c r="H81" s="587"/>
      <c r="I81" s="587"/>
      <c r="J81" s="587"/>
      <c r="K81" s="587"/>
      <c r="L81" s="587"/>
      <c r="M81" s="587"/>
      <c r="N81" s="587"/>
      <c r="O81" s="587"/>
      <c r="P81" s="587"/>
      <c r="Q81" s="587"/>
    </row>
    <row r="82" spans="1:19" ht="14" x14ac:dyDescent="0.3">
      <c r="A82" s="593"/>
      <c r="B82" s="593"/>
      <c r="C82" s="587"/>
      <c r="D82" s="587"/>
      <c r="E82" s="587"/>
      <c r="F82" s="587"/>
      <c r="G82" s="588"/>
      <c r="H82" s="587"/>
      <c r="I82" s="587"/>
      <c r="J82" s="587"/>
      <c r="K82" s="587"/>
      <c r="L82" s="587"/>
      <c r="M82" s="587"/>
      <c r="N82" s="587"/>
      <c r="O82" s="587"/>
      <c r="P82" s="587"/>
      <c r="Q82" s="587"/>
    </row>
    <row r="83" spans="1:19" ht="14" x14ac:dyDescent="0.3">
      <c r="A83" s="593"/>
      <c r="B83" s="593"/>
      <c r="C83" s="611"/>
      <c r="D83" s="599"/>
      <c r="E83" s="600"/>
      <c r="F83" s="601"/>
      <c r="G83" s="588"/>
      <c r="H83" s="601"/>
      <c r="I83" s="601"/>
      <c r="J83" s="587"/>
      <c r="K83" s="587"/>
      <c r="L83" s="587"/>
      <c r="M83" s="587"/>
      <c r="N83" s="587"/>
      <c r="O83" s="587"/>
      <c r="P83" s="587"/>
      <c r="Q83" s="587"/>
    </row>
    <row r="84" spans="1:19" ht="14" x14ac:dyDescent="0.3">
      <c r="A84" s="593"/>
      <c r="B84" s="593"/>
      <c r="C84" s="611"/>
      <c r="D84" s="599"/>
      <c r="E84" s="601"/>
      <c r="F84" s="601"/>
      <c r="G84" s="613"/>
      <c r="H84" s="601"/>
      <c r="I84" s="601"/>
      <c r="J84" s="587"/>
      <c r="K84" s="587"/>
      <c r="L84" s="587"/>
      <c r="M84" s="587"/>
      <c r="N84" s="587"/>
      <c r="O84" s="587"/>
      <c r="P84" s="587"/>
      <c r="Q84" s="587"/>
    </row>
    <row r="85" spans="1:19" ht="14" x14ac:dyDescent="0.3">
      <c r="A85" s="593"/>
      <c r="B85" s="593"/>
      <c r="C85" s="611"/>
      <c r="D85" s="599"/>
      <c r="E85" s="601"/>
      <c r="F85" s="601"/>
      <c r="G85" s="613"/>
      <c r="H85" s="601"/>
      <c r="I85" s="601"/>
      <c r="J85" s="587"/>
      <c r="K85" s="587"/>
      <c r="L85" s="587"/>
      <c r="M85" s="587"/>
      <c r="N85" s="587"/>
      <c r="O85" s="587"/>
      <c r="P85" s="587"/>
      <c r="Q85" s="587"/>
    </row>
    <row r="86" spans="1:19" ht="14" x14ac:dyDescent="0.3">
      <c r="A86" s="593"/>
      <c r="B86" s="593"/>
      <c r="C86" s="611"/>
      <c r="D86" s="599"/>
      <c r="E86" s="601"/>
      <c r="F86" s="601"/>
      <c r="G86" s="588"/>
      <c r="H86" s="601"/>
      <c r="I86" s="601"/>
      <c r="J86" s="587"/>
      <c r="K86" s="587"/>
      <c r="L86" s="587"/>
      <c r="M86" s="587"/>
      <c r="N86" s="587"/>
      <c r="O86" s="587"/>
      <c r="P86" s="587"/>
      <c r="Q86" s="587"/>
    </row>
    <row r="87" spans="1:19" ht="14" x14ac:dyDescent="0.3">
      <c r="A87" s="593"/>
      <c r="B87" s="593"/>
      <c r="C87" s="587"/>
      <c r="D87" s="587"/>
      <c r="E87" s="601"/>
      <c r="F87" s="601"/>
      <c r="H87" s="601"/>
      <c r="I87" s="601"/>
      <c r="J87" s="587"/>
      <c r="K87" s="587"/>
      <c r="L87" s="587"/>
      <c r="M87" s="587"/>
      <c r="N87" s="587"/>
      <c r="O87" s="587"/>
      <c r="P87" s="587"/>
      <c r="Q87" s="587"/>
    </row>
    <row r="88" spans="1:19" ht="14" x14ac:dyDescent="0.3">
      <c r="A88" s="593"/>
      <c r="B88" s="593"/>
      <c r="C88" s="611"/>
      <c r="D88" s="599"/>
      <c r="E88" s="601"/>
      <c r="F88" s="601"/>
      <c r="G88" s="588"/>
      <c r="H88" s="601"/>
      <c r="I88" s="601"/>
      <c r="J88" s="587"/>
      <c r="K88" s="587"/>
      <c r="L88" s="587"/>
      <c r="M88" s="587"/>
      <c r="N88" s="587"/>
      <c r="O88" s="587"/>
      <c r="P88" s="587"/>
      <c r="Q88" s="587"/>
    </row>
    <row r="89" spans="1:19" ht="14" x14ac:dyDescent="0.3">
      <c r="A89" s="593"/>
      <c r="B89" s="593"/>
      <c r="C89" s="611"/>
      <c r="D89" s="599"/>
      <c r="E89" s="601"/>
      <c r="F89" s="601"/>
      <c r="G89" s="588"/>
      <c r="H89" s="601"/>
      <c r="I89" s="601"/>
      <c r="J89" s="587"/>
      <c r="K89" s="587"/>
      <c r="L89" s="587"/>
      <c r="M89" s="587"/>
      <c r="N89" s="611"/>
      <c r="O89" s="587"/>
      <c r="P89" s="587"/>
      <c r="Q89" s="587"/>
    </row>
    <row r="90" spans="1:19" ht="14" x14ac:dyDescent="0.3">
      <c r="A90" s="593"/>
      <c r="B90" s="593"/>
      <c r="C90" s="611"/>
      <c r="D90" s="599"/>
      <c r="E90" s="601"/>
      <c r="F90" s="601"/>
      <c r="G90" s="588"/>
      <c r="H90" s="601"/>
      <c r="I90" s="601"/>
      <c r="J90" s="587"/>
      <c r="K90" s="587"/>
      <c r="L90" s="587"/>
      <c r="M90" s="587"/>
      <c r="N90" s="611"/>
      <c r="O90" s="587"/>
      <c r="P90" s="587"/>
      <c r="Q90" s="587"/>
    </row>
    <row r="91" spans="1:19" ht="14" x14ac:dyDescent="0.3">
      <c r="A91" s="593"/>
      <c r="B91" s="593"/>
      <c r="C91" s="611"/>
      <c r="D91" s="599"/>
      <c r="E91" s="601"/>
      <c r="F91" s="601"/>
      <c r="G91" s="588"/>
      <c r="H91" s="601"/>
      <c r="I91" s="601"/>
      <c r="J91" s="587"/>
      <c r="K91" s="587"/>
      <c r="L91" s="587"/>
      <c r="M91" s="587"/>
      <c r="N91" s="611"/>
      <c r="O91" s="587"/>
      <c r="P91" s="587"/>
      <c r="Q91" s="587"/>
    </row>
    <row r="92" spans="1:19" ht="14" x14ac:dyDescent="0.3">
      <c r="A92" s="593"/>
      <c r="B92" s="593"/>
      <c r="C92" s="587"/>
      <c r="D92" s="587"/>
      <c r="E92" s="601"/>
      <c r="F92" s="587"/>
      <c r="G92" s="588"/>
      <c r="H92" s="587"/>
      <c r="I92" s="587"/>
      <c r="J92" s="587"/>
      <c r="K92" s="587"/>
      <c r="L92" s="587"/>
      <c r="M92" s="587"/>
      <c r="N92" s="587"/>
      <c r="O92" s="587"/>
      <c r="P92" s="587"/>
      <c r="Q92" s="587"/>
    </row>
    <row r="93" spans="1:19" ht="14" x14ac:dyDescent="0.3">
      <c r="A93" s="593"/>
      <c r="B93" s="593"/>
      <c r="C93" s="611"/>
      <c r="D93" s="599"/>
      <c r="E93" s="601"/>
      <c r="F93" s="601"/>
      <c r="G93" s="588"/>
      <c r="H93" s="601"/>
      <c r="I93" s="601"/>
      <c r="J93" s="587"/>
      <c r="K93" s="587"/>
      <c r="L93" s="587"/>
      <c r="M93" s="587"/>
      <c r="N93" s="614"/>
      <c r="O93" s="587"/>
      <c r="P93" s="587"/>
      <c r="Q93" s="587"/>
    </row>
    <row r="94" spans="1:19" ht="14" x14ac:dyDescent="0.3">
      <c r="A94" s="593"/>
      <c r="B94" s="593"/>
      <c r="C94" s="611"/>
      <c r="D94" s="599"/>
      <c r="E94" s="601"/>
      <c r="F94" s="601"/>
      <c r="G94" s="588"/>
      <c r="H94" s="601"/>
      <c r="I94" s="601"/>
      <c r="J94" s="587"/>
      <c r="K94" s="587"/>
      <c r="L94" s="587"/>
      <c r="M94" s="587"/>
      <c r="N94" s="614"/>
      <c r="O94" s="587"/>
      <c r="P94" s="587"/>
      <c r="Q94" s="587"/>
    </row>
    <row r="95" spans="1:19" ht="14" x14ac:dyDescent="0.3">
      <c r="A95" s="593"/>
      <c r="B95" s="593"/>
      <c r="C95" s="611"/>
      <c r="D95" s="599"/>
      <c r="E95" s="601"/>
      <c r="F95" s="601"/>
      <c r="G95" s="588"/>
      <c r="H95" s="601"/>
      <c r="I95" s="601"/>
      <c r="J95" s="587"/>
      <c r="K95" s="587"/>
      <c r="L95" s="587"/>
      <c r="M95" s="587"/>
      <c r="N95" s="614"/>
      <c r="O95" s="587"/>
      <c r="P95" s="587"/>
      <c r="Q95" s="587"/>
      <c r="R95" s="587"/>
      <c r="S95" s="587"/>
    </row>
    <row r="96" spans="1:19" ht="14" x14ac:dyDescent="0.3">
      <c r="A96" s="593"/>
      <c r="B96" s="593"/>
      <c r="C96" s="611"/>
      <c r="D96" s="599"/>
      <c r="E96" s="601"/>
      <c r="F96" s="601"/>
      <c r="G96" s="588"/>
      <c r="H96" s="601"/>
      <c r="I96" s="601"/>
      <c r="J96" s="587"/>
      <c r="K96" s="587"/>
      <c r="L96" s="587"/>
      <c r="M96" s="587"/>
      <c r="N96" s="587"/>
      <c r="O96" s="587"/>
      <c r="P96" s="587"/>
      <c r="Q96" s="587"/>
      <c r="R96" s="587"/>
      <c r="S96" s="587"/>
    </row>
    <row r="97" spans="1:19" ht="14" x14ac:dyDescent="0.3">
      <c r="A97" s="593"/>
      <c r="B97" s="593"/>
      <c r="C97" s="587"/>
      <c r="D97" s="587"/>
      <c r="E97" s="601"/>
      <c r="F97" s="587"/>
      <c r="G97" s="588"/>
      <c r="H97" s="587"/>
      <c r="I97" s="587"/>
      <c r="J97" s="587"/>
      <c r="K97" s="587"/>
      <c r="L97" s="587"/>
      <c r="M97" s="587"/>
      <c r="N97" s="614"/>
      <c r="O97" s="587"/>
      <c r="P97" s="587"/>
      <c r="Q97" s="587"/>
      <c r="R97" s="587"/>
      <c r="S97" s="587"/>
    </row>
    <row r="98" spans="1:19" ht="14" x14ac:dyDescent="0.3">
      <c r="A98" s="593"/>
      <c r="B98" s="593"/>
      <c r="C98" s="611"/>
      <c r="D98" s="599"/>
      <c r="E98" s="601"/>
      <c r="F98" s="601"/>
      <c r="G98" s="588"/>
      <c r="H98" s="601"/>
      <c r="I98" s="601"/>
      <c r="J98" s="587"/>
      <c r="K98" s="587"/>
      <c r="L98" s="587"/>
      <c r="M98" s="587"/>
      <c r="N98" s="614"/>
      <c r="O98" s="587"/>
      <c r="P98" s="587"/>
      <c r="Q98" s="587"/>
      <c r="R98" s="587"/>
      <c r="S98" s="587"/>
    </row>
    <row r="99" spans="1:19" ht="14" x14ac:dyDescent="0.3">
      <c r="A99" s="593"/>
      <c r="B99" s="593"/>
      <c r="C99" s="611"/>
      <c r="D99" s="599"/>
      <c r="E99" s="601"/>
      <c r="F99" s="601"/>
      <c r="G99" s="588"/>
      <c r="H99" s="601"/>
      <c r="I99" s="601"/>
      <c r="J99" s="587"/>
      <c r="K99" s="587"/>
      <c r="L99" s="587"/>
      <c r="M99" s="587"/>
      <c r="N99" s="614"/>
      <c r="O99" s="615"/>
      <c r="P99" s="587"/>
      <c r="Q99" s="587"/>
      <c r="R99" s="587"/>
      <c r="S99" s="587"/>
    </row>
    <row r="100" spans="1:19" ht="14" x14ac:dyDescent="0.3">
      <c r="A100" s="593"/>
      <c r="B100" s="593"/>
      <c r="C100" s="611"/>
      <c r="D100" s="599"/>
      <c r="E100" s="601"/>
      <c r="F100" s="601"/>
      <c r="G100" s="588"/>
      <c r="H100" s="601"/>
      <c r="I100" s="601"/>
      <c r="J100" s="587"/>
      <c r="K100" s="587"/>
      <c r="L100" s="587"/>
      <c r="M100" s="587"/>
      <c r="N100" s="587"/>
      <c r="O100" s="610"/>
      <c r="P100" s="601"/>
      <c r="Q100" s="601"/>
      <c r="R100" s="601"/>
      <c r="S100" s="601"/>
    </row>
    <row r="101" spans="1:19" ht="14" x14ac:dyDescent="0.3">
      <c r="A101" s="593"/>
      <c r="B101" s="593"/>
      <c r="C101" s="611"/>
      <c r="D101" s="599"/>
      <c r="E101" s="601"/>
      <c r="F101" s="601"/>
      <c r="G101" s="588"/>
      <c r="H101" s="601"/>
      <c r="I101" s="601"/>
      <c r="J101" s="587"/>
      <c r="K101" s="587"/>
      <c r="L101" s="587"/>
      <c r="M101" s="587"/>
      <c r="N101" s="614"/>
      <c r="O101" s="610"/>
      <c r="P101" s="601"/>
      <c r="Q101" s="601"/>
      <c r="R101" s="601"/>
      <c r="S101" s="601"/>
    </row>
    <row r="102" spans="1:19" ht="14" x14ac:dyDescent="0.3">
      <c r="A102" s="593"/>
      <c r="B102" s="593"/>
      <c r="C102" s="587"/>
      <c r="D102" s="587"/>
      <c r="E102" s="601"/>
      <c r="F102" s="587"/>
      <c r="G102" s="588"/>
      <c r="H102" s="587"/>
      <c r="I102" s="587"/>
      <c r="J102" s="587"/>
      <c r="K102" s="587"/>
      <c r="L102" s="587"/>
      <c r="M102" s="587"/>
      <c r="N102" s="614"/>
      <c r="O102" s="610"/>
      <c r="P102" s="601"/>
      <c r="Q102" s="601"/>
      <c r="R102" s="601"/>
      <c r="S102" s="601"/>
    </row>
    <row r="103" spans="1:19" ht="14" x14ac:dyDescent="0.3">
      <c r="A103" s="593"/>
      <c r="B103" s="593"/>
      <c r="C103" s="611"/>
      <c r="D103" s="599"/>
      <c r="E103" s="601"/>
      <c r="F103" s="601"/>
      <c r="G103" s="588"/>
      <c r="H103" s="601"/>
      <c r="I103" s="601"/>
      <c r="J103" s="587"/>
      <c r="K103" s="587"/>
      <c r="L103" s="587"/>
      <c r="M103" s="587"/>
      <c r="N103" s="614"/>
      <c r="O103" s="610"/>
      <c r="P103" s="601"/>
      <c r="Q103" s="601"/>
      <c r="R103" s="601"/>
      <c r="S103" s="601"/>
    </row>
    <row r="104" spans="1:19" ht="14" x14ac:dyDescent="0.3">
      <c r="A104" s="593"/>
      <c r="B104" s="593"/>
      <c r="C104" s="611"/>
      <c r="D104" s="599"/>
      <c r="E104" s="601"/>
      <c r="F104" s="601"/>
      <c r="G104" s="588"/>
      <c r="H104" s="601"/>
      <c r="I104" s="601"/>
      <c r="J104" s="587"/>
      <c r="K104" s="587"/>
      <c r="L104" s="587"/>
      <c r="M104" s="587"/>
      <c r="N104" s="587"/>
      <c r="O104" s="610"/>
      <c r="P104" s="601"/>
      <c r="Q104" s="601"/>
      <c r="R104" s="601"/>
      <c r="S104" s="601"/>
    </row>
    <row r="105" spans="1:19" ht="14" x14ac:dyDescent="0.3">
      <c r="A105" s="593"/>
      <c r="B105" s="593"/>
      <c r="C105" s="611"/>
      <c r="D105" s="599"/>
      <c r="E105" s="601"/>
      <c r="F105" s="601"/>
      <c r="G105" s="588"/>
      <c r="H105" s="601"/>
      <c r="I105" s="601"/>
      <c r="J105" s="587"/>
      <c r="K105" s="587"/>
      <c r="L105" s="587"/>
      <c r="M105" s="587"/>
      <c r="N105" s="614"/>
      <c r="O105" s="610"/>
      <c r="P105" s="601"/>
      <c r="Q105" s="601"/>
      <c r="R105" s="601"/>
      <c r="S105" s="601"/>
    </row>
    <row r="106" spans="1:19" ht="14" x14ac:dyDescent="0.3">
      <c r="A106" s="593"/>
      <c r="B106" s="593"/>
      <c r="C106" s="611"/>
      <c r="D106" s="599"/>
      <c r="E106" s="601"/>
      <c r="F106" s="601"/>
      <c r="G106" s="588"/>
      <c r="H106" s="601"/>
      <c r="I106" s="601"/>
      <c r="J106" s="587"/>
      <c r="K106" s="587"/>
      <c r="L106" s="587"/>
      <c r="M106" s="587"/>
      <c r="N106" s="614"/>
      <c r="O106" s="610"/>
      <c r="P106" s="601"/>
      <c r="Q106" s="601"/>
      <c r="R106" s="601"/>
      <c r="S106" s="601"/>
    </row>
    <row r="107" spans="1:19" ht="14" x14ac:dyDescent="0.3">
      <c r="A107" s="593"/>
      <c r="B107" s="593"/>
      <c r="C107" s="587"/>
      <c r="D107" s="587"/>
      <c r="E107" s="601"/>
      <c r="F107" s="587"/>
      <c r="G107" s="588"/>
      <c r="H107" s="587"/>
      <c r="I107" s="587"/>
      <c r="J107" s="587"/>
      <c r="K107" s="587"/>
      <c r="L107" s="587"/>
      <c r="M107" s="587"/>
      <c r="N107" s="614"/>
      <c r="O107" s="610"/>
      <c r="P107" s="601"/>
      <c r="Q107" s="601"/>
      <c r="R107" s="601"/>
      <c r="S107" s="601"/>
    </row>
    <row r="108" spans="1:19" ht="14" x14ac:dyDescent="0.3">
      <c r="A108" s="593"/>
      <c r="B108" s="593"/>
      <c r="C108" s="587"/>
      <c r="D108" s="599"/>
      <c r="E108" s="601"/>
      <c r="F108" s="601"/>
      <c r="G108" s="588"/>
      <c r="H108" s="601"/>
      <c r="I108" s="601"/>
      <c r="J108" s="587"/>
      <c r="K108" s="587"/>
      <c r="L108" s="587"/>
      <c r="M108" s="587"/>
      <c r="N108" s="587"/>
      <c r="O108" s="610"/>
      <c r="P108" s="601"/>
      <c r="Q108" s="601"/>
      <c r="R108" s="601"/>
      <c r="S108" s="601"/>
    </row>
    <row r="109" spans="1:19" ht="14" x14ac:dyDescent="0.3">
      <c r="A109" s="593"/>
      <c r="B109" s="593"/>
      <c r="C109" s="587"/>
      <c r="D109" s="599"/>
      <c r="E109" s="601"/>
      <c r="F109" s="601"/>
      <c r="G109" s="588"/>
      <c r="H109" s="601"/>
      <c r="I109" s="601"/>
      <c r="J109" s="587"/>
      <c r="K109" s="587"/>
      <c r="L109" s="587"/>
      <c r="M109" s="587"/>
      <c r="N109" s="614"/>
      <c r="O109" s="610"/>
      <c r="P109" s="601"/>
      <c r="Q109" s="601"/>
      <c r="R109" s="601"/>
      <c r="S109" s="601"/>
    </row>
    <row r="110" spans="1:19" ht="14" x14ac:dyDescent="0.3">
      <c r="A110" s="593"/>
      <c r="B110" s="593"/>
      <c r="C110" s="587"/>
      <c r="D110" s="599"/>
      <c r="E110" s="601"/>
      <c r="F110" s="601"/>
      <c r="G110" s="588"/>
      <c r="H110" s="601"/>
      <c r="I110" s="601"/>
      <c r="J110" s="587"/>
      <c r="K110" s="587"/>
      <c r="L110" s="587"/>
      <c r="M110" s="593"/>
      <c r="N110" s="614"/>
      <c r="O110" s="610"/>
      <c r="P110" s="601"/>
      <c r="Q110" s="601"/>
      <c r="R110" s="601"/>
      <c r="S110" s="601"/>
    </row>
    <row r="111" spans="1:19" ht="14" x14ac:dyDescent="0.3">
      <c r="A111" s="593"/>
      <c r="B111" s="593"/>
      <c r="C111" s="587"/>
      <c r="D111" s="599"/>
      <c r="E111" s="601"/>
      <c r="F111" s="601"/>
      <c r="G111" s="588"/>
      <c r="H111" s="601"/>
      <c r="I111" s="601"/>
      <c r="J111" s="587"/>
      <c r="K111" s="587"/>
      <c r="L111" s="587"/>
      <c r="M111" s="593"/>
      <c r="N111" s="614"/>
      <c r="O111" s="610"/>
      <c r="P111" s="601"/>
      <c r="Q111" s="601"/>
      <c r="R111" s="601"/>
      <c r="S111" s="601"/>
    </row>
    <row r="112" spans="1:19" ht="14" x14ac:dyDescent="0.3">
      <c r="A112" s="593"/>
      <c r="B112" s="593"/>
      <c r="C112" s="593"/>
      <c r="D112" s="593"/>
      <c r="E112" s="601"/>
      <c r="F112" s="601"/>
      <c r="G112" s="588"/>
      <c r="H112" s="601"/>
      <c r="I112" s="601"/>
      <c r="J112" s="587"/>
      <c r="K112" s="587"/>
      <c r="L112" s="587"/>
      <c r="M112" s="587"/>
      <c r="N112" s="587"/>
      <c r="O112" s="610"/>
      <c r="P112" s="601"/>
      <c r="Q112" s="601"/>
      <c r="R112" s="601"/>
      <c r="S112" s="601"/>
    </row>
    <row r="113" spans="1:19" ht="14" x14ac:dyDescent="0.3">
      <c r="A113" s="593"/>
      <c r="B113" s="593"/>
      <c r="C113" s="587"/>
      <c r="D113" s="587"/>
      <c r="E113" s="587"/>
      <c r="F113" s="587"/>
      <c r="G113" s="588"/>
      <c r="H113" s="587"/>
      <c r="I113" s="587"/>
      <c r="J113" s="587"/>
      <c r="K113" s="587"/>
      <c r="L113" s="587"/>
      <c r="M113" s="587"/>
      <c r="N113" s="614"/>
      <c r="O113" s="587"/>
      <c r="P113" s="587"/>
      <c r="Q113" s="587"/>
      <c r="R113" s="587"/>
      <c r="S113" s="587"/>
    </row>
    <row r="114" spans="1:19" ht="14" x14ac:dyDescent="0.3">
      <c r="A114" s="593"/>
      <c r="B114" s="593"/>
      <c r="C114" s="587"/>
      <c r="D114" s="587"/>
      <c r="E114" s="587"/>
      <c r="F114" s="587"/>
      <c r="G114" s="588"/>
      <c r="H114" s="587"/>
      <c r="I114" s="587"/>
      <c r="J114" s="587"/>
      <c r="K114" s="587"/>
      <c r="L114" s="587"/>
      <c r="M114" s="587"/>
      <c r="N114" s="614"/>
      <c r="O114" s="587"/>
      <c r="P114" s="587"/>
      <c r="Q114" s="587"/>
      <c r="R114" s="587"/>
      <c r="S114" s="587"/>
    </row>
    <row r="115" spans="1:19" ht="14" x14ac:dyDescent="0.3">
      <c r="A115" s="593"/>
      <c r="B115" s="593"/>
      <c r="C115" s="587"/>
      <c r="D115" s="587"/>
      <c r="E115" s="587"/>
      <c r="F115" s="587"/>
      <c r="G115" s="588"/>
      <c r="H115" s="587"/>
      <c r="I115" s="587"/>
      <c r="J115" s="587"/>
      <c r="K115" s="587"/>
      <c r="L115" s="587"/>
      <c r="M115" s="587"/>
      <c r="N115" s="614"/>
      <c r="O115" s="587"/>
      <c r="P115" s="587"/>
      <c r="Q115" s="587"/>
      <c r="R115" s="587"/>
      <c r="S115" s="587"/>
    </row>
    <row r="116" spans="1:19" ht="14" x14ac:dyDescent="0.3">
      <c r="A116" s="593"/>
      <c r="B116" s="593"/>
      <c r="C116" s="587"/>
      <c r="D116" s="587"/>
      <c r="E116" s="587"/>
      <c r="F116" s="587"/>
      <c r="G116" s="588"/>
      <c r="H116" s="587"/>
      <c r="I116" s="587"/>
      <c r="J116" s="587"/>
      <c r="K116" s="587"/>
      <c r="L116" s="587"/>
      <c r="M116" s="587"/>
      <c r="N116" s="587"/>
      <c r="O116" s="587"/>
      <c r="P116" s="587"/>
      <c r="Q116" s="587"/>
      <c r="R116" s="587"/>
      <c r="S116" s="587"/>
    </row>
    <row r="117" spans="1:19" ht="14" x14ac:dyDescent="0.3">
      <c r="A117" s="593"/>
      <c r="B117" s="593"/>
      <c r="C117" s="587"/>
      <c r="D117" s="587"/>
      <c r="E117" s="587"/>
      <c r="F117" s="587"/>
      <c r="G117" s="588"/>
      <c r="H117" s="587"/>
      <c r="I117" s="587"/>
      <c r="J117" s="587"/>
      <c r="K117" s="587"/>
      <c r="L117" s="587"/>
      <c r="M117" s="587"/>
      <c r="N117" s="587"/>
      <c r="O117" s="587"/>
      <c r="P117" s="587"/>
      <c r="Q117" s="587"/>
      <c r="R117" s="587"/>
      <c r="S117" s="587"/>
    </row>
    <row r="118" spans="1:19" ht="14" x14ac:dyDescent="0.3">
      <c r="A118" s="593"/>
      <c r="B118" s="593"/>
      <c r="C118" s="587"/>
      <c r="D118" s="587"/>
      <c r="E118" s="587"/>
      <c r="F118" s="587"/>
      <c r="G118" s="588"/>
      <c r="H118" s="587"/>
      <c r="I118" s="587"/>
      <c r="J118" s="587"/>
      <c r="K118" s="587"/>
      <c r="L118" s="587"/>
      <c r="M118" s="587"/>
      <c r="N118" s="587"/>
      <c r="O118" s="587"/>
      <c r="P118" s="587"/>
      <c r="Q118" s="587"/>
      <c r="R118" s="587"/>
      <c r="S118" s="587"/>
    </row>
    <row r="119" spans="1:19" ht="14" x14ac:dyDescent="0.3">
      <c r="A119" s="593"/>
      <c r="B119" s="593"/>
      <c r="C119" s="587"/>
      <c r="D119" s="587"/>
      <c r="E119" s="587"/>
      <c r="F119" s="587"/>
      <c r="G119" s="588"/>
      <c r="H119" s="587"/>
      <c r="I119" s="587"/>
      <c r="J119" s="587"/>
      <c r="K119" s="587"/>
      <c r="L119" s="587"/>
      <c r="M119" s="593"/>
      <c r="N119" s="587"/>
      <c r="O119" s="587"/>
      <c r="P119" s="587"/>
      <c r="Q119" s="587"/>
      <c r="R119" s="587"/>
      <c r="S119" s="587"/>
    </row>
    <row r="120" spans="1:19" ht="14" x14ac:dyDescent="0.3">
      <c r="A120" s="593"/>
      <c r="B120" s="593"/>
      <c r="C120" s="587"/>
      <c r="D120" s="587"/>
      <c r="E120" s="587"/>
      <c r="F120" s="587"/>
      <c r="G120" s="588"/>
      <c r="H120" s="587"/>
      <c r="I120" s="587"/>
      <c r="J120" s="587"/>
      <c r="K120" s="587"/>
      <c r="L120" s="587"/>
      <c r="M120" s="593"/>
      <c r="N120" s="587"/>
      <c r="O120" s="587"/>
      <c r="P120" s="587"/>
      <c r="Q120" s="587"/>
      <c r="R120" s="587"/>
      <c r="S120" s="587"/>
    </row>
    <row r="121" spans="1:19" ht="14" x14ac:dyDescent="0.3">
      <c r="A121" s="593"/>
      <c r="B121" s="593"/>
      <c r="C121" s="587"/>
      <c r="D121" s="587"/>
      <c r="E121" s="587"/>
      <c r="F121" s="587"/>
      <c r="G121" s="588"/>
      <c r="H121" s="587"/>
      <c r="I121" s="587"/>
      <c r="J121" s="587"/>
      <c r="K121" s="587"/>
      <c r="L121" s="587"/>
      <c r="M121" s="593"/>
      <c r="N121" s="587"/>
      <c r="O121" s="587"/>
      <c r="P121" s="587"/>
      <c r="Q121" s="587"/>
      <c r="R121" s="587"/>
      <c r="S121" s="587"/>
    </row>
    <row r="122" spans="1:19" ht="14" x14ac:dyDescent="0.3">
      <c r="A122" s="593"/>
      <c r="B122" s="593"/>
      <c r="C122" s="587"/>
      <c r="D122" s="587"/>
      <c r="E122" s="587"/>
      <c r="F122" s="587"/>
      <c r="G122" s="588"/>
      <c r="H122" s="587"/>
      <c r="I122" s="587"/>
      <c r="J122" s="587"/>
      <c r="K122" s="587"/>
      <c r="L122" s="587"/>
      <c r="M122" s="593"/>
      <c r="N122" s="587"/>
      <c r="O122" s="587"/>
      <c r="P122" s="587"/>
      <c r="Q122" s="587"/>
      <c r="R122" s="587"/>
      <c r="S122" s="587"/>
    </row>
    <row r="123" spans="1:19" ht="14" x14ac:dyDescent="0.3">
      <c r="A123" s="593"/>
      <c r="B123" s="593"/>
      <c r="C123" s="587"/>
      <c r="D123" s="587"/>
      <c r="E123" s="587"/>
      <c r="F123" s="587"/>
      <c r="G123" s="588"/>
      <c r="H123" s="587"/>
      <c r="I123" s="587"/>
      <c r="J123" s="587"/>
      <c r="K123" s="587"/>
      <c r="L123" s="587"/>
      <c r="M123" s="593"/>
      <c r="N123" s="587"/>
      <c r="O123" s="587"/>
      <c r="P123" s="587"/>
      <c r="Q123" s="587"/>
      <c r="R123" s="587"/>
      <c r="S123" s="587"/>
    </row>
    <row r="124" spans="1:19" ht="14" x14ac:dyDescent="0.3">
      <c r="A124" s="593"/>
      <c r="B124" s="593"/>
      <c r="C124" s="587"/>
      <c r="D124" s="587"/>
      <c r="E124" s="587"/>
      <c r="F124" s="587"/>
      <c r="G124" s="588"/>
      <c r="H124" s="587"/>
      <c r="I124" s="587"/>
      <c r="J124" s="587"/>
      <c r="K124" s="587"/>
      <c r="L124" s="587"/>
      <c r="M124" s="593"/>
      <c r="N124" s="587"/>
      <c r="O124" s="587"/>
      <c r="P124" s="587"/>
      <c r="Q124" s="587"/>
      <c r="R124" s="587"/>
      <c r="S124" s="587"/>
    </row>
    <row r="125" spans="1:19" ht="14" x14ac:dyDescent="0.3">
      <c r="A125" s="593"/>
      <c r="B125" s="593"/>
      <c r="C125" s="587"/>
      <c r="D125" s="587"/>
      <c r="E125" s="587"/>
      <c r="F125" s="587"/>
      <c r="G125" s="588"/>
      <c r="H125" s="587"/>
      <c r="I125" s="587"/>
      <c r="J125" s="587"/>
      <c r="K125" s="587"/>
      <c r="L125" s="587"/>
      <c r="M125" s="593"/>
      <c r="N125" s="587"/>
      <c r="O125" s="587"/>
      <c r="P125" s="587"/>
      <c r="Q125" s="587"/>
      <c r="R125" s="587"/>
      <c r="S125" s="587"/>
    </row>
    <row r="126" spans="1:19" ht="14" x14ac:dyDescent="0.3">
      <c r="A126" s="593"/>
      <c r="B126" s="593"/>
      <c r="C126" s="587"/>
      <c r="D126" s="587"/>
      <c r="E126" s="587"/>
      <c r="F126" s="587"/>
      <c r="G126" s="588"/>
      <c r="H126" s="587"/>
      <c r="I126" s="587"/>
      <c r="J126" s="587"/>
      <c r="K126" s="587"/>
      <c r="L126" s="587"/>
      <c r="M126" s="593"/>
      <c r="N126" s="587"/>
      <c r="O126" s="587"/>
      <c r="P126" s="587"/>
      <c r="Q126" s="587"/>
      <c r="R126" s="587"/>
      <c r="S126" s="587"/>
    </row>
    <row r="127" spans="1:19" ht="14" x14ac:dyDescent="0.3">
      <c r="A127" s="593"/>
      <c r="B127" s="593"/>
      <c r="C127" s="587"/>
      <c r="D127" s="587"/>
      <c r="E127" s="587"/>
      <c r="F127" s="587"/>
      <c r="G127" s="588"/>
      <c r="H127" s="587"/>
      <c r="I127" s="587"/>
      <c r="J127" s="587"/>
      <c r="K127" s="587"/>
      <c r="L127" s="587"/>
      <c r="M127" s="587"/>
      <c r="N127" s="587"/>
    </row>
    <row r="128" spans="1:19" ht="14" x14ac:dyDescent="0.3">
      <c r="A128" s="593"/>
      <c r="B128" s="593"/>
      <c r="C128" s="587"/>
      <c r="D128" s="587"/>
      <c r="E128" s="587"/>
      <c r="F128" s="587"/>
      <c r="G128" s="588"/>
      <c r="H128" s="587"/>
      <c r="I128" s="587"/>
      <c r="J128" s="587"/>
      <c r="K128" s="587"/>
      <c r="L128" s="587"/>
      <c r="M128" s="593"/>
      <c r="N128" s="587"/>
    </row>
    <row r="129" spans="1:14" ht="14" x14ac:dyDescent="0.3">
      <c r="A129" s="593"/>
      <c r="B129" s="593"/>
      <c r="C129" s="587"/>
      <c r="D129" s="587"/>
      <c r="E129" s="587"/>
      <c r="F129" s="587"/>
      <c r="G129" s="588"/>
      <c r="H129" s="587"/>
      <c r="I129" s="587"/>
      <c r="J129" s="587"/>
      <c r="K129" s="587"/>
      <c r="L129" s="587"/>
      <c r="M129" s="593"/>
      <c r="N129" s="587"/>
    </row>
    <row r="130" spans="1:14" ht="14" x14ac:dyDescent="0.3">
      <c r="A130" s="593"/>
      <c r="B130" s="593"/>
      <c r="C130" s="587"/>
      <c r="D130" s="587"/>
      <c r="E130" s="587"/>
      <c r="F130" s="587"/>
      <c r="G130" s="588"/>
      <c r="H130" s="587"/>
      <c r="I130" s="587"/>
      <c r="J130" s="587"/>
      <c r="K130" s="587"/>
      <c r="L130" s="587"/>
      <c r="M130" s="593"/>
      <c r="N130" s="587"/>
    </row>
    <row r="131" spans="1:14" ht="14" x14ac:dyDescent="0.3">
      <c r="A131" s="593"/>
      <c r="B131" s="593"/>
      <c r="C131" s="587"/>
      <c r="D131" s="587"/>
      <c r="E131" s="587"/>
      <c r="F131" s="587"/>
      <c r="G131" s="588"/>
      <c r="H131" s="587"/>
      <c r="I131" s="587"/>
      <c r="J131" s="587"/>
      <c r="K131" s="587"/>
      <c r="L131" s="587"/>
      <c r="M131" s="593"/>
      <c r="N131" s="587"/>
    </row>
    <row r="132" spans="1:14" ht="14" x14ac:dyDescent="0.3">
      <c r="A132" s="593"/>
      <c r="B132" s="593"/>
      <c r="C132" s="587"/>
      <c r="D132" s="587"/>
      <c r="E132" s="587"/>
      <c r="F132" s="587"/>
      <c r="G132" s="588"/>
      <c r="H132" s="587"/>
      <c r="I132" s="587"/>
      <c r="J132" s="587"/>
      <c r="K132" s="587"/>
      <c r="L132" s="587"/>
      <c r="M132" s="593"/>
      <c r="N132" s="587"/>
    </row>
    <row r="133" spans="1:14" ht="14" x14ac:dyDescent="0.3">
      <c r="A133" s="593"/>
      <c r="B133" s="593"/>
      <c r="C133" s="587"/>
      <c r="D133" s="587"/>
      <c r="E133" s="587"/>
      <c r="F133" s="587"/>
      <c r="G133" s="588"/>
      <c r="H133" s="587"/>
      <c r="I133" s="587"/>
      <c r="J133" s="587"/>
      <c r="K133" s="587"/>
      <c r="L133" s="587"/>
      <c r="M133" s="593"/>
      <c r="N133" s="587"/>
    </row>
    <row r="134" spans="1:14" ht="14" x14ac:dyDescent="0.3">
      <c r="A134" s="593"/>
      <c r="B134" s="593"/>
      <c r="C134" s="587"/>
      <c r="D134" s="587"/>
      <c r="E134" s="587"/>
      <c r="F134" s="587"/>
      <c r="G134" s="588"/>
      <c r="H134" s="587"/>
      <c r="I134" s="587"/>
      <c r="J134" s="587"/>
      <c r="K134" s="587"/>
      <c r="L134" s="587"/>
      <c r="M134" s="593"/>
      <c r="N134" s="587"/>
    </row>
    <row r="135" spans="1:14" ht="14" x14ac:dyDescent="0.3">
      <c r="A135" s="593"/>
      <c r="B135" s="593"/>
      <c r="C135" s="587"/>
      <c r="D135" s="587"/>
      <c r="E135" s="587"/>
      <c r="F135" s="587"/>
      <c r="G135" s="588"/>
      <c r="H135" s="587"/>
      <c r="I135" s="587"/>
      <c r="J135" s="587"/>
      <c r="K135" s="587"/>
      <c r="L135" s="587"/>
      <c r="M135" s="593"/>
      <c r="N135" s="587"/>
    </row>
    <row r="136" spans="1:14" ht="14" x14ac:dyDescent="0.3">
      <c r="A136" s="593"/>
      <c r="B136" s="593"/>
      <c r="C136" s="587"/>
      <c r="D136" s="587"/>
      <c r="E136" s="587"/>
      <c r="F136" s="587"/>
      <c r="G136" s="588"/>
      <c r="H136" s="587"/>
      <c r="I136" s="587"/>
      <c r="J136" s="587"/>
      <c r="K136" s="587"/>
      <c r="L136" s="587"/>
      <c r="M136" s="593"/>
      <c r="N136" s="587"/>
    </row>
    <row r="137" spans="1:14" ht="14" x14ac:dyDescent="0.3">
      <c r="A137" s="593"/>
      <c r="B137" s="593"/>
      <c r="C137" s="587"/>
      <c r="D137" s="587"/>
      <c r="E137" s="587"/>
      <c r="F137" s="587"/>
      <c r="G137" s="588"/>
      <c r="H137" s="587"/>
      <c r="I137" s="587"/>
      <c r="J137" s="587"/>
      <c r="K137" s="587"/>
      <c r="L137" s="587"/>
      <c r="M137" s="587"/>
      <c r="N137" s="587"/>
    </row>
    <row r="138" spans="1:14" ht="14" x14ac:dyDescent="0.3">
      <c r="A138" s="593"/>
      <c r="B138" s="593"/>
      <c r="C138" s="587"/>
      <c r="D138" s="587"/>
      <c r="E138" s="587"/>
      <c r="F138" s="587"/>
      <c r="G138" s="588"/>
      <c r="H138" s="587"/>
      <c r="I138" s="587"/>
      <c r="J138" s="587"/>
      <c r="K138" s="587"/>
      <c r="L138" s="587"/>
      <c r="M138" s="587"/>
      <c r="N138" s="616"/>
    </row>
    <row r="139" spans="1:14" ht="14" x14ac:dyDescent="0.3">
      <c r="A139" s="593"/>
      <c r="B139" s="593"/>
      <c r="C139" s="587"/>
      <c r="D139" s="587"/>
      <c r="E139" s="587"/>
      <c r="F139" s="587"/>
      <c r="G139" s="588"/>
      <c r="H139" s="587"/>
      <c r="I139" s="587"/>
      <c r="J139" s="587"/>
      <c r="K139" s="587"/>
      <c r="L139" s="587"/>
      <c r="M139" s="587"/>
      <c r="N139" s="617"/>
    </row>
    <row r="140" spans="1:14" ht="14" x14ac:dyDescent="0.3">
      <c r="A140" s="593"/>
      <c r="B140" s="593"/>
      <c r="C140" s="587"/>
      <c r="D140" s="587"/>
      <c r="E140" s="587"/>
      <c r="F140" s="587"/>
      <c r="G140" s="588"/>
      <c r="H140" s="587"/>
      <c r="I140" s="587"/>
      <c r="J140" s="587"/>
      <c r="K140" s="587"/>
      <c r="L140" s="587"/>
      <c r="M140" s="587"/>
      <c r="N140" s="587"/>
    </row>
    <row r="141" spans="1:14" ht="14" x14ac:dyDescent="0.3">
      <c r="A141" s="593"/>
      <c r="B141" s="593"/>
      <c r="C141" s="587"/>
      <c r="D141" s="587"/>
      <c r="E141" s="587"/>
      <c r="F141" s="587"/>
      <c r="G141" s="588"/>
      <c r="H141" s="587"/>
      <c r="I141" s="587"/>
      <c r="J141" s="587"/>
      <c r="K141" s="587"/>
      <c r="L141" s="587"/>
      <c r="M141" s="587"/>
      <c r="N141" s="587"/>
    </row>
    <row r="142" spans="1:14" ht="14" x14ac:dyDescent="0.3">
      <c r="A142" s="593"/>
      <c r="B142" s="593"/>
      <c r="C142" s="587"/>
      <c r="D142" s="587"/>
      <c r="E142" s="587"/>
      <c r="F142" s="587"/>
      <c r="G142" s="588"/>
      <c r="H142" s="587"/>
      <c r="I142" s="587"/>
      <c r="J142" s="587"/>
      <c r="K142" s="587"/>
      <c r="L142" s="587"/>
      <c r="M142" s="587"/>
      <c r="N142" s="587"/>
    </row>
    <row r="143" spans="1:14" ht="14" x14ac:dyDescent="0.3">
      <c r="A143" s="593"/>
      <c r="B143" s="593"/>
      <c r="C143" s="587"/>
      <c r="D143" s="587"/>
      <c r="E143" s="587"/>
      <c r="F143" s="587"/>
      <c r="G143" s="588"/>
      <c r="H143" s="587"/>
      <c r="I143" s="587"/>
      <c r="J143" s="587"/>
      <c r="K143" s="587"/>
      <c r="L143" s="587"/>
      <c r="M143" s="587"/>
      <c r="N143" s="587"/>
    </row>
    <row r="144" spans="1:14" ht="14" x14ac:dyDescent="0.3">
      <c r="A144" s="593"/>
      <c r="B144" s="593"/>
      <c r="C144" s="587"/>
      <c r="D144" s="587"/>
      <c r="E144" s="587"/>
      <c r="F144" s="587"/>
      <c r="G144" s="588"/>
      <c r="H144" s="587"/>
      <c r="I144" s="587"/>
      <c r="J144" s="587"/>
      <c r="K144" s="587"/>
      <c r="L144" s="587"/>
      <c r="M144" s="587"/>
      <c r="N144" s="587"/>
    </row>
    <row r="145" spans="1:14" ht="14" x14ac:dyDescent="0.3">
      <c r="A145" s="593"/>
      <c r="B145" s="593"/>
      <c r="C145" s="587"/>
      <c r="D145" s="587"/>
      <c r="E145" s="587"/>
      <c r="F145" s="587"/>
      <c r="G145" s="588"/>
      <c r="H145" s="587"/>
      <c r="I145" s="587"/>
      <c r="J145" s="587"/>
      <c r="K145" s="587"/>
      <c r="L145" s="587"/>
      <c r="M145" s="587"/>
      <c r="N145" s="587"/>
    </row>
    <row r="146" spans="1:14" ht="14" x14ac:dyDescent="0.3">
      <c r="A146" s="593"/>
      <c r="B146" s="593"/>
      <c r="C146" s="587"/>
      <c r="D146" s="587"/>
      <c r="E146" s="587"/>
      <c r="F146" s="587"/>
      <c r="G146" s="588"/>
      <c r="H146" s="587"/>
      <c r="I146" s="587"/>
      <c r="J146" s="587"/>
      <c r="K146" s="587"/>
      <c r="L146" s="587"/>
      <c r="M146" s="587"/>
      <c r="N146" s="587"/>
    </row>
    <row r="147" spans="1:14" ht="14" x14ac:dyDescent="0.3">
      <c r="A147" s="593"/>
      <c r="B147" s="593"/>
      <c r="C147" s="587"/>
      <c r="D147" s="587"/>
      <c r="E147" s="587"/>
      <c r="F147" s="587"/>
      <c r="G147" s="588"/>
      <c r="H147" s="587"/>
      <c r="I147" s="587"/>
      <c r="J147" s="587"/>
      <c r="K147" s="587"/>
      <c r="L147" s="587"/>
      <c r="M147" s="587"/>
      <c r="N147" s="587"/>
    </row>
    <row r="148" spans="1:14" ht="14" x14ac:dyDescent="0.3">
      <c r="A148" s="593"/>
      <c r="B148" s="593"/>
      <c r="C148" s="587"/>
      <c r="D148" s="587"/>
      <c r="E148" s="587"/>
      <c r="F148" s="587"/>
      <c r="G148" s="588"/>
      <c r="H148" s="587"/>
      <c r="I148" s="587"/>
      <c r="J148" s="587"/>
      <c r="K148" s="587"/>
      <c r="L148" s="587"/>
      <c r="M148" s="587"/>
      <c r="N148" s="587"/>
    </row>
    <row r="149" spans="1:14" ht="14" x14ac:dyDescent="0.3">
      <c r="A149" s="593"/>
      <c r="B149" s="593"/>
      <c r="C149" s="587"/>
      <c r="D149" s="587"/>
      <c r="E149" s="587"/>
      <c r="F149" s="587"/>
      <c r="G149" s="588"/>
      <c r="H149" s="587"/>
      <c r="I149" s="587"/>
      <c r="J149" s="587"/>
      <c r="K149" s="587"/>
      <c r="L149" s="587"/>
      <c r="M149" s="587"/>
      <c r="N149" s="587"/>
    </row>
    <row r="150" spans="1:14" ht="14" x14ac:dyDescent="0.3">
      <c r="A150" s="593"/>
      <c r="B150" s="593"/>
      <c r="C150" s="587"/>
      <c r="D150" s="587"/>
      <c r="E150" s="587"/>
      <c r="F150" s="587"/>
      <c r="G150" s="588"/>
      <c r="H150" s="587"/>
      <c r="I150" s="587"/>
      <c r="J150" s="587"/>
      <c r="K150" s="587"/>
      <c r="L150" s="587"/>
      <c r="M150" s="587"/>
      <c r="N150" s="587"/>
    </row>
    <row r="151" spans="1:14" ht="14" x14ac:dyDescent="0.3">
      <c r="A151" s="593"/>
      <c r="B151" s="593"/>
      <c r="C151" s="587"/>
      <c r="D151" s="587"/>
      <c r="E151" s="587"/>
      <c r="F151" s="587"/>
      <c r="G151" s="588"/>
      <c r="H151" s="587"/>
      <c r="I151" s="587"/>
      <c r="J151" s="587"/>
      <c r="K151" s="587"/>
      <c r="L151" s="587"/>
      <c r="M151" s="587"/>
      <c r="N151" s="587"/>
    </row>
    <row r="152" spans="1:14" ht="14" x14ac:dyDescent="0.3">
      <c r="A152" s="593"/>
      <c r="B152" s="593"/>
      <c r="C152" s="587"/>
      <c r="D152" s="587"/>
      <c r="E152" s="587"/>
      <c r="F152" s="587"/>
      <c r="G152" s="588"/>
      <c r="H152" s="587"/>
      <c r="I152" s="587"/>
      <c r="J152" s="587"/>
      <c r="K152" s="587"/>
      <c r="L152" s="587"/>
      <c r="M152" s="587"/>
      <c r="N152" s="587"/>
    </row>
    <row r="153" spans="1:14" ht="14" x14ac:dyDescent="0.3">
      <c r="A153" s="593"/>
      <c r="B153" s="593"/>
      <c r="C153" s="587"/>
      <c r="D153" s="587"/>
      <c r="E153" s="587"/>
      <c r="F153" s="587"/>
      <c r="G153" s="588"/>
      <c r="H153" s="587"/>
      <c r="I153" s="587"/>
      <c r="J153" s="587"/>
      <c r="K153" s="587"/>
      <c r="L153" s="587"/>
      <c r="M153" s="587"/>
      <c r="N153" s="587"/>
    </row>
    <row r="154" spans="1:14" ht="14" x14ac:dyDescent="0.3">
      <c r="A154" s="593"/>
      <c r="B154" s="593"/>
      <c r="C154" s="587"/>
      <c r="D154" s="587"/>
      <c r="E154" s="587"/>
      <c r="F154" s="587"/>
      <c r="G154" s="588"/>
      <c r="H154" s="587"/>
      <c r="I154" s="587"/>
      <c r="J154" s="587"/>
      <c r="K154" s="587"/>
      <c r="L154" s="587"/>
      <c r="M154" s="587"/>
      <c r="N154" s="587"/>
    </row>
    <row r="155" spans="1:14" ht="14" x14ac:dyDescent="0.3">
      <c r="A155" s="593"/>
      <c r="B155" s="593"/>
      <c r="C155" s="587"/>
      <c r="D155" s="587"/>
      <c r="E155" s="587"/>
      <c r="F155" s="587"/>
      <c r="G155" s="588"/>
      <c r="H155" s="587"/>
      <c r="I155" s="587"/>
      <c r="J155" s="587"/>
      <c r="K155" s="587"/>
      <c r="L155" s="587"/>
      <c r="M155" s="587"/>
      <c r="N155" s="587"/>
    </row>
    <row r="156" spans="1:14" ht="14" x14ac:dyDescent="0.3">
      <c r="A156" s="593"/>
      <c r="B156" s="593"/>
      <c r="C156" s="587"/>
      <c r="D156" s="587"/>
      <c r="E156" s="587"/>
      <c r="F156" s="587"/>
      <c r="G156" s="588"/>
      <c r="H156" s="587"/>
      <c r="I156" s="587"/>
      <c r="J156" s="587"/>
      <c r="K156" s="587"/>
      <c r="L156" s="587"/>
      <c r="M156" s="587"/>
      <c r="N156" s="587"/>
    </row>
    <row r="157" spans="1:14" ht="14" x14ac:dyDescent="0.3">
      <c r="A157" s="593"/>
      <c r="B157" s="593"/>
      <c r="C157" s="587"/>
      <c r="D157" s="587"/>
      <c r="E157" s="587"/>
      <c r="F157" s="587"/>
      <c r="G157" s="588"/>
      <c r="H157" s="587"/>
      <c r="I157" s="587"/>
      <c r="J157" s="587"/>
      <c r="K157" s="587"/>
      <c r="L157" s="587"/>
      <c r="M157" s="587"/>
      <c r="N157" s="587"/>
    </row>
    <row r="158" spans="1:14" ht="14" x14ac:dyDescent="0.3">
      <c r="A158" s="593"/>
      <c r="B158" s="593"/>
      <c r="C158" s="587"/>
      <c r="D158" s="587"/>
      <c r="E158" s="587"/>
      <c r="F158" s="587"/>
      <c r="G158" s="588"/>
      <c r="H158" s="587"/>
      <c r="I158" s="587"/>
      <c r="J158" s="587"/>
      <c r="K158" s="587"/>
      <c r="L158" s="587"/>
      <c r="M158" s="587"/>
      <c r="N158" s="587"/>
    </row>
    <row r="159" spans="1:14" ht="14" x14ac:dyDescent="0.3">
      <c r="A159" s="593"/>
      <c r="B159" s="593"/>
      <c r="C159" s="587"/>
      <c r="D159" s="587"/>
      <c r="E159" s="587"/>
      <c r="F159" s="587"/>
      <c r="G159" s="588"/>
      <c r="H159" s="587"/>
      <c r="I159" s="587"/>
      <c r="J159" s="587"/>
      <c r="K159" s="587"/>
      <c r="L159" s="587"/>
      <c r="M159" s="587"/>
      <c r="N159" s="587"/>
    </row>
    <row r="160" spans="1:14" ht="14" x14ac:dyDescent="0.3">
      <c r="A160" s="593"/>
      <c r="B160" s="593"/>
      <c r="C160" s="587"/>
      <c r="D160" s="587"/>
      <c r="E160" s="587"/>
      <c r="F160" s="587"/>
      <c r="G160" s="588"/>
      <c r="H160" s="587"/>
      <c r="I160" s="587"/>
      <c r="J160" s="587"/>
      <c r="K160" s="587"/>
      <c r="L160" s="587"/>
      <c r="M160" s="587"/>
      <c r="N160" s="587"/>
    </row>
    <row r="161" spans="1:14" ht="14" x14ac:dyDescent="0.3">
      <c r="A161" s="593"/>
      <c r="B161" s="593"/>
      <c r="C161" s="587"/>
      <c r="D161" s="587"/>
      <c r="E161" s="587"/>
      <c r="F161" s="587"/>
      <c r="G161" s="588"/>
      <c r="H161" s="587"/>
      <c r="I161" s="587"/>
      <c r="J161" s="587"/>
      <c r="K161" s="587"/>
      <c r="L161" s="587"/>
      <c r="M161" s="587"/>
      <c r="N161" s="587"/>
    </row>
    <row r="162" spans="1:14" ht="14" x14ac:dyDescent="0.3">
      <c r="A162" s="593"/>
      <c r="B162" s="593"/>
      <c r="C162" s="587"/>
      <c r="D162" s="587"/>
      <c r="E162" s="587"/>
      <c r="F162" s="587"/>
      <c r="G162" s="588"/>
      <c r="H162" s="587"/>
      <c r="I162" s="587"/>
      <c r="J162" s="587"/>
      <c r="K162" s="587"/>
      <c r="L162" s="587"/>
      <c r="M162" s="587"/>
      <c r="N162" s="587"/>
    </row>
    <row r="163" spans="1:14" ht="14" x14ac:dyDescent="0.3">
      <c r="A163" s="593"/>
      <c r="B163" s="593"/>
      <c r="C163" s="587"/>
      <c r="D163" s="587"/>
      <c r="E163" s="587"/>
      <c r="F163" s="587"/>
      <c r="G163" s="588"/>
      <c r="H163" s="587"/>
      <c r="I163" s="587"/>
      <c r="J163" s="587"/>
      <c r="K163" s="587"/>
      <c r="L163" s="587"/>
      <c r="M163" s="587"/>
      <c r="N163" s="587"/>
    </row>
    <row r="164" spans="1:14" ht="14" x14ac:dyDescent="0.3">
      <c r="A164" s="593"/>
      <c r="B164" s="593"/>
      <c r="C164" s="587"/>
      <c r="D164" s="587"/>
      <c r="E164" s="587"/>
      <c r="F164" s="587"/>
      <c r="G164" s="588"/>
      <c r="H164" s="587"/>
      <c r="I164" s="587"/>
      <c r="J164" s="587"/>
      <c r="K164" s="587"/>
      <c r="L164" s="587"/>
      <c r="M164" s="587"/>
      <c r="N164" s="587"/>
    </row>
    <row r="165" spans="1:14" ht="14" x14ac:dyDescent="0.3">
      <c r="A165" s="593"/>
      <c r="B165" s="593"/>
      <c r="C165" s="587"/>
      <c r="D165" s="587"/>
      <c r="E165" s="587"/>
      <c r="F165" s="587"/>
      <c r="G165" s="588"/>
      <c r="H165" s="587"/>
      <c r="I165" s="587"/>
      <c r="J165" s="587"/>
      <c r="K165" s="587"/>
      <c r="L165" s="587"/>
      <c r="M165" s="587"/>
      <c r="N165" s="587"/>
    </row>
    <row r="166" spans="1:14" ht="14" x14ac:dyDescent="0.3">
      <c r="A166" s="593"/>
      <c r="B166" s="593"/>
      <c r="C166" s="587"/>
      <c r="D166" s="587"/>
      <c r="E166" s="587"/>
      <c r="F166" s="587"/>
      <c r="G166" s="588"/>
      <c r="H166" s="587"/>
      <c r="I166" s="587"/>
      <c r="J166" s="587"/>
      <c r="K166" s="587"/>
      <c r="L166" s="587"/>
      <c r="M166" s="587"/>
      <c r="N166" s="587"/>
    </row>
    <row r="167" spans="1:14" ht="14" x14ac:dyDescent="0.3">
      <c r="A167" s="593"/>
      <c r="B167" s="593"/>
      <c r="C167" s="587"/>
      <c r="D167" s="587"/>
      <c r="E167" s="587"/>
      <c r="F167" s="587"/>
      <c r="G167" s="588"/>
      <c r="H167" s="587"/>
      <c r="I167" s="587"/>
      <c r="J167" s="587"/>
      <c r="K167" s="587"/>
      <c r="L167" s="587"/>
      <c r="M167" s="587"/>
      <c r="N167" s="587"/>
    </row>
    <row r="168" spans="1:14" ht="14" x14ac:dyDescent="0.3">
      <c r="A168" s="593"/>
      <c r="B168" s="593"/>
      <c r="C168" s="587"/>
      <c r="D168" s="587"/>
      <c r="E168" s="587"/>
      <c r="F168" s="587"/>
      <c r="G168" s="588"/>
      <c r="H168" s="587"/>
      <c r="I168" s="587"/>
      <c r="J168" s="587"/>
      <c r="K168" s="587"/>
      <c r="L168" s="587"/>
      <c r="M168" s="587"/>
      <c r="N168" s="587"/>
    </row>
    <row r="169" spans="1:14" ht="14" x14ac:dyDescent="0.3">
      <c r="A169" s="593"/>
      <c r="B169" s="593"/>
      <c r="C169" s="587"/>
      <c r="D169" s="587"/>
      <c r="E169" s="587"/>
      <c r="F169" s="587"/>
      <c r="G169" s="588"/>
      <c r="H169" s="587"/>
      <c r="I169" s="587"/>
      <c r="J169" s="587"/>
      <c r="K169" s="587"/>
      <c r="L169" s="587"/>
      <c r="M169" s="587"/>
      <c r="N169" s="587"/>
    </row>
    <row r="170" spans="1:14" ht="14" x14ac:dyDescent="0.3">
      <c r="A170" s="593"/>
      <c r="B170" s="593"/>
      <c r="C170" s="587"/>
      <c r="D170" s="587"/>
      <c r="E170" s="587"/>
      <c r="F170" s="587"/>
      <c r="G170" s="588"/>
      <c r="H170" s="587"/>
      <c r="I170" s="587"/>
      <c r="J170" s="587"/>
      <c r="K170" s="587"/>
      <c r="L170" s="587"/>
      <c r="M170" s="587"/>
      <c r="N170" s="587"/>
    </row>
    <row r="171" spans="1:14" ht="14" x14ac:dyDescent="0.3">
      <c r="A171" s="593"/>
      <c r="B171" s="593"/>
      <c r="C171" s="587"/>
      <c r="D171" s="587"/>
      <c r="E171" s="587"/>
      <c r="F171" s="587"/>
      <c r="G171" s="588"/>
      <c r="H171" s="587"/>
      <c r="I171" s="587"/>
      <c r="J171" s="587"/>
      <c r="K171" s="587"/>
      <c r="L171" s="587"/>
      <c r="M171" s="587"/>
      <c r="N171" s="587"/>
    </row>
    <row r="172" spans="1:14" ht="14" x14ac:dyDescent="0.3">
      <c r="A172" s="593"/>
      <c r="B172" s="593"/>
      <c r="C172" s="587"/>
      <c r="D172" s="587"/>
      <c r="E172" s="587"/>
      <c r="F172" s="587"/>
      <c r="G172" s="588"/>
      <c r="H172" s="587"/>
      <c r="I172" s="587"/>
      <c r="J172" s="587"/>
      <c r="K172" s="587"/>
      <c r="L172" s="587"/>
      <c r="M172" s="587"/>
      <c r="N172" s="587"/>
    </row>
    <row r="173" spans="1:14" ht="14" x14ac:dyDescent="0.3">
      <c r="A173" s="593"/>
      <c r="B173" s="593"/>
      <c r="C173" s="587"/>
      <c r="D173" s="587"/>
      <c r="E173" s="587"/>
      <c r="F173" s="587"/>
      <c r="G173" s="588"/>
      <c r="H173" s="587"/>
      <c r="I173" s="587"/>
      <c r="J173" s="587"/>
      <c r="K173" s="587"/>
      <c r="L173" s="587"/>
      <c r="M173" s="587"/>
      <c r="N173" s="587"/>
    </row>
    <row r="174" spans="1:14" ht="14" x14ac:dyDescent="0.3">
      <c r="A174" s="593"/>
      <c r="B174" s="593"/>
      <c r="C174" s="587"/>
      <c r="D174" s="587"/>
      <c r="E174" s="587"/>
      <c r="F174" s="587"/>
      <c r="G174" s="588"/>
      <c r="H174" s="587"/>
      <c r="I174" s="587"/>
      <c r="J174" s="587"/>
      <c r="K174" s="587"/>
      <c r="L174" s="587"/>
      <c r="M174" s="587"/>
      <c r="N174" s="587"/>
    </row>
    <row r="175" spans="1:14" ht="14" x14ac:dyDescent="0.3">
      <c r="A175" s="593"/>
      <c r="B175" s="593"/>
      <c r="C175" s="587"/>
      <c r="D175" s="587"/>
      <c r="E175" s="587"/>
      <c r="F175" s="587"/>
      <c r="G175" s="588"/>
      <c r="H175" s="587"/>
      <c r="I175" s="587"/>
      <c r="J175" s="587"/>
      <c r="K175" s="587"/>
      <c r="L175" s="587"/>
      <c r="M175" s="587"/>
      <c r="N175" s="587"/>
    </row>
    <row r="176" spans="1:14" ht="14" x14ac:dyDescent="0.3">
      <c r="A176" s="593"/>
      <c r="B176" s="593"/>
      <c r="C176" s="587"/>
      <c r="D176" s="587"/>
      <c r="E176" s="587"/>
      <c r="F176" s="587"/>
      <c r="G176" s="588"/>
      <c r="H176" s="587"/>
      <c r="I176" s="587"/>
      <c r="J176" s="587"/>
      <c r="K176" s="587"/>
      <c r="L176" s="587"/>
      <c r="M176" s="587"/>
      <c r="N176" s="587"/>
    </row>
    <row r="177" spans="1:14" ht="14" x14ac:dyDescent="0.3">
      <c r="A177" s="593"/>
      <c r="B177" s="593"/>
      <c r="C177" s="587"/>
      <c r="D177" s="587"/>
      <c r="E177" s="587"/>
      <c r="F177" s="587"/>
      <c r="G177" s="588"/>
      <c r="H177" s="587"/>
      <c r="I177" s="587"/>
      <c r="J177" s="587"/>
      <c r="K177" s="587"/>
      <c r="L177" s="587"/>
      <c r="M177" s="587"/>
      <c r="N177" s="587"/>
    </row>
    <row r="178" spans="1:14" ht="14" x14ac:dyDescent="0.3">
      <c r="A178" s="593"/>
      <c r="B178" s="593"/>
      <c r="C178" s="587"/>
      <c r="D178" s="587"/>
      <c r="E178" s="587"/>
      <c r="F178" s="587"/>
      <c r="G178" s="588"/>
      <c r="H178" s="587"/>
      <c r="I178" s="587"/>
      <c r="J178" s="587"/>
      <c r="K178" s="587"/>
      <c r="L178" s="587"/>
      <c r="M178" s="587"/>
      <c r="N178" s="587"/>
    </row>
    <row r="179" spans="1:14" ht="14" x14ac:dyDescent="0.3">
      <c r="A179" s="593"/>
      <c r="B179" s="593"/>
      <c r="C179" s="587"/>
      <c r="D179" s="587"/>
      <c r="E179" s="587"/>
      <c r="F179" s="587"/>
      <c r="G179" s="588"/>
      <c r="H179" s="587"/>
      <c r="I179" s="587"/>
      <c r="J179" s="587"/>
      <c r="K179" s="587"/>
      <c r="L179" s="587"/>
      <c r="M179" s="587"/>
      <c r="N179" s="587"/>
    </row>
    <row r="180" spans="1:14" ht="14" x14ac:dyDescent="0.3">
      <c r="A180" s="593"/>
      <c r="B180" s="593"/>
      <c r="C180" s="587"/>
      <c r="D180" s="587"/>
      <c r="E180" s="587"/>
      <c r="F180" s="587"/>
      <c r="G180" s="588"/>
      <c r="H180" s="587"/>
      <c r="I180" s="587"/>
      <c r="J180" s="587"/>
      <c r="K180" s="587"/>
      <c r="L180" s="587"/>
      <c r="M180" s="587"/>
      <c r="N180" s="587"/>
    </row>
    <row r="181" spans="1:14" ht="14" x14ac:dyDescent="0.3">
      <c r="A181" s="593"/>
      <c r="B181" s="593"/>
      <c r="C181" s="587"/>
      <c r="D181" s="587"/>
      <c r="E181" s="587"/>
      <c r="F181" s="587"/>
      <c r="G181" s="588"/>
      <c r="H181" s="587"/>
      <c r="I181" s="587"/>
      <c r="J181" s="587"/>
      <c r="K181" s="587"/>
      <c r="L181" s="587"/>
      <c r="M181" s="587"/>
      <c r="N181" s="587"/>
    </row>
    <row r="182" spans="1:14" ht="14" x14ac:dyDescent="0.3">
      <c r="A182" s="593"/>
      <c r="B182" s="593"/>
      <c r="C182" s="587"/>
      <c r="D182" s="587"/>
      <c r="E182" s="587"/>
      <c r="F182" s="587"/>
      <c r="G182" s="588"/>
      <c r="H182" s="587"/>
      <c r="I182" s="587"/>
      <c r="J182" s="587"/>
      <c r="K182" s="587"/>
      <c r="L182" s="587"/>
      <c r="M182" s="587"/>
      <c r="N182" s="587"/>
    </row>
    <row r="183" spans="1:14" ht="14" x14ac:dyDescent="0.3">
      <c r="A183" s="593"/>
      <c r="B183" s="593"/>
      <c r="C183" s="587"/>
      <c r="D183" s="587"/>
      <c r="E183" s="587"/>
      <c r="F183" s="587"/>
      <c r="G183" s="588"/>
      <c r="H183" s="587"/>
      <c r="I183" s="587"/>
      <c r="J183" s="587"/>
      <c r="K183" s="587"/>
      <c r="L183" s="587"/>
      <c r="M183" s="587"/>
      <c r="N183" s="587"/>
    </row>
    <row r="184" spans="1:14" ht="14" x14ac:dyDescent="0.3">
      <c r="A184" s="593"/>
      <c r="B184" s="593"/>
      <c r="C184" s="587"/>
      <c r="D184" s="587"/>
      <c r="E184" s="587"/>
      <c r="F184" s="587"/>
      <c r="G184" s="588"/>
      <c r="H184" s="587"/>
      <c r="I184" s="587"/>
      <c r="J184" s="587"/>
      <c r="K184" s="587"/>
      <c r="L184" s="587"/>
      <c r="M184" s="587"/>
      <c r="N184" s="587"/>
    </row>
    <row r="185" spans="1:14" ht="14" x14ac:dyDescent="0.3">
      <c r="A185" s="593"/>
      <c r="B185" s="593"/>
      <c r="C185" s="587"/>
      <c r="D185" s="587"/>
      <c r="E185" s="587"/>
      <c r="F185" s="587"/>
      <c r="G185" s="588"/>
      <c r="H185" s="587"/>
      <c r="I185" s="587"/>
      <c r="J185" s="587"/>
      <c r="K185" s="587"/>
      <c r="L185" s="587"/>
      <c r="M185" s="587"/>
      <c r="N185" s="587"/>
    </row>
    <row r="186" spans="1:14" ht="14" x14ac:dyDescent="0.3">
      <c r="A186" s="593"/>
      <c r="B186" s="593"/>
      <c r="C186" s="587"/>
      <c r="D186" s="587"/>
      <c r="E186" s="587"/>
      <c r="F186" s="587"/>
      <c r="G186" s="588"/>
      <c r="H186" s="587"/>
      <c r="I186" s="587"/>
      <c r="J186" s="587"/>
      <c r="K186" s="587"/>
      <c r="L186" s="587"/>
      <c r="M186" s="587"/>
      <c r="N186" s="587"/>
    </row>
    <row r="187" spans="1:14" ht="14" x14ac:dyDescent="0.3">
      <c r="A187" s="593"/>
      <c r="B187" s="593"/>
      <c r="C187" s="587"/>
      <c r="D187" s="587"/>
      <c r="E187" s="587"/>
      <c r="F187" s="587"/>
      <c r="G187" s="588"/>
      <c r="H187" s="587"/>
      <c r="I187" s="587"/>
      <c r="J187" s="587"/>
      <c r="K187" s="587"/>
      <c r="L187" s="587"/>
      <c r="M187" s="587"/>
      <c r="N187" s="587"/>
    </row>
    <row r="188" spans="1:14" ht="14" x14ac:dyDescent="0.3">
      <c r="A188" s="593"/>
      <c r="B188" s="593"/>
      <c r="C188" s="587"/>
      <c r="D188" s="587"/>
      <c r="E188" s="587"/>
      <c r="F188" s="587"/>
      <c r="G188" s="588"/>
      <c r="H188" s="587"/>
      <c r="I188" s="587"/>
      <c r="J188" s="587"/>
      <c r="K188" s="587"/>
      <c r="L188" s="587"/>
      <c r="M188" s="587"/>
      <c r="N188" s="587"/>
    </row>
    <row r="189" spans="1:14" ht="14" x14ac:dyDescent="0.3">
      <c r="A189" s="593"/>
      <c r="B189" s="593"/>
      <c r="C189" s="587"/>
      <c r="D189" s="587"/>
      <c r="E189" s="587"/>
      <c r="F189" s="587"/>
      <c r="G189" s="588"/>
      <c r="H189" s="587"/>
      <c r="I189" s="587"/>
      <c r="J189" s="587"/>
      <c r="K189" s="587"/>
      <c r="L189" s="587"/>
      <c r="M189" s="587"/>
      <c r="N189" s="587"/>
    </row>
    <row r="190" spans="1:14" ht="14" x14ac:dyDescent="0.3">
      <c r="A190" s="593"/>
      <c r="B190" s="593"/>
      <c r="C190" s="587"/>
      <c r="D190" s="587"/>
      <c r="E190" s="587"/>
      <c r="F190" s="587"/>
      <c r="G190" s="588"/>
      <c r="H190" s="587"/>
      <c r="I190" s="587"/>
      <c r="J190" s="587"/>
      <c r="K190" s="587"/>
      <c r="L190" s="587"/>
      <c r="M190" s="587"/>
      <c r="N190" s="587"/>
    </row>
    <row r="191" spans="1:14" ht="14" x14ac:dyDescent="0.3">
      <c r="A191" s="593"/>
      <c r="B191" s="593"/>
      <c r="C191" s="587"/>
      <c r="D191" s="587"/>
      <c r="E191" s="587"/>
      <c r="F191" s="587"/>
      <c r="G191" s="588"/>
      <c r="H191" s="587"/>
      <c r="I191" s="587"/>
      <c r="J191" s="587"/>
      <c r="K191" s="587"/>
      <c r="L191" s="587"/>
      <c r="M191" s="587"/>
      <c r="N191" s="587"/>
    </row>
    <row r="192" spans="1:14" ht="14" x14ac:dyDescent="0.3">
      <c r="A192" s="593"/>
      <c r="B192" s="593"/>
      <c r="C192" s="587"/>
      <c r="D192" s="587"/>
      <c r="E192" s="587"/>
      <c r="F192" s="587"/>
      <c r="G192" s="588"/>
      <c r="H192" s="587"/>
      <c r="I192" s="587"/>
      <c r="J192" s="587"/>
      <c r="K192" s="587"/>
      <c r="L192" s="587"/>
      <c r="M192" s="587"/>
      <c r="N192" s="587"/>
    </row>
    <row r="193" spans="1:14" ht="14" x14ac:dyDescent="0.3">
      <c r="A193" s="593"/>
      <c r="B193" s="593"/>
      <c r="C193" s="587"/>
      <c r="D193" s="587"/>
      <c r="E193" s="587"/>
      <c r="F193" s="587"/>
      <c r="G193" s="588"/>
      <c r="H193" s="587"/>
      <c r="I193" s="587"/>
      <c r="J193" s="587"/>
      <c r="K193" s="587"/>
      <c r="L193" s="587"/>
      <c r="M193" s="587"/>
      <c r="N193" s="587"/>
    </row>
    <row r="194" spans="1:14" ht="14" x14ac:dyDescent="0.3">
      <c r="A194" s="593"/>
      <c r="B194" s="593"/>
      <c r="C194" s="587"/>
      <c r="D194" s="587"/>
      <c r="E194" s="587"/>
      <c r="F194" s="587"/>
      <c r="G194" s="588"/>
      <c r="H194" s="587"/>
      <c r="I194" s="587"/>
      <c r="J194" s="587"/>
      <c r="K194" s="587"/>
      <c r="L194" s="587"/>
      <c r="M194" s="587"/>
      <c r="N194" s="587"/>
    </row>
    <row r="195" spans="1:14" ht="14" x14ac:dyDescent="0.3">
      <c r="A195" s="593"/>
      <c r="B195" s="593"/>
      <c r="C195" s="587"/>
      <c r="D195" s="587"/>
      <c r="E195" s="587"/>
      <c r="F195" s="587"/>
      <c r="G195" s="588"/>
      <c r="H195" s="587"/>
      <c r="I195" s="587"/>
      <c r="J195" s="587"/>
      <c r="K195" s="587"/>
      <c r="L195" s="587"/>
      <c r="M195" s="587"/>
      <c r="N195" s="587"/>
    </row>
    <row r="196" spans="1:14" ht="14" x14ac:dyDescent="0.3">
      <c r="A196" s="593"/>
      <c r="B196" s="593"/>
      <c r="C196" s="587"/>
      <c r="D196" s="587"/>
      <c r="E196" s="587"/>
      <c r="F196" s="587"/>
      <c r="G196" s="588"/>
      <c r="H196" s="587"/>
      <c r="I196" s="587"/>
      <c r="J196" s="587"/>
      <c r="K196" s="587"/>
      <c r="L196" s="587"/>
      <c r="M196" s="587"/>
      <c r="N196" s="587"/>
    </row>
    <row r="197" spans="1:14" ht="14" x14ac:dyDescent="0.3">
      <c r="A197" s="593"/>
      <c r="B197" s="593"/>
      <c r="C197" s="587"/>
      <c r="D197" s="587"/>
      <c r="E197" s="587"/>
      <c r="F197" s="587"/>
      <c r="G197" s="588"/>
      <c r="H197" s="587"/>
      <c r="I197" s="587"/>
      <c r="J197" s="587"/>
      <c r="K197" s="587"/>
      <c r="L197" s="587"/>
      <c r="M197" s="587"/>
      <c r="N197" s="587"/>
    </row>
    <row r="198" spans="1:14" ht="14" x14ac:dyDescent="0.3">
      <c r="A198" s="593"/>
      <c r="B198" s="593"/>
      <c r="C198" s="587"/>
      <c r="D198" s="587"/>
      <c r="E198" s="587"/>
      <c r="F198" s="587"/>
      <c r="G198" s="588"/>
      <c r="H198" s="587"/>
      <c r="I198" s="587"/>
      <c r="J198" s="587"/>
      <c r="K198" s="587"/>
      <c r="L198" s="587"/>
      <c r="M198" s="587"/>
      <c r="N198" s="587"/>
    </row>
    <row r="199" spans="1:14" ht="14" x14ac:dyDescent="0.3">
      <c r="A199" s="593"/>
      <c r="B199" s="593"/>
      <c r="C199" s="587"/>
      <c r="D199" s="587"/>
      <c r="E199" s="587"/>
      <c r="F199" s="587"/>
      <c r="G199" s="588"/>
      <c r="H199" s="587"/>
      <c r="I199" s="587"/>
      <c r="J199" s="587"/>
      <c r="K199" s="587"/>
      <c r="L199" s="587"/>
      <c r="M199" s="587"/>
      <c r="N199" s="587"/>
    </row>
    <row r="200" spans="1:14" ht="14" x14ac:dyDescent="0.3">
      <c r="A200" s="593"/>
      <c r="B200" s="593"/>
      <c r="C200" s="587"/>
      <c r="D200" s="587"/>
      <c r="E200" s="587"/>
      <c r="F200" s="587"/>
      <c r="G200" s="588"/>
      <c r="H200" s="587"/>
      <c r="I200" s="587"/>
      <c r="J200" s="587"/>
      <c r="K200" s="587"/>
      <c r="L200" s="587"/>
      <c r="M200" s="587"/>
      <c r="N200" s="587"/>
    </row>
    <row r="201" spans="1:14" ht="14" x14ac:dyDescent="0.3">
      <c r="A201" s="593"/>
      <c r="B201" s="593"/>
      <c r="C201" s="587"/>
      <c r="D201" s="587"/>
      <c r="E201" s="587"/>
      <c r="F201" s="587"/>
      <c r="G201" s="588"/>
      <c r="H201" s="587"/>
      <c r="I201" s="587"/>
      <c r="J201" s="587"/>
      <c r="K201" s="587"/>
      <c r="L201" s="587"/>
      <c r="M201" s="587"/>
      <c r="N201" s="587"/>
    </row>
    <row r="202" spans="1:14" ht="14" x14ac:dyDescent="0.3">
      <c r="A202" s="593"/>
      <c r="B202" s="593"/>
      <c r="C202" s="587"/>
      <c r="D202" s="587"/>
      <c r="E202" s="587"/>
      <c r="F202" s="587"/>
      <c r="G202" s="588"/>
      <c r="H202" s="587"/>
      <c r="I202" s="587"/>
      <c r="J202" s="587"/>
      <c r="K202" s="587"/>
      <c r="L202" s="587"/>
      <c r="M202" s="587"/>
      <c r="N202" s="587"/>
    </row>
    <row r="203" spans="1:14" ht="14" x14ac:dyDescent="0.3">
      <c r="A203" s="593"/>
      <c r="B203" s="593"/>
      <c r="C203" s="587"/>
      <c r="D203" s="587"/>
      <c r="E203" s="587"/>
      <c r="F203" s="587"/>
      <c r="G203" s="588"/>
      <c r="H203" s="587"/>
      <c r="I203" s="587"/>
      <c r="J203" s="587"/>
      <c r="K203" s="587"/>
      <c r="L203" s="587"/>
      <c r="M203" s="587"/>
      <c r="N203" s="587"/>
    </row>
    <row r="204" spans="1:14" ht="14" x14ac:dyDescent="0.3">
      <c r="A204" s="593"/>
      <c r="B204" s="593"/>
      <c r="C204" s="587"/>
      <c r="D204" s="587"/>
      <c r="E204" s="587"/>
      <c r="F204" s="587"/>
      <c r="G204" s="588"/>
      <c r="H204" s="587"/>
      <c r="I204" s="587"/>
      <c r="J204" s="587"/>
      <c r="K204" s="587"/>
      <c r="L204" s="587"/>
      <c r="M204" s="587"/>
      <c r="N204" s="587"/>
    </row>
    <row r="205" spans="1:14" ht="14" x14ac:dyDescent="0.3">
      <c r="A205" s="593"/>
      <c r="B205" s="593"/>
      <c r="C205" s="587"/>
      <c r="D205" s="587"/>
      <c r="E205" s="587"/>
      <c r="F205" s="587"/>
      <c r="G205" s="588"/>
      <c r="H205" s="587"/>
      <c r="I205" s="587"/>
      <c r="J205" s="587"/>
      <c r="K205" s="587"/>
      <c r="L205" s="587"/>
      <c r="M205" s="587"/>
      <c r="N205" s="587"/>
    </row>
    <row r="206" spans="1:14" ht="14" x14ac:dyDescent="0.3">
      <c r="A206" s="593"/>
      <c r="B206" s="593"/>
      <c r="C206" s="587"/>
      <c r="D206" s="587"/>
      <c r="E206" s="587"/>
      <c r="F206" s="587"/>
      <c r="G206" s="588"/>
      <c r="H206" s="587"/>
      <c r="I206" s="587"/>
      <c r="J206" s="587"/>
      <c r="K206" s="587"/>
      <c r="L206" s="587"/>
      <c r="M206" s="587"/>
      <c r="N206" s="587"/>
    </row>
    <row r="207" spans="1:14" ht="14" x14ac:dyDescent="0.3">
      <c r="A207" s="593"/>
      <c r="B207" s="593"/>
      <c r="C207" s="587"/>
      <c r="D207" s="587"/>
      <c r="E207" s="587"/>
      <c r="F207" s="587"/>
      <c r="G207" s="588"/>
      <c r="H207" s="587"/>
      <c r="I207" s="587"/>
      <c r="J207" s="587"/>
      <c r="K207" s="587"/>
      <c r="L207" s="587"/>
      <c r="M207" s="587"/>
      <c r="N207" s="587"/>
    </row>
    <row r="208" spans="1:14" ht="14" x14ac:dyDescent="0.3">
      <c r="A208" s="593"/>
      <c r="B208" s="593"/>
      <c r="C208" s="587"/>
      <c r="D208" s="587"/>
      <c r="E208" s="587"/>
      <c r="F208" s="587"/>
      <c r="G208" s="588"/>
      <c r="H208" s="587"/>
      <c r="I208" s="587"/>
      <c r="J208" s="587"/>
      <c r="K208" s="587"/>
      <c r="L208" s="587"/>
      <c r="M208" s="587"/>
      <c r="N208" s="587"/>
    </row>
    <row r="209" spans="1:14" ht="14" x14ac:dyDescent="0.3">
      <c r="A209" s="593"/>
      <c r="B209" s="593"/>
      <c r="C209" s="587"/>
      <c r="D209" s="587"/>
      <c r="E209" s="587"/>
      <c r="F209" s="587"/>
      <c r="G209" s="588"/>
      <c r="H209" s="587"/>
      <c r="I209" s="587"/>
      <c r="J209" s="587"/>
      <c r="K209" s="587"/>
      <c r="L209" s="587"/>
      <c r="M209" s="587"/>
      <c r="N209" s="587"/>
    </row>
    <row r="210" spans="1:14" ht="14" x14ac:dyDescent="0.3">
      <c r="A210" s="593"/>
      <c r="B210" s="593"/>
      <c r="C210" s="587"/>
      <c r="D210" s="587"/>
      <c r="E210" s="587"/>
      <c r="F210" s="587"/>
      <c r="G210" s="588"/>
      <c r="H210" s="587"/>
      <c r="I210" s="587"/>
      <c r="J210" s="587"/>
      <c r="K210" s="587"/>
      <c r="L210" s="587"/>
      <c r="M210" s="587"/>
      <c r="N210" s="587"/>
    </row>
    <row r="211" spans="1:14" ht="14" x14ac:dyDescent="0.3">
      <c r="A211" s="593"/>
      <c r="B211" s="593"/>
      <c r="C211" s="587"/>
      <c r="D211" s="587"/>
      <c r="E211" s="587"/>
      <c r="F211" s="587"/>
      <c r="G211" s="588"/>
      <c r="H211" s="587"/>
      <c r="I211" s="587"/>
      <c r="J211" s="587"/>
      <c r="K211" s="587"/>
      <c r="L211" s="587"/>
      <c r="M211" s="587"/>
      <c r="N211" s="587"/>
    </row>
    <row r="212" spans="1:14" ht="14" x14ac:dyDescent="0.3">
      <c r="A212" s="593"/>
      <c r="B212" s="593"/>
      <c r="C212" s="587"/>
      <c r="D212" s="587"/>
      <c r="E212" s="587"/>
      <c r="F212" s="587"/>
      <c r="G212" s="588"/>
      <c r="H212" s="587"/>
      <c r="I212" s="587"/>
      <c r="J212" s="587"/>
      <c r="K212" s="587"/>
      <c r="L212" s="587"/>
      <c r="M212" s="587"/>
      <c r="N212" s="587"/>
    </row>
    <row r="213" spans="1:14" ht="14" x14ac:dyDescent="0.3">
      <c r="A213" s="593"/>
      <c r="B213" s="593"/>
      <c r="C213" s="587"/>
      <c r="D213" s="587"/>
      <c r="E213" s="587"/>
      <c r="F213" s="587"/>
      <c r="G213" s="588"/>
      <c r="H213" s="587"/>
      <c r="I213" s="587"/>
      <c r="J213" s="587"/>
      <c r="K213" s="587"/>
      <c r="L213" s="587"/>
      <c r="M213" s="587"/>
      <c r="N213" s="587"/>
    </row>
    <row r="214" spans="1:14" ht="14" x14ac:dyDescent="0.3">
      <c r="A214" s="593"/>
      <c r="B214" s="593"/>
      <c r="C214" s="587"/>
      <c r="D214" s="587"/>
      <c r="E214" s="587"/>
      <c r="F214" s="587"/>
      <c r="G214" s="588"/>
      <c r="H214" s="587"/>
      <c r="I214" s="587"/>
      <c r="J214" s="587"/>
      <c r="K214" s="587"/>
      <c r="L214" s="587"/>
      <c r="M214" s="587"/>
      <c r="N214" s="587"/>
    </row>
    <row r="215" spans="1:14" ht="14" x14ac:dyDescent="0.3">
      <c r="A215" s="593"/>
      <c r="B215" s="593"/>
      <c r="C215" s="587"/>
      <c r="D215" s="587"/>
      <c r="E215" s="587"/>
      <c r="F215" s="587"/>
      <c r="G215" s="588"/>
      <c r="H215" s="587"/>
      <c r="I215" s="587"/>
      <c r="J215" s="587"/>
      <c r="K215" s="587"/>
      <c r="L215" s="587"/>
      <c r="M215" s="587"/>
      <c r="N215" s="587"/>
    </row>
    <row r="216" spans="1:14" ht="14" x14ac:dyDescent="0.3">
      <c r="A216" s="593"/>
      <c r="B216" s="593"/>
      <c r="C216" s="587"/>
      <c r="D216" s="587"/>
      <c r="E216" s="587"/>
      <c r="F216" s="587"/>
      <c r="G216" s="588"/>
      <c r="H216" s="587"/>
      <c r="I216" s="587"/>
      <c r="J216" s="587"/>
      <c r="K216" s="587"/>
      <c r="L216" s="587"/>
      <c r="M216" s="587"/>
      <c r="N216" s="587"/>
    </row>
    <row r="217" spans="1:14" ht="14" x14ac:dyDescent="0.3">
      <c r="A217" s="593"/>
      <c r="B217" s="593"/>
      <c r="C217" s="587"/>
      <c r="D217" s="587"/>
      <c r="E217" s="587"/>
      <c r="F217" s="587"/>
      <c r="G217" s="588"/>
      <c r="H217" s="587"/>
      <c r="I217" s="587"/>
      <c r="J217" s="587"/>
      <c r="K217" s="587"/>
      <c r="L217" s="587"/>
      <c r="M217" s="587"/>
      <c r="N217" s="587"/>
    </row>
    <row r="218" spans="1:14" ht="14" x14ac:dyDescent="0.3">
      <c r="A218" s="593"/>
      <c r="B218" s="593"/>
      <c r="C218" s="587"/>
      <c r="D218" s="587"/>
      <c r="E218" s="587"/>
      <c r="F218" s="587"/>
      <c r="G218" s="588"/>
      <c r="H218" s="587"/>
      <c r="I218" s="587"/>
      <c r="J218" s="587"/>
      <c r="K218" s="587"/>
      <c r="L218" s="587"/>
      <c r="M218" s="587"/>
      <c r="N218" s="587"/>
    </row>
    <row r="219" spans="1:14" ht="14" x14ac:dyDescent="0.3">
      <c r="A219" s="593"/>
      <c r="B219" s="593"/>
      <c r="C219" s="587"/>
      <c r="D219" s="587"/>
      <c r="E219" s="587"/>
      <c r="F219" s="587"/>
      <c r="G219" s="588"/>
      <c r="H219" s="587"/>
      <c r="I219" s="587"/>
      <c r="J219" s="587"/>
      <c r="K219" s="587"/>
      <c r="L219" s="587"/>
      <c r="M219" s="587"/>
      <c r="N219" s="587"/>
    </row>
    <row r="220" spans="1:14" ht="14" x14ac:dyDescent="0.3">
      <c r="A220" s="593"/>
      <c r="B220" s="593"/>
      <c r="C220" s="587"/>
      <c r="D220" s="587"/>
      <c r="E220" s="587"/>
      <c r="F220" s="587"/>
      <c r="G220" s="588"/>
      <c r="H220" s="587"/>
      <c r="I220" s="587"/>
      <c r="J220" s="587"/>
      <c r="K220" s="587"/>
      <c r="L220" s="587"/>
      <c r="M220" s="587"/>
      <c r="N220" s="587"/>
    </row>
    <row r="221" spans="1:14" ht="14" x14ac:dyDescent="0.3">
      <c r="A221" s="593"/>
      <c r="B221" s="593"/>
      <c r="C221" s="587"/>
      <c r="D221" s="587"/>
      <c r="E221" s="587"/>
      <c r="F221" s="587"/>
      <c r="G221" s="588"/>
      <c r="H221" s="587"/>
      <c r="I221" s="587"/>
      <c r="J221" s="587"/>
      <c r="K221" s="587"/>
      <c r="L221" s="587"/>
      <c r="M221" s="587"/>
      <c r="N221" s="587"/>
    </row>
    <row r="222" spans="1:14" ht="14" x14ac:dyDescent="0.3">
      <c r="A222" s="593"/>
      <c r="B222" s="593"/>
      <c r="C222" s="587"/>
      <c r="D222" s="587"/>
      <c r="E222" s="587"/>
      <c r="F222" s="587"/>
      <c r="G222" s="588"/>
      <c r="H222" s="587"/>
      <c r="I222" s="587"/>
      <c r="J222" s="587"/>
      <c r="K222" s="587"/>
      <c r="L222" s="587"/>
      <c r="M222" s="587"/>
      <c r="N222" s="587"/>
    </row>
    <row r="223" spans="1:14" ht="14" x14ac:dyDescent="0.3">
      <c r="A223" s="593"/>
      <c r="B223" s="593"/>
      <c r="C223" s="587"/>
      <c r="D223" s="587"/>
      <c r="E223" s="587"/>
      <c r="F223" s="587"/>
      <c r="G223" s="588"/>
      <c r="H223" s="587"/>
      <c r="I223" s="587"/>
      <c r="J223" s="587"/>
      <c r="K223" s="587"/>
      <c r="L223" s="587"/>
      <c r="M223" s="587"/>
      <c r="N223" s="587"/>
    </row>
    <row r="224" spans="1:14" ht="14" x14ac:dyDescent="0.3">
      <c r="A224" s="593"/>
      <c r="B224" s="593"/>
      <c r="C224" s="587"/>
      <c r="D224" s="587"/>
      <c r="E224" s="587"/>
      <c r="F224" s="587"/>
      <c r="G224" s="588"/>
      <c r="H224" s="587"/>
      <c r="I224" s="587"/>
      <c r="J224" s="587"/>
      <c r="K224" s="587"/>
      <c r="L224" s="587"/>
      <c r="M224" s="587"/>
      <c r="N224" s="587"/>
    </row>
    <row r="225" spans="1:14" ht="14" x14ac:dyDescent="0.3">
      <c r="A225" s="593"/>
      <c r="B225" s="593"/>
      <c r="C225" s="587"/>
      <c r="D225" s="587"/>
      <c r="E225" s="587"/>
      <c r="F225" s="587"/>
      <c r="G225" s="588"/>
      <c r="H225" s="587"/>
      <c r="I225" s="587"/>
      <c r="J225" s="587"/>
      <c r="K225" s="587"/>
      <c r="L225" s="587"/>
      <c r="M225" s="587"/>
      <c r="N225" s="587"/>
    </row>
    <row r="226" spans="1:14" ht="14" x14ac:dyDescent="0.3">
      <c r="A226" s="593"/>
      <c r="B226" s="593"/>
      <c r="C226" s="587"/>
      <c r="D226" s="587"/>
      <c r="E226" s="587"/>
      <c r="F226" s="587"/>
      <c r="G226" s="588"/>
      <c r="H226" s="587"/>
      <c r="I226" s="587"/>
      <c r="J226" s="587"/>
      <c r="K226" s="587"/>
      <c r="L226" s="587"/>
      <c r="M226" s="587"/>
      <c r="N226" s="587"/>
    </row>
    <row r="227" spans="1:14" ht="14" x14ac:dyDescent="0.3">
      <c r="A227" s="593"/>
      <c r="B227" s="593"/>
      <c r="C227" s="587"/>
      <c r="D227" s="587"/>
      <c r="E227" s="587"/>
      <c r="F227" s="587"/>
      <c r="G227" s="588"/>
      <c r="H227" s="587"/>
      <c r="I227" s="587"/>
      <c r="J227" s="587"/>
      <c r="K227" s="587"/>
      <c r="L227" s="587"/>
      <c r="M227" s="587"/>
      <c r="N227" s="587"/>
    </row>
    <row r="228" spans="1:14" ht="14" x14ac:dyDescent="0.3">
      <c r="A228" s="593"/>
      <c r="B228" s="593"/>
      <c r="C228" s="587"/>
      <c r="D228" s="587"/>
      <c r="E228" s="587"/>
      <c r="F228" s="587"/>
      <c r="G228" s="588"/>
      <c r="H228" s="587"/>
      <c r="I228" s="587"/>
      <c r="J228" s="587"/>
      <c r="K228" s="587"/>
      <c r="L228" s="587"/>
      <c r="M228" s="587"/>
      <c r="N228" s="587"/>
    </row>
    <row r="229" spans="1:14" ht="14" x14ac:dyDescent="0.3">
      <c r="A229" s="593"/>
      <c r="B229" s="593"/>
      <c r="C229" s="587"/>
      <c r="D229" s="587"/>
      <c r="E229" s="587"/>
      <c r="F229" s="587"/>
      <c r="G229" s="588"/>
      <c r="H229" s="587"/>
      <c r="I229" s="587"/>
      <c r="J229" s="587"/>
      <c r="K229" s="587"/>
      <c r="L229" s="587"/>
      <c r="M229" s="587"/>
      <c r="N229" s="587"/>
    </row>
    <row r="230" spans="1:14" ht="14" x14ac:dyDescent="0.3">
      <c r="A230" s="593"/>
      <c r="B230" s="593"/>
      <c r="C230" s="587"/>
      <c r="D230" s="587"/>
      <c r="E230" s="587"/>
      <c r="F230" s="587"/>
      <c r="G230" s="588"/>
      <c r="H230" s="587"/>
      <c r="I230" s="587"/>
      <c r="J230" s="587"/>
      <c r="K230" s="587"/>
      <c r="L230" s="587"/>
      <c r="M230" s="587"/>
      <c r="N230" s="587"/>
    </row>
    <row r="231" spans="1:14" ht="14" x14ac:dyDescent="0.3">
      <c r="A231" s="593"/>
      <c r="B231" s="593"/>
      <c r="C231" s="587"/>
      <c r="D231" s="587"/>
      <c r="E231" s="587"/>
      <c r="F231" s="587"/>
      <c r="G231" s="588"/>
      <c r="H231" s="587"/>
      <c r="I231" s="587"/>
      <c r="J231" s="587"/>
      <c r="K231" s="587"/>
      <c r="L231" s="587"/>
      <c r="M231" s="587"/>
      <c r="N231" s="587"/>
    </row>
    <row r="232" spans="1:14" ht="14" x14ac:dyDescent="0.3">
      <c r="A232" s="593"/>
      <c r="B232" s="593"/>
      <c r="C232" s="587"/>
      <c r="D232" s="587"/>
      <c r="E232" s="587"/>
      <c r="F232" s="587"/>
      <c r="G232" s="588"/>
      <c r="H232" s="587"/>
      <c r="I232" s="587"/>
      <c r="J232" s="587"/>
      <c r="K232" s="587"/>
      <c r="L232" s="587"/>
      <c r="M232" s="587"/>
      <c r="N232" s="587"/>
    </row>
    <row r="233" spans="1:14" ht="14" x14ac:dyDescent="0.3">
      <c r="A233" s="593"/>
      <c r="B233" s="593"/>
      <c r="C233" s="587"/>
      <c r="D233" s="587"/>
      <c r="E233" s="587"/>
      <c r="F233" s="587"/>
      <c r="G233" s="588"/>
      <c r="H233" s="587"/>
      <c r="I233" s="587"/>
      <c r="J233" s="587"/>
      <c r="K233" s="587"/>
      <c r="L233" s="587"/>
      <c r="M233" s="587"/>
      <c r="N233" s="587"/>
    </row>
    <row r="234" spans="1:14" ht="14" x14ac:dyDescent="0.3">
      <c r="A234" s="593"/>
      <c r="B234" s="593"/>
      <c r="C234" s="587"/>
      <c r="D234" s="587"/>
      <c r="E234" s="587"/>
      <c r="F234" s="587"/>
      <c r="G234" s="588"/>
      <c r="H234" s="587"/>
      <c r="I234" s="587"/>
      <c r="J234" s="587"/>
      <c r="K234" s="587"/>
      <c r="L234" s="587"/>
      <c r="M234" s="587"/>
      <c r="N234" s="587"/>
    </row>
    <row r="235" spans="1:14" ht="14" x14ac:dyDescent="0.3">
      <c r="A235" s="593"/>
      <c r="B235" s="593"/>
      <c r="C235" s="587"/>
      <c r="D235" s="587"/>
      <c r="E235" s="587"/>
      <c r="F235" s="587"/>
      <c r="G235" s="588"/>
      <c r="H235" s="587"/>
      <c r="I235" s="587"/>
      <c r="J235" s="587"/>
      <c r="K235" s="587"/>
      <c r="L235" s="587"/>
      <c r="M235" s="587"/>
      <c r="N235" s="587"/>
    </row>
    <row r="236" spans="1:14" ht="14" x14ac:dyDescent="0.3">
      <c r="A236" s="593"/>
      <c r="B236" s="593"/>
      <c r="C236" s="587"/>
      <c r="D236" s="587"/>
      <c r="E236" s="587"/>
      <c r="F236" s="587"/>
      <c r="G236" s="588"/>
      <c r="H236" s="587"/>
      <c r="I236" s="587"/>
      <c r="J236" s="587"/>
      <c r="K236" s="587"/>
      <c r="L236" s="587"/>
      <c r="M236" s="587"/>
      <c r="N236" s="587"/>
    </row>
    <row r="237" spans="1:14" ht="14" x14ac:dyDescent="0.3">
      <c r="A237" s="593"/>
      <c r="B237" s="593"/>
      <c r="C237" s="587"/>
      <c r="D237" s="587"/>
      <c r="E237" s="587"/>
      <c r="F237" s="587"/>
      <c r="G237" s="588"/>
      <c r="H237" s="587"/>
      <c r="I237" s="587"/>
      <c r="J237" s="587"/>
      <c r="K237" s="587"/>
      <c r="L237" s="587"/>
      <c r="M237" s="587"/>
      <c r="N237" s="587"/>
    </row>
    <row r="238" spans="1:14" ht="14" x14ac:dyDescent="0.3">
      <c r="A238" s="593"/>
      <c r="B238" s="593"/>
      <c r="C238" s="587"/>
      <c r="D238" s="587"/>
      <c r="E238" s="587"/>
      <c r="F238" s="587"/>
      <c r="G238" s="588"/>
      <c r="H238" s="587"/>
      <c r="I238" s="587"/>
      <c r="J238" s="587"/>
      <c r="K238" s="587"/>
      <c r="L238" s="587"/>
      <c r="M238" s="587"/>
      <c r="N238" s="587"/>
    </row>
    <row r="239" spans="1:14" ht="14" x14ac:dyDescent="0.3">
      <c r="A239" s="593"/>
      <c r="B239" s="593"/>
      <c r="C239" s="587"/>
      <c r="D239" s="587"/>
      <c r="E239" s="587"/>
      <c r="F239" s="587"/>
      <c r="G239" s="588"/>
      <c r="H239" s="587"/>
      <c r="I239" s="587"/>
      <c r="J239" s="587"/>
      <c r="K239" s="587"/>
      <c r="L239" s="587"/>
      <c r="M239" s="587"/>
      <c r="N239" s="587"/>
    </row>
    <row r="240" spans="1:14" ht="14" x14ac:dyDescent="0.3">
      <c r="A240" s="593"/>
      <c r="B240" s="593"/>
      <c r="C240" s="587"/>
      <c r="D240" s="587"/>
      <c r="E240" s="587"/>
      <c r="F240" s="587"/>
      <c r="G240" s="588"/>
      <c r="H240" s="587"/>
      <c r="I240" s="587"/>
      <c r="J240" s="587"/>
      <c r="K240" s="587"/>
      <c r="L240" s="587"/>
      <c r="M240" s="587"/>
      <c r="N240" s="587"/>
    </row>
    <row r="241" spans="1:14" ht="14" x14ac:dyDescent="0.3">
      <c r="A241" s="593"/>
      <c r="B241" s="593"/>
      <c r="C241" s="587"/>
      <c r="D241" s="587"/>
      <c r="E241" s="587"/>
      <c r="F241" s="587"/>
      <c r="G241" s="588"/>
      <c r="H241" s="587"/>
      <c r="I241" s="587"/>
      <c r="J241" s="587"/>
      <c r="K241" s="587"/>
      <c r="L241" s="587"/>
      <c r="M241" s="587"/>
      <c r="N241" s="587"/>
    </row>
    <row r="242" spans="1:14" ht="14" x14ac:dyDescent="0.3">
      <c r="A242" s="593"/>
      <c r="B242" s="593"/>
      <c r="C242" s="587"/>
      <c r="D242" s="587"/>
      <c r="E242" s="587"/>
      <c r="F242" s="587"/>
      <c r="G242" s="588"/>
      <c r="H242" s="587"/>
      <c r="I242" s="587"/>
      <c r="J242" s="587"/>
      <c r="K242" s="587"/>
      <c r="L242" s="587"/>
      <c r="M242" s="587"/>
      <c r="N242" s="587"/>
    </row>
    <row r="243" spans="1:14" ht="14" x14ac:dyDescent="0.3">
      <c r="A243" s="593"/>
      <c r="B243" s="593"/>
      <c r="C243" s="587"/>
      <c r="D243" s="587"/>
      <c r="E243" s="587"/>
      <c r="F243" s="587"/>
      <c r="G243" s="588"/>
      <c r="H243" s="587"/>
      <c r="I243" s="587"/>
      <c r="J243" s="587"/>
      <c r="K243" s="587"/>
      <c r="L243" s="587"/>
      <c r="M243" s="587"/>
      <c r="N243" s="587"/>
    </row>
    <row r="244" spans="1:14" ht="14" x14ac:dyDescent="0.3">
      <c r="A244" s="593"/>
      <c r="B244" s="593"/>
      <c r="C244" s="587"/>
      <c r="D244" s="587"/>
      <c r="E244" s="587"/>
      <c r="F244" s="587"/>
      <c r="G244" s="588"/>
      <c r="H244" s="587"/>
      <c r="I244" s="587"/>
      <c r="J244" s="587"/>
      <c r="K244" s="587"/>
      <c r="L244" s="587"/>
      <c r="M244" s="587"/>
      <c r="N244" s="587"/>
    </row>
    <row r="245" spans="1:14" ht="14" x14ac:dyDescent="0.3">
      <c r="A245" s="593"/>
      <c r="B245" s="593"/>
      <c r="C245" s="587"/>
      <c r="D245" s="587"/>
      <c r="E245" s="587"/>
      <c r="F245" s="587"/>
      <c r="G245" s="588"/>
      <c r="H245" s="587"/>
      <c r="I245" s="587"/>
      <c r="J245" s="587"/>
      <c r="K245" s="587"/>
      <c r="L245" s="587"/>
      <c r="M245" s="587"/>
      <c r="N245" s="587"/>
    </row>
    <row r="246" spans="1:14" ht="14" x14ac:dyDescent="0.3">
      <c r="A246" s="593"/>
      <c r="B246" s="593"/>
      <c r="C246" s="587"/>
      <c r="D246" s="587"/>
      <c r="E246" s="587"/>
      <c r="F246" s="587"/>
      <c r="G246" s="588"/>
      <c r="H246" s="587"/>
      <c r="I246" s="587"/>
      <c r="J246" s="587"/>
      <c r="K246" s="587"/>
      <c r="L246" s="587"/>
      <c r="M246" s="587"/>
      <c r="N246" s="587"/>
    </row>
    <row r="247" spans="1:14" ht="14" x14ac:dyDescent="0.3">
      <c r="A247" s="593"/>
      <c r="B247" s="593"/>
      <c r="C247" s="587"/>
      <c r="D247" s="587"/>
      <c r="E247" s="587"/>
      <c r="F247" s="587"/>
      <c r="G247" s="588"/>
      <c r="H247" s="587"/>
      <c r="I247" s="587"/>
      <c r="J247" s="587"/>
      <c r="K247" s="587"/>
      <c r="L247" s="587"/>
      <c r="M247" s="587"/>
      <c r="N247" s="587"/>
    </row>
    <row r="248" spans="1:14" ht="14" x14ac:dyDescent="0.3">
      <c r="A248" s="593"/>
      <c r="B248" s="593"/>
      <c r="C248" s="587"/>
      <c r="D248" s="587"/>
      <c r="E248" s="587"/>
      <c r="F248" s="587"/>
      <c r="G248" s="588"/>
      <c r="H248" s="587"/>
      <c r="I248" s="587"/>
      <c r="J248" s="587"/>
      <c r="K248" s="587"/>
      <c r="L248" s="587"/>
      <c r="M248" s="587"/>
      <c r="N248" s="587"/>
    </row>
    <row r="249" spans="1:14" ht="14" x14ac:dyDescent="0.3">
      <c r="A249" s="593"/>
      <c r="B249" s="593"/>
      <c r="C249" s="587"/>
      <c r="D249" s="587"/>
      <c r="E249" s="587"/>
      <c r="F249" s="587"/>
      <c r="G249" s="588"/>
      <c r="H249" s="587"/>
      <c r="I249" s="587"/>
      <c r="J249" s="587"/>
      <c r="K249" s="587"/>
      <c r="L249" s="587"/>
      <c r="M249" s="587"/>
      <c r="N249" s="587"/>
    </row>
    <row r="250" spans="1:14" ht="14" x14ac:dyDescent="0.3">
      <c r="A250" s="593"/>
      <c r="B250" s="593"/>
      <c r="C250" s="587"/>
      <c r="D250" s="587"/>
      <c r="E250" s="587"/>
      <c r="F250" s="587"/>
      <c r="G250" s="588"/>
      <c r="H250" s="587"/>
      <c r="I250" s="587"/>
      <c r="J250" s="587"/>
      <c r="K250" s="587"/>
      <c r="L250" s="587"/>
      <c r="M250" s="587"/>
      <c r="N250" s="587"/>
    </row>
    <row r="251" spans="1:14" ht="14" x14ac:dyDescent="0.3">
      <c r="A251" s="593"/>
      <c r="B251" s="593"/>
      <c r="C251" s="587"/>
      <c r="D251" s="587"/>
      <c r="E251" s="587"/>
      <c r="F251" s="587"/>
      <c r="G251" s="588"/>
      <c r="H251" s="587"/>
      <c r="I251" s="587"/>
      <c r="J251" s="587"/>
      <c r="K251" s="587"/>
      <c r="L251" s="587"/>
      <c r="M251" s="587"/>
      <c r="N251" s="587"/>
    </row>
    <row r="252" spans="1:14" ht="14" x14ac:dyDescent="0.3">
      <c r="A252" s="593"/>
      <c r="B252" s="593"/>
      <c r="C252" s="587"/>
      <c r="D252" s="587"/>
      <c r="E252" s="587"/>
      <c r="F252" s="587"/>
      <c r="G252" s="588"/>
      <c r="H252" s="587"/>
      <c r="I252" s="587"/>
      <c r="J252" s="587"/>
      <c r="K252" s="587"/>
      <c r="L252" s="587"/>
      <c r="M252" s="587"/>
      <c r="N252" s="587"/>
    </row>
    <row r="253" spans="1:14" ht="14" x14ac:dyDescent="0.3">
      <c r="A253" s="593"/>
      <c r="B253" s="593"/>
      <c r="C253" s="587"/>
      <c r="D253" s="587"/>
      <c r="E253" s="587"/>
      <c r="F253" s="587"/>
      <c r="G253" s="588"/>
      <c r="H253" s="587"/>
      <c r="I253" s="587"/>
      <c r="J253" s="587"/>
      <c r="K253" s="587"/>
      <c r="L253" s="587"/>
      <c r="M253" s="587"/>
      <c r="N253" s="587"/>
    </row>
    <row r="254" spans="1:14" ht="14" x14ac:dyDescent="0.3">
      <c r="A254" s="593"/>
      <c r="B254" s="593"/>
      <c r="C254" s="587"/>
      <c r="D254" s="587"/>
      <c r="E254" s="587"/>
      <c r="F254" s="587"/>
      <c r="G254" s="588"/>
      <c r="H254" s="587"/>
      <c r="I254" s="587"/>
      <c r="J254" s="587"/>
      <c r="K254" s="587"/>
      <c r="L254" s="587"/>
      <c r="M254" s="587"/>
      <c r="N254" s="587"/>
    </row>
  </sheetData>
  <mergeCells count="7">
    <mergeCell ref="A4:N4"/>
    <mergeCell ref="A5:N5"/>
    <mergeCell ref="A6:N6"/>
    <mergeCell ref="A8:N8"/>
    <mergeCell ref="E11:G11"/>
    <mergeCell ref="I11:K11"/>
    <mergeCell ref="M11:N11"/>
  </mergeCells>
  <pageMargins left="0.7" right="0.7" top="0.75" bottom="0.75" header="0.3" footer="0.3"/>
  <pageSetup scale="64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D0432-CD16-48CA-A89C-5C47FAD20DDD}">
  <sheetPr>
    <tabColor theme="3" tint="0.59999389629810485"/>
    <pageSetUpPr fitToPage="1"/>
  </sheetPr>
  <dimension ref="A1:AD78"/>
  <sheetViews>
    <sheetView zoomScale="92" zoomScaleNormal="100" workbookViewId="0"/>
  </sheetViews>
  <sheetFormatPr defaultRowHeight="12.5" x14ac:dyDescent="0.25"/>
  <cols>
    <col min="1" max="1" width="4" customWidth="1"/>
    <col min="2" max="2" width="4.453125" bestFit="1" customWidth="1"/>
    <col min="3" max="3" width="9.7265625" customWidth="1"/>
    <col min="4" max="4" width="10.7265625" customWidth="1"/>
    <col min="5" max="7" width="14.54296875" customWidth="1"/>
    <col min="8" max="8" width="1.7265625" customWidth="1"/>
    <col min="9" max="11" width="14.54296875" customWidth="1"/>
    <col min="12" max="12" width="1.7265625" customWidth="1"/>
    <col min="13" max="14" width="11.7265625" customWidth="1"/>
    <col min="15" max="15" width="9.26953125" bestFit="1" customWidth="1"/>
    <col min="16" max="16" width="11.1796875" bestFit="1" customWidth="1"/>
    <col min="17" max="18" width="9.26953125" bestFit="1" customWidth="1"/>
    <col min="19" max="19" width="10.1796875" bestFit="1" customWidth="1"/>
  </cols>
  <sheetData>
    <row r="1" spans="1:30" ht="14" x14ac:dyDescent="0.3">
      <c r="C1" s="527"/>
      <c r="D1" s="618"/>
      <c r="E1" s="618"/>
      <c r="F1" s="618"/>
      <c r="G1" s="619"/>
    </row>
    <row r="2" spans="1:30" ht="14" x14ac:dyDescent="0.3">
      <c r="C2" s="528"/>
      <c r="D2" s="618"/>
      <c r="E2" s="618"/>
      <c r="F2" s="618"/>
      <c r="G2" s="528"/>
    </row>
    <row r="3" spans="1:30" ht="14" x14ac:dyDescent="0.3">
      <c r="C3" s="620"/>
      <c r="D3" s="585" t="s">
        <v>46</v>
      </c>
      <c r="E3" s="620"/>
      <c r="F3" s="585"/>
      <c r="G3" s="528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</row>
    <row r="4" spans="1:30" ht="14" x14ac:dyDescent="0.3">
      <c r="A4" s="757" t="str">
        <f>+'Bill_WMA 23'!A4</f>
        <v>Western Massachusetts</v>
      </c>
      <c r="B4" s="757"/>
      <c r="C4" s="757"/>
      <c r="D4" s="757"/>
      <c r="E4" s="757"/>
      <c r="F4" s="757"/>
      <c r="G4" s="757"/>
      <c r="H4" s="757"/>
      <c r="I4" s="757"/>
      <c r="J4" s="757"/>
      <c r="K4" s="757"/>
      <c r="L4" s="757"/>
      <c r="M4" s="757"/>
      <c r="N4" s="757"/>
      <c r="O4" s="620"/>
      <c r="P4" s="620"/>
      <c r="Q4" s="620"/>
      <c r="R4" s="620"/>
      <c r="S4" s="620"/>
      <c r="T4" s="620"/>
      <c r="U4" s="620"/>
      <c r="V4" s="620"/>
      <c r="W4" s="620"/>
    </row>
    <row r="5" spans="1:30" ht="14" x14ac:dyDescent="0.3">
      <c r="A5" s="757" t="str">
        <f>+'Bill_WMA 23'!A5</f>
        <v>Calculation of Monthly Typical Bill</v>
      </c>
      <c r="B5" s="757"/>
      <c r="C5" s="757"/>
      <c r="D5" s="757"/>
      <c r="E5" s="757"/>
      <c r="F5" s="757"/>
      <c r="G5" s="757"/>
      <c r="H5" s="757"/>
      <c r="I5" s="757"/>
      <c r="J5" s="757"/>
      <c r="K5" s="757"/>
      <c r="L5" s="757"/>
      <c r="M5" s="757"/>
      <c r="N5" s="757"/>
      <c r="O5" s="620"/>
      <c r="P5" s="620"/>
      <c r="Q5" s="620"/>
      <c r="R5" s="620"/>
      <c r="S5" s="620"/>
      <c r="T5" s="620"/>
      <c r="U5" s="620"/>
      <c r="V5" s="620"/>
      <c r="W5" s="620"/>
    </row>
    <row r="6" spans="1:30" ht="14" x14ac:dyDescent="0.3">
      <c r="A6" s="757" t="str">
        <f>+'Bill_WMA 23'!A6</f>
        <v>Proposed January 1, 2019</v>
      </c>
      <c r="B6" s="757"/>
      <c r="C6" s="757"/>
      <c r="D6" s="757"/>
      <c r="E6" s="757"/>
      <c r="F6" s="757"/>
      <c r="G6" s="757"/>
      <c r="H6" s="757"/>
      <c r="I6" s="757"/>
      <c r="J6" s="757"/>
      <c r="K6" s="757"/>
      <c r="L6" s="757"/>
      <c r="M6" s="757"/>
      <c r="N6" s="757"/>
      <c r="O6" s="620"/>
      <c r="P6" s="620"/>
      <c r="Q6" s="620"/>
      <c r="R6" s="620"/>
      <c r="S6" s="620"/>
      <c r="T6" s="620"/>
      <c r="U6" s="620"/>
      <c r="V6" s="620"/>
      <c r="W6" s="620"/>
    </row>
    <row r="7" spans="1:30" ht="14" x14ac:dyDescent="0.3">
      <c r="A7" s="518"/>
      <c r="B7" s="518"/>
      <c r="D7" s="555"/>
      <c r="E7" s="555"/>
      <c r="F7" s="555"/>
      <c r="G7" s="620"/>
      <c r="H7" s="620"/>
      <c r="I7" s="620"/>
      <c r="J7" s="620"/>
      <c r="K7" s="620"/>
      <c r="L7" s="620"/>
      <c r="M7" s="620"/>
      <c r="N7" s="620"/>
      <c r="O7" s="620"/>
      <c r="P7" s="620"/>
      <c r="Q7" s="620"/>
      <c r="R7" s="620"/>
      <c r="S7" s="620"/>
      <c r="T7" s="620"/>
      <c r="U7" s="620"/>
      <c r="V7" s="620"/>
      <c r="W7" s="620"/>
    </row>
    <row r="8" spans="1:30" ht="14" x14ac:dyDescent="0.3">
      <c r="A8" s="757" t="s">
        <v>513</v>
      </c>
      <c r="B8" s="757"/>
      <c r="C8" s="757"/>
      <c r="D8" s="757"/>
      <c r="E8" s="757"/>
      <c r="F8" s="757"/>
      <c r="G8" s="757"/>
      <c r="H8" s="757"/>
      <c r="I8" s="757"/>
      <c r="J8" s="757"/>
      <c r="K8" s="757"/>
      <c r="L8" s="757"/>
      <c r="M8" s="757"/>
      <c r="N8" s="757"/>
      <c r="O8" s="620"/>
      <c r="P8" s="620"/>
      <c r="Q8" s="620"/>
      <c r="R8" s="620"/>
      <c r="S8" s="620"/>
      <c r="T8" s="620"/>
      <c r="U8" s="620"/>
      <c r="V8" s="620"/>
      <c r="W8" s="620"/>
    </row>
    <row r="9" spans="1:30" ht="14" x14ac:dyDescent="0.3">
      <c r="A9" s="518"/>
      <c r="B9" s="518"/>
      <c r="D9" s="620"/>
      <c r="E9" s="620"/>
      <c r="F9" s="620"/>
      <c r="G9" s="620"/>
      <c r="H9" s="620"/>
      <c r="I9" s="620"/>
      <c r="J9" s="620"/>
      <c r="K9" s="620"/>
      <c r="L9" s="620"/>
      <c r="M9" s="620"/>
      <c r="N9" s="620"/>
      <c r="O9" s="620"/>
      <c r="P9" s="620"/>
      <c r="Q9" s="620"/>
      <c r="R9" s="620"/>
      <c r="S9" s="620"/>
      <c r="T9" s="620"/>
      <c r="U9" s="620"/>
      <c r="V9" s="620"/>
      <c r="W9" s="620"/>
    </row>
    <row r="10" spans="1:30" ht="14" x14ac:dyDescent="0.3">
      <c r="C10" s="620"/>
      <c r="D10" s="620"/>
      <c r="E10" s="620"/>
      <c r="F10" s="620"/>
      <c r="G10" s="620"/>
      <c r="H10" s="620"/>
      <c r="I10" s="620"/>
      <c r="J10" s="620"/>
      <c r="K10" s="620"/>
      <c r="L10" s="620"/>
      <c r="M10" s="620"/>
      <c r="N10" s="620"/>
      <c r="O10" s="620"/>
      <c r="P10" s="620"/>
      <c r="Q10" s="620"/>
      <c r="R10" s="620"/>
      <c r="S10" s="620"/>
      <c r="T10" s="620"/>
      <c r="U10" s="620"/>
      <c r="V10" s="620"/>
      <c r="W10" s="620"/>
    </row>
    <row r="11" spans="1:30" ht="14" x14ac:dyDescent="0.3">
      <c r="A11" s="329">
        <f>IF(C11&lt;&gt;"",COUNTA($C11:C$11),"")</f>
        <v>1</v>
      </c>
      <c r="B11" s="329"/>
      <c r="C11" s="621" t="str">
        <f>+'Bill_WMA G0'!C11</f>
        <v>Monthly</v>
      </c>
      <c r="D11" s="621" t="str">
        <f>+'Bill_WMA G0'!D11</f>
        <v>Monthly</v>
      </c>
      <c r="E11" s="768" t="str">
        <f>+'Bill_WMA 23'!D11</f>
        <v>Current Monthly Bill</v>
      </c>
      <c r="F11" s="768"/>
      <c r="G11" s="768"/>
      <c r="H11" s="620"/>
      <c r="I11" s="768" t="str">
        <f>+'Bill_WMA 23'!H11</f>
        <v>Proposed Monthly Bill</v>
      </c>
      <c r="J11" s="768"/>
      <c r="K11" s="768"/>
      <c r="L11" s="620"/>
      <c r="M11" s="768" t="str">
        <f>+'Bill_WMA 23'!L11</f>
        <v>Total Bill Impact</v>
      </c>
      <c r="N11" s="768"/>
      <c r="O11" s="559"/>
      <c r="P11" s="538"/>
      <c r="Q11" s="559"/>
      <c r="R11" s="559"/>
      <c r="S11" s="559"/>
      <c r="T11" s="559"/>
      <c r="U11" s="559"/>
      <c r="V11" s="559"/>
      <c r="W11" s="559"/>
      <c r="X11" s="538"/>
      <c r="Y11" s="559"/>
      <c r="Z11" s="559"/>
      <c r="AA11" s="559"/>
      <c r="AB11" s="559"/>
      <c r="AC11" s="559"/>
      <c r="AD11" s="559"/>
    </row>
    <row r="12" spans="1:30" ht="14" x14ac:dyDescent="0.3">
      <c r="A12" s="329">
        <f>IF(C12&lt;&gt;"",COUNTA($C$11:C12),"")</f>
        <v>2</v>
      </c>
      <c r="B12" s="329"/>
      <c r="C12" s="622" t="str">
        <f>+'Bill_WMA G0'!C12</f>
        <v>kW</v>
      </c>
      <c r="D12" s="622" t="str">
        <f>+'Bill_WMA G0'!D12</f>
        <v>kWh</v>
      </c>
      <c r="E12" s="622" t="str">
        <f>+'Bill_WMA 23'!D12</f>
        <v>Delivery</v>
      </c>
      <c r="F12" s="622" t="str">
        <f>+'Bill_WMA 23'!E12</f>
        <v>Supplier</v>
      </c>
      <c r="G12" s="622" t="str">
        <f>+'Bill_WMA 23'!F12</f>
        <v>Total</v>
      </c>
      <c r="H12" s="620"/>
      <c r="I12" s="622" t="str">
        <f>+'Bill_WMA 23'!H12</f>
        <v>Delivery</v>
      </c>
      <c r="J12" s="622" t="str">
        <f>+'Bill_WMA 23'!I12</f>
        <v>Supplier</v>
      </c>
      <c r="K12" s="622" t="str">
        <f>+'Bill_WMA 23'!J12</f>
        <v>Total</v>
      </c>
      <c r="L12" s="622"/>
      <c r="M12" s="622" t="str">
        <f>+'Bill_WMA 23'!L12</f>
        <v>Change</v>
      </c>
      <c r="N12" s="622" t="str">
        <f>+'Bill_WMA 23'!M12</f>
        <v>% Change</v>
      </c>
      <c r="O12" s="559"/>
      <c r="P12" s="539"/>
      <c r="Q12" s="559"/>
      <c r="R12" s="559"/>
      <c r="S12" s="559"/>
      <c r="T12" s="559"/>
      <c r="U12" s="559"/>
      <c r="V12" s="559"/>
      <c r="W12" s="559"/>
      <c r="X12" s="539"/>
      <c r="Y12" s="559"/>
      <c r="Z12" s="559"/>
      <c r="AA12" s="559"/>
      <c r="AB12" s="559"/>
      <c r="AC12" s="559"/>
      <c r="AD12" s="559"/>
    </row>
    <row r="13" spans="1:30" ht="14" x14ac:dyDescent="0.3">
      <c r="A13" s="329" t="str">
        <f>IF(C13&lt;&gt;"",COUNTA($C$11:C13),"")</f>
        <v/>
      </c>
      <c r="C13" s="620"/>
      <c r="D13" s="620"/>
      <c r="E13" s="592"/>
      <c r="H13" s="620"/>
      <c r="I13" s="592"/>
      <c r="J13" s="592"/>
      <c r="K13" s="592"/>
      <c r="L13" s="592"/>
      <c r="M13" s="620"/>
      <c r="N13" s="623"/>
      <c r="O13" s="559"/>
      <c r="P13" s="539"/>
      <c r="Q13" s="559"/>
      <c r="R13" s="559"/>
      <c r="S13" s="559"/>
      <c r="T13" s="559"/>
      <c r="U13" s="559"/>
      <c r="V13" s="559"/>
      <c r="W13" s="559"/>
      <c r="X13" s="539"/>
      <c r="Y13" s="559"/>
      <c r="Z13" s="559"/>
      <c r="AA13" s="559"/>
      <c r="AB13" s="559"/>
      <c r="AC13" s="559"/>
      <c r="AD13" s="559"/>
    </row>
    <row r="14" spans="1:30" ht="14" x14ac:dyDescent="0.3">
      <c r="A14" s="329">
        <f>IF(C14&lt;&gt;"",COUNTA($C$11:C14),"")</f>
        <v>3</v>
      </c>
      <c r="C14" s="587" t="str">
        <f>+'Bill_WMA G0'!C14</f>
        <v>Hours Use: 150</v>
      </c>
      <c r="D14" s="624"/>
      <c r="E14" s="592"/>
      <c r="H14" s="620"/>
      <c r="I14" s="592"/>
      <c r="J14" s="592"/>
      <c r="K14" s="592"/>
      <c r="L14" s="592"/>
      <c r="M14" s="620"/>
      <c r="N14" s="623"/>
      <c r="O14" s="559"/>
      <c r="P14" s="539"/>
      <c r="Q14" s="559"/>
      <c r="R14" s="559"/>
      <c r="S14" s="559"/>
      <c r="T14" s="559"/>
      <c r="U14" s="559"/>
      <c r="V14" s="559"/>
      <c r="W14" s="559"/>
      <c r="X14" s="539"/>
      <c r="Y14" s="559"/>
      <c r="Z14" s="559"/>
      <c r="AA14" s="559"/>
      <c r="AB14" s="559"/>
      <c r="AC14" s="559"/>
      <c r="AD14" s="559"/>
    </row>
    <row r="15" spans="1:30" ht="14" x14ac:dyDescent="0.3">
      <c r="A15" s="329">
        <f>IF(C15&lt;&gt;"",COUNTA($C$11:C15),"")</f>
        <v>4</v>
      </c>
      <c r="C15" s="593">
        <f>+'Bill_WMA G0'!C15</f>
        <v>5</v>
      </c>
      <c r="D15" s="596">
        <f>+C15*150</f>
        <v>750</v>
      </c>
      <c r="E15" s="625">
        <f t="shared" ref="E15:E20" si="0">$G$41+(SUM($G$42:$G$43)*MAX(0,$C15-2))+($D15*$G$44*$E$67)+($D15*$G$45*$E$68)+($D15*SUM($G$46:$G$64))</f>
        <v>113.46120000000001</v>
      </c>
      <c r="F15" s="625">
        <f t="shared" ref="F15:F20" si="1">+$D15*$G$65</f>
        <v>81.44250000000001</v>
      </c>
      <c r="G15" s="625">
        <f>SUM(E15:F15)</f>
        <v>194.90370000000001</v>
      </c>
      <c r="H15" s="626"/>
      <c r="I15" s="625">
        <f t="shared" ref="I15:I20" si="2">$I$41+(SUM($I$42:$I$43)*MAX(0,$C15-2))+($D15*$I$44*$E$67)+($D15*$I$45*$E$68)+($D15*SUM($I$46:$I$64))</f>
        <v>100.48560000000001</v>
      </c>
      <c r="J15" s="625">
        <f t="shared" ref="J15:J20" si="3">+$D15*$I$65</f>
        <v>92.662499999999994</v>
      </c>
      <c r="K15" s="625">
        <f>SUM(I15:J15)</f>
        <v>193.1481</v>
      </c>
      <c r="L15" s="625"/>
      <c r="M15" s="625">
        <f>K15-G15</f>
        <v>-1.7556000000000154</v>
      </c>
      <c r="N15" s="571">
        <f>M15/G15</f>
        <v>-9.0075252547797465E-3</v>
      </c>
      <c r="O15" s="565"/>
      <c r="P15" s="566"/>
      <c r="Q15" s="564"/>
      <c r="R15" s="564"/>
      <c r="S15" s="564"/>
      <c r="T15" s="564"/>
      <c r="U15" s="565"/>
      <c r="V15" s="564"/>
      <c r="W15" s="565"/>
      <c r="X15" s="566"/>
      <c r="Y15" s="564"/>
      <c r="Z15" s="564"/>
      <c r="AA15" s="564"/>
      <c r="AB15" s="564"/>
      <c r="AC15" s="565"/>
      <c r="AD15" s="564"/>
    </row>
    <row r="16" spans="1:30" ht="14" x14ac:dyDescent="0.3">
      <c r="A16" s="329">
        <f>IF(C16&lt;&gt;"",COUNTA($C$11:C16),"")</f>
        <v>5</v>
      </c>
      <c r="C16" s="593">
        <f>+'Bill_WMA G0'!C16</f>
        <v>10</v>
      </c>
      <c r="D16" s="596">
        <f t="shared" ref="D16:D20" si="4">+C16*150</f>
        <v>1500</v>
      </c>
      <c r="E16" s="625">
        <f t="shared" si="0"/>
        <v>235.38240000000002</v>
      </c>
      <c r="F16" s="625">
        <f t="shared" si="1"/>
        <v>162.88500000000002</v>
      </c>
      <c r="G16" s="625">
        <f>SUM(E16:F16)</f>
        <v>398.26740000000007</v>
      </c>
      <c r="H16" s="626"/>
      <c r="I16" s="625">
        <f t="shared" si="2"/>
        <v>204.03120000000001</v>
      </c>
      <c r="J16" s="625">
        <f t="shared" si="3"/>
        <v>185.32499999999999</v>
      </c>
      <c r="K16" s="625">
        <f>SUM(I16:J16)</f>
        <v>389.3562</v>
      </c>
      <c r="L16" s="625"/>
      <c r="M16" s="625">
        <f>K16-G16</f>
        <v>-8.9112000000000648</v>
      </c>
      <c r="N16" s="571">
        <f>M16/G16</f>
        <v>-2.237491695278113E-2</v>
      </c>
      <c r="O16" s="565"/>
      <c r="P16" s="566"/>
      <c r="Q16" s="564"/>
      <c r="R16" s="564"/>
      <c r="S16" s="564"/>
      <c r="T16" s="564"/>
      <c r="U16" s="565"/>
      <c r="V16" s="564"/>
      <c r="W16" s="565"/>
      <c r="X16" s="566"/>
      <c r="Y16" s="564"/>
      <c r="Z16" s="564"/>
      <c r="AA16" s="564"/>
      <c r="AB16" s="564"/>
      <c r="AC16" s="565"/>
      <c r="AD16" s="564"/>
    </row>
    <row r="17" spans="1:30" ht="14" x14ac:dyDescent="0.3">
      <c r="A17" s="329">
        <f>IF(C17&lt;&gt;"",COUNTA($C$11:C17),"")</f>
        <v>6</v>
      </c>
      <c r="C17" s="593">
        <f>+'Bill_WMA G0'!C17</f>
        <v>15</v>
      </c>
      <c r="D17" s="596">
        <f t="shared" si="4"/>
        <v>2250</v>
      </c>
      <c r="E17" s="625">
        <f t="shared" si="0"/>
        <v>357.30359999999996</v>
      </c>
      <c r="F17" s="625">
        <f t="shared" si="1"/>
        <v>244.32750000000001</v>
      </c>
      <c r="G17" s="625">
        <f>SUM(E17:F17)</f>
        <v>601.63109999999995</v>
      </c>
      <c r="H17" s="626"/>
      <c r="I17" s="625">
        <f t="shared" si="2"/>
        <v>307.57679999999999</v>
      </c>
      <c r="J17" s="625">
        <f t="shared" si="3"/>
        <v>277.98750000000001</v>
      </c>
      <c r="K17" s="625">
        <f>SUM(I17:J17)</f>
        <v>585.5643</v>
      </c>
      <c r="L17" s="625"/>
      <c r="M17" s="625">
        <f>K17-G17</f>
        <v>-16.066799999999944</v>
      </c>
      <c r="N17" s="571">
        <f>M17/G17</f>
        <v>-2.6705401366385391E-2</v>
      </c>
      <c r="O17" s="565"/>
      <c r="P17" s="566"/>
      <c r="Q17" s="564"/>
      <c r="R17" s="564"/>
      <c r="S17" s="564"/>
      <c r="T17" s="564"/>
      <c r="U17" s="565"/>
      <c r="V17" s="564"/>
      <c r="W17" s="565"/>
      <c r="X17" s="566"/>
      <c r="Y17" s="564"/>
      <c r="Z17" s="564"/>
      <c r="AA17" s="564"/>
      <c r="AB17" s="564"/>
      <c r="AC17" s="565"/>
      <c r="AD17" s="564"/>
    </row>
    <row r="18" spans="1:30" ht="14" x14ac:dyDescent="0.3">
      <c r="A18" s="329">
        <f>IF(C18&lt;&gt;"",COUNTA($C$11:C18),"")</f>
        <v>7</v>
      </c>
      <c r="C18" s="593">
        <f>+'Bill_WMA G0'!C18</f>
        <v>20</v>
      </c>
      <c r="D18" s="596">
        <f t="shared" si="4"/>
        <v>3000</v>
      </c>
      <c r="E18" s="625">
        <f t="shared" si="0"/>
        <v>479.22480000000002</v>
      </c>
      <c r="F18" s="625">
        <f t="shared" si="1"/>
        <v>325.77000000000004</v>
      </c>
      <c r="G18" s="625">
        <f>SUM(E18:F18)</f>
        <v>804.99480000000005</v>
      </c>
      <c r="H18" s="626"/>
      <c r="I18" s="625">
        <f t="shared" si="2"/>
        <v>411.12239999999997</v>
      </c>
      <c r="J18" s="625">
        <f t="shared" si="3"/>
        <v>370.65</v>
      </c>
      <c r="K18" s="625">
        <f>SUM(I18:J18)</f>
        <v>781.77239999999995</v>
      </c>
      <c r="L18" s="625"/>
      <c r="M18" s="625">
        <f>K18-G18</f>
        <v>-23.222400000000107</v>
      </c>
      <c r="N18" s="571">
        <f>M18/G18</f>
        <v>-2.8847888209961238E-2</v>
      </c>
      <c r="O18" s="565"/>
      <c r="P18" s="566"/>
      <c r="Q18" s="564"/>
      <c r="R18" s="564"/>
      <c r="S18" s="564"/>
      <c r="T18" s="564"/>
      <c r="U18" s="565"/>
      <c r="V18" s="564"/>
      <c r="W18" s="565"/>
      <c r="X18" s="566"/>
      <c r="Y18" s="564"/>
      <c r="Z18" s="564"/>
      <c r="AA18" s="564"/>
      <c r="AB18" s="564"/>
      <c r="AC18" s="565"/>
      <c r="AD18" s="564"/>
    </row>
    <row r="19" spans="1:30" ht="14" x14ac:dyDescent="0.3">
      <c r="A19" s="329">
        <f>IF(C19&lt;&gt;"",COUNTA($C$11:C19),"")</f>
        <v>8</v>
      </c>
      <c r="C19" s="593">
        <f>+'Bill_WMA G0'!C19</f>
        <v>50</v>
      </c>
      <c r="D19" s="596">
        <f t="shared" si="4"/>
        <v>7500</v>
      </c>
      <c r="E19" s="625">
        <f t="shared" si="0"/>
        <v>1210.752</v>
      </c>
      <c r="F19" s="625">
        <f t="shared" si="1"/>
        <v>814.42500000000007</v>
      </c>
      <c r="G19" s="625">
        <f t="shared" ref="G19:G20" si="5">SUM(E19:F19)</f>
        <v>2025.1770000000001</v>
      </c>
      <c r="H19" s="626"/>
      <c r="I19" s="625">
        <f t="shared" si="2"/>
        <v>1032.3960000000002</v>
      </c>
      <c r="J19" s="625">
        <f t="shared" si="3"/>
        <v>926.625</v>
      </c>
      <c r="K19" s="625">
        <f t="shared" ref="K19:K20" si="6">SUM(I19:J19)</f>
        <v>1959.0210000000002</v>
      </c>
      <c r="L19" s="625"/>
      <c r="M19" s="625">
        <f t="shared" ref="M19:M20" si="7">K19-G19</f>
        <v>-66.155999999999949</v>
      </c>
      <c r="N19" s="571">
        <f t="shared" ref="N19:N20" si="8">M19/G19</f>
        <v>-3.2666774311578661E-2</v>
      </c>
      <c r="O19" s="565"/>
      <c r="P19" s="566"/>
      <c r="Q19" s="564"/>
      <c r="R19" s="564"/>
      <c r="S19" s="564"/>
      <c r="T19" s="564"/>
      <c r="U19" s="565"/>
      <c r="V19" s="564"/>
      <c r="W19" s="565"/>
      <c r="X19" s="566"/>
      <c r="Y19" s="564"/>
      <c r="Z19" s="564"/>
      <c r="AA19" s="564"/>
      <c r="AB19" s="564"/>
      <c r="AC19" s="565"/>
      <c r="AD19" s="564"/>
    </row>
    <row r="20" spans="1:30" ht="14" x14ac:dyDescent="0.3">
      <c r="A20" s="329"/>
      <c r="B20" s="585" t="s">
        <v>554</v>
      </c>
      <c r="C20" s="593">
        <v>1</v>
      </c>
      <c r="D20" s="596">
        <f t="shared" si="4"/>
        <v>150</v>
      </c>
      <c r="E20" s="625">
        <f t="shared" si="0"/>
        <v>35.154240000000001</v>
      </c>
      <c r="F20" s="625">
        <f t="shared" si="1"/>
        <v>16.288500000000003</v>
      </c>
      <c r="G20" s="625">
        <f t="shared" si="5"/>
        <v>51.442740000000001</v>
      </c>
      <c r="H20" s="626"/>
      <c r="I20" s="625">
        <f t="shared" si="2"/>
        <v>34.179120000000005</v>
      </c>
      <c r="J20" s="625">
        <f t="shared" si="3"/>
        <v>18.532499999999999</v>
      </c>
      <c r="K20" s="625">
        <f t="shared" si="6"/>
        <v>52.711620000000003</v>
      </c>
      <c r="L20" s="625"/>
      <c r="M20" s="625">
        <f t="shared" si="7"/>
        <v>1.2688800000000029</v>
      </c>
      <c r="N20" s="571">
        <f t="shared" si="8"/>
        <v>2.466587121914585E-2</v>
      </c>
      <c r="O20" s="565"/>
      <c r="P20" s="566"/>
      <c r="Q20" s="564"/>
      <c r="R20" s="564"/>
      <c r="S20" s="564"/>
      <c r="T20" s="564"/>
      <c r="U20" s="565"/>
      <c r="V20" s="564"/>
      <c r="W20" s="565"/>
      <c r="X20" s="566"/>
      <c r="Y20" s="564"/>
      <c r="Z20" s="564"/>
      <c r="AA20" s="564"/>
      <c r="AB20" s="564"/>
      <c r="AC20" s="565"/>
      <c r="AD20" s="564"/>
    </row>
    <row r="21" spans="1:30" ht="14" x14ac:dyDescent="0.3">
      <c r="A21" s="329" t="str">
        <f>IF(C21&lt;&gt;"",COUNTA($C$11:C21),"")</f>
        <v/>
      </c>
      <c r="C21" s="587"/>
      <c r="D21" s="627"/>
      <c r="E21" s="625"/>
      <c r="F21" s="628"/>
      <c r="G21" s="628"/>
      <c r="H21" s="626"/>
      <c r="I21" s="625"/>
      <c r="J21" s="628"/>
      <c r="K21" s="628"/>
      <c r="L21" s="625"/>
      <c r="M21" s="625"/>
      <c r="N21" s="629"/>
      <c r="O21" s="565"/>
      <c r="P21" s="566"/>
      <c r="Q21" s="564"/>
      <c r="R21" s="564"/>
      <c r="S21" s="564"/>
      <c r="T21" s="564"/>
      <c r="U21" s="565"/>
      <c r="V21" s="564"/>
      <c r="W21" s="565"/>
      <c r="X21" s="566"/>
      <c r="Y21" s="564"/>
      <c r="Z21" s="564"/>
      <c r="AA21" s="564"/>
      <c r="AB21" s="564"/>
      <c r="AC21" s="565"/>
      <c r="AD21" s="564"/>
    </row>
    <row r="22" spans="1:30" ht="14" x14ac:dyDescent="0.3">
      <c r="A22" s="329">
        <f>IF(C22&lt;&gt;"",COUNTA($C$11:C22),"")</f>
        <v>10</v>
      </c>
      <c r="C22" s="587" t="str">
        <f>+'Bill_WMA G0'!C22</f>
        <v>Hours Use: 300</v>
      </c>
      <c r="D22" s="624"/>
      <c r="E22" s="625"/>
      <c r="F22" s="628"/>
      <c r="G22" s="628"/>
      <c r="H22" s="626"/>
      <c r="I22" s="625"/>
      <c r="J22" s="628"/>
      <c r="K22" s="628"/>
      <c r="L22" s="625"/>
      <c r="M22" s="625"/>
      <c r="N22" s="629"/>
      <c r="O22" s="559"/>
      <c r="P22" s="568"/>
      <c r="Q22" s="559"/>
      <c r="R22" s="559"/>
      <c r="S22" s="559"/>
      <c r="T22" s="559"/>
      <c r="U22" s="559"/>
      <c r="V22" s="559"/>
      <c r="W22" s="559"/>
      <c r="X22" s="568"/>
      <c r="Y22" s="559"/>
      <c r="Z22" s="559"/>
      <c r="AA22" s="559"/>
      <c r="AB22" s="559"/>
      <c r="AC22" s="559"/>
      <c r="AD22" s="564"/>
    </row>
    <row r="23" spans="1:30" ht="14" x14ac:dyDescent="0.3">
      <c r="A23" s="329">
        <f>IF(C23&lt;&gt;"",COUNTA($C$11:C23),"")</f>
        <v>11</v>
      </c>
      <c r="C23" s="627">
        <f>+'Bill_WMA G0'!C23</f>
        <v>5</v>
      </c>
      <c r="D23" s="630">
        <f>C23*300</f>
        <v>1500</v>
      </c>
      <c r="E23" s="625">
        <f t="shared" ref="E23:E28" si="9">$G$41+(SUM($G$42:$G$43)*MAX(0,$C23-2))+($D23*$G$44*$E$67)+($D23*$G$45*$E$68)+($D23*SUM($G$46:$G$64))</f>
        <v>139.23239999999998</v>
      </c>
      <c r="F23" s="625">
        <f t="shared" ref="F23:F28" si="10">+$D23*$G$65</f>
        <v>162.88500000000002</v>
      </c>
      <c r="G23" s="625">
        <f t="shared" ref="G23:G28" si="11">SUM(E23:F23)</f>
        <v>302.11739999999998</v>
      </c>
      <c r="H23" s="626"/>
      <c r="I23" s="625">
        <f t="shared" ref="I23:I28" si="12">$I$41+(SUM($I$42:$I$43)*MAX(0,$C23-2))+($D23*$I$44*$E$67)+($D23*$I$45*$E$68)+($D23*SUM($I$46:$I$64))</f>
        <v>121.38120000000001</v>
      </c>
      <c r="J23" s="625">
        <f t="shared" ref="J23:J28" si="13">+$D23*$I$65</f>
        <v>185.32499999999999</v>
      </c>
      <c r="K23" s="625">
        <f t="shared" ref="K23:K28" si="14">SUM(I23:J23)</f>
        <v>306.70619999999997</v>
      </c>
      <c r="L23" s="625"/>
      <c r="M23" s="625">
        <f t="shared" ref="M23:M28" si="15">K23-G23</f>
        <v>4.588799999999992</v>
      </c>
      <c r="N23" s="571">
        <f t="shared" ref="N23:N28" si="16">M23/G23</f>
        <v>1.5188797467474539E-2</v>
      </c>
      <c r="O23" s="565"/>
      <c r="P23" s="566"/>
      <c r="Q23" s="564"/>
      <c r="R23" s="564"/>
      <c r="S23" s="564"/>
      <c r="T23" s="564"/>
      <c r="U23" s="565"/>
      <c r="V23" s="564"/>
      <c r="W23" s="565"/>
      <c r="X23" s="566"/>
      <c r="Y23" s="564"/>
      <c r="Z23" s="564"/>
      <c r="AA23" s="564"/>
      <c r="AB23" s="564"/>
      <c r="AC23" s="565"/>
      <c r="AD23" s="564"/>
    </row>
    <row r="24" spans="1:30" ht="14" x14ac:dyDescent="0.3">
      <c r="A24" s="329">
        <f>IF(C24&lt;&gt;"",COUNTA($C$11:C24),"")</f>
        <v>12</v>
      </c>
      <c r="C24" s="627">
        <f>+'Bill_WMA G0'!C24</f>
        <v>10</v>
      </c>
      <c r="D24" s="630">
        <f t="shared" ref="D24:D28" si="17">C24*300</f>
        <v>3000</v>
      </c>
      <c r="E24" s="625">
        <f t="shared" si="9"/>
        <v>286.9248</v>
      </c>
      <c r="F24" s="625">
        <f t="shared" si="10"/>
        <v>325.77000000000004</v>
      </c>
      <c r="G24" s="625">
        <f t="shared" si="11"/>
        <v>612.69479999999999</v>
      </c>
      <c r="H24" s="626"/>
      <c r="I24" s="625">
        <f t="shared" si="12"/>
        <v>245.82240000000002</v>
      </c>
      <c r="J24" s="625">
        <f t="shared" si="13"/>
        <v>370.65</v>
      </c>
      <c r="K24" s="625">
        <f t="shared" si="14"/>
        <v>616.47239999999999</v>
      </c>
      <c r="L24" s="625"/>
      <c r="M24" s="625">
        <f t="shared" si="15"/>
        <v>3.7776000000000067</v>
      </c>
      <c r="N24" s="571">
        <f t="shared" si="16"/>
        <v>6.1655493077467068E-3</v>
      </c>
      <c r="O24" s="565"/>
      <c r="P24" s="566"/>
      <c r="Q24" s="564"/>
      <c r="R24" s="564"/>
      <c r="S24" s="564"/>
      <c r="T24" s="564"/>
      <c r="U24" s="565"/>
      <c r="V24" s="564"/>
      <c r="W24" s="565"/>
      <c r="X24" s="566"/>
      <c r="Y24" s="564"/>
      <c r="Z24" s="564"/>
      <c r="AA24" s="564"/>
      <c r="AB24" s="564"/>
      <c r="AC24" s="565"/>
      <c r="AD24" s="564"/>
    </row>
    <row r="25" spans="1:30" ht="14" x14ac:dyDescent="0.3">
      <c r="A25" s="329">
        <f>IF(C25&lt;&gt;"",COUNTA($C$11:C25),"")</f>
        <v>13</v>
      </c>
      <c r="C25" s="627">
        <f>+'Bill_WMA G0'!C25</f>
        <v>15</v>
      </c>
      <c r="D25" s="630">
        <f t="shared" si="17"/>
        <v>4500</v>
      </c>
      <c r="E25" s="625">
        <f t="shared" si="9"/>
        <v>434.61719999999997</v>
      </c>
      <c r="F25" s="625">
        <f t="shared" si="10"/>
        <v>488.65500000000003</v>
      </c>
      <c r="G25" s="625">
        <f t="shared" si="11"/>
        <v>923.2722</v>
      </c>
      <c r="H25" s="626"/>
      <c r="I25" s="625">
        <f t="shared" si="12"/>
        <v>370.2636</v>
      </c>
      <c r="J25" s="625">
        <f t="shared" si="13"/>
        <v>555.97500000000002</v>
      </c>
      <c r="K25" s="625">
        <f t="shared" si="14"/>
        <v>926.23860000000002</v>
      </c>
      <c r="L25" s="625"/>
      <c r="M25" s="625">
        <f t="shared" si="15"/>
        <v>2.9664000000000215</v>
      </c>
      <c r="N25" s="571">
        <f t="shared" si="16"/>
        <v>3.2129203067091387E-3</v>
      </c>
      <c r="O25" s="565"/>
      <c r="P25" s="566"/>
      <c r="Q25" s="564"/>
      <c r="R25" s="564"/>
      <c r="S25" s="564"/>
      <c r="T25" s="564"/>
      <c r="U25" s="565"/>
      <c r="V25" s="564"/>
      <c r="W25" s="565"/>
      <c r="X25" s="566"/>
      <c r="Y25" s="564"/>
      <c r="Z25" s="564"/>
      <c r="AA25" s="564"/>
      <c r="AB25" s="564"/>
      <c r="AC25" s="565"/>
      <c r="AD25" s="564"/>
    </row>
    <row r="26" spans="1:30" ht="14" x14ac:dyDescent="0.3">
      <c r="A26" s="329">
        <f>IF(C26&lt;&gt;"",COUNTA($C$11:C26),"")</f>
        <v>14</v>
      </c>
      <c r="C26" s="627">
        <f>+'Bill_WMA G0'!C26</f>
        <v>20</v>
      </c>
      <c r="D26" s="630">
        <f t="shared" si="17"/>
        <v>6000</v>
      </c>
      <c r="E26" s="625">
        <f t="shared" si="9"/>
        <v>582.30959999999993</v>
      </c>
      <c r="F26" s="625">
        <f t="shared" si="10"/>
        <v>651.54000000000008</v>
      </c>
      <c r="G26" s="625">
        <f t="shared" si="11"/>
        <v>1233.8496</v>
      </c>
      <c r="H26" s="626"/>
      <c r="I26" s="625">
        <f t="shared" si="12"/>
        <v>494.70480000000003</v>
      </c>
      <c r="J26" s="625">
        <f t="shared" si="13"/>
        <v>741.3</v>
      </c>
      <c r="K26" s="625">
        <f t="shared" si="14"/>
        <v>1236.0047999999999</v>
      </c>
      <c r="L26" s="625"/>
      <c r="M26" s="625">
        <f t="shared" si="15"/>
        <v>2.1551999999999225</v>
      </c>
      <c r="N26" s="571">
        <f t="shared" si="16"/>
        <v>1.7467282884396304E-3</v>
      </c>
      <c r="O26" s="565"/>
      <c r="P26" s="566"/>
      <c r="Q26" s="564"/>
      <c r="R26" s="564"/>
      <c r="S26" s="564"/>
      <c r="T26" s="564"/>
      <c r="U26" s="565"/>
      <c r="V26" s="564"/>
      <c r="W26" s="565"/>
      <c r="X26" s="566"/>
      <c r="Y26" s="564"/>
      <c r="Z26" s="564"/>
      <c r="AA26" s="564"/>
      <c r="AB26" s="564"/>
      <c r="AC26" s="565"/>
      <c r="AD26" s="564"/>
    </row>
    <row r="27" spans="1:30" ht="14" x14ac:dyDescent="0.3">
      <c r="A27" s="329">
        <f>IF(C27&lt;&gt;"",COUNTA($C$11:C27),"")</f>
        <v>15</v>
      </c>
      <c r="C27" s="627">
        <f>+'Bill_WMA G0'!C27</f>
        <v>50</v>
      </c>
      <c r="D27" s="630">
        <f t="shared" si="17"/>
        <v>15000</v>
      </c>
      <c r="E27" s="625">
        <f t="shared" si="9"/>
        <v>1468.4639999999999</v>
      </c>
      <c r="F27" s="625">
        <f t="shared" si="10"/>
        <v>1628.8500000000001</v>
      </c>
      <c r="G27" s="625">
        <f t="shared" si="11"/>
        <v>3097.3140000000003</v>
      </c>
      <c r="H27" s="626"/>
      <c r="I27" s="625">
        <f t="shared" si="12"/>
        <v>1241.3519999999999</v>
      </c>
      <c r="J27" s="625">
        <f t="shared" si="13"/>
        <v>1853.25</v>
      </c>
      <c r="K27" s="625">
        <f t="shared" si="14"/>
        <v>3094.6019999999999</v>
      </c>
      <c r="L27" s="625"/>
      <c r="M27" s="625">
        <f t="shared" si="15"/>
        <v>-2.7120000000004438</v>
      </c>
      <c r="N27" s="571">
        <f t="shared" si="16"/>
        <v>-8.7559737243316101E-4</v>
      </c>
      <c r="O27" s="565"/>
      <c r="P27" s="566"/>
      <c r="Q27" s="564"/>
      <c r="R27" s="564"/>
      <c r="S27" s="564"/>
      <c r="T27" s="564"/>
      <c r="U27" s="565"/>
      <c r="V27" s="564"/>
      <c r="W27" s="565"/>
      <c r="X27" s="566"/>
      <c r="Y27" s="564"/>
      <c r="Z27" s="564"/>
      <c r="AA27" s="564"/>
      <c r="AB27" s="564"/>
      <c r="AC27" s="565"/>
      <c r="AD27" s="564"/>
    </row>
    <row r="28" spans="1:30" ht="14" x14ac:dyDescent="0.3">
      <c r="A28" s="329"/>
      <c r="B28" s="585" t="s">
        <v>554</v>
      </c>
      <c r="C28" s="627">
        <v>4</v>
      </c>
      <c r="D28" s="630">
        <f t="shared" si="17"/>
        <v>1200</v>
      </c>
      <c r="E28" s="625">
        <f t="shared" si="9"/>
        <v>109.69392000000001</v>
      </c>
      <c r="F28" s="625">
        <f t="shared" si="10"/>
        <v>130.30800000000002</v>
      </c>
      <c r="G28" s="625">
        <f t="shared" si="11"/>
        <v>240.00192000000004</v>
      </c>
      <c r="H28" s="626"/>
      <c r="I28" s="625">
        <f t="shared" si="12"/>
        <v>96.492959999999997</v>
      </c>
      <c r="J28" s="625">
        <f t="shared" si="13"/>
        <v>148.26</v>
      </c>
      <c r="K28" s="625">
        <f t="shared" si="14"/>
        <v>244.75295999999997</v>
      </c>
      <c r="L28" s="625"/>
      <c r="M28" s="625">
        <f t="shared" si="15"/>
        <v>4.7510399999999322</v>
      </c>
      <c r="N28" s="571">
        <f t="shared" si="16"/>
        <v>1.9795841633266649E-2</v>
      </c>
      <c r="O28" s="565"/>
      <c r="P28" s="566"/>
      <c r="Q28" s="564"/>
      <c r="R28" s="564"/>
      <c r="S28" s="564"/>
      <c r="T28" s="564"/>
      <c r="U28" s="565"/>
      <c r="V28" s="564"/>
      <c r="W28" s="565"/>
      <c r="X28" s="566"/>
      <c r="Y28" s="564"/>
      <c r="Z28" s="564"/>
      <c r="AA28" s="564"/>
      <c r="AB28" s="564"/>
      <c r="AC28" s="565"/>
      <c r="AD28" s="564"/>
    </row>
    <row r="29" spans="1:30" ht="14" x14ac:dyDescent="0.3">
      <c r="A29" s="329" t="str">
        <f>IF(C29&lt;&gt;"",COUNTA($C$11:C29),"")</f>
        <v/>
      </c>
      <c r="C29" s="631"/>
      <c r="D29" s="632"/>
      <c r="E29" s="625"/>
      <c r="F29" s="625"/>
      <c r="G29" s="625"/>
      <c r="H29" s="626"/>
      <c r="I29" s="625"/>
      <c r="J29" s="625"/>
      <c r="K29" s="625"/>
      <c r="L29" s="625"/>
      <c r="M29" s="625"/>
      <c r="N29" s="571"/>
      <c r="O29" s="565"/>
      <c r="P29" s="566"/>
      <c r="Q29" s="564"/>
      <c r="R29" s="564"/>
      <c r="S29" s="564"/>
      <c r="T29" s="564"/>
      <c r="U29" s="565"/>
      <c r="V29" s="564"/>
      <c r="W29" s="565"/>
      <c r="X29" s="566"/>
      <c r="Y29" s="564"/>
      <c r="Z29" s="564"/>
      <c r="AA29" s="564"/>
      <c r="AB29" s="564"/>
      <c r="AC29" s="565"/>
      <c r="AD29" s="564"/>
    </row>
    <row r="30" spans="1:30" ht="14" x14ac:dyDescent="0.3">
      <c r="A30" s="329">
        <f>IF(C30&lt;&gt;"",COUNTA($C$11:C30),"")</f>
        <v>17</v>
      </c>
      <c r="C30" s="587" t="str">
        <f>+'Bill_WMA G0'!C30</f>
        <v>Hours Use: 450</v>
      </c>
      <c r="D30" s="624"/>
      <c r="E30" s="625"/>
      <c r="F30" s="625"/>
      <c r="G30" s="625"/>
      <c r="H30" s="626"/>
      <c r="I30" s="625"/>
      <c r="J30" s="625"/>
      <c r="K30" s="625"/>
      <c r="L30" s="625"/>
      <c r="M30" s="625"/>
      <c r="N30" s="571"/>
      <c r="O30" s="565"/>
      <c r="P30" s="566"/>
      <c r="Q30" s="564"/>
      <c r="R30" s="564"/>
      <c r="S30" s="564"/>
      <c r="T30" s="564"/>
      <c r="U30" s="565"/>
      <c r="V30" s="564"/>
      <c r="W30" s="565"/>
      <c r="X30" s="566"/>
      <c r="Y30" s="564"/>
      <c r="Z30" s="564"/>
      <c r="AA30" s="564"/>
      <c r="AB30" s="564"/>
      <c r="AC30" s="565"/>
      <c r="AD30" s="564"/>
    </row>
    <row r="31" spans="1:30" ht="14" x14ac:dyDescent="0.3">
      <c r="A31" s="329">
        <f>IF(C31&lt;&gt;"",COUNTA($C$11:C31),"")</f>
        <v>18</v>
      </c>
      <c r="C31" s="627">
        <f>+'Bill_WMA G0'!C31</f>
        <v>5</v>
      </c>
      <c r="D31" s="630">
        <f>C31*450</f>
        <v>2250</v>
      </c>
      <c r="E31" s="625">
        <f t="shared" ref="E31:E36" si="18">$G$41+(SUM($G$42:$G$43)*MAX(0,$C31-2))+($D31*$G$44*$E$67)+($D31*$G$45*$E$68)+($D31*SUM($G$46:$G$64))</f>
        <v>165.00360000000001</v>
      </c>
      <c r="F31" s="625">
        <f t="shared" ref="F31:F36" si="19">+$D31*$G$65</f>
        <v>244.32750000000001</v>
      </c>
      <c r="G31" s="625">
        <f>SUM(E31:F31)</f>
        <v>409.33109999999999</v>
      </c>
      <c r="H31" s="626"/>
      <c r="I31" s="625">
        <f t="shared" ref="I31:I36" si="20">$I$41+(SUM($I$42:$I$43)*MAX(0,$C31-2))+($D31*$I$44*$E$67)+($D31*$I$45*$E$68)+($D31*SUM($I$46:$I$64))</f>
        <v>142.27680000000001</v>
      </c>
      <c r="J31" s="625">
        <f t="shared" ref="J31:J36" si="21">+$D31*$I$65</f>
        <v>277.98750000000001</v>
      </c>
      <c r="K31" s="625">
        <f>SUM(I31:J31)</f>
        <v>420.26430000000005</v>
      </c>
      <c r="L31" s="625"/>
      <c r="M31" s="625">
        <f>K31-G31</f>
        <v>10.933200000000056</v>
      </c>
      <c r="N31" s="571">
        <f>M31/G31</f>
        <v>2.6709917716977911E-2</v>
      </c>
      <c r="O31" s="565"/>
      <c r="P31" s="566"/>
      <c r="Q31" s="564"/>
      <c r="R31" s="564"/>
      <c r="S31" s="564"/>
      <c r="T31" s="564"/>
      <c r="U31" s="565"/>
      <c r="V31" s="564"/>
      <c r="W31" s="565"/>
      <c r="X31" s="566"/>
      <c r="Y31" s="564"/>
      <c r="Z31" s="564"/>
      <c r="AA31" s="564"/>
      <c r="AB31" s="564"/>
      <c r="AC31" s="565"/>
      <c r="AD31" s="564"/>
    </row>
    <row r="32" spans="1:30" ht="14" x14ac:dyDescent="0.3">
      <c r="A32" s="329">
        <f>IF(C32&lt;&gt;"",COUNTA($C$11:C32),"")</f>
        <v>19</v>
      </c>
      <c r="C32" s="627">
        <f>+'Bill_WMA G0'!C32</f>
        <v>10</v>
      </c>
      <c r="D32" s="630">
        <f t="shared" ref="D32:D36" si="22">C32*450</f>
        <v>4500</v>
      </c>
      <c r="E32" s="625">
        <f t="shared" si="18"/>
        <v>338.46719999999999</v>
      </c>
      <c r="F32" s="625">
        <f t="shared" si="19"/>
        <v>488.65500000000003</v>
      </c>
      <c r="G32" s="625">
        <f>SUM(E32:F32)</f>
        <v>827.12220000000002</v>
      </c>
      <c r="H32" s="626"/>
      <c r="I32" s="625">
        <f t="shared" si="20"/>
        <v>287.61360000000002</v>
      </c>
      <c r="J32" s="625">
        <f t="shared" si="21"/>
        <v>555.97500000000002</v>
      </c>
      <c r="K32" s="625">
        <f>SUM(I32:J32)</f>
        <v>843.58860000000004</v>
      </c>
      <c r="L32" s="625"/>
      <c r="M32" s="625">
        <f>K32-G32</f>
        <v>16.466400000000021</v>
      </c>
      <c r="N32" s="571">
        <f>M32/G32</f>
        <v>1.9908061952635319E-2</v>
      </c>
      <c r="O32" s="565"/>
      <c r="P32" s="566"/>
      <c r="Q32" s="564"/>
      <c r="R32" s="564"/>
      <c r="S32" s="564"/>
      <c r="T32" s="564"/>
      <c r="U32" s="565"/>
      <c r="V32" s="564"/>
      <c r="W32" s="565"/>
      <c r="X32" s="566"/>
      <c r="Y32" s="564"/>
      <c r="Z32" s="564"/>
      <c r="AA32" s="564"/>
      <c r="AB32" s="564"/>
      <c r="AC32" s="565"/>
      <c r="AD32" s="564"/>
    </row>
    <row r="33" spans="1:30" ht="14" x14ac:dyDescent="0.3">
      <c r="A33" s="329">
        <f>IF(C33&lt;&gt;"",COUNTA($C$11:C33),"")</f>
        <v>20</v>
      </c>
      <c r="C33" s="627">
        <f>+'Bill_WMA G0'!C33</f>
        <v>15</v>
      </c>
      <c r="D33" s="630">
        <f t="shared" si="22"/>
        <v>6750</v>
      </c>
      <c r="E33" s="625">
        <f t="shared" si="18"/>
        <v>511.93079999999998</v>
      </c>
      <c r="F33" s="625">
        <f t="shared" si="19"/>
        <v>732.98250000000007</v>
      </c>
      <c r="G33" s="625">
        <f>SUM(E33:F33)</f>
        <v>1244.9133000000002</v>
      </c>
      <c r="H33" s="626"/>
      <c r="I33" s="625">
        <f t="shared" si="20"/>
        <v>432.9504</v>
      </c>
      <c r="J33" s="625">
        <f t="shared" si="21"/>
        <v>833.96249999999998</v>
      </c>
      <c r="K33" s="625">
        <f>SUM(I33:J33)</f>
        <v>1266.9129</v>
      </c>
      <c r="L33" s="625"/>
      <c r="M33" s="625">
        <f>K33-G33</f>
        <v>21.999599999999873</v>
      </c>
      <c r="N33" s="571">
        <f>M33/G33</f>
        <v>1.7671592069905488E-2</v>
      </c>
      <c r="O33" s="565"/>
      <c r="P33" s="566"/>
      <c r="Q33" s="564"/>
      <c r="R33" s="564"/>
      <c r="S33" s="564"/>
      <c r="T33" s="564"/>
      <c r="U33" s="565"/>
      <c r="V33" s="564"/>
      <c r="W33" s="565"/>
      <c r="X33" s="566"/>
      <c r="Y33" s="564"/>
      <c r="Z33" s="564"/>
      <c r="AA33" s="564"/>
      <c r="AB33" s="564"/>
      <c r="AC33" s="565"/>
      <c r="AD33" s="564"/>
    </row>
    <row r="34" spans="1:30" ht="14" x14ac:dyDescent="0.3">
      <c r="A34" s="329">
        <f>IF(C34&lt;&gt;"",COUNTA($C$11:C34),"")</f>
        <v>21</v>
      </c>
      <c r="C34" s="627">
        <f>+'Bill_WMA G0'!C34</f>
        <v>20</v>
      </c>
      <c r="D34" s="630">
        <f t="shared" si="22"/>
        <v>9000</v>
      </c>
      <c r="E34" s="625">
        <f t="shared" si="18"/>
        <v>685.39439999999991</v>
      </c>
      <c r="F34" s="625">
        <f t="shared" si="19"/>
        <v>977.31000000000006</v>
      </c>
      <c r="G34" s="625">
        <f>SUM(E34:F34)</f>
        <v>1662.7044000000001</v>
      </c>
      <c r="H34" s="626"/>
      <c r="I34" s="625">
        <f t="shared" si="20"/>
        <v>578.28719999999998</v>
      </c>
      <c r="J34" s="625">
        <f t="shared" si="21"/>
        <v>1111.95</v>
      </c>
      <c r="K34" s="625">
        <f>SUM(I34:J34)</f>
        <v>1690.2372</v>
      </c>
      <c r="L34" s="625"/>
      <c r="M34" s="625">
        <f>K34-G34</f>
        <v>27.532799999999952</v>
      </c>
      <c r="N34" s="571">
        <f>M34/G34</f>
        <v>1.6559046815537357E-2</v>
      </c>
      <c r="O34" s="565"/>
      <c r="P34" s="566"/>
      <c r="Q34" s="564"/>
      <c r="R34" s="564"/>
      <c r="S34" s="564"/>
      <c r="T34" s="564"/>
      <c r="U34" s="565"/>
      <c r="V34" s="564"/>
      <c r="W34" s="565"/>
      <c r="X34" s="566"/>
      <c r="Y34" s="564"/>
      <c r="Z34" s="564"/>
      <c r="AA34" s="564"/>
      <c r="AB34" s="564"/>
      <c r="AC34" s="565"/>
      <c r="AD34" s="564"/>
    </row>
    <row r="35" spans="1:30" ht="14" x14ac:dyDescent="0.3">
      <c r="A35" s="329">
        <f>IF(C35&lt;&gt;"",COUNTA($C$11:C35),"")</f>
        <v>22</v>
      </c>
      <c r="C35" s="627">
        <f>+'Bill_WMA G0'!C35</f>
        <v>50</v>
      </c>
      <c r="D35" s="630">
        <f t="shared" si="22"/>
        <v>22500</v>
      </c>
      <c r="E35" s="625">
        <f t="shared" si="18"/>
        <v>1726.1759999999999</v>
      </c>
      <c r="F35" s="625">
        <f t="shared" si="19"/>
        <v>2443.2750000000001</v>
      </c>
      <c r="G35" s="625">
        <f t="shared" ref="G35:G36" si="23">SUM(E35:F35)</f>
        <v>4169.451</v>
      </c>
      <c r="H35" s="626"/>
      <c r="I35" s="625">
        <f t="shared" si="20"/>
        <v>1450.308</v>
      </c>
      <c r="J35" s="625">
        <f t="shared" si="21"/>
        <v>2779.875</v>
      </c>
      <c r="K35" s="625">
        <f t="shared" ref="K35:K36" si="24">SUM(I35:J35)</f>
        <v>4230.183</v>
      </c>
      <c r="L35" s="625"/>
      <c r="M35" s="625">
        <f t="shared" ref="M35:M36" si="25">K35-G35</f>
        <v>60.731999999999971</v>
      </c>
      <c r="N35" s="571">
        <f t="shared" ref="N35:N36" si="26">M35/G35</f>
        <v>1.4565946451942946E-2</v>
      </c>
      <c r="O35" s="565"/>
      <c r="P35" s="566"/>
      <c r="Q35" s="564"/>
      <c r="R35" s="564"/>
      <c r="S35" s="564"/>
      <c r="T35" s="564"/>
      <c r="U35" s="565"/>
      <c r="V35" s="564"/>
      <c r="W35" s="565"/>
      <c r="X35" s="566"/>
      <c r="Y35" s="564"/>
      <c r="Z35" s="564"/>
      <c r="AA35" s="564"/>
      <c r="AB35" s="564"/>
      <c r="AC35" s="565"/>
      <c r="AD35" s="564"/>
    </row>
    <row r="36" spans="1:30" ht="14" x14ac:dyDescent="0.3">
      <c r="A36" s="329"/>
      <c r="B36" s="585" t="s">
        <v>554</v>
      </c>
      <c r="C36" s="627">
        <v>10</v>
      </c>
      <c r="D36" s="630">
        <f t="shared" si="22"/>
        <v>4500</v>
      </c>
      <c r="E36" s="625">
        <f t="shared" si="18"/>
        <v>338.46719999999999</v>
      </c>
      <c r="F36" s="625">
        <f t="shared" si="19"/>
        <v>488.65500000000003</v>
      </c>
      <c r="G36" s="625">
        <f t="shared" si="23"/>
        <v>827.12220000000002</v>
      </c>
      <c r="H36" s="626"/>
      <c r="I36" s="625">
        <f t="shared" si="20"/>
        <v>287.61360000000002</v>
      </c>
      <c r="J36" s="625">
        <f t="shared" si="21"/>
        <v>555.97500000000002</v>
      </c>
      <c r="K36" s="625">
        <f t="shared" si="24"/>
        <v>843.58860000000004</v>
      </c>
      <c r="L36" s="625"/>
      <c r="M36" s="625">
        <f t="shared" si="25"/>
        <v>16.466400000000021</v>
      </c>
      <c r="N36" s="571">
        <f t="shared" si="26"/>
        <v>1.9908061952635319E-2</v>
      </c>
      <c r="O36" s="565"/>
      <c r="P36" s="566"/>
      <c r="Q36" s="564"/>
      <c r="R36" s="564"/>
      <c r="S36" s="564"/>
      <c r="T36" s="564"/>
      <c r="U36" s="565"/>
      <c r="V36" s="564"/>
      <c r="W36" s="565"/>
      <c r="X36" s="566"/>
      <c r="Y36" s="564"/>
      <c r="Z36" s="564"/>
      <c r="AA36" s="564"/>
      <c r="AB36" s="564"/>
      <c r="AC36" s="565"/>
      <c r="AD36" s="564"/>
    </row>
    <row r="37" spans="1:30" ht="14" x14ac:dyDescent="0.3">
      <c r="A37" s="329" t="str">
        <f>IF(C37&lt;&gt;"",COUNTA($C$11:C37),"")</f>
        <v/>
      </c>
      <c r="C37" s="627"/>
      <c r="D37" s="632"/>
      <c r="E37" s="626"/>
      <c r="F37" s="626"/>
      <c r="G37" s="625"/>
      <c r="H37" s="626"/>
      <c r="I37" s="628"/>
      <c r="J37" s="628"/>
      <c r="K37" s="628"/>
      <c r="L37" s="628"/>
      <c r="M37" s="628"/>
      <c r="O37" s="620"/>
      <c r="P37" s="620"/>
      <c r="Q37" s="633"/>
      <c r="R37" s="633"/>
      <c r="S37" s="633"/>
      <c r="T37" s="620"/>
      <c r="U37" s="620"/>
      <c r="V37" s="620"/>
      <c r="W37" s="620"/>
    </row>
    <row r="38" spans="1:30" ht="14" x14ac:dyDescent="0.3">
      <c r="A38" s="329" t="str">
        <f>IF(C38&lt;&gt;"",COUNTA($C$11:C38),"")</f>
        <v/>
      </c>
      <c r="C38" s="627"/>
      <c r="D38" s="627"/>
      <c r="E38" s="625"/>
      <c r="F38" s="625"/>
      <c r="G38" s="625"/>
      <c r="H38" s="626"/>
      <c r="I38" s="626"/>
      <c r="J38" s="626"/>
      <c r="K38" s="626"/>
      <c r="L38" s="626"/>
      <c r="M38" s="626"/>
      <c r="N38" s="620"/>
      <c r="O38" s="620"/>
      <c r="P38" s="620"/>
      <c r="Q38" s="633"/>
      <c r="R38" s="633"/>
      <c r="S38" s="633"/>
      <c r="T38" s="620"/>
      <c r="U38" s="620"/>
      <c r="V38" s="620"/>
      <c r="W38" s="620"/>
    </row>
    <row r="39" spans="1:30" ht="14" x14ac:dyDescent="0.3">
      <c r="A39" s="329">
        <f>IF(C39&lt;&gt;"",COUNTA($C$11:C39),"")</f>
        <v>24</v>
      </c>
      <c r="C39" s="620" t="s">
        <v>46</v>
      </c>
      <c r="D39" s="620"/>
      <c r="E39" s="628"/>
      <c r="F39" s="628"/>
      <c r="G39" s="508" t="str">
        <f>+'Bill_WMA 23'!F23</f>
        <v>Current</v>
      </c>
      <c r="H39" s="508"/>
      <c r="I39" s="508" t="str">
        <f>+'Bill_WMA 23'!H23</f>
        <v>Proposed</v>
      </c>
      <c r="J39" s="626"/>
      <c r="K39" s="626"/>
      <c r="L39" s="626"/>
      <c r="M39" s="626"/>
      <c r="N39" s="620"/>
      <c r="O39" s="620"/>
      <c r="P39" s="620"/>
      <c r="Q39" s="634"/>
      <c r="R39" s="634"/>
      <c r="S39" s="634"/>
      <c r="T39" s="620"/>
      <c r="U39" s="620"/>
      <c r="V39" s="620"/>
      <c r="W39" s="620"/>
    </row>
    <row r="40" spans="1:30" ht="17" x14ac:dyDescent="0.6">
      <c r="A40" s="329">
        <f>IF(C40&lt;&gt;"",COUNTA($C$11:C40),"")</f>
        <v>25</v>
      </c>
      <c r="C40" s="620" t="s">
        <v>46</v>
      </c>
      <c r="D40" s="620"/>
      <c r="E40" s="628"/>
      <c r="F40" s="628"/>
      <c r="G40" s="510" t="str">
        <f>+'Bill_WMA 23'!F24</f>
        <v>Rates</v>
      </c>
      <c r="H40" s="510"/>
      <c r="I40" s="510" t="str">
        <f>+'Bill_WMA 23'!H24</f>
        <v>Rates</v>
      </c>
      <c r="J40" s="510" t="str">
        <f>+'Bill_WMA 23'!I24</f>
        <v>Change</v>
      </c>
      <c r="K40" s="626"/>
      <c r="L40" s="626"/>
      <c r="M40" s="635"/>
      <c r="N40" s="620"/>
      <c r="O40" s="620"/>
      <c r="P40" s="620"/>
      <c r="Q40" s="634"/>
      <c r="R40" s="634"/>
      <c r="S40" s="634"/>
      <c r="T40" s="620"/>
      <c r="U40" s="620"/>
      <c r="V40" s="620"/>
      <c r="W40" s="620"/>
    </row>
    <row r="41" spans="1:30" ht="14" x14ac:dyDescent="0.3">
      <c r="A41" s="329">
        <f>IF(C41&lt;&gt;"",COUNTA($C$11:C41),"")</f>
        <v>26</v>
      </c>
      <c r="C41" s="330" t="str">
        <f>+'Bill_WMA G0'!C41</f>
        <v>Customer Charge</v>
      </c>
      <c r="D41" s="274"/>
      <c r="E41" s="628"/>
      <c r="F41" s="628"/>
      <c r="G41" s="454">
        <v>30</v>
      </c>
      <c r="H41" s="626"/>
      <c r="I41" s="454">
        <f>G41</f>
        <v>30</v>
      </c>
      <c r="J41" s="421">
        <f>+I41-G41</f>
        <v>0</v>
      </c>
      <c r="K41" s="626"/>
      <c r="L41" s="626"/>
      <c r="M41" s="635"/>
      <c r="N41" s="620"/>
      <c r="O41" s="620"/>
      <c r="P41" s="620"/>
      <c r="Q41" s="634"/>
      <c r="R41" s="634"/>
      <c r="S41" s="634"/>
      <c r="T41" s="620"/>
      <c r="U41" s="620"/>
      <c r="V41" s="620"/>
      <c r="W41" s="620"/>
    </row>
    <row r="42" spans="1:30" ht="14" x14ac:dyDescent="0.3">
      <c r="A42" s="329">
        <f>IF(C42&lt;&gt;"",COUNTA($C$11:C42),"")</f>
        <v>27</v>
      </c>
      <c r="C42" s="330" t="str">
        <f>+'Bill_WMA G0'!C42</f>
        <v xml:space="preserve">Distribution Demand &gt;2 KW </v>
      </c>
      <c r="D42" s="274"/>
      <c r="E42" s="628"/>
      <c r="F42" s="628"/>
      <c r="G42" s="454">
        <v>9.1</v>
      </c>
      <c r="H42" s="626"/>
      <c r="I42" s="397">
        <v>9.44</v>
      </c>
      <c r="J42" s="421">
        <f t="shared" ref="J42:J65" si="27">+I42-G42</f>
        <v>0.33999999999999986</v>
      </c>
      <c r="K42" s="626"/>
      <c r="L42" s="626"/>
      <c r="M42" s="635"/>
      <c r="N42" s="620"/>
      <c r="O42" s="620"/>
      <c r="P42" s="620"/>
      <c r="Q42" s="636"/>
      <c r="R42" s="636"/>
      <c r="S42" s="636"/>
      <c r="T42" s="637"/>
      <c r="U42" s="620"/>
      <c r="V42" s="620"/>
      <c r="W42" s="620"/>
    </row>
    <row r="43" spans="1:30" ht="14" x14ac:dyDescent="0.3">
      <c r="A43" s="329">
        <f>IF(C43&lt;&gt;"",COUNTA($C$11:C43),"")</f>
        <v>28</v>
      </c>
      <c r="C43" s="330" t="str">
        <f>+'Bill_WMA G0'!C43</f>
        <v xml:space="preserve">Transmission Demand &gt;2 KW </v>
      </c>
      <c r="D43" s="274"/>
      <c r="E43" s="628"/>
      <c r="F43" s="628"/>
      <c r="G43" s="454">
        <v>10.130000000000001</v>
      </c>
      <c r="H43" s="626"/>
      <c r="I43" s="397">
        <v>7.09</v>
      </c>
      <c r="J43" s="421">
        <f t="shared" si="27"/>
        <v>-3.0400000000000009</v>
      </c>
      <c r="K43" s="626"/>
      <c r="L43" s="626"/>
      <c r="M43" s="626"/>
      <c r="N43" s="638"/>
      <c r="O43" s="620"/>
      <c r="P43" s="620"/>
      <c r="Q43" s="620"/>
      <c r="R43" s="620"/>
      <c r="S43" s="620"/>
      <c r="T43" s="620"/>
      <c r="U43" s="620"/>
      <c r="V43" s="620"/>
      <c r="W43" s="620"/>
    </row>
    <row r="44" spans="1:30" ht="14" x14ac:dyDescent="0.3">
      <c r="A44" s="329">
        <f>IF(C44&lt;&gt;"",COUNTA($C$11:C44),"")</f>
        <v>29</v>
      </c>
      <c r="C44" s="555" t="s">
        <v>449</v>
      </c>
      <c r="D44" s="274"/>
      <c r="G44" s="308">
        <v>2.8500000000000001E-3</v>
      </c>
      <c r="H44" s="639"/>
      <c r="I44" s="308">
        <v>2.96E-3</v>
      </c>
      <c r="J44" s="354">
        <f t="shared" si="27"/>
        <v>1.0999999999999985E-4</v>
      </c>
      <c r="K44" s="620"/>
      <c r="L44" s="620"/>
      <c r="M44" s="634"/>
      <c r="N44" s="620"/>
      <c r="O44" s="620"/>
      <c r="P44" s="620"/>
      <c r="Q44" s="636"/>
      <c r="R44" s="636"/>
      <c r="S44" s="636"/>
      <c r="T44" s="637"/>
      <c r="U44" s="620"/>
      <c r="V44" s="620"/>
      <c r="W44" s="620"/>
    </row>
    <row r="45" spans="1:30" ht="14" x14ac:dyDescent="0.3">
      <c r="A45" s="329">
        <f>IF(C45&lt;&gt;"",COUNTA($C$11:C45),"")</f>
        <v>30</v>
      </c>
      <c r="C45" s="555" t="s">
        <v>514</v>
      </c>
      <c r="D45" s="274"/>
      <c r="G45" s="308">
        <v>7.6000000000000004E-4</v>
      </c>
      <c r="H45" s="639"/>
      <c r="I45" s="308">
        <v>7.9000000000000001E-4</v>
      </c>
      <c r="J45" s="354">
        <f t="shared" si="27"/>
        <v>2.999999999999997E-5</v>
      </c>
      <c r="K45" s="620"/>
      <c r="L45" s="620"/>
      <c r="M45" s="634"/>
      <c r="N45" s="620"/>
      <c r="O45" s="620"/>
      <c r="P45" s="620"/>
      <c r="Q45" s="636"/>
      <c r="R45" s="636"/>
      <c r="S45" s="636"/>
      <c r="T45" s="637"/>
      <c r="U45" s="620"/>
      <c r="V45" s="620"/>
      <c r="W45" s="620"/>
    </row>
    <row r="46" spans="1:30" ht="14" x14ac:dyDescent="0.3">
      <c r="A46" s="329">
        <f>IF(C46&lt;&gt;"",COUNTA($C$11:C46),"")</f>
        <v>31</v>
      </c>
      <c r="C46" s="335" t="str">
        <f>+'Bill_WMA G0'!C45</f>
        <v>Revenue Decoupling</v>
      </c>
      <c r="D46" s="274"/>
      <c r="G46" s="308">
        <v>5.6999999999999998E-4</v>
      </c>
      <c r="H46" s="400"/>
      <c r="I46" s="277">
        <v>-4.2999999999999999E-4</v>
      </c>
      <c r="J46" s="354">
        <f t="shared" si="27"/>
        <v>-1E-3</v>
      </c>
      <c r="K46" s="559"/>
      <c r="L46" s="559"/>
      <c r="M46" s="559"/>
      <c r="N46" s="559"/>
      <c r="O46" s="620"/>
      <c r="P46" s="620"/>
      <c r="Q46" s="636"/>
      <c r="R46" s="636"/>
      <c r="S46" s="636"/>
      <c r="T46" s="637"/>
      <c r="U46" s="620"/>
      <c r="V46" s="620"/>
      <c r="W46" s="620"/>
    </row>
    <row r="47" spans="1:30" ht="14" x14ac:dyDescent="0.3">
      <c r="A47" s="329">
        <f>IF(C47&lt;&gt;"",COUNTA($C$11:C47),"")</f>
        <v>32</v>
      </c>
      <c r="C47" s="335" t="str">
        <f>+'Bill_WMA G0'!C46</f>
        <v>Residential Assistance Adjustment Factor</v>
      </c>
      <c r="D47" s="274"/>
      <c r="G47" s="277">
        <v>1.0189999999999999E-2</v>
      </c>
      <c r="H47" s="400"/>
      <c r="I47" s="277">
        <v>3.65E-3</v>
      </c>
      <c r="J47" s="354">
        <f t="shared" si="27"/>
        <v>-6.5399999999999989E-3</v>
      </c>
      <c r="K47" s="559"/>
      <c r="L47" s="559"/>
      <c r="M47" s="559"/>
      <c r="N47" s="559"/>
      <c r="O47" s="620"/>
      <c r="P47" s="620"/>
      <c r="Q47" s="636"/>
      <c r="R47" s="636"/>
      <c r="S47" s="636"/>
      <c r="T47" s="637"/>
      <c r="U47" s="620"/>
      <c r="V47" s="620"/>
      <c r="W47" s="620"/>
    </row>
    <row r="48" spans="1:30" ht="14" x14ac:dyDescent="0.3">
      <c r="A48" s="329">
        <f>IF(C48&lt;&gt;"",COUNTA($C$11:C48),"")</f>
        <v>33</v>
      </c>
      <c r="C48" s="335" t="str">
        <f>+'Bill_WMA G0'!C47</f>
        <v>Pension Adjustment Factor</v>
      </c>
      <c r="D48" s="274"/>
      <c r="G48" s="277">
        <v>1.1100000000000001E-3</v>
      </c>
      <c r="H48" s="400"/>
      <c r="I48" s="277">
        <v>6.4000000000000005E-4</v>
      </c>
      <c r="J48" s="354">
        <f t="shared" si="27"/>
        <v>-4.7000000000000004E-4</v>
      </c>
      <c r="K48" s="559"/>
      <c r="L48" s="559"/>
      <c r="M48" s="559"/>
      <c r="N48" s="559"/>
      <c r="O48" s="620"/>
      <c r="P48" s="620"/>
      <c r="Q48" s="636"/>
      <c r="R48" s="636"/>
      <c r="S48" s="636"/>
      <c r="T48" s="637"/>
      <c r="U48" s="620"/>
      <c r="V48" s="620"/>
      <c r="W48" s="620"/>
    </row>
    <row r="49" spans="1:23" ht="14" x14ac:dyDescent="0.3">
      <c r="A49" s="329">
        <f>IF(C49&lt;&gt;"",COUNTA($C$11:C49),"")</f>
        <v>34</v>
      </c>
      <c r="C49" s="335" t="str">
        <f>+'Bill_WMA G0'!C48</f>
        <v>Net Metering Recovery Surcharge</v>
      </c>
      <c r="D49" s="274"/>
      <c r="G49" s="277">
        <v>4.4299999999999999E-3</v>
      </c>
      <c r="H49" s="400"/>
      <c r="I49" s="277">
        <v>4.7699999999999999E-3</v>
      </c>
      <c r="J49" s="354">
        <f t="shared" si="27"/>
        <v>3.4000000000000002E-4</v>
      </c>
      <c r="K49" s="559"/>
      <c r="L49" s="559"/>
      <c r="M49" s="559"/>
      <c r="N49" s="559"/>
      <c r="O49" s="620"/>
      <c r="P49" s="620"/>
      <c r="Q49" s="636"/>
      <c r="R49" s="636"/>
      <c r="S49" s="636"/>
      <c r="T49" s="637"/>
      <c r="U49" s="620"/>
      <c r="V49" s="620"/>
      <c r="W49" s="620"/>
    </row>
    <row r="50" spans="1:23" ht="14" x14ac:dyDescent="0.3">
      <c r="A50" s="329">
        <f>IF(C50&lt;&gt;"",COUNTA($C$11:C50),"")</f>
        <v>35</v>
      </c>
      <c r="C50" s="335" t="str">
        <f>+'Bill_WMA G0'!C49</f>
        <v>Long Term Renewable Contract Adjustment</v>
      </c>
      <c r="D50" s="274"/>
      <c r="G50" s="277">
        <v>3.31E-3</v>
      </c>
      <c r="H50" s="400"/>
      <c r="I50" s="277">
        <v>1.74E-3</v>
      </c>
      <c r="J50" s="354">
        <f t="shared" si="27"/>
        <v>-1.57E-3</v>
      </c>
      <c r="K50" s="559"/>
      <c r="L50" s="559"/>
      <c r="M50" s="559"/>
      <c r="N50" s="559"/>
      <c r="O50" s="620"/>
      <c r="P50" s="620"/>
      <c r="Q50" s="636"/>
      <c r="R50" s="636"/>
      <c r="S50" s="636"/>
      <c r="T50" s="637"/>
      <c r="U50" s="620"/>
      <c r="V50" s="620"/>
      <c r="W50" s="620"/>
    </row>
    <row r="51" spans="1:23" ht="14" x14ac:dyDescent="0.3">
      <c r="A51" s="329">
        <f>IF(C51&lt;&gt;"",COUNTA($C$11:C51),"")</f>
        <v>36</v>
      </c>
      <c r="C51" s="335" t="str">
        <f>+'Bill_WMA G0'!C50</f>
        <v>AG Consulting Expense</v>
      </c>
      <c r="D51" s="274"/>
      <c r="G51" s="277">
        <v>3.0000000000000001E-5</v>
      </c>
      <c r="H51" s="400"/>
      <c r="I51" s="277">
        <v>1.0000000000000001E-5</v>
      </c>
      <c r="J51" s="354">
        <f t="shared" si="27"/>
        <v>-1.9999999999999998E-5</v>
      </c>
      <c r="K51" s="559"/>
      <c r="L51" s="559"/>
      <c r="M51" s="559"/>
      <c r="N51" s="559"/>
      <c r="O51" s="620"/>
      <c r="P51" s="620"/>
      <c r="Q51" s="636"/>
      <c r="R51" s="636"/>
      <c r="S51" s="636"/>
      <c r="T51" s="637"/>
      <c r="U51" s="620"/>
      <c r="V51" s="620"/>
      <c r="W51" s="620"/>
    </row>
    <row r="52" spans="1:23" ht="14" x14ac:dyDescent="0.3">
      <c r="A52" s="329">
        <f>IF(C52&lt;&gt;"",COUNTA($C$11:C52),"")</f>
        <v>37</v>
      </c>
      <c r="C52" s="335" t="str">
        <f>+'Bill_WMA G0'!C51</f>
        <v>Storm Cost Recovery Adjustment Factor</v>
      </c>
      <c r="D52" s="274"/>
      <c r="G52" s="277">
        <v>2.3700000000000001E-3</v>
      </c>
      <c r="H52" s="400"/>
      <c r="I52" s="277">
        <v>2.7499999999999998E-3</v>
      </c>
      <c r="J52" s="354">
        <f t="shared" si="27"/>
        <v>3.799999999999997E-4</v>
      </c>
      <c r="K52" s="559"/>
      <c r="L52" s="559"/>
      <c r="M52" s="559"/>
      <c r="N52" s="559"/>
      <c r="O52" s="620"/>
      <c r="P52" s="620"/>
      <c r="Q52" s="636"/>
      <c r="R52" s="636"/>
      <c r="S52" s="636"/>
      <c r="T52" s="637"/>
      <c r="U52" s="620"/>
      <c r="V52" s="620"/>
      <c r="W52" s="620"/>
    </row>
    <row r="53" spans="1:23" ht="14" x14ac:dyDescent="0.3">
      <c r="A53" s="329">
        <f>IF(C53&lt;&gt;"",COUNTA($C$11:C53),"")</f>
        <v>38</v>
      </c>
      <c r="C53" s="335" t="str">
        <f>+'Bill_WMA G0'!C52</f>
        <v>Storm Reserve Adjustment</v>
      </c>
      <c r="D53" s="274"/>
      <c r="G53" s="277">
        <v>0</v>
      </c>
      <c r="H53" s="400"/>
      <c r="I53" s="277">
        <v>0</v>
      </c>
      <c r="J53" s="354">
        <f t="shared" si="27"/>
        <v>0</v>
      </c>
      <c r="K53" s="559"/>
      <c r="L53" s="559"/>
      <c r="M53" s="559"/>
      <c r="N53" s="559"/>
      <c r="O53" s="620"/>
      <c r="P53" s="620"/>
      <c r="Q53" s="636"/>
      <c r="R53" s="636"/>
      <c r="S53" s="636"/>
      <c r="T53" s="637"/>
      <c r="U53" s="620"/>
      <c r="V53" s="620"/>
      <c r="W53" s="620"/>
    </row>
    <row r="54" spans="1:23" ht="14" x14ac:dyDescent="0.3">
      <c r="A54" s="329">
        <f>IF(C54&lt;&gt;"",COUNTA($C$11:C54),"")</f>
        <v>39</v>
      </c>
      <c r="C54" s="335" t="str">
        <f>+'Bill_WMA G0'!C53</f>
        <v>Basic Service Cost True Up Factor</v>
      </c>
      <c r="D54" s="274"/>
      <c r="G54" s="277">
        <v>2.1000000000000001E-4</v>
      </c>
      <c r="H54" s="400"/>
      <c r="I54" s="277">
        <v>-1.8000000000000001E-4</v>
      </c>
      <c r="J54" s="354">
        <f t="shared" si="27"/>
        <v>-3.9000000000000005E-4</v>
      </c>
      <c r="K54" s="559"/>
      <c r="L54" s="559"/>
      <c r="M54" s="559"/>
      <c r="N54" s="559"/>
      <c r="O54" s="620"/>
      <c r="P54" s="620"/>
      <c r="Q54" s="636"/>
      <c r="R54" s="636"/>
      <c r="S54" s="636"/>
      <c r="T54" s="637"/>
      <c r="U54" s="620"/>
      <c r="V54" s="620"/>
      <c r="W54" s="620"/>
    </row>
    <row r="55" spans="1:23" ht="14" x14ac:dyDescent="0.3">
      <c r="A55" s="329">
        <f>IF(C55&lt;&gt;"",COUNTA($C$11:C55),"")</f>
        <v>40</v>
      </c>
      <c r="C55" s="335" t="str">
        <f>+'Bill_WMA G0'!C54</f>
        <v>Solar Program Cost Adjustment Factor</v>
      </c>
      <c r="D55" s="274"/>
      <c r="G55" s="277">
        <v>-1.2999999999999999E-4</v>
      </c>
      <c r="H55" s="400"/>
      <c r="I55" s="277">
        <v>3.0000000000000001E-5</v>
      </c>
      <c r="J55" s="354">
        <f t="shared" si="27"/>
        <v>1.5999999999999999E-4</v>
      </c>
      <c r="K55" s="559"/>
      <c r="L55" s="559"/>
      <c r="M55" s="559"/>
      <c r="N55" s="559"/>
      <c r="O55" s="620"/>
      <c r="P55" s="620"/>
      <c r="Q55" s="636"/>
      <c r="R55" s="636"/>
      <c r="S55" s="636"/>
      <c r="T55" s="637"/>
      <c r="U55" s="620"/>
      <c r="V55" s="620"/>
      <c r="W55" s="620"/>
    </row>
    <row r="56" spans="1:23" ht="14" x14ac:dyDescent="0.3">
      <c r="A56" s="329">
        <f>IF(C56&lt;&gt;"",COUNTA($C$11:C56),"")</f>
        <v>41</v>
      </c>
      <c r="C56" s="335" t="str">
        <f>+'Bill_WMA G0'!C55</f>
        <v>Solar Expansion Cost Recovery Factor</v>
      </c>
      <c r="D56" s="274"/>
      <c r="G56" s="277">
        <v>0</v>
      </c>
      <c r="H56" s="400"/>
      <c r="I56" s="277">
        <v>5.6999999999999998E-4</v>
      </c>
      <c r="J56" s="354">
        <f t="shared" si="27"/>
        <v>5.6999999999999998E-4</v>
      </c>
      <c r="K56" s="559"/>
      <c r="L56" s="559"/>
      <c r="M56" s="559"/>
      <c r="N56" s="559"/>
      <c r="O56" s="620"/>
      <c r="P56" s="620"/>
      <c r="Q56" s="636"/>
      <c r="R56" s="636"/>
      <c r="S56" s="636"/>
      <c r="T56" s="637"/>
      <c r="U56" s="620"/>
      <c r="V56" s="620"/>
      <c r="W56" s="620"/>
    </row>
    <row r="57" spans="1:23" ht="14" x14ac:dyDescent="0.3">
      <c r="A57" s="329">
        <f>IF(C57&lt;&gt;"",COUNTA($C$11:C57),"")</f>
        <v>42</v>
      </c>
      <c r="C57" s="335" t="str">
        <f>+'Bill_WMA G0'!C56</f>
        <v>Vegetation Management</v>
      </c>
      <c r="D57" s="274"/>
      <c r="G57" s="277">
        <v>0</v>
      </c>
      <c r="H57" s="400"/>
      <c r="I57" s="277">
        <v>1.14E-3</v>
      </c>
      <c r="J57" s="354">
        <f t="shared" si="27"/>
        <v>1.14E-3</v>
      </c>
      <c r="K57" s="559"/>
      <c r="L57" s="559"/>
      <c r="M57" s="559"/>
      <c r="N57" s="559"/>
      <c r="O57" s="620"/>
      <c r="P57" s="620"/>
      <c r="Q57" s="636"/>
      <c r="R57" s="636"/>
      <c r="S57" s="636"/>
      <c r="T57" s="637"/>
      <c r="U57" s="620"/>
      <c r="V57" s="620"/>
      <c r="W57" s="620"/>
    </row>
    <row r="58" spans="1:23" ht="14" x14ac:dyDescent="0.3">
      <c r="A58" s="329">
        <f>IF(C58&lt;&gt;"",COUNTA($C$11:C58),"")</f>
        <v>43</v>
      </c>
      <c r="C58" s="335" t="str">
        <f>+'Bill_WMA G0'!C57</f>
        <v>Solar Massachusetts Renewable Target</v>
      </c>
      <c r="D58" s="339"/>
      <c r="E58" s="339"/>
      <c r="F58" s="277"/>
      <c r="G58" s="277">
        <v>0</v>
      </c>
      <c r="H58" s="277"/>
      <c r="I58" s="277">
        <v>6.7000000000000002E-4</v>
      </c>
      <c r="J58" s="354">
        <f t="shared" si="27"/>
        <v>6.7000000000000002E-4</v>
      </c>
      <c r="K58" s="339"/>
      <c r="L58" s="339"/>
      <c r="O58" s="620"/>
      <c r="P58" s="620"/>
      <c r="Q58" s="636"/>
      <c r="R58" s="636"/>
      <c r="S58" s="636"/>
      <c r="T58" s="637"/>
      <c r="U58" s="620"/>
      <c r="V58" s="620"/>
      <c r="W58" s="620"/>
    </row>
    <row r="59" spans="1:23" ht="14" x14ac:dyDescent="0.3">
      <c r="A59" s="329">
        <f>IF(C59&lt;&gt;"",COUNTA($C$11:C59),"")</f>
        <v>44</v>
      </c>
      <c r="C59" s="335" t="str">
        <f>+'Bill_WMA G0'!C58</f>
        <v>Tax Act Credit Factor</v>
      </c>
      <c r="D59" s="339"/>
      <c r="E59" s="339"/>
      <c r="F59" s="277"/>
      <c r="G59" s="277">
        <v>0</v>
      </c>
      <c r="H59" s="277"/>
      <c r="I59" s="277">
        <v>-1.01E-3</v>
      </c>
      <c r="J59" s="354">
        <f t="shared" si="27"/>
        <v>-1.01E-3</v>
      </c>
      <c r="K59" s="339"/>
      <c r="L59" s="339"/>
      <c r="O59" s="620"/>
      <c r="P59" s="620"/>
      <c r="Q59" s="636"/>
      <c r="R59" s="636"/>
      <c r="S59" s="636"/>
      <c r="T59" s="637"/>
      <c r="U59" s="620"/>
      <c r="V59" s="620"/>
      <c r="W59" s="620"/>
    </row>
    <row r="60" spans="1:23" ht="14" x14ac:dyDescent="0.3">
      <c r="A60" s="329">
        <f>IF(C60&lt;&gt;"",COUNTA($C$11:C60),"")</f>
        <v>45</v>
      </c>
      <c r="C60" s="335" t="str">
        <f>+'Bill_WMA G0'!C59</f>
        <v>Transition</v>
      </c>
      <c r="D60" s="274"/>
      <c r="G60" s="308">
        <v>-1.7099999999999999E-3</v>
      </c>
      <c r="H60" s="400"/>
      <c r="I60" s="277">
        <v>-5.1999999999999995E-4</v>
      </c>
      <c r="J60" s="354">
        <f t="shared" si="27"/>
        <v>1.1900000000000001E-3</v>
      </c>
      <c r="K60" s="559"/>
      <c r="L60" s="559"/>
      <c r="M60" s="559"/>
      <c r="N60" s="559"/>
      <c r="O60" s="620"/>
      <c r="P60" s="620"/>
      <c r="Q60" s="636"/>
      <c r="R60" s="636"/>
      <c r="S60" s="636"/>
      <c r="T60" s="637"/>
      <c r="U60" s="620"/>
      <c r="V60" s="620"/>
      <c r="W60" s="620"/>
    </row>
    <row r="61" spans="1:23" ht="14" x14ac:dyDescent="0.3">
      <c r="A61" s="329">
        <f>IF(C61&lt;&gt;"",COUNTA($C$11:C61),"")</f>
        <v>46</v>
      </c>
      <c r="C61" s="335" t="str">
        <f>+'Bill_WMA G0'!C60</f>
        <v>Transmission Energy</v>
      </c>
      <c r="D61" s="274"/>
      <c r="G61" s="308">
        <v>0</v>
      </c>
      <c r="H61" s="574"/>
      <c r="I61" s="404">
        <v>0</v>
      </c>
      <c r="J61" s="354">
        <f t="shared" si="27"/>
        <v>0</v>
      </c>
      <c r="K61" s="559"/>
      <c r="L61" s="559"/>
      <c r="M61" s="559"/>
      <c r="N61" s="559"/>
      <c r="O61" s="620"/>
      <c r="P61" s="620"/>
      <c r="Q61" s="636"/>
      <c r="R61" s="636"/>
      <c r="S61" s="636"/>
      <c r="T61" s="637"/>
      <c r="U61" s="620"/>
      <c r="V61" s="620"/>
      <c r="W61" s="620"/>
    </row>
    <row r="62" spans="1:23" ht="14" x14ac:dyDescent="0.3">
      <c r="A62" s="329">
        <f>IF(C62&lt;&gt;"",COUNTA($C$11:C62),"")</f>
        <v>47</v>
      </c>
      <c r="C62" s="335" t="str">
        <f>+'Bill_WMA G0'!C61</f>
        <v>Energy Efficiency Reconciliation Factor</v>
      </c>
      <c r="D62" s="274"/>
      <c r="G62" s="308">
        <v>9.7199999999999995E-3</v>
      </c>
      <c r="H62" s="574"/>
      <c r="I62" s="308">
        <v>9.7199999999999995E-3</v>
      </c>
      <c r="J62" s="354">
        <f t="shared" si="27"/>
        <v>0</v>
      </c>
      <c r="K62" s="559"/>
      <c r="L62" s="559"/>
      <c r="M62" s="559"/>
      <c r="N62" s="559"/>
      <c r="O62" s="620"/>
      <c r="P62" s="620"/>
      <c r="Q62" s="636"/>
      <c r="R62" s="636"/>
      <c r="S62" s="636"/>
      <c r="T62" s="637"/>
      <c r="U62" s="620"/>
      <c r="V62" s="620"/>
      <c r="W62" s="620"/>
    </row>
    <row r="63" spans="1:23" ht="14" x14ac:dyDescent="0.3">
      <c r="A63" s="329">
        <f>IF(C63&lt;&gt;"",COUNTA($C$11:C63),"")</f>
        <v>48</v>
      </c>
      <c r="C63" s="335" t="str">
        <f>+'Bill_WMA G0'!C62</f>
        <v>System Benefits Charge</v>
      </c>
      <c r="D63" s="274"/>
      <c r="G63" s="308">
        <v>2.5000000000000001E-3</v>
      </c>
      <c r="H63" s="574"/>
      <c r="I63" s="308">
        <f>G63</f>
        <v>2.5000000000000001E-3</v>
      </c>
      <c r="J63" s="354">
        <f t="shared" si="27"/>
        <v>0</v>
      </c>
      <c r="K63" s="559"/>
      <c r="L63" s="559"/>
      <c r="M63" s="559"/>
      <c r="N63" s="559"/>
      <c r="O63" s="620"/>
      <c r="P63" s="620"/>
      <c r="Q63" s="636"/>
      <c r="R63" s="636"/>
      <c r="S63" s="636"/>
      <c r="T63" s="637"/>
      <c r="U63" s="620"/>
      <c r="V63" s="620"/>
      <c r="W63" s="620"/>
    </row>
    <row r="64" spans="1:23" ht="14" x14ac:dyDescent="0.3">
      <c r="A64" s="329">
        <f>IF(C64&lt;&gt;"",COUNTA($C$11:C64),"")</f>
        <v>49</v>
      </c>
      <c r="C64" s="335" t="str">
        <f>+'Bill_WMA G0'!C63</f>
        <v>Renewable Energy Charge</v>
      </c>
      <c r="D64" s="274"/>
      <c r="G64" s="308">
        <v>5.0000000000000001E-4</v>
      </c>
      <c r="H64" s="574"/>
      <c r="I64" s="308">
        <f>G64</f>
        <v>5.0000000000000001E-4</v>
      </c>
      <c r="J64" s="354">
        <f t="shared" si="27"/>
        <v>0</v>
      </c>
      <c r="K64" s="559"/>
      <c r="L64" s="559"/>
      <c r="M64" s="559"/>
      <c r="N64" s="559"/>
      <c r="O64" s="620"/>
      <c r="P64" s="620"/>
      <c r="Q64" s="636"/>
      <c r="R64" s="636"/>
      <c r="S64" s="636"/>
      <c r="T64" s="637"/>
      <c r="U64" s="620"/>
      <c r="V64" s="620"/>
      <c r="W64" s="620"/>
    </row>
    <row r="65" spans="1:23" ht="14" x14ac:dyDescent="0.3">
      <c r="A65" s="329">
        <f>IF(C65&lt;&gt;"",COUNTA($C$11:C65),"")</f>
        <v>50</v>
      </c>
      <c r="C65" s="335" t="str">
        <f>+'Bill_WMA G0'!C64</f>
        <v>Basic Service Charge</v>
      </c>
      <c r="D65" s="274"/>
      <c r="G65" s="308">
        <v>0.10859000000000001</v>
      </c>
      <c r="H65" s="574"/>
      <c r="I65" s="308">
        <v>0.12354999999999999</v>
      </c>
      <c r="J65" s="354">
        <f t="shared" si="27"/>
        <v>1.4959999999999987E-2</v>
      </c>
      <c r="K65" s="559"/>
      <c r="L65" s="559"/>
      <c r="M65" s="559"/>
      <c r="N65" s="559"/>
      <c r="O65" s="620"/>
      <c r="P65" s="620"/>
      <c r="Q65" s="636"/>
      <c r="R65" s="636"/>
      <c r="S65" s="636"/>
      <c r="T65" s="637"/>
      <c r="U65" s="620"/>
      <c r="V65" s="620"/>
      <c r="W65" s="620"/>
    </row>
    <row r="66" spans="1:23" ht="14" x14ac:dyDescent="0.3">
      <c r="A66" s="329" t="str">
        <f>IF(C66&lt;&gt;"",COUNTA($C$11:C66),"")</f>
        <v/>
      </c>
      <c r="C66" s="335"/>
      <c r="D66" s="620"/>
      <c r="E66" s="620"/>
      <c r="F66" s="620"/>
      <c r="G66" s="639"/>
      <c r="H66" s="639"/>
      <c r="I66" s="639"/>
      <c r="J66" s="609"/>
      <c r="K66" s="620"/>
      <c r="L66" s="620"/>
      <c r="M66" s="620"/>
      <c r="N66" s="620"/>
      <c r="O66" s="620"/>
      <c r="P66" s="620"/>
      <c r="Q66" s="620"/>
      <c r="R66" s="620"/>
      <c r="S66" s="620"/>
      <c r="T66" s="620"/>
      <c r="U66" s="620"/>
      <c r="V66" s="620"/>
      <c r="W66" s="620"/>
    </row>
    <row r="67" spans="1:23" ht="14" x14ac:dyDescent="0.3">
      <c r="A67" s="329">
        <f>IF(C67&lt;&gt;"",COUNTA($C$11:C67),"")</f>
        <v>51</v>
      </c>
      <c r="C67" s="640" t="s">
        <v>585</v>
      </c>
      <c r="E67" s="641">
        <v>0.24</v>
      </c>
      <c r="G67" s="642"/>
      <c r="H67" s="639"/>
      <c r="I67" s="639"/>
      <c r="J67" s="421"/>
      <c r="K67" s="620"/>
      <c r="L67" s="620"/>
      <c r="M67" s="620"/>
      <c r="N67" s="620"/>
      <c r="O67" s="620"/>
      <c r="P67" s="620"/>
      <c r="Q67" s="620"/>
      <c r="R67" s="620"/>
      <c r="S67" s="620"/>
      <c r="T67" s="620"/>
      <c r="U67" s="620"/>
      <c r="V67" s="620"/>
      <c r="W67" s="620"/>
    </row>
    <row r="68" spans="1:23" ht="14" x14ac:dyDescent="0.3">
      <c r="A68" s="329">
        <f>IF(C68&lt;&gt;"",COUNTA($C$11:C68),"")</f>
        <v>52</v>
      </c>
      <c r="C68" s="640" t="s">
        <v>586</v>
      </c>
      <c r="E68" s="641">
        <v>0.76</v>
      </c>
      <c r="G68" s="642"/>
      <c r="H68" s="642"/>
      <c r="I68" s="642"/>
      <c r="J68" s="354"/>
    </row>
    <row r="69" spans="1:23" ht="14" x14ac:dyDescent="0.3">
      <c r="A69" s="329" t="str">
        <f>IF(C69&lt;&gt;"",COUNTA($C$11:C69),"")</f>
        <v/>
      </c>
      <c r="G69" s="642"/>
      <c r="H69" s="642"/>
      <c r="I69" s="642"/>
      <c r="J69" s="354"/>
    </row>
    <row r="70" spans="1:23" ht="14" x14ac:dyDescent="0.3">
      <c r="G70" s="642"/>
      <c r="H70" s="642"/>
      <c r="I70" s="642"/>
      <c r="J70" s="642"/>
    </row>
    <row r="71" spans="1:23" ht="14" x14ac:dyDescent="0.3">
      <c r="C71" s="643" t="str">
        <f>+'Bill_WMA G0'!C67</f>
        <v>Total Demand &gt;2kW</v>
      </c>
      <c r="G71" s="628">
        <f>+G42+G43</f>
        <v>19.23</v>
      </c>
      <c r="H71" s="642"/>
      <c r="I71" s="628">
        <f>+I42+I43</f>
        <v>16.53</v>
      </c>
      <c r="J71" s="421">
        <f t="shared" ref="J71:J74" si="28">+I71-G71</f>
        <v>-2.6999999999999993</v>
      </c>
    </row>
    <row r="72" spans="1:23" ht="14" x14ac:dyDescent="0.3">
      <c r="C72" s="644" t="s">
        <v>587</v>
      </c>
      <c r="G72" s="642">
        <f>SUM(G44,G$46:G$64)</f>
        <v>3.5949999999999996E-2</v>
      </c>
      <c r="H72" s="642"/>
      <c r="I72" s="642">
        <f>SUM(I44,I$46:I$64)</f>
        <v>2.9509999999999998E-2</v>
      </c>
      <c r="J72" s="354">
        <f t="shared" si="28"/>
        <v>-6.4399999999999978E-3</v>
      </c>
    </row>
    <row r="73" spans="1:23" ht="14" x14ac:dyDescent="0.3">
      <c r="C73" s="644" t="s">
        <v>588</v>
      </c>
      <c r="G73" s="642">
        <f>SUM(G45,G$46:G$64)</f>
        <v>3.3859999999999994E-2</v>
      </c>
      <c r="H73" s="642"/>
      <c r="I73" s="642">
        <f>SUM(I45,I$46:I$64)</f>
        <v>2.7339999999999996E-2</v>
      </c>
      <c r="J73" s="354">
        <f t="shared" si="28"/>
        <v>-6.519999999999998E-3</v>
      </c>
    </row>
    <row r="74" spans="1:23" ht="14" x14ac:dyDescent="0.3">
      <c r="C74" s="643" t="str">
        <f>+'Bill_WMA G0'!C69</f>
        <v>Total Basic Service</v>
      </c>
      <c r="G74" s="642">
        <f>+G65</f>
        <v>0.10859000000000001</v>
      </c>
      <c r="H74" s="642"/>
      <c r="I74" s="642">
        <f>+I65</f>
        <v>0.12354999999999999</v>
      </c>
      <c r="J74" s="354">
        <f t="shared" si="28"/>
        <v>1.4959999999999987E-2</v>
      </c>
    </row>
    <row r="75" spans="1:23" ht="14" x14ac:dyDescent="0.3">
      <c r="G75" s="642"/>
      <c r="H75" s="642"/>
      <c r="I75" s="642"/>
      <c r="J75" s="642"/>
    </row>
    <row r="76" spans="1:23" ht="14" x14ac:dyDescent="0.3">
      <c r="G76" s="642"/>
      <c r="H76" s="642"/>
      <c r="I76" s="642"/>
      <c r="J76" s="642"/>
    </row>
    <row r="77" spans="1:23" ht="14" x14ac:dyDescent="0.3">
      <c r="G77" s="642"/>
      <c r="H77" s="642"/>
      <c r="I77" s="642"/>
      <c r="J77" s="642"/>
    </row>
    <row r="78" spans="1:23" ht="14" x14ac:dyDescent="0.3">
      <c r="G78" s="642"/>
      <c r="H78" s="642"/>
      <c r="I78" s="642"/>
      <c r="J78" s="642"/>
    </row>
  </sheetData>
  <mergeCells count="7">
    <mergeCell ref="A4:N4"/>
    <mergeCell ref="A5:N5"/>
    <mergeCell ref="A6:N6"/>
    <mergeCell ref="A8:N8"/>
    <mergeCell ref="E11:G11"/>
    <mergeCell ref="I11:K11"/>
    <mergeCell ref="M11:N11"/>
  </mergeCells>
  <pageMargins left="0.7" right="0.7" top="0.75" bottom="0.75" header="0.3" footer="0.3"/>
  <pageSetup scale="64" orientation="portrait" r:id="rId1"/>
  <headerFooter>
    <oddHeader>&amp;RNSTAR Electric Company
d/b/a Eversource Energy
D.P.U. 18-120 (Dec. 26, 2018)
Exhibit ES-MQ-10 (Revised)
Page &amp;P of &amp;N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97329-2118-41DD-878C-334BF16DD5FF}">
  <sheetPr>
    <tabColor theme="3" tint="0.59999389629810485"/>
    <pageSetUpPr fitToPage="1"/>
  </sheetPr>
  <dimension ref="A1:AB229"/>
  <sheetViews>
    <sheetView zoomScaleNormal="100" workbookViewId="0"/>
  </sheetViews>
  <sheetFormatPr defaultRowHeight="12.5" x14ac:dyDescent="0.25"/>
  <cols>
    <col min="1" max="1" width="4" customWidth="1"/>
    <col min="2" max="2" width="4.453125" bestFit="1" customWidth="1"/>
    <col min="3" max="3" width="9.7265625" customWidth="1"/>
    <col min="4" max="4" width="10.7265625" customWidth="1"/>
    <col min="5" max="7" width="14.54296875" customWidth="1"/>
    <col min="8" max="8" width="1.7265625" customWidth="1"/>
    <col min="9" max="11" width="14.54296875" customWidth="1"/>
    <col min="12" max="12" width="1.7265625" customWidth="1"/>
    <col min="13" max="14" width="11.7265625" customWidth="1"/>
    <col min="15" max="16" width="10.1796875" bestFit="1" customWidth="1"/>
    <col min="17" max="19" width="11.81640625" bestFit="1" customWidth="1"/>
  </cols>
  <sheetData>
    <row r="1" spans="1:28" ht="14" x14ac:dyDescent="0.3">
      <c r="C1" s="527"/>
      <c r="D1" s="645"/>
      <c r="E1" s="645"/>
      <c r="F1" s="645"/>
      <c r="G1" s="646"/>
      <c r="H1" s="529"/>
    </row>
    <row r="2" spans="1:28" ht="14" x14ac:dyDescent="0.3">
      <c r="C2" s="528"/>
      <c r="D2" s="645"/>
      <c r="E2" s="645"/>
      <c r="F2" s="645"/>
      <c r="G2" s="645"/>
      <c r="H2" s="529"/>
    </row>
    <row r="3" spans="1:28" ht="14" x14ac:dyDescent="0.3">
      <c r="C3" s="647"/>
      <c r="D3" s="585" t="s">
        <v>46</v>
      </c>
      <c r="E3" s="647"/>
      <c r="F3" s="585" t="s">
        <v>46</v>
      </c>
      <c r="H3" s="648"/>
      <c r="I3" s="647"/>
      <c r="J3" s="647"/>
      <c r="K3" s="647"/>
      <c r="L3" s="647"/>
    </row>
    <row r="4" spans="1:28" ht="14" x14ac:dyDescent="0.3">
      <c r="A4" s="757" t="str">
        <f>+'Bill_WMA 23'!A4</f>
        <v>Western Massachusetts</v>
      </c>
      <c r="B4" s="757"/>
      <c r="C4" s="757"/>
      <c r="D4" s="757"/>
      <c r="E4" s="757"/>
      <c r="F4" s="757"/>
      <c r="G4" s="757"/>
      <c r="H4" s="757"/>
      <c r="I4" s="757"/>
      <c r="J4" s="757"/>
      <c r="K4" s="757"/>
      <c r="L4" s="757"/>
      <c r="M4" s="757"/>
      <c r="N4" s="757"/>
    </row>
    <row r="5" spans="1:28" ht="14" x14ac:dyDescent="0.3">
      <c r="A5" s="757" t="str">
        <f>+'Bill_WMA 23'!A5</f>
        <v>Calculation of Monthly Typical Bill</v>
      </c>
      <c r="B5" s="757"/>
      <c r="C5" s="757"/>
      <c r="D5" s="757"/>
      <c r="E5" s="757"/>
      <c r="F5" s="757"/>
      <c r="G5" s="757"/>
      <c r="H5" s="757"/>
      <c r="I5" s="757"/>
      <c r="J5" s="757"/>
      <c r="K5" s="757"/>
      <c r="L5" s="757"/>
      <c r="M5" s="757"/>
      <c r="N5" s="757"/>
    </row>
    <row r="6" spans="1:28" ht="14" x14ac:dyDescent="0.3">
      <c r="A6" s="757" t="str">
        <f>+'Bill_WMA 23'!A6</f>
        <v>Proposed January 1, 2019</v>
      </c>
      <c r="B6" s="757"/>
      <c r="C6" s="757"/>
      <c r="D6" s="757"/>
      <c r="E6" s="757"/>
      <c r="F6" s="757"/>
      <c r="G6" s="757"/>
      <c r="H6" s="757"/>
      <c r="I6" s="757"/>
      <c r="J6" s="757"/>
      <c r="K6" s="757"/>
      <c r="L6" s="757"/>
      <c r="M6" s="757"/>
      <c r="N6" s="757"/>
    </row>
    <row r="7" spans="1:28" ht="14" x14ac:dyDescent="0.3">
      <c r="A7" s="518"/>
      <c r="B7" s="518"/>
      <c r="D7" s="555"/>
      <c r="E7" s="555"/>
      <c r="F7" s="555"/>
      <c r="G7" s="647"/>
      <c r="H7" s="647"/>
      <c r="I7" s="647"/>
      <c r="J7" s="647"/>
      <c r="K7" s="647"/>
      <c r="L7" s="647"/>
    </row>
    <row r="8" spans="1:28" ht="14" x14ac:dyDescent="0.3">
      <c r="A8" s="757" t="s">
        <v>515</v>
      </c>
      <c r="B8" s="757"/>
      <c r="C8" s="757"/>
      <c r="D8" s="757"/>
      <c r="E8" s="757"/>
      <c r="F8" s="757"/>
      <c r="G8" s="757"/>
      <c r="H8" s="757"/>
      <c r="I8" s="757"/>
      <c r="J8" s="757"/>
      <c r="K8" s="757"/>
      <c r="L8" s="757"/>
      <c r="M8" s="757"/>
      <c r="N8" s="757"/>
    </row>
    <row r="9" spans="1:28" ht="14" x14ac:dyDescent="0.3">
      <c r="A9" s="518"/>
      <c r="B9" s="518"/>
      <c r="D9" s="647"/>
      <c r="E9" s="647"/>
      <c r="F9" s="647"/>
      <c r="G9" s="647"/>
      <c r="H9" s="647"/>
      <c r="I9" s="647"/>
      <c r="J9" s="647"/>
      <c r="K9" s="647"/>
      <c r="L9" s="647"/>
    </row>
    <row r="10" spans="1:28" ht="14" x14ac:dyDescent="0.3">
      <c r="C10" s="647"/>
      <c r="D10" s="647"/>
      <c r="E10" s="647"/>
      <c r="F10" s="647"/>
      <c r="G10" s="647"/>
      <c r="H10" s="647"/>
      <c r="I10" s="647"/>
      <c r="J10" s="647"/>
      <c r="K10" s="647"/>
      <c r="L10" s="647"/>
    </row>
    <row r="11" spans="1:28" ht="14" x14ac:dyDescent="0.3">
      <c r="A11" s="329">
        <f>IF(C11&lt;&gt;"",COUNTA($C11:C$11),"")</f>
        <v>1</v>
      </c>
      <c r="B11" s="329"/>
      <c r="C11" s="649" t="str">
        <f>+'Bill_WMA G0'!C11</f>
        <v>Monthly</v>
      </c>
      <c r="D11" s="649" t="str">
        <f>+'Bill_WMA G0'!D11</f>
        <v>Monthly</v>
      </c>
      <c r="E11" s="769" t="str">
        <f>+'Bill_WMA 23'!D11</f>
        <v>Current Monthly Bill</v>
      </c>
      <c r="F11" s="769"/>
      <c r="G11" s="769"/>
      <c r="H11" s="647"/>
      <c r="I11" s="769" t="str">
        <f>+'Bill_WMA 23'!H11</f>
        <v>Proposed Monthly Bill</v>
      </c>
      <c r="J11" s="769"/>
      <c r="K11" s="769"/>
      <c r="L11" s="647"/>
      <c r="M11" s="770" t="str">
        <f>+'Bill_WMA 23'!L11</f>
        <v>Total Bill Impact</v>
      </c>
      <c r="N11" s="770"/>
      <c r="O11" s="650"/>
      <c r="P11" s="650"/>
      <c r="Q11" s="650"/>
      <c r="R11" s="650"/>
      <c r="S11" s="650"/>
      <c r="T11" s="650"/>
      <c r="V11" s="650"/>
      <c r="W11" s="650"/>
      <c r="X11" s="650"/>
      <c r="Y11" s="650"/>
      <c r="Z11" s="650"/>
      <c r="AA11" s="650"/>
    </row>
    <row r="12" spans="1:28" ht="14" x14ac:dyDescent="0.3">
      <c r="A12" s="329">
        <f>IF(C12&lt;&gt;"",COUNTA($C$11:C12),"")</f>
        <v>2</v>
      </c>
      <c r="B12" s="329"/>
      <c r="C12" s="651" t="str">
        <f>+'Bill_WMA G0'!C12</f>
        <v>kW</v>
      </c>
      <c r="D12" s="651" t="str">
        <f>+'Bill_WMA G0'!D12</f>
        <v>kWh</v>
      </c>
      <c r="E12" s="651" t="str">
        <f>+'Bill_WMA 23'!D12</f>
        <v>Delivery</v>
      </c>
      <c r="F12" s="651" t="str">
        <f>+'Bill_WMA 23'!E12</f>
        <v>Supplier</v>
      </c>
      <c r="G12" s="651" t="str">
        <f>+'Bill_WMA 23'!F12</f>
        <v>Total</v>
      </c>
      <c r="H12" s="647"/>
      <c r="I12" s="651" t="str">
        <f>+'Bill_WMA 23'!H12</f>
        <v>Delivery</v>
      </c>
      <c r="J12" s="651" t="str">
        <f>+'Bill_WMA 23'!I12</f>
        <v>Supplier</v>
      </c>
      <c r="K12" s="651" t="str">
        <f>+'Bill_WMA 23'!J12</f>
        <v>Total</v>
      </c>
      <c r="L12" s="651"/>
      <c r="M12" s="651" t="str">
        <f>+'Bill_WMA 23'!L12</f>
        <v>Change</v>
      </c>
      <c r="N12" s="651" t="str">
        <f>+'Bill_WMA 23'!M12</f>
        <v>% Change</v>
      </c>
    </row>
    <row r="13" spans="1:28" ht="14" x14ac:dyDescent="0.3">
      <c r="A13" s="329" t="str">
        <f>IF(C13&lt;&gt;"",COUNTA($C$11:C13),"")</f>
        <v/>
      </c>
      <c r="C13" s="647"/>
      <c r="D13" s="647"/>
      <c r="E13" s="592"/>
      <c r="H13" s="647"/>
      <c r="I13" s="592"/>
      <c r="J13" s="592"/>
      <c r="K13" s="592"/>
      <c r="L13" s="592"/>
      <c r="M13" s="647"/>
      <c r="N13" s="652"/>
    </row>
    <row r="14" spans="1:28" ht="14" x14ac:dyDescent="0.3">
      <c r="A14" s="329">
        <f>IF(C14&lt;&gt;"",COUNTA($C$11:C14),"")</f>
        <v>3</v>
      </c>
      <c r="C14" s="647" t="s">
        <v>574</v>
      </c>
      <c r="D14" s="647"/>
      <c r="E14" s="592"/>
      <c r="H14" s="647"/>
      <c r="I14" s="592"/>
      <c r="J14" s="592"/>
      <c r="K14" s="592"/>
      <c r="L14" s="592"/>
      <c r="M14" s="647"/>
      <c r="N14" s="652"/>
    </row>
    <row r="15" spans="1:28" ht="14" x14ac:dyDescent="0.3">
      <c r="A15" s="329">
        <f>IF(C15&lt;&gt;"",COUNTA($C$11:C15),"")</f>
        <v>4</v>
      </c>
      <c r="C15" s="653">
        <v>50</v>
      </c>
      <c r="D15" s="654">
        <f>+C15*250</f>
        <v>12500</v>
      </c>
      <c r="E15" s="655">
        <f t="shared" ref="E15:E21" si="0">$G$44+($G$45*MIN(50,$C15))+($G$46*MAX(0,$C15-50))+SUM($G$48:$G$67)*$D15+$G$47*$C15</f>
        <v>1129.625</v>
      </c>
      <c r="F15" s="655">
        <f t="shared" ref="F15:F21" si="1">+$D15*$G$68</f>
        <v>1423.375</v>
      </c>
      <c r="G15" s="655">
        <f t="shared" ref="G15:G21" si="2">SUM(E15:F15)</f>
        <v>2553</v>
      </c>
      <c r="H15" s="656"/>
      <c r="I15" s="655">
        <f t="shared" ref="I15:I21" si="3">$I$44+($I$45*MIN(50,$C15))+($I$46*MAX(0,$C15-50))+SUM($I$48:$I$67)*$D15+$I$47*$C15</f>
        <v>1079.875</v>
      </c>
      <c r="J15" s="655">
        <f t="shared" ref="J15:J21" si="4">+$D15*$I$68</f>
        <v>1854.8750000000002</v>
      </c>
      <c r="K15" s="655">
        <f t="shared" ref="K15:K21" si="5">SUM(I15:J15)</f>
        <v>2934.75</v>
      </c>
      <c r="L15" s="655"/>
      <c r="M15" s="657">
        <f t="shared" ref="M15:M21" si="6">K15-G15</f>
        <v>381.75</v>
      </c>
      <c r="N15" s="571">
        <f t="shared" ref="N15:N21" si="7">M15/G15</f>
        <v>0.14952996474735605</v>
      </c>
      <c r="O15" s="658"/>
      <c r="P15" s="658"/>
      <c r="Q15" s="658"/>
      <c r="R15" s="658"/>
      <c r="S15" s="658"/>
      <c r="T15" s="658"/>
      <c r="U15" s="658"/>
      <c r="V15" s="658"/>
      <c r="W15" s="658"/>
      <c r="X15" s="658"/>
      <c r="Y15" s="658"/>
      <c r="Z15" s="658"/>
      <c r="AA15" s="658"/>
      <c r="AB15" s="658"/>
    </row>
    <row r="16" spans="1:28" ht="14" x14ac:dyDescent="0.3">
      <c r="A16" s="329">
        <f>IF(C16&lt;&gt;"",COUNTA($C$11:C16),"")</f>
        <v>5</v>
      </c>
      <c r="C16" s="653">
        <v>75</v>
      </c>
      <c r="D16" s="654">
        <f t="shared" ref="D16:D21" si="8">+C16*250</f>
        <v>18750</v>
      </c>
      <c r="E16" s="655">
        <f t="shared" si="0"/>
        <v>1666.9375</v>
      </c>
      <c r="F16" s="655">
        <f t="shared" si="1"/>
        <v>2135.0625</v>
      </c>
      <c r="G16" s="655">
        <f t="shared" si="2"/>
        <v>3802</v>
      </c>
      <c r="H16" s="656"/>
      <c r="I16" s="655">
        <f t="shared" si="3"/>
        <v>1600.8125</v>
      </c>
      <c r="J16" s="655">
        <f t="shared" si="4"/>
        <v>2782.3125000000005</v>
      </c>
      <c r="K16" s="655">
        <f t="shared" si="5"/>
        <v>4383.125</v>
      </c>
      <c r="L16" s="655"/>
      <c r="M16" s="657">
        <f t="shared" si="6"/>
        <v>581.125</v>
      </c>
      <c r="N16" s="571">
        <f t="shared" si="7"/>
        <v>0.15284718569174119</v>
      </c>
      <c r="O16" s="658"/>
      <c r="P16" s="658"/>
      <c r="Q16" s="658"/>
      <c r="R16" s="658"/>
      <c r="S16" s="658"/>
      <c r="T16" s="658"/>
      <c r="U16" s="658"/>
      <c r="V16" s="658"/>
      <c r="W16" s="658"/>
      <c r="X16" s="658"/>
      <c r="Y16" s="658"/>
      <c r="Z16" s="658"/>
      <c r="AA16" s="658"/>
      <c r="AB16" s="658"/>
    </row>
    <row r="17" spans="1:28" ht="14" x14ac:dyDescent="0.3">
      <c r="A17" s="329">
        <f>IF(C17&lt;&gt;"",COUNTA($C$11:C17),"")</f>
        <v>6</v>
      </c>
      <c r="C17" s="653">
        <v>100</v>
      </c>
      <c r="D17" s="654">
        <f t="shared" si="8"/>
        <v>25000</v>
      </c>
      <c r="E17" s="655">
        <f t="shared" si="0"/>
        <v>2204.25</v>
      </c>
      <c r="F17" s="655">
        <f t="shared" si="1"/>
        <v>2846.75</v>
      </c>
      <c r="G17" s="655">
        <f t="shared" si="2"/>
        <v>5051</v>
      </c>
      <c r="H17" s="656"/>
      <c r="I17" s="655">
        <f t="shared" si="3"/>
        <v>2121.75</v>
      </c>
      <c r="J17" s="655">
        <f t="shared" si="4"/>
        <v>3709.7500000000005</v>
      </c>
      <c r="K17" s="655">
        <f t="shared" si="5"/>
        <v>5831.5</v>
      </c>
      <c r="L17" s="655"/>
      <c r="M17" s="657">
        <f t="shared" si="6"/>
        <v>780.5</v>
      </c>
      <c r="N17" s="571">
        <f t="shared" si="7"/>
        <v>0.15452385666204713</v>
      </c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</row>
    <row r="18" spans="1:28" ht="14" x14ac:dyDescent="0.3">
      <c r="A18" s="329">
        <f>IF(C18&lt;&gt;"",COUNTA($C$11:C18),"")</f>
        <v>7</v>
      </c>
      <c r="C18" s="653">
        <v>150</v>
      </c>
      <c r="D18" s="654">
        <f t="shared" si="8"/>
        <v>37500</v>
      </c>
      <c r="E18" s="655">
        <f t="shared" si="0"/>
        <v>3278.875</v>
      </c>
      <c r="F18" s="655">
        <f t="shared" si="1"/>
        <v>4270.125</v>
      </c>
      <c r="G18" s="655">
        <f t="shared" si="2"/>
        <v>7549</v>
      </c>
      <c r="H18" s="656"/>
      <c r="I18" s="655">
        <f t="shared" si="3"/>
        <v>3163.625</v>
      </c>
      <c r="J18" s="655">
        <f t="shared" si="4"/>
        <v>5564.6250000000009</v>
      </c>
      <c r="K18" s="655">
        <f t="shared" si="5"/>
        <v>8728.25</v>
      </c>
      <c r="L18" s="655"/>
      <c r="M18" s="657">
        <f t="shared" si="6"/>
        <v>1179.25</v>
      </c>
      <c r="N18" s="571">
        <f t="shared" si="7"/>
        <v>0.15621274340972313</v>
      </c>
      <c r="O18" s="658"/>
      <c r="P18" s="658"/>
      <c r="Q18" s="658"/>
      <c r="R18" s="658"/>
      <c r="S18" s="658"/>
      <c r="T18" s="658"/>
      <c r="U18" s="658"/>
      <c r="V18" s="658"/>
      <c r="W18" s="658"/>
      <c r="X18" s="658"/>
      <c r="Y18" s="658"/>
      <c r="Z18" s="658"/>
      <c r="AA18" s="658"/>
      <c r="AB18" s="658"/>
    </row>
    <row r="19" spans="1:28" ht="14" x14ac:dyDescent="0.3">
      <c r="A19" s="329">
        <f>IF(C19&lt;&gt;"",COUNTA($C$11:C19),"")</f>
        <v>8</v>
      </c>
      <c r="C19" s="653">
        <v>200</v>
      </c>
      <c r="D19" s="654">
        <f t="shared" si="8"/>
        <v>50000</v>
      </c>
      <c r="E19" s="655">
        <f t="shared" si="0"/>
        <v>4353.5</v>
      </c>
      <c r="F19" s="655">
        <f t="shared" si="1"/>
        <v>5693.5</v>
      </c>
      <c r="G19" s="655">
        <f t="shared" si="2"/>
        <v>10047</v>
      </c>
      <c r="H19" s="656"/>
      <c r="I19" s="655">
        <f t="shared" si="3"/>
        <v>4205.5</v>
      </c>
      <c r="J19" s="655">
        <f t="shared" si="4"/>
        <v>7419.5000000000009</v>
      </c>
      <c r="K19" s="655">
        <f t="shared" si="5"/>
        <v>11625</v>
      </c>
      <c r="L19" s="655"/>
      <c r="M19" s="657">
        <f t="shared" si="6"/>
        <v>1578</v>
      </c>
      <c r="N19" s="571">
        <f t="shared" si="7"/>
        <v>0.15706180949537174</v>
      </c>
      <c r="O19" s="658"/>
      <c r="P19" s="658"/>
      <c r="Q19" s="658"/>
      <c r="R19" s="658"/>
      <c r="S19" s="658"/>
      <c r="T19" s="658"/>
      <c r="U19" s="658"/>
      <c r="V19" s="658"/>
      <c r="W19" s="658"/>
      <c r="X19" s="658"/>
      <c r="Y19" s="658"/>
      <c r="Z19" s="658"/>
      <c r="AA19" s="658"/>
      <c r="AB19" s="658"/>
    </row>
    <row r="20" spans="1:28" ht="14" x14ac:dyDescent="0.3">
      <c r="A20" s="329">
        <f>IF(C20&lt;&gt;"",COUNTA($C$11:C20),"")</f>
        <v>9</v>
      </c>
      <c r="C20" s="653">
        <v>300</v>
      </c>
      <c r="D20" s="654">
        <f t="shared" si="8"/>
        <v>75000</v>
      </c>
      <c r="E20" s="655">
        <f t="shared" si="0"/>
        <v>6502.75</v>
      </c>
      <c r="F20" s="655">
        <f t="shared" si="1"/>
        <v>8540.25</v>
      </c>
      <c r="G20" s="655">
        <f t="shared" si="2"/>
        <v>15043</v>
      </c>
      <c r="H20" s="656"/>
      <c r="I20" s="655">
        <f t="shared" si="3"/>
        <v>6289.25</v>
      </c>
      <c r="J20" s="655">
        <f t="shared" si="4"/>
        <v>11129.250000000002</v>
      </c>
      <c r="K20" s="655">
        <f t="shared" si="5"/>
        <v>17418.5</v>
      </c>
      <c r="L20" s="655"/>
      <c r="M20" s="657">
        <f t="shared" si="6"/>
        <v>2375.5</v>
      </c>
      <c r="N20" s="571">
        <f t="shared" si="7"/>
        <v>0.15791397992421724</v>
      </c>
      <c r="O20" s="658"/>
      <c r="P20" s="658"/>
      <c r="Q20" s="658"/>
      <c r="R20" s="658"/>
      <c r="S20" s="658"/>
      <c r="T20" s="658"/>
      <c r="U20" s="658"/>
      <c r="V20" s="658"/>
      <c r="W20" s="658"/>
      <c r="X20" s="658"/>
      <c r="Y20" s="658"/>
      <c r="Z20" s="658"/>
      <c r="AA20" s="658"/>
      <c r="AB20" s="658"/>
    </row>
    <row r="21" spans="1:28" ht="14" x14ac:dyDescent="0.3">
      <c r="A21" s="329">
        <f>IF(C21&lt;&gt;"",COUNTA($C$11:C21),"")</f>
        <v>10</v>
      </c>
      <c r="B21" s="585" t="s">
        <v>554</v>
      </c>
      <c r="C21" s="653">
        <v>95</v>
      </c>
      <c r="D21" s="654">
        <f t="shared" si="8"/>
        <v>23750</v>
      </c>
      <c r="E21" s="655">
        <f t="shared" si="0"/>
        <v>2096.7874999999999</v>
      </c>
      <c r="F21" s="655">
        <f t="shared" si="1"/>
        <v>2704.4124999999999</v>
      </c>
      <c r="G21" s="655">
        <f t="shared" si="2"/>
        <v>4801.2</v>
      </c>
      <c r="H21" s="656"/>
      <c r="I21" s="655">
        <f t="shared" si="3"/>
        <v>2017.5625</v>
      </c>
      <c r="J21" s="655">
        <f t="shared" si="4"/>
        <v>3524.2625000000007</v>
      </c>
      <c r="K21" s="655">
        <f t="shared" si="5"/>
        <v>5541.8250000000007</v>
      </c>
      <c r="L21" s="655"/>
      <c r="M21" s="657">
        <f t="shared" si="6"/>
        <v>740.62500000000091</v>
      </c>
      <c r="N21" s="571">
        <f t="shared" si="7"/>
        <v>0.1542583104223946</v>
      </c>
      <c r="O21" s="658"/>
      <c r="P21" s="658"/>
      <c r="Q21" s="658"/>
      <c r="R21" s="658"/>
      <c r="S21" s="658"/>
      <c r="T21" s="658"/>
      <c r="U21" s="658"/>
      <c r="V21" s="658"/>
      <c r="W21" s="658"/>
      <c r="X21" s="658"/>
      <c r="Y21" s="658"/>
      <c r="Z21" s="658"/>
      <c r="AA21" s="658"/>
      <c r="AB21" s="658"/>
    </row>
    <row r="22" spans="1:28" ht="14" x14ac:dyDescent="0.3">
      <c r="A22" s="329" t="str">
        <f>IF(C22&lt;&gt;"",COUNTA($C$11:C22),"")</f>
        <v/>
      </c>
      <c r="C22" s="592"/>
      <c r="D22" s="592"/>
      <c r="E22" s="655" t="s">
        <v>46</v>
      </c>
      <c r="F22" s="658"/>
      <c r="G22" s="658"/>
      <c r="H22" s="659"/>
      <c r="I22" s="655" t="s">
        <v>46</v>
      </c>
      <c r="J22" s="658"/>
      <c r="K22" s="658"/>
      <c r="L22" s="655"/>
      <c r="M22" s="657"/>
      <c r="N22" s="660"/>
    </row>
    <row r="23" spans="1:28" ht="14" x14ac:dyDescent="0.3">
      <c r="A23" s="329">
        <f>IF(C23&lt;&gt;"",COUNTA($C$11:C23),"")</f>
        <v>11</v>
      </c>
      <c r="C23" s="647" t="s">
        <v>580</v>
      </c>
      <c r="D23" s="592"/>
      <c r="E23" s="655"/>
      <c r="F23" s="658"/>
      <c r="G23" s="658"/>
      <c r="H23" s="659"/>
      <c r="I23" s="655"/>
      <c r="J23" s="658"/>
      <c r="K23" s="658"/>
      <c r="L23" s="655"/>
      <c r="M23" s="657"/>
      <c r="N23" s="660"/>
    </row>
    <row r="24" spans="1:28" ht="14" x14ac:dyDescent="0.3">
      <c r="A24" s="329">
        <f>IF(C24&lt;&gt;"",COUNTA($C$11:C24),"")</f>
        <v>12</v>
      </c>
      <c r="C24" s="661">
        <f t="shared" ref="C24:C29" si="9">+C15</f>
        <v>50</v>
      </c>
      <c r="D24" s="654">
        <f>C24*200</f>
        <v>10000</v>
      </c>
      <c r="E24" s="655">
        <f t="shared" ref="E24:E30" si="10">$G$44+($G$45*MIN(50,$C24))+($G$46*MAX(0,$C24-50))+SUM($G$48:$G$67)*$D24+$G$47*$C24</f>
        <v>1060.4000000000001</v>
      </c>
      <c r="F24" s="655">
        <f t="shared" ref="F24:F30" si="11">+$D24*$G$68</f>
        <v>1138.7</v>
      </c>
      <c r="G24" s="655">
        <f>SUM(E24:F24)</f>
        <v>2199.1000000000004</v>
      </c>
      <c r="H24" s="656"/>
      <c r="I24" s="655">
        <f t="shared" ref="I24:I30" si="12">$I$44+($I$45*MIN(50,$C24))+($I$46*MAX(0,$C24-50))+SUM($I$48:$I$67)*$D24+$I$47*$C24</f>
        <v>1020.7</v>
      </c>
      <c r="J24" s="655">
        <f t="shared" ref="J24:J30" si="13">+$D24*$I$68</f>
        <v>1483.9000000000003</v>
      </c>
      <c r="K24" s="655">
        <f>SUM(I24:J24)</f>
        <v>2504.6000000000004</v>
      </c>
      <c r="L24" s="655"/>
      <c r="M24" s="657">
        <f>K24-G24</f>
        <v>305.5</v>
      </c>
      <c r="N24" s="571">
        <f>M24/G24</f>
        <v>0.1389204674639625</v>
      </c>
      <c r="O24" s="658"/>
      <c r="P24" s="658"/>
      <c r="Q24" s="658"/>
      <c r="R24" s="658"/>
      <c r="S24" s="658"/>
      <c r="T24" s="658"/>
      <c r="U24" s="658"/>
      <c r="V24" s="658"/>
      <c r="W24" s="658"/>
      <c r="X24" s="658"/>
      <c r="Y24" s="658"/>
      <c r="Z24" s="658"/>
      <c r="AA24" s="658"/>
      <c r="AB24" s="658"/>
    </row>
    <row r="25" spans="1:28" ht="14" x14ac:dyDescent="0.3">
      <c r="A25" s="329">
        <f>IF(C25&lt;&gt;"",COUNTA($C$11:C25),"")</f>
        <v>13</v>
      </c>
      <c r="C25" s="661">
        <f t="shared" si="9"/>
        <v>75</v>
      </c>
      <c r="D25" s="654">
        <f>C25*300</f>
        <v>22500</v>
      </c>
      <c r="E25" s="655">
        <f t="shared" si="10"/>
        <v>1770.7750000000001</v>
      </c>
      <c r="F25" s="655">
        <f t="shared" si="11"/>
        <v>2562.0749999999998</v>
      </c>
      <c r="G25" s="655">
        <f>SUM(E25:F25)</f>
        <v>4332.8500000000004</v>
      </c>
      <c r="H25" s="656"/>
      <c r="I25" s="655">
        <f t="shared" si="12"/>
        <v>1689.575</v>
      </c>
      <c r="J25" s="655">
        <f t="shared" si="13"/>
        <v>3338.7750000000005</v>
      </c>
      <c r="K25" s="655">
        <f>SUM(I25:J25)</f>
        <v>5028.3500000000004</v>
      </c>
      <c r="L25" s="655"/>
      <c r="M25" s="657">
        <f>K25-G25</f>
        <v>695.5</v>
      </c>
      <c r="N25" s="571">
        <f>M25/G25</f>
        <v>0.16051790392005261</v>
      </c>
      <c r="O25" s="658"/>
      <c r="P25" s="658"/>
      <c r="Q25" s="658"/>
      <c r="R25" s="658"/>
      <c r="S25" s="658"/>
      <c r="T25" s="658"/>
      <c r="U25" s="658"/>
      <c r="V25" s="658"/>
      <c r="W25" s="658"/>
      <c r="X25" s="658"/>
      <c r="Y25" s="658"/>
      <c r="Z25" s="658"/>
      <c r="AA25" s="658"/>
      <c r="AB25" s="658"/>
    </row>
    <row r="26" spans="1:28" ht="14" x14ac:dyDescent="0.3">
      <c r="A26" s="329">
        <f>IF(C26&lt;&gt;"",COUNTA($C$11:C26),"")</f>
        <v>14</v>
      </c>
      <c r="C26" s="661">
        <f t="shared" si="9"/>
        <v>100</v>
      </c>
      <c r="D26" s="654">
        <f>C26*400</f>
        <v>40000</v>
      </c>
      <c r="E26" s="655">
        <f t="shared" si="10"/>
        <v>2619.6</v>
      </c>
      <c r="F26" s="655">
        <f t="shared" si="11"/>
        <v>4554.8</v>
      </c>
      <c r="G26" s="655">
        <f>SUM(E26:F26)</f>
        <v>7174.4</v>
      </c>
      <c r="H26" s="656"/>
      <c r="I26" s="655">
        <f t="shared" si="12"/>
        <v>2476.8000000000002</v>
      </c>
      <c r="J26" s="655">
        <f t="shared" si="13"/>
        <v>5935.6000000000013</v>
      </c>
      <c r="K26" s="655">
        <f>SUM(I26:J26)</f>
        <v>8412.4000000000015</v>
      </c>
      <c r="L26" s="655"/>
      <c r="M26" s="657">
        <f>K26-G26</f>
        <v>1238.0000000000018</v>
      </c>
      <c r="N26" s="571">
        <f>M26/G26</f>
        <v>0.17255798394290839</v>
      </c>
      <c r="O26" s="658"/>
      <c r="P26" s="658"/>
      <c r="Q26" s="658"/>
      <c r="R26" s="658"/>
      <c r="S26" s="658"/>
      <c r="T26" s="658"/>
      <c r="U26" s="658"/>
      <c r="V26" s="658"/>
      <c r="W26" s="658"/>
      <c r="X26" s="658"/>
      <c r="Y26" s="658"/>
      <c r="Z26" s="658"/>
      <c r="AA26" s="658"/>
      <c r="AB26" s="658"/>
    </row>
    <row r="27" spans="1:28" ht="14" x14ac:dyDescent="0.3">
      <c r="A27" s="329">
        <f>IF(C27&lt;&gt;"",COUNTA($C$11:C27),"")</f>
        <v>15</v>
      </c>
      <c r="C27" s="661">
        <f t="shared" si="9"/>
        <v>150</v>
      </c>
      <c r="D27" s="654">
        <f>C27*500</f>
        <v>75000</v>
      </c>
      <c r="E27" s="655">
        <f t="shared" si="10"/>
        <v>4317.25</v>
      </c>
      <c r="F27" s="655">
        <f t="shared" si="11"/>
        <v>8540.25</v>
      </c>
      <c r="G27" s="655">
        <f>SUM(E27:F27)</f>
        <v>12857.5</v>
      </c>
      <c r="H27" s="656"/>
      <c r="I27" s="655">
        <f t="shared" si="12"/>
        <v>4051.25</v>
      </c>
      <c r="J27" s="655">
        <f t="shared" si="13"/>
        <v>11129.250000000002</v>
      </c>
      <c r="K27" s="655">
        <f>SUM(I27:J27)</f>
        <v>15180.500000000002</v>
      </c>
      <c r="L27" s="655"/>
      <c r="M27" s="657">
        <f>K27-G27</f>
        <v>2323.0000000000018</v>
      </c>
      <c r="N27" s="571">
        <f>M27/G27</f>
        <v>0.18067275909002542</v>
      </c>
      <c r="O27" s="658"/>
      <c r="P27" s="658"/>
      <c r="Q27" s="658"/>
      <c r="R27" s="658"/>
      <c r="S27" s="658"/>
      <c r="T27" s="658"/>
      <c r="U27" s="658"/>
      <c r="V27" s="658"/>
      <c r="W27" s="658"/>
      <c r="X27" s="658"/>
      <c r="Y27" s="658"/>
      <c r="Z27" s="658"/>
      <c r="AA27" s="658"/>
      <c r="AB27" s="658"/>
    </row>
    <row r="28" spans="1:28" ht="14" x14ac:dyDescent="0.3">
      <c r="A28" s="329">
        <f>IF(C28&lt;&gt;"",COUNTA($C$11:C28),"")</f>
        <v>16</v>
      </c>
      <c r="C28" s="661">
        <f t="shared" si="9"/>
        <v>200</v>
      </c>
      <c r="D28" s="654">
        <f t="shared" ref="D28:D30" si="14">C28*500</f>
        <v>100000</v>
      </c>
      <c r="E28" s="655">
        <f t="shared" si="10"/>
        <v>5738</v>
      </c>
      <c r="F28" s="655">
        <f t="shared" si="11"/>
        <v>11387</v>
      </c>
      <c r="G28" s="655">
        <f t="shared" ref="G28:G30" si="15">SUM(E28:F28)</f>
        <v>17125</v>
      </c>
      <c r="H28" s="656"/>
      <c r="I28" s="655">
        <f t="shared" si="12"/>
        <v>5389</v>
      </c>
      <c r="J28" s="655">
        <f t="shared" si="13"/>
        <v>14839.000000000002</v>
      </c>
      <c r="K28" s="655">
        <f t="shared" ref="K28:K30" si="16">SUM(I28:J28)</f>
        <v>20228</v>
      </c>
      <c r="L28" s="655"/>
      <c r="M28" s="657">
        <f t="shared" ref="M28:M30" si="17">K28-G28</f>
        <v>3103</v>
      </c>
      <c r="N28" s="571">
        <f t="shared" ref="N28:N30" si="18">M28/G28</f>
        <v>0.18119708029197079</v>
      </c>
      <c r="O28" s="658"/>
      <c r="P28" s="658"/>
      <c r="Q28" s="658"/>
      <c r="R28" s="658"/>
      <c r="S28" s="658"/>
      <c r="T28" s="658"/>
      <c r="U28" s="658"/>
      <c r="V28" s="658"/>
      <c r="W28" s="658"/>
      <c r="X28" s="658"/>
      <c r="Y28" s="658"/>
      <c r="Z28" s="658"/>
      <c r="AA28" s="658"/>
      <c r="AB28" s="658"/>
    </row>
    <row r="29" spans="1:28" ht="14" x14ac:dyDescent="0.3">
      <c r="A29" s="329">
        <f>IF(C29&lt;&gt;"",COUNTA($C$11:C29),"")</f>
        <v>17</v>
      </c>
      <c r="C29" s="661">
        <f t="shared" si="9"/>
        <v>300</v>
      </c>
      <c r="D29" s="654">
        <f t="shared" si="14"/>
        <v>150000</v>
      </c>
      <c r="E29" s="655">
        <f t="shared" si="10"/>
        <v>8579.5</v>
      </c>
      <c r="F29" s="655">
        <f t="shared" si="11"/>
        <v>17080.5</v>
      </c>
      <c r="G29" s="655">
        <f t="shared" si="15"/>
        <v>25660</v>
      </c>
      <c r="H29" s="656"/>
      <c r="I29" s="655">
        <f t="shared" si="12"/>
        <v>8064.5</v>
      </c>
      <c r="J29" s="655">
        <f t="shared" si="13"/>
        <v>22258.500000000004</v>
      </c>
      <c r="K29" s="655">
        <f t="shared" si="16"/>
        <v>30323.000000000004</v>
      </c>
      <c r="L29" s="655"/>
      <c r="M29" s="657">
        <f t="shared" si="17"/>
        <v>4663.0000000000036</v>
      </c>
      <c r="N29" s="571">
        <f t="shared" si="18"/>
        <v>0.18172252533125502</v>
      </c>
      <c r="O29" s="658"/>
      <c r="P29" s="658"/>
      <c r="Q29" s="658"/>
      <c r="R29" s="658"/>
      <c r="S29" s="658"/>
      <c r="T29" s="658"/>
      <c r="U29" s="658"/>
      <c r="V29" s="658"/>
      <c r="W29" s="658"/>
      <c r="X29" s="658"/>
      <c r="Y29" s="658"/>
      <c r="Z29" s="658"/>
      <c r="AA29" s="658"/>
      <c r="AB29" s="658"/>
    </row>
    <row r="30" spans="1:28" ht="14" x14ac:dyDescent="0.3">
      <c r="A30" s="329">
        <f>IF(C30&lt;&gt;"",COUNTA($C$11:C30),"")</f>
        <v>18</v>
      </c>
      <c r="B30" s="585" t="s">
        <v>554</v>
      </c>
      <c r="C30" s="661">
        <v>84</v>
      </c>
      <c r="D30" s="654">
        <f t="shared" si="14"/>
        <v>42000</v>
      </c>
      <c r="E30" s="655">
        <f t="shared" si="10"/>
        <v>2441.86</v>
      </c>
      <c r="F30" s="655">
        <f t="shared" si="11"/>
        <v>4782.54</v>
      </c>
      <c r="G30" s="655">
        <f t="shared" si="15"/>
        <v>7224.4</v>
      </c>
      <c r="H30" s="656"/>
      <c r="I30" s="655">
        <f t="shared" si="12"/>
        <v>2285.42</v>
      </c>
      <c r="J30" s="655">
        <f t="shared" si="13"/>
        <v>6232.380000000001</v>
      </c>
      <c r="K30" s="655">
        <f t="shared" si="16"/>
        <v>8517.8000000000011</v>
      </c>
      <c r="L30" s="655"/>
      <c r="M30" s="657">
        <f t="shared" si="17"/>
        <v>1293.4000000000015</v>
      </c>
      <c r="N30" s="571">
        <f t="shared" si="18"/>
        <v>0.17903216876141984</v>
      </c>
      <c r="O30" s="658"/>
      <c r="P30" s="658"/>
      <c r="Q30" s="658"/>
      <c r="R30" s="658"/>
      <c r="S30" s="658"/>
      <c r="T30" s="658"/>
      <c r="U30" s="658"/>
      <c r="V30" s="658"/>
      <c r="W30" s="658"/>
      <c r="X30" s="658"/>
      <c r="Y30" s="658"/>
      <c r="Z30" s="658"/>
      <c r="AA30" s="658"/>
      <c r="AB30" s="658"/>
    </row>
    <row r="31" spans="1:28" ht="14" x14ac:dyDescent="0.3">
      <c r="A31" s="329" t="str">
        <f>IF(C31&lt;&gt;"",COUNTA($C$11:C31),"")</f>
        <v/>
      </c>
      <c r="B31" s="662"/>
      <c r="C31" s="663"/>
      <c r="D31" s="592"/>
      <c r="E31" s="655" t="s">
        <v>46</v>
      </c>
      <c r="F31" s="658"/>
      <c r="G31" s="658"/>
      <c r="H31" s="659"/>
      <c r="I31" s="655" t="s">
        <v>46</v>
      </c>
      <c r="J31" s="658"/>
      <c r="K31" s="658"/>
      <c r="L31" s="655"/>
      <c r="M31" s="657"/>
      <c r="N31" s="660"/>
    </row>
    <row r="32" spans="1:28" ht="14" x14ac:dyDescent="0.3">
      <c r="A32" s="329">
        <f>IF(C32&lt;&gt;"",COUNTA($C$11:C32),"")</f>
        <v>19</v>
      </c>
      <c r="C32" s="647" t="s">
        <v>578</v>
      </c>
      <c r="D32" s="592"/>
      <c r="E32" s="655"/>
      <c r="F32" s="658"/>
      <c r="G32" s="658"/>
      <c r="H32" s="659"/>
      <c r="I32" s="655"/>
      <c r="J32" s="658"/>
      <c r="K32" s="658"/>
      <c r="L32" s="655"/>
      <c r="M32" s="657"/>
      <c r="N32" s="660"/>
    </row>
    <row r="33" spans="1:28" ht="14" x14ac:dyDescent="0.3">
      <c r="A33" s="329">
        <f>IF(C33&lt;&gt;"",COUNTA($C$11:C33),"")</f>
        <v>20</v>
      </c>
      <c r="C33" s="661">
        <f t="shared" ref="C33:C38" si="19">+C24</f>
        <v>50</v>
      </c>
      <c r="D33" s="654">
        <f>C33*450</f>
        <v>22500</v>
      </c>
      <c r="E33" s="655">
        <f t="shared" ref="E33:E39" si="20">$G$44+($G$45*MIN(50,$C33))+($G$46*MAX(0,$C33-50))+SUM($G$48:$G$67)*$D33+$G$47*$C33</f>
        <v>1406.5250000000001</v>
      </c>
      <c r="F33" s="655">
        <f t="shared" ref="F33:F39" si="21">+$D33*$G$68</f>
        <v>2562.0749999999998</v>
      </c>
      <c r="G33" s="655">
        <f>SUM(E33:F33)</f>
        <v>3968.6</v>
      </c>
      <c r="H33" s="656"/>
      <c r="I33" s="655">
        <f t="shared" ref="I33:I39" si="22">$I$44+($I$45*MIN(50,$C33))+($I$46*MAX(0,$C33-50))+SUM($I$48:$I$67)*$D33+$I$47*$C33</f>
        <v>1316.575</v>
      </c>
      <c r="J33" s="655">
        <f t="shared" ref="J33:J39" si="23">+$D33*$I$68</f>
        <v>3338.7750000000005</v>
      </c>
      <c r="K33" s="655">
        <f>SUM(I33:J33)</f>
        <v>4655.3500000000004</v>
      </c>
      <c r="L33" s="655"/>
      <c r="M33" s="657">
        <f>K33-G33</f>
        <v>686.75000000000045</v>
      </c>
      <c r="N33" s="571">
        <f>M33/G33</f>
        <v>0.17304591039661354</v>
      </c>
      <c r="O33" s="658"/>
      <c r="P33" s="658"/>
      <c r="Q33" s="658"/>
      <c r="R33" s="658"/>
      <c r="S33" s="658"/>
      <c r="T33" s="658"/>
      <c r="U33" s="658"/>
      <c r="V33" s="658"/>
      <c r="W33" s="658"/>
      <c r="X33" s="658"/>
      <c r="Y33" s="658"/>
      <c r="Z33" s="658"/>
      <c r="AA33" s="658"/>
      <c r="AB33" s="658"/>
    </row>
    <row r="34" spans="1:28" ht="14" x14ac:dyDescent="0.3">
      <c r="A34" s="329">
        <f>IF(C34&lt;&gt;"",COUNTA($C$11:C34),"")</f>
        <v>21</v>
      </c>
      <c r="C34" s="661">
        <f t="shared" si="19"/>
        <v>75</v>
      </c>
      <c r="D34" s="654">
        <f t="shared" ref="D34:D39" si="24">C34*450</f>
        <v>33750</v>
      </c>
      <c r="E34" s="655">
        <f t="shared" si="20"/>
        <v>2082.2874999999999</v>
      </c>
      <c r="F34" s="655">
        <f t="shared" si="21"/>
        <v>3843.1125000000002</v>
      </c>
      <c r="G34" s="655">
        <f>SUM(E34:F34)</f>
        <v>5925.4</v>
      </c>
      <c r="H34" s="656"/>
      <c r="I34" s="655">
        <f t="shared" si="22"/>
        <v>1955.8625</v>
      </c>
      <c r="J34" s="655">
        <f t="shared" si="23"/>
        <v>5008.1625000000004</v>
      </c>
      <c r="K34" s="655">
        <f>SUM(I34:J34)</f>
        <v>6964.0250000000005</v>
      </c>
      <c r="L34" s="655"/>
      <c r="M34" s="657">
        <f>K34-G34</f>
        <v>1038.6250000000009</v>
      </c>
      <c r="N34" s="571">
        <f>M34/G34</f>
        <v>0.17528352516285836</v>
      </c>
      <c r="O34" s="658"/>
      <c r="P34" s="658"/>
      <c r="Q34" s="658"/>
      <c r="R34" s="658"/>
      <c r="S34" s="658"/>
      <c r="T34" s="658"/>
      <c r="U34" s="658"/>
      <c r="V34" s="658"/>
      <c r="W34" s="658"/>
      <c r="X34" s="658"/>
      <c r="Y34" s="658"/>
      <c r="Z34" s="658"/>
      <c r="AA34" s="658"/>
      <c r="AB34" s="658"/>
    </row>
    <row r="35" spans="1:28" ht="14" x14ac:dyDescent="0.3">
      <c r="A35" s="329">
        <f>IF(C35&lt;&gt;"",COUNTA($C$11:C35),"")</f>
        <v>22</v>
      </c>
      <c r="C35" s="661">
        <f t="shared" si="19"/>
        <v>100</v>
      </c>
      <c r="D35" s="654">
        <f t="shared" si="24"/>
        <v>45000</v>
      </c>
      <c r="E35" s="655">
        <f t="shared" si="20"/>
        <v>2758.05</v>
      </c>
      <c r="F35" s="655">
        <f t="shared" si="21"/>
        <v>5124.1499999999996</v>
      </c>
      <c r="G35" s="655">
        <f>SUM(E35:F35)</f>
        <v>7882.2</v>
      </c>
      <c r="H35" s="656"/>
      <c r="I35" s="655">
        <f t="shared" si="22"/>
        <v>2595.15</v>
      </c>
      <c r="J35" s="655">
        <f t="shared" si="23"/>
        <v>6677.5500000000011</v>
      </c>
      <c r="K35" s="655">
        <f>SUM(I35:J35)</f>
        <v>9272.7000000000007</v>
      </c>
      <c r="L35" s="655"/>
      <c r="M35" s="657">
        <f>K35-G35</f>
        <v>1390.5000000000009</v>
      </c>
      <c r="N35" s="571">
        <f>M35/G35</f>
        <v>0.17641013930121044</v>
      </c>
      <c r="O35" s="658"/>
      <c r="P35" s="658"/>
      <c r="Q35" s="658"/>
      <c r="R35" s="658"/>
      <c r="S35" s="658"/>
      <c r="T35" s="658"/>
      <c r="U35" s="658"/>
      <c r="V35" s="658"/>
      <c r="W35" s="658"/>
      <c r="X35" s="658"/>
      <c r="Y35" s="658"/>
      <c r="Z35" s="658"/>
      <c r="AA35" s="658"/>
      <c r="AB35" s="658"/>
    </row>
    <row r="36" spans="1:28" ht="14" x14ac:dyDescent="0.3">
      <c r="A36" s="329">
        <f>IF(C36&lt;&gt;"",COUNTA($C$11:C36),"")</f>
        <v>23</v>
      </c>
      <c r="C36" s="661">
        <f t="shared" si="19"/>
        <v>150</v>
      </c>
      <c r="D36" s="654">
        <f t="shared" si="24"/>
        <v>67500</v>
      </c>
      <c r="E36" s="655">
        <f t="shared" si="20"/>
        <v>4109.5749999999998</v>
      </c>
      <c r="F36" s="655">
        <f t="shared" si="21"/>
        <v>7686.2250000000004</v>
      </c>
      <c r="G36" s="655">
        <f>SUM(E36:F36)</f>
        <v>11795.8</v>
      </c>
      <c r="H36" s="656"/>
      <c r="I36" s="655">
        <f t="shared" si="22"/>
        <v>3873.7249999999999</v>
      </c>
      <c r="J36" s="655">
        <f t="shared" si="23"/>
        <v>10016.325000000001</v>
      </c>
      <c r="K36" s="655">
        <f>SUM(I36:J36)</f>
        <v>13890.050000000001</v>
      </c>
      <c r="L36" s="655"/>
      <c r="M36" s="657">
        <f>K36-G36</f>
        <v>2094.2500000000018</v>
      </c>
      <c r="N36" s="571">
        <f>M36/G36</f>
        <v>0.17754200647688176</v>
      </c>
      <c r="O36" s="658"/>
      <c r="P36" s="658"/>
      <c r="Q36" s="658"/>
      <c r="R36" s="658"/>
      <c r="S36" s="658"/>
      <c r="T36" s="658"/>
      <c r="U36" s="658"/>
      <c r="V36" s="658"/>
      <c r="W36" s="658"/>
      <c r="X36" s="658"/>
      <c r="Y36" s="658"/>
      <c r="Z36" s="658"/>
      <c r="AA36" s="658"/>
      <c r="AB36" s="658"/>
    </row>
    <row r="37" spans="1:28" ht="14" x14ac:dyDescent="0.3">
      <c r="A37" s="329">
        <f>IF(C37&lt;&gt;"",COUNTA($C$11:C37),"")</f>
        <v>24</v>
      </c>
      <c r="C37" s="661">
        <f t="shared" si="19"/>
        <v>200</v>
      </c>
      <c r="D37" s="654">
        <f t="shared" si="24"/>
        <v>90000</v>
      </c>
      <c r="E37" s="655">
        <f t="shared" si="20"/>
        <v>5461.1</v>
      </c>
      <c r="F37" s="655">
        <f t="shared" si="21"/>
        <v>10248.299999999999</v>
      </c>
      <c r="G37" s="655">
        <f t="shared" ref="G37:G39" si="25">SUM(E37:F37)</f>
        <v>15709.4</v>
      </c>
      <c r="H37" s="656"/>
      <c r="I37" s="655">
        <f t="shared" si="22"/>
        <v>5152.3</v>
      </c>
      <c r="J37" s="655">
        <f t="shared" si="23"/>
        <v>13355.100000000002</v>
      </c>
      <c r="K37" s="655">
        <f t="shared" ref="K37:K39" si="26">SUM(I37:J37)</f>
        <v>18507.400000000001</v>
      </c>
      <c r="L37" s="655"/>
      <c r="M37" s="657">
        <f t="shared" ref="M37:M39" si="27">K37-G37</f>
        <v>2798.0000000000018</v>
      </c>
      <c r="N37" s="571">
        <f t="shared" ref="N37:N39" si="28">M37/G37</f>
        <v>0.17810992144830495</v>
      </c>
      <c r="O37" s="658"/>
      <c r="P37" s="658"/>
      <c r="Q37" s="658"/>
      <c r="R37" s="658"/>
      <c r="S37" s="658"/>
      <c r="T37" s="658"/>
      <c r="U37" s="658"/>
      <c r="V37" s="658"/>
      <c r="W37" s="658"/>
      <c r="X37" s="658"/>
      <c r="Y37" s="658"/>
      <c r="Z37" s="658"/>
      <c r="AA37" s="658"/>
      <c r="AB37" s="658"/>
    </row>
    <row r="38" spans="1:28" ht="14" x14ac:dyDescent="0.3">
      <c r="A38" s="329">
        <f>IF(C38&lt;&gt;"",COUNTA($C$11:C38),"")</f>
        <v>25</v>
      </c>
      <c r="C38" s="661">
        <f t="shared" si="19"/>
        <v>300</v>
      </c>
      <c r="D38" s="654">
        <f t="shared" si="24"/>
        <v>135000</v>
      </c>
      <c r="E38" s="655">
        <f t="shared" si="20"/>
        <v>8164.15</v>
      </c>
      <c r="F38" s="655">
        <f t="shared" si="21"/>
        <v>15372.45</v>
      </c>
      <c r="G38" s="655">
        <f t="shared" si="25"/>
        <v>23536.6</v>
      </c>
      <c r="H38" s="656"/>
      <c r="I38" s="655">
        <f t="shared" si="22"/>
        <v>7709.45</v>
      </c>
      <c r="J38" s="655">
        <f t="shared" si="23"/>
        <v>20032.650000000001</v>
      </c>
      <c r="K38" s="655">
        <f t="shared" si="26"/>
        <v>27742.100000000002</v>
      </c>
      <c r="L38" s="655"/>
      <c r="M38" s="657">
        <f t="shared" si="27"/>
        <v>4205.5000000000036</v>
      </c>
      <c r="N38" s="571">
        <f t="shared" si="28"/>
        <v>0.17867916351554616</v>
      </c>
      <c r="O38" s="658"/>
      <c r="P38" s="658"/>
      <c r="Q38" s="658"/>
      <c r="R38" s="658"/>
      <c r="S38" s="658"/>
      <c r="T38" s="658"/>
      <c r="U38" s="658"/>
      <c r="V38" s="658"/>
      <c r="W38" s="658"/>
      <c r="X38" s="658"/>
      <c r="Y38" s="658"/>
      <c r="Z38" s="658"/>
      <c r="AA38" s="658"/>
      <c r="AB38" s="658"/>
    </row>
    <row r="39" spans="1:28" ht="14" x14ac:dyDescent="0.3">
      <c r="A39" s="329">
        <f>IF(C39&lt;&gt;"",COUNTA($C$11:C39),"")</f>
        <v>26</v>
      </c>
      <c r="B39" s="585" t="s">
        <v>554</v>
      </c>
      <c r="C39" s="661">
        <v>94</v>
      </c>
      <c r="D39" s="654">
        <f t="shared" si="24"/>
        <v>42300</v>
      </c>
      <c r="E39" s="655">
        <f t="shared" si="20"/>
        <v>2595.8670000000002</v>
      </c>
      <c r="F39" s="655">
        <f t="shared" si="21"/>
        <v>4816.701</v>
      </c>
      <c r="G39" s="655">
        <f t="shared" si="25"/>
        <v>7412.5680000000002</v>
      </c>
      <c r="H39" s="656"/>
      <c r="I39" s="655">
        <f t="shared" si="22"/>
        <v>2441.721</v>
      </c>
      <c r="J39" s="655">
        <f t="shared" si="23"/>
        <v>6276.8970000000008</v>
      </c>
      <c r="K39" s="655">
        <f t="shared" si="26"/>
        <v>8718.6180000000004</v>
      </c>
      <c r="L39" s="655"/>
      <c r="M39" s="657">
        <f t="shared" si="27"/>
        <v>1306.0500000000002</v>
      </c>
      <c r="N39" s="571">
        <f t="shared" si="28"/>
        <v>0.176193999164662</v>
      </c>
      <c r="O39" s="658"/>
      <c r="P39" s="658"/>
      <c r="Q39" s="658"/>
      <c r="R39" s="658"/>
      <c r="S39" s="658"/>
      <c r="T39" s="658"/>
      <c r="U39" s="658"/>
      <c r="V39" s="658"/>
      <c r="W39" s="658"/>
      <c r="X39" s="658"/>
      <c r="Y39" s="658"/>
      <c r="Z39" s="658"/>
      <c r="AA39" s="658"/>
      <c r="AB39" s="658"/>
    </row>
    <row r="40" spans="1:28" ht="14" x14ac:dyDescent="0.3">
      <c r="A40" s="329" t="str">
        <f>IF(C40&lt;&gt;"",COUNTA($C$11:C40),"")</f>
        <v/>
      </c>
      <c r="C40" s="592"/>
      <c r="D40" s="664"/>
      <c r="E40" s="665" t="s">
        <v>46</v>
      </c>
      <c r="H40" s="647"/>
      <c r="I40" s="665" t="s">
        <v>46</v>
      </c>
      <c r="L40" s="665"/>
      <c r="M40" s="657"/>
      <c r="N40" s="660"/>
    </row>
    <row r="41" spans="1:28" ht="14" x14ac:dyDescent="0.3">
      <c r="A41" s="329" t="str">
        <f>IF(C41&lt;&gt;"",COUNTA($C$11:C41),"")</f>
        <v/>
      </c>
      <c r="B41" s="650"/>
      <c r="C41" s="647"/>
      <c r="D41" s="647"/>
      <c r="E41" s="647"/>
      <c r="F41" s="647"/>
      <c r="G41" s="647"/>
      <c r="H41" s="647"/>
      <c r="I41" s="647"/>
      <c r="J41" s="647"/>
      <c r="K41" s="647"/>
      <c r="L41" s="647"/>
    </row>
    <row r="42" spans="1:28" ht="14" x14ac:dyDescent="0.3">
      <c r="A42" s="329">
        <f>IF(C42&lt;&gt;"",COUNTA($C$11:C42),"")</f>
        <v>27</v>
      </c>
      <c r="C42" s="647" t="s">
        <v>46</v>
      </c>
      <c r="D42" s="647"/>
      <c r="G42" s="395" t="str">
        <f>+'Bill_WMA 23'!F23</f>
        <v>Current</v>
      </c>
      <c r="H42" s="395"/>
      <c r="I42" s="395" t="str">
        <f>+'Bill_WMA 23'!H23</f>
        <v>Proposed</v>
      </c>
      <c r="J42" s="647"/>
      <c r="K42" s="647"/>
      <c r="L42" s="647"/>
    </row>
    <row r="43" spans="1:28" ht="17" x14ac:dyDescent="0.6">
      <c r="A43" s="329">
        <f>IF(C43&lt;&gt;"",COUNTA($C$11:C43),"")</f>
        <v>28</v>
      </c>
      <c r="C43" s="274" t="s">
        <v>46</v>
      </c>
      <c r="D43" s="647"/>
      <c r="G43" s="396" t="str">
        <f>+'Bill_WMA 23'!F24</f>
        <v>Rates</v>
      </c>
      <c r="H43" s="396"/>
      <c r="I43" s="396" t="str">
        <f>+'Bill_WMA 23'!H24</f>
        <v>Rates</v>
      </c>
      <c r="J43" s="396" t="str">
        <f>+'Bill_WMA 23'!I24</f>
        <v>Change</v>
      </c>
      <c r="K43" s="647"/>
      <c r="L43" s="647"/>
    </row>
    <row r="44" spans="1:28" ht="14" x14ac:dyDescent="0.3">
      <c r="A44" s="329">
        <f>IF(C44&lt;&gt;"",COUNTA($C$11:C44),"")</f>
        <v>29</v>
      </c>
      <c r="C44" s="330" t="s">
        <v>296</v>
      </c>
      <c r="D44" s="274"/>
      <c r="G44" s="454">
        <v>353</v>
      </c>
      <c r="H44" s="666"/>
      <c r="I44" s="454">
        <f>G44</f>
        <v>353</v>
      </c>
      <c r="J44" s="421">
        <f>+I44-G44</f>
        <v>0</v>
      </c>
      <c r="K44" s="647"/>
      <c r="L44" s="647"/>
    </row>
    <row r="45" spans="1:28" ht="14" x14ac:dyDescent="0.3">
      <c r="A45" s="329">
        <f>IF(C45&lt;&gt;"",COUNTA($C$11:C45),"")</f>
        <v>30</v>
      </c>
      <c r="C45" s="555" t="s">
        <v>625</v>
      </c>
      <c r="D45" s="274"/>
      <c r="G45" s="454">
        <v>1.61</v>
      </c>
      <c r="H45" s="666"/>
      <c r="I45" s="397">
        <v>1.7</v>
      </c>
      <c r="J45" s="421">
        <f t="shared" ref="J45:J68" si="29">+I45-G45</f>
        <v>8.9999999999999858E-2</v>
      </c>
      <c r="K45" s="647"/>
      <c r="L45" s="647"/>
    </row>
    <row r="46" spans="1:28" ht="14" x14ac:dyDescent="0.3">
      <c r="A46" s="329">
        <f>IF(C46&lt;&gt;"",COUNTA($C$11:C46),"")</f>
        <v>31</v>
      </c>
      <c r="C46" s="555" t="s">
        <v>626</v>
      </c>
      <c r="D46" s="274"/>
      <c r="G46" s="454">
        <v>7.57</v>
      </c>
      <c r="H46" s="666"/>
      <c r="I46" s="397">
        <v>8</v>
      </c>
      <c r="J46" s="421">
        <f t="shared" si="29"/>
        <v>0.42999999999999972</v>
      </c>
      <c r="K46" s="647"/>
      <c r="L46" s="647"/>
    </row>
    <row r="47" spans="1:28" ht="14" x14ac:dyDescent="0.3">
      <c r="A47" s="329">
        <f>IF(C47&lt;&gt;"",COUNTA($C$11:C47),"")</f>
        <v>32</v>
      </c>
      <c r="C47" s="573" t="s">
        <v>408</v>
      </c>
      <c r="D47" s="274"/>
      <c r="G47" s="454">
        <v>7</v>
      </c>
      <c r="H47" s="666"/>
      <c r="I47" s="397">
        <v>6.92</v>
      </c>
      <c r="J47" s="421">
        <f t="shared" si="29"/>
        <v>-8.0000000000000071E-2</v>
      </c>
      <c r="K47" s="647"/>
      <c r="L47" s="647"/>
    </row>
    <row r="48" spans="1:28" ht="14" x14ac:dyDescent="0.3">
      <c r="A48" s="329">
        <f>IF(C48&lt;&gt;"",COUNTA($C$11:C48),"")</f>
        <v>33</v>
      </c>
      <c r="C48" s="330" t="str">
        <f>+'Bill_WMA G0'!C44</f>
        <v>Distribution Energy</v>
      </c>
      <c r="D48" s="274"/>
      <c r="G48" s="308">
        <v>1.6900000000000001E-3</v>
      </c>
      <c r="H48" s="667"/>
      <c r="I48" s="308">
        <v>1.7899999999999999E-3</v>
      </c>
      <c r="J48" s="354">
        <f t="shared" si="29"/>
        <v>9.9999999999999829E-5</v>
      </c>
      <c r="K48" s="668"/>
      <c r="L48" s="647"/>
    </row>
    <row r="49" spans="1:14" ht="14" x14ac:dyDescent="0.3">
      <c r="A49" s="329">
        <f>IF(C49&lt;&gt;"",COUNTA($C$11:C49),"")</f>
        <v>34</v>
      </c>
      <c r="C49" s="330" t="str">
        <f>+'Bill_WMA G0'!C45</f>
        <v>Revenue Decoupling</v>
      </c>
      <c r="D49" s="274"/>
      <c r="G49" s="308">
        <v>3.5E-4</v>
      </c>
      <c r="H49" s="400"/>
      <c r="I49" s="277">
        <v>-2.7999999999999998E-4</v>
      </c>
      <c r="J49" s="354">
        <f t="shared" si="29"/>
        <v>-6.2999999999999992E-4</v>
      </c>
      <c r="K49" s="559"/>
      <c r="L49" s="559"/>
      <c r="M49" s="559"/>
      <c r="N49" s="559"/>
    </row>
    <row r="50" spans="1:14" ht="14" x14ac:dyDescent="0.3">
      <c r="A50" s="329">
        <f>IF(C50&lt;&gt;"",COUNTA($C$11:C50),"")</f>
        <v>35</v>
      </c>
      <c r="C50" s="330" t="str">
        <f>+'Bill_WMA G0'!C46</f>
        <v>Residential Assistance Adjustment Factor</v>
      </c>
      <c r="D50" s="274"/>
      <c r="G50" s="277">
        <v>6.3800000000000003E-3</v>
      </c>
      <c r="H50" s="400"/>
      <c r="I50" s="277">
        <v>2.3400000000000001E-3</v>
      </c>
      <c r="J50" s="354">
        <f t="shared" si="29"/>
        <v>-4.0400000000000002E-3</v>
      </c>
      <c r="K50" s="559"/>
      <c r="L50" s="559"/>
      <c r="M50" s="559"/>
      <c r="N50" s="559"/>
    </row>
    <row r="51" spans="1:14" ht="14" x14ac:dyDescent="0.3">
      <c r="A51" s="329">
        <f>IF(C51&lt;&gt;"",COUNTA($C$11:C51),"")</f>
        <v>36</v>
      </c>
      <c r="C51" s="330" t="str">
        <f>+'Bill_WMA G0'!C47</f>
        <v>Pension Adjustment Factor</v>
      </c>
      <c r="D51" s="274"/>
      <c r="G51" s="277">
        <v>6.3000000000000003E-4</v>
      </c>
      <c r="H51" s="400"/>
      <c r="I51" s="277">
        <v>3.6999999999999999E-4</v>
      </c>
      <c r="J51" s="354">
        <f t="shared" si="29"/>
        <v>-2.6000000000000003E-4</v>
      </c>
      <c r="K51" s="559"/>
      <c r="L51" s="559"/>
      <c r="M51" s="559"/>
      <c r="N51" s="559"/>
    </row>
    <row r="52" spans="1:14" ht="14" x14ac:dyDescent="0.3">
      <c r="A52" s="329">
        <f>IF(C52&lt;&gt;"",COUNTA($C$11:C52),"")</f>
        <v>37</v>
      </c>
      <c r="C52" s="330" t="str">
        <f>+'Bill_WMA G0'!C48</f>
        <v>Net Metering Recovery Surcharge</v>
      </c>
      <c r="D52" s="274"/>
      <c r="G52" s="277">
        <v>2.7699999999999999E-3</v>
      </c>
      <c r="H52" s="400"/>
      <c r="I52" s="277">
        <v>3.0500000000000002E-3</v>
      </c>
      <c r="J52" s="354">
        <f t="shared" si="29"/>
        <v>2.800000000000003E-4</v>
      </c>
      <c r="K52" s="559"/>
      <c r="L52" s="559"/>
      <c r="M52" s="559"/>
      <c r="N52" s="559"/>
    </row>
    <row r="53" spans="1:14" ht="14" x14ac:dyDescent="0.3">
      <c r="A53" s="329">
        <f>IF(C53&lt;&gt;"",COUNTA($C$11:C53),"")</f>
        <v>38</v>
      </c>
      <c r="C53" s="330" t="str">
        <f>+'Bill_WMA G0'!C49</f>
        <v>Long Term Renewable Contract Adjustment</v>
      </c>
      <c r="D53" s="274"/>
      <c r="G53" s="277">
        <v>3.31E-3</v>
      </c>
      <c r="H53" s="400"/>
      <c r="I53" s="277">
        <v>1.74E-3</v>
      </c>
      <c r="J53" s="354">
        <f t="shared" si="29"/>
        <v>-1.57E-3</v>
      </c>
      <c r="K53" s="559"/>
      <c r="L53" s="559"/>
      <c r="M53" s="559"/>
      <c r="N53" s="559"/>
    </row>
    <row r="54" spans="1:14" ht="14" x14ac:dyDescent="0.3">
      <c r="A54" s="329">
        <f>IF(C54&lt;&gt;"",COUNTA($C$11:C54),"")</f>
        <v>39</v>
      </c>
      <c r="C54" s="330" t="str">
        <f>+'Bill_WMA G0'!C50</f>
        <v>AG Consulting Expense</v>
      </c>
      <c r="D54" s="274"/>
      <c r="G54" s="277">
        <v>2.0000000000000002E-5</v>
      </c>
      <c r="H54" s="400"/>
      <c r="I54" s="277">
        <v>0</v>
      </c>
      <c r="J54" s="354">
        <f t="shared" si="29"/>
        <v>-2.0000000000000002E-5</v>
      </c>
      <c r="K54" s="559"/>
      <c r="L54" s="559"/>
      <c r="M54" s="559"/>
      <c r="N54" s="559"/>
    </row>
    <row r="55" spans="1:14" ht="14" x14ac:dyDescent="0.3">
      <c r="A55" s="329">
        <f>IF(C55&lt;&gt;"",COUNTA($C$11:C55),"")</f>
        <v>40</v>
      </c>
      <c r="C55" s="330" t="str">
        <f>+'Bill_WMA G0'!C51</f>
        <v>Storm Cost Recovery Adjustment Factor</v>
      </c>
      <c r="D55" s="274"/>
      <c r="G55" s="277">
        <v>1.48E-3</v>
      </c>
      <c r="H55" s="400"/>
      <c r="I55" s="277">
        <v>1.7600000000000001E-3</v>
      </c>
      <c r="J55" s="354">
        <f t="shared" si="29"/>
        <v>2.8000000000000008E-4</v>
      </c>
      <c r="K55" s="559"/>
      <c r="L55" s="559"/>
      <c r="M55" s="559"/>
      <c r="N55" s="559"/>
    </row>
    <row r="56" spans="1:14" ht="14" x14ac:dyDescent="0.3">
      <c r="A56" s="329">
        <f>IF(C56&lt;&gt;"",COUNTA($C$11:C56),"")</f>
        <v>41</v>
      </c>
      <c r="C56" s="330" t="str">
        <f>+'Bill_WMA G0'!C52</f>
        <v>Storm Reserve Adjustment</v>
      </c>
      <c r="D56" s="274"/>
      <c r="G56" s="277">
        <v>0</v>
      </c>
      <c r="H56" s="400"/>
      <c r="I56" s="277">
        <v>0</v>
      </c>
      <c r="J56" s="354">
        <f t="shared" si="29"/>
        <v>0</v>
      </c>
      <c r="K56" s="559"/>
      <c r="L56" s="559"/>
      <c r="M56" s="559"/>
      <c r="N56" s="559"/>
    </row>
    <row r="57" spans="1:14" ht="14" x14ac:dyDescent="0.3">
      <c r="A57" s="329">
        <f>IF(C57&lt;&gt;"",COUNTA($C$11:C57),"")</f>
        <v>42</v>
      </c>
      <c r="C57" s="330" t="str">
        <f>+'Bill_WMA G0'!C53</f>
        <v>Basic Service Cost True Up Factor</v>
      </c>
      <c r="D57" s="274"/>
      <c r="G57" s="277">
        <v>1.2999999999999999E-4</v>
      </c>
      <c r="H57" s="400"/>
      <c r="I57" s="277">
        <v>-1.2E-4</v>
      </c>
      <c r="J57" s="354">
        <f t="shared" si="29"/>
        <v>-2.5000000000000001E-4</v>
      </c>
      <c r="K57" s="559"/>
      <c r="L57" s="559"/>
      <c r="M57" s="559"/>
      <c r="N57" s="559"/>
    </row>
    <row r="58" spans="1:14" ht="14" x14ac:dyDescent="0.3">
      <c r="A58" s="329">
        <f>IF(C58&lt;&gt;"",COUNTA($C$11:C58),"")</f>
        <v>43</v>
      </c>
      <c r="C58" s="330" t="str">
        <f>+'Bill_WMA G0'!C54</f>
        <v>Solar Program Cost Adjustment Factor</v>
      </c>
      <c r="D58" s="274"/>
      <c r="G58" s="277">
        <v>-8.0000000000000007E-5</v>
      </c>
      <c r="H58" s="400"/>
      <c r="I58" s="277">
        <v>2.0000000000000002E-5</v>
      </c>
      <c r="J58" s="354">
        <f t="shared" si="29"/>
        <v>1E-4</v>
      </c>
      <c r="K58" s="559"/>
      <c r="L58" s="559"/>
      <c r="M58" s="559"/>
      <c r="N58" s="559"/>
    </row>
    <row r="59" spans="1:14" ht="14" x14ac:dyDescent="0.3">
      <c r="A59" s="329">
        <f>IF(C59&lt;&gt;"",COUNTA($C$11:C59),"")</f>
        <v>44</v>
      </c>
      <c r="C59" s="330" t="str">
        <f>+'Bill_WMA G0'!C55</f>
        <v>Solar Expansion Cost Recovery Factor</v>
      </c>
      <c r="D59" s="274"/>
      <c r="G59" s="277">
        <v>0</v>
      </c>
      <c r="H59" s="400"/>
      <c r="I59" s="277">
        <v>3.6000000000000002E-4</v>
      </c>
      <c r="J59" s="354">
        <f t="shared" si="29"/>
        <v>3.6000000000000002E-4</v>
      </c>
      <c r="K59" s="559"/>
      <c r="L59" s="559"/>
      <c r="M59" s="559"/>
      <c r="N59" s="559"/>
    </row>
    <row r="60" spans="1:14" ht="14" x14ac:dyDescent="0.3">
      <c r="A60" s="329">
        <f>IF(C60&lt;&gt;"",COUNTA($C$11:C60),"")</f>
        <v>45</v>
      </c>
      <c r="C60" s="330" t="str">
        <f>+'Bill_WMA G0'!C56</f>
        <v>Vegetation Management</v>
      </c>
      <c r="D60" s="274"/>
      <c r="G60" s="277">
        <v>0</v>
      </c>
      <c r="H60" s="400"/>
      <c r="I60" s="277">
        <v>6.6E-4</v>
      </c>
      <c r="J60" s="354">
        <f t="shared" si="29"/>
        <v>6.6E-4</v>
      </c>
      <c r="K60" s="559"/>
      <c r="L60" s="559"/>
      <c r="M60" s="559"/>
      <c r="N60" s="559"/>
    </row>
    <row r="61" spans="1:14" ht="14" x14ac:dyDescent="0.3">
      <c r="A61" s="329">
        <f>IF(C61&lt;&gt;"",COUNTA($C$11:C61),"")</f>
        <v>46</v>
      </c>
      <c r="C61" s="330" t="str">
        <f>+'Bill_WMA G0'!C57</f>
        <v>Solar Massachusetts Renewable Target</v>
      </c>
      <c r="D61" s="339"/>
      <c r="E61" s="339"/>
      <c r="F61" s="277"/>
      <c r="G61" s="277">
        <v>0</v>
      </c>
      <c r="H61" s="277"/>
      <c r="I61" s="277">
        <v>4.2999999999999999E-4</v>
      </c>
      <c r="J61" s="354">
        <f t="shared" si="29"/>
        <v>4.2999999999999999E-4</v>
      </c>
      <c r="K61" s="339"/>
      <c r="L61" s="339"/>
    </row>
    <row r="62" spans="1:14" ht="14" x14ac:dyDescent="0.3">
      <c r="A62" s="329">
        <f>IF(C62&lt;&gt;"",COUNTA($C$11:C62),"")</f>
        <v>47</v>
      </c>
      <c r="C62" s="330" t="str">
        <f>+'Bill_WMA G0'!C58</f>
        <v>Tax Act Credit Factor</v>
      </c>
      <c r="D62" s="339"/>
      <c r="E62" s="339"/>
      <c r="F62" s="277"/>
      <c r="G62" s="277">
        <v>0</v>
      </c>
      <c r="H62" s="277"/>
      <c r="I62" s="277">
        <v>-6.4999999999999997E-4</v>
      </c>
      <c r="J62" s="354">
        <f t="shared" si="29"/>
        <v>-6.4999999999999997E-4</v>
      </c>
      <c r="K62" s="339"/>
      <c r="L62" s="339"/>
    </row>
    <row r="63" spans="1:14" ht="14" x14ac:dyDescent="0.3">
      <c r="A63" s="329">
        <f>IF(C63&lt;&gt;"",COUNTA($C$11:C63),"")</f>
        <v>48</v>
      </c>
      <c r="C63" s="330" t="str">
        <f>+'Bill_WMA G0'!C59</f>
        <v>Transition</v>
      </c>
      <c r="D63" s="274"/>
      <c r="G63" s="308">
        <v>-1.7099999999999999E-3</v>
      </c>
      <c r="H63" s="400"/>
      <c r="I63" s="277">
        <v>-5.1999999999999995E-4</v>
      </c>
      <c r="J63" s="354">
        <f t="shared" si="29"/>
        <v>1.1900000000000001E-3</v>
      </c>
      <c r="K63" s="559"/>
      <c r="L63" s="559"/>
      <c r="M63" s="559"/>
      <c r="N63" s="559"/>
    </row>
    <row r="64" spans="1:14" ht="14" x14ac:dyDescent="0.3">
      <c r="A64" s="329">
        <f>IF(C64&lt;&gt;"",COUNTA($C$11:C64),"")</f>
        <v>49</v>
      </c>
      <c r="C64" s="330" t="str">
        <f>+'Bill_WMA G0'!C60</f>
        <v>Transmission Energy</v>
      </c>
      <c r="D64" s="274"/>
      <c r="G64" s="308">
        <v>0</v>
      </c>
      <c r="H64" s="574"/>
      <c r="I64" s="404">
        <v>0</v>
      </c>
      <c r="J64" s="354">
        <f t="shared" si="29"/>
        <v>0</v>
      </c>
      <c r="K64" s="559"/>
      <c r="L64" s="559"/>
      <c r="M64" s="559"/>
      <c r="N64" s="559"/>
    </row>
    <row r="65" spans="1:14" ht="14" x14ac:dyDescent="0.3">
      <c r="A65" s="329">
        <f>IF(C65&lt;&gt;"",COUNTA($C$11:C65),"")</f>
        <v>50</v>
      </c>
      <c r="C65" s="330" t="str">
        <f>+'Bill_WMA G0'!C61</f>
        <v>Energy Efficiency Reconciliation Factor</v>
      </c>
      <c r="D65" s="274"/>
      <c r="G65" s="308">
        <v>9.7199999999999995E-3</v>
      </c>
      <c r="H65" s="574"/>
      <c r="I65" s="308">
        <v>9.7199999999999995E-3</v>
      </c>
      <c r="J65" s="354">
        <f t="shared" si="29"/>
        <v>0</v>
      </c>
      <c r="K65" s="559"/>
      <c r="L65" s="559"/>
      <c r="M65" s="559"/>
      <c r="N65" s="559"/>
    </row>
    <row r="66" spans="1:14" ht="14" x14ac:dyDescent="0.3">
      <c r="A66" s="329">
        <f>IF(C66&lt;&gt;"",COUNTA($C$11:C66),"")</f>
        <v>51</v>
      </c>
      <c r="C66" s="330" t="str">
        <f>+'Bill_WMA G0'!C62</f>
        <v>System Benefits Charge</v>
      </c>
      <c r="D66" s="274"/>
      <c r="G66" s="308">
        <v>2.5000000000000001E-3</v>
      </c>
      <c r="H66" s="574"/>
      <c r="I66" s="308">
        <f>G66</f>
        <v>2.5000000000000001E-3</v>
      </c>
      <c r="J66" s="354">
        <f t="shared" si="29"/>
        <v>0</v>
      </c>
      <c r="K66" s="559"/>
      <c r="L66" s="559"/>
      <c r="M66" s="559"/>
      <c r="N66" s="559"/>
    </row>
    <row r="67" spans="1:14" ht="14" x14ac:dyDescent="0.3">
      <c r="A67" s="329">
        <f>IF(C67&lt;&gt;"",COUNTA($C$11:C67),"")</f>
        <v>52</v>
      </c>
      <c r="C67" s="330" t="str">
        <f>+'Bill_WMA G0'!C63</f>
        <v>Renewable Energy Charge</v>
      </c>
      <c r="D67" s="274"/>
      <c r="G67" s="308">
        <v>5.0000000000000001E-4</v>
      </c>
      <c r="H67" s="574"/>
      <c r="I67" s="308">
        <f>G67</f>
        <v>5.0000000000000001E-4</v>
      </c>
      <c r="J67" s="354">
        <f t="shared" si="29"/>
        <v>0</v>
      </c>
      <c r="K67" s="559"/>
      <c r="L67" s="559"/>
      <c r="M67" s="559"/>
      <c r="N67" s="559"/>
    </row>
    <row r="68" spans="1:14" ht="14" x14ac:dyDescent="0.3">
      <c r="A68" s="329">
        <f>IF(C68&lt;&gt;"",COUNTA($C$11:C68),"")</f>
        <v>53</v>
      </c>
      <c r="C68" s="330" t="str">
        <f>+'Bill_WMA G0'!C64</f>
        <v>Basic Service Charge</v>
      </c>
      <c r="D68" s="274"/>
      <c r="G68" s="308">
        <v>0.11387</v>
      </c>
      <c r="H68" s="574"/>
      <c r="I68" s="308">
        <v>0.14839000000000002</v>
      </c>
      <c r="J68" s="354">
        <f t="shared" si="29"/>
        <v>3.4520000000000023E-2</v>
      </c>
      <c r="K68" s="559"/>
      <c r="L68" s="559"/>
      <c r="M68" s="559"/>
      <c r="N68" s="559"/>
    </row>
    <row r="69" spans="1:14" ht="14" x14ac:dyDescent="0.3">
      <c r="A69" s="593"/>
      <c r="B69" s="593"/>
      <c r="C69" s="647"/>
      <c r="D69" s="647"/>
      <c r="E69" s="647"/>
      <c r="F69" s="669"/>
      <c r="G69" s="668"/>
      <c r="H69" s="668"/>
      <c r="I69" s="668"/>
      <c r="J69" s="668"/>
      <c r="K69" s="668"/>
      <c r="L69" s="647"/>
    </row>
    <row r="70" spans="1:14" ht="14" x14ac:dyDescent="0.3">
      <c r="A70" s="593"/>
      <c r="B70" s="593"/>
      <c r="C70" s="647"/>
      <c r="D70" s="647"/>
      <c r="E70" s="647"/>
      <c r="F70" s="670"/>
      <c r="G70" s="668"/>
      <c r="H70" s="668"/>
      <c r="I70" s="668"/>
      <c r="J70" s="668"/>
      <c r="K70" s="668"/>
      <c r="L70" s="647"/>
    </row>
    <row r="71" spans="1:14" ht="14" x14ac:dyDescent="0.3">
      <c r="A71" s="593"/>
      <c r="B71" s="593"/>
      <c r="C71" s="330" t="s">
        <v>627</v>
      </c>
      <c r="D71" s="330"/>
      <c r="E71" s="330"/>
      <c r="F71" s="330"/>
      <c r="G71" s="361">
        <f>+G45+G47</f>
        <v>8.61</v>
      </c>
      <c r="H71" s="330"/>
      <c r="I71" s="361">
        <f>+I45+I47</f>
        <v>8.6199999999999992</v>
      </c>
      <c r="J71" s="421">
        <f t="shared" ref="J71:J74" si="30">+I71-G71</f>
        <v>9.9999999999997868E-3</v>
      </c>
      <c r="K71" s="668"/>
      <c r="L71" s="647"/>
    </row>
    <row r="72" spans="1:14" ht="14" x14ac:dyDescent="0.3">
      <c r="A72" s="593"/>
      <c r="B72" s="593"/>
      <c r="C72" s="330" t="s">
        <v>628</v>
      </c>
      <c r="D72" s="330"/>
      <c r="E72" s="330"/>
      <c r="F72" s="330"/>
      <c r="G72" s="361">
        <f>+G46+G47</f>
        <v>14.57</v>
      </c>
      <c r="H72" s="330"/>
      <c r="I72" s="361">
        <f>+I46+I47</f>
        <v>14.92</v>
      </c>
      <c r="J72" s="421">
        <f t="shared" si="30"/>
        <v>0.34999999999999964</v>
      </c>
      <c r="K72" s="668"/>
      <c r="L72" s="647"/>
    </row>
    <row r="73" spans="1:14" ht="14" x14ac:dyDescent="0.3">
      <c r="A73" s="593"/>
      <c r="B73" s="593"/>
      <c r="C73" s="330" t="str">
        <f>+'Bill_WMA 23'!C49</f>
        <v>Total Energy</v>
      </c>
      <c r="D73" s="330"/>
      <c r="E73" s="330"/>
      <c r="F73" s="330"/>
      <c r="G73" s="362">
        <f>SUM(G48:G67)</f>
        <v>2.7689999999999999E-2</v>
      </c>
      <c r="H73" s="330"/>
      <c r="I73" s="362">
        <f>SUM(I48:I67)</f>
        <v>2.367E-2</v>
      </c>
      <c r="J73" s="354">
        <f t="shared" si="30"/>
        <v>-4.0199999999999993E-3</v>
      </c>
      <c r="K73" s="668"/>
      <c r="L73" s="647"/>
    </row>
    <row r="74" spans="1:14" ht="14" x14ac:dyDescent="0.3">
      <c r="A74" s="593"/>
      <c r="B74" s="593"/>
      <c r="C74" s="330" t="str">
        <f>+'Bill_WMA 23'!C50</f>
        <v>Total Basic Service</v>
      </c>
      <c r="D74" s="330"/>
      <c r="E74" s="330"/>
      <c r="F74" s="330"/>
      <c r="G74" s="362">
        <f>+G68</f>
        <v>0.11387</v>
      </c>
      <c r="H74" s="330"/>
      <c r="I74" s="362">
        <f>+I68</f>
        <v>0.14839000000000002</v>
      </c>
      <c r="J74" s="354">
        <f t="shared" si="30"/>
        <v>3.4520000000000023E-2</v>
      </c>
      <c r="K74" s="668"/>
      <c r="L74" s="647"/>
    </row>
    <row r="75" spans="1:14" ht="14" x14ac:dyDescent="0.3">
      <c r="A75" s="593"/>
      <c r="B75" s="593"/>
      <c r="C75" s="330"/>
      <c r="D75" s="330"/>
      <c r="E75" s="330"/>
      <c r="F75" s="330"/>
      <c r="G75" s="330"/>
      <c r="H75" s="330"/>
      <c r="I75" s="330"/>
      <c r="J75" s="330"/>
      <c r="K75" s="668"/>
      <c r="L75" s="647"/>
    </row>
    <row r="76" spans="1:14" ht="14" x14ac:dyDescent="0.3">
      <c r="A76" s="593"/>
      <c r="B76" s="593"/>
      <c r="C76" s="330"/>
      <c r="D76" s="330"/>
      <c r="E76" s="330"/>
      <c r="F76" s="330"/>
      <c r="G76" s="330"/>
      <c r="H76" s="330"/>
      <c r="I76" s="330"/>
      <c r="J76" s="330"/>
      <c r="K76" s="668"/>
      <c r="L76" s="647"/>
    </row>
    <row r="77" spans="1:14" ht="14" x14ac:dyDescent="0.3">
      <c r="A77" s="593"/>
      <c r="B77" s="593"/>
      <c r="C77" s="647"/>
      <c r="D77" s="647"/>
      <c r="E77" s="647"/>
      <c r="F77" s="647"/>
      <c r="G77" s="668"/>
      <c r="H77" s="668"/>
      <c r="I77" s="668"/>
      <c r="J77" s="668"/>
      <c r="K77" s="668"/>
      <c r="L77" s="647"/>
    </row>
    <row r="78" spans="1:14" ht="14" x14ac:dyDescent="0.3">
      <c r="A78" s="593"/>
      <c r="B78" s="593"/>
      <c r="C78" s="647"/>
      <c r="D78" s="647"/>
      <c r="E78" s="647"/>
      <c r="F78" s="647"/>
      <c r="G78" s="668"/>
      <c r="H78" s="668"/>
      <c r="I78" s="668"/>
      <c r="J78" s="668"/>
      <c r="K78" s="668"/>
      <c r="L78" s="647"/>
    </row>
    <row r="79" spans="1:14" ht="14" x14ac:dyDescent="0.3">
      <c r="A79" s="593"/>
      <c r="B79" s="593"/>
      <c r="C79" s="647"/>
      <c r="D79" s="647"/>
      <c r="E79" s="647"/>
      <c r="F79" s="669"/>
      <c r="G79" s="668"/>
      <c r="H79" s="668"/>
      <c r="I79" s="668"/>
      <c r="J79" s="668"/>
      <c r="K79" s="668"/>
      <c r="L79" s="647"/>
    </row>
    <row r="80" spans="1:14" ht="14" x14ac:dyDescent="0.3">
      <c r="A80" s="593"/>
      <c r="B80" s="593"/>
      <c r="C80" s="647"/>
      <c r="D80" s="647"/>
      <c r="E80" s="647"/>
      <c r="F80" s="670"/>
      <c r="G80" s="668"/>
      <c r="H80" s="668"/>
      <c r="I80" s="668"/>
      <c r="J80" s="668"/>
      <c r="K80" s="668"/>
      <c r="L80" s="647"/>
    </row>
    <row r="81" spans="1:12" ht="14" x14ac:dyDescent="0.3">
      <c r="A81" s="593"/>
      <c r="B81" s="593"/>
      <c r="C81" s="647"/>
      <c r="D81" s="647"/>
      <c r="E81" s="647"/>
      <c r="F81" s="670"/>
      <c r="G81" s="668"/>
      <c r="H81" s="668"/>
      <c r="I81" s="668"/>
      <c r="J81" s="668"/>
      <c r="K81" s="668"/>
      <c r="L81" s="647"/>
    </row>
    <row r="82" spans="1:12" ht="14" x14ac:dyDescent="0.3">
      <c r="A82" s="593"/>
      <c r="B82" s="593"/>
      <c r="C82" s="647"/>
      <c r="D82" s="647"/>
      <c r="E82" s="647"/>
      <c r="F82" s="670"/>
      <c r="G82" s="668"/>
      <c r="H82" s="668"/>
      <c r="I82" s="668"/>
      <c r="J82" s="668"/>
      <c r="K82" s="668"/>
      <c r="L82" s="647"/>
    </row>
    <row r="83" spans="1:12" ht="14" x14ac:dyDescent="0.3">
      <c r="A83" s="593"/>
      <c r="B83" s="593"/>
      <c r="C83" s="647"/>
      <c r="D83" s="647"/>
      <c r="E83" s="647"/>
      <c r="F83" s="670"/>
      <c r="G83" s="668"/>
      <c r="H83" s="668"/>
      <c r="I83" s="668"/>
      <c r="J83" s="668"/>
      <c r="K83" s="668"/>
      <c r="L83" s="647"/>
    </row>
    <row r="84" spans="1:12" ht="14" x14ac:dyDescent="0.3">
      <c r="A84" s="593"/>
      <c r="B84" s="593"/>
      <c r="C84" s="647"/>
      <c r="D84" s="647"/>
      <c r="E84" s="647"/>
      <c r="F84" s="670"/>
      <c r="G84" s="668"/>
      <c r="H84" s="668"/>
      <c r="I84" s="668"/>
      <c r="J84" s="668"/>
      <c r="K84" s="668"/>
      <c r="L84" s="647"/>
    </row>
    <row r="85" spans="1:12" ht="14" x14ac:dyDescent="0.3">
      <c r="A85" s="593"/>
      <c r="B85" s="593"/>
      <c r="C85" s="647"/>
      <c r="D85" s="647"/>
      <c r="E85" s="647"/>
      <c r="F85" s="670"/>
      <c r="G85" s="668"/>
      <c r="H85" s="668"/>
      <c r="I85" s="668"/>
      <c r="J85" s="668"/>
      <c r="K85" s="668"/>
      <c r="L85" s="647"/>
    </row>
    <row r="86" spans="1:12" ht="14" x14ac:dyDescent="0.3">
      <c r="A86" s="593"/>
      <c r="B86" s="593"/>
      <c r="C86" s="647"/>
      <c r="D86" s="647"/>
      <c r="E86" s="647"/>
      <c r="F86" s="670"/>
      <c r="G86" s="668"/>
      <c r="H86" s="668"/>
      <c r="I86" s="668"/>
      <c r="J86" s="668"/>
      <c r="K86" s="668"/>
      <c r="L86" s="647"/>
    </row>
    <row r="87" spans="1:12" ht="14" x14ac:dyDescent="0.3">
      <c r="A87" s="593"/>
      <c r="B87" s="593"/>
      <c r="C87" s="647"/>
      <c r="D87" s="647"/>
      <c r="E87" s="647"/>
      <c r="F87" s="647"/>
      <c r="G87" s="668"/>
      <c r="H87" s="668"/>
      <c r="I87" s="668"/>
      <c r="J87" s="668"/>
      <c r="K87" s="668"/>
      <c r="L87" s="647"/>
    </row>
    <row r="88" spans="1:12" ht="14" x14ac:dyDescent="0.3">
      <c r="A88" s="593"/>
      <c r="B88" s="593"/>
      <c r="C88" s="647"/>
      <c r="D88" s="647"/>
      <c r="E88" s="647"/>
      <c r="F88" s="647"/>
      <c r="G88" s="671"/>
      <c r="H88" s="668"/>
      <c r="I88" s="668"/>
      <c r="J88" s="668"/>
      <c r="K88" s="668"/>
      <c r="L88" s="647"/>
    </row>
    <row r="89" spans="1:12" ht="14" x14ac:dyDescent="0.3">
      <c r="A89" s="593"/>
      <c r="B89" s="593"/>
      <c r="C89" s="647"/>
      <c r="D89" s="647"/>
      <c r="E89" s="647"/>
      <c r="F89" s="647"/>
      <c r="G89" s="671"/>
      <c r="H89" s="668"/>
      <c r="I89" s="668"/>
      <c r="J89" s="668"/>
      <c r="K89" s="668"/>
      <c r="L89" s="647"/>
    </row>
    <row r="90" spans="1:12" ht="14" x14ac:dyDescent="0.3">
      <c r="A90" s="593"/>
      <c r="B90" s="593"/>
      <c r="C90" s="647"/>
      <c r="D90" s="647"/>
      <c r="E90" s="647"/>
      <c r="F90" s="647"/>
      <c r="G90" s="668"/>
      <c r="H90" s="668"/>
      <c r="I90" s="668"/>
      <c r="J90" s="668"/>
      <c r="K90" s="668"/>
      <c r="L90" s="647"/>
    </row>
    <row r="91" spans="1:12" ht="14" x14ac:dyDescent="0.3">
      <c r="A91" s="593"/>
      <c r="B91" s="593"/>
      <c r="C91" s="647"/>
      <c r="D91" s="647"/>
      <c r="E91" s="647"/>
      <c r="F91" s="647"/>
      <c r="G91" s="668"/>
      <c r="H91" s="668"/>
      <c r="I91" s="668"/>
      <c r="J91" s="668"/>
      <c r="K91" s="668"/>
      <c r="L91" s="647"/>
    </row>
    <row r="92" spans="1:12" ht="14" x14ac:dyDescent="0.3">
      <c r="A92" s="593"/>
      <c r="B92" s="593"/>
      <c r="C92" s="647"/>
      <c r="D92" s="647"/>
      <c r="E92" s="647"/>
      <c r="F92" s="647"/>
      <c r="G92" s="668"/>
      <c r="H92" s="668"/>
      <c r="I92" s="668"/>
      <c r="J92" s="668"/>
      <c r="K92" s="668"/>
      <c r="L92" s="647"/>
    </row>
    <row r="93" spans="1:12" ht="14" x14ac:dyDescent="0.3">
      <c r="A93" s="593"/>
      <c r="B93" s="593"/>
      <c r="C93" s="647"/>
      <c r="D93" s="647"/>
      <c r="E93" s="672"/>
      <c r="F93" s="647"/>
      <c r="G93" s="668"/>
      <c r="H93" s="668"/>
      <c r="I93" s="668"/>
      <c r="J93" s="668"/>
      <c r="K93" s="668"/>
      <c r="L93" s="647"/>
    </row>
    <row r="94" spans="1:12" ht="14" x14ac:dyDescent="0.3">
      <c r="A94" s="593"/>
      <c r="B94" s="593"/>
      <c r="C94" s="647"/>
      <c r="D94" s="647"/>
      <c r="E94" s="647"/>
      <c r="F94" s="647"/>
      <c r="G94" s="668"/>
      <c r="H94" s="668"/>
      <c r="I94" s="668"/>
      <c r="J94" s="668"/>
      <c r="K94" s="668"/>
      <c r="L94" s="647"/>
    </row>
    <row r="95" spans="1:12" ht="14" x14ac:dyDescent="0.3">
      <c r="A95" s="593"/>
      <c r="B95" s="593"/>
      <c r="C95" s="647"/>
      <c r="D95" s="647"/>
      <c r="E95" s="647"/>
      <c r="F95" s="647"/>
      <c r="G95" s="647"/>
      <c r="H95" s="647"/>
      <c r="I95" s="647"/>
      <c r="J95" s="647"/>
      <c r="K95" s="647"/>
      <c r="L95" s="647"/>
    </row>
    <row r="96" spans="1:12" ht="14" x14ac:dyDescent="0.3">
      <c r="A96" s="593"/>
      <c r="B96" s="593"/>
      <c r="C96" s="647"/>
      <c r="D96" s="647"/>
      <c r="E96" s="647"/>
      <c r="F96" s="647"/>
      <c r="G96" s="647"/>
      <c r="H96" s="647"/>
      <c r="I96" s="647"/>
      <c r="J96" s="647"/>
      <c r="K96" s="647"/>
      <c r="L96" s="647"/>
    </row>
    <row r="97" spans="1:12" ht="14" x14ac:dyDescent="0.3">
      <c r="A97" s="593"/>
      <c r="B97" s="593"/>
      <c r="C97" s="647"/>
      <c r="D97" s="647"/>
      <c r="E97" s="647"/>
      <c r="F97" s="647"/>
      <c r="G97" s="647"/>
      <c r="H97" s="647"/>
      <c r="I97" s="647"/>
      <c r="J97" s="647"/>
      <c r="K97" s="647"/>
      <c r="L97" s="647"/>
    </row>
    <row r="98" spans="1:12" ht="14" x14ac:dyDescent="0.3">
      <c r="A98" s="593"/>
      <c r="B98" s="593"/>
      <c r="C98" s="647"/>
      <c r="D98" s="647"/>
      <c r="E98" s="647"/>
      <c r="F98" s="647"/>
      <c r="G98" s="647"/>
      <c r="H98" s="647"/>
      <c r="I98" s="647"/>
      <c r="J98" s="647"/>
      <c r="K98" s="647"/>
      <c r="L98" s="647"/>
    </row>
    <row r="99" spans="1:12" ht="14" x14ac:dyDescent="0.3">
      <c r="A99" s="593"/>
      <c r="B99" s="593"/>
      <c r="C99" s="647"/>
      <c r="D99" s="647"/>
      <c r="E99" s="647"/>
      <c r="F99" s="647"/>
      <c r="G99" s="647"/>
      <c r="H99" s="647"/>
      <c r="I99" s="647"/>
      <c r="J99" s="647"/>
      <c r="K99" s="647"/>
      <c r="L99" s="647"/>
    </row>
    <row r="100" spans="1:12" ht="14" x14ac:dyDescent="0.3">
      <c r="A100" s="593"/>
      <c r="B100" s="593"/>
      <c r="C100" s="647"/>
      <c r="D100" s="647"/>
      <c r="E100" s="647"/>
      <c r="F100" s="647"/>
      <c r="G100" s="647"/>
      <c r="H100" s="647"/>
      <c r="I100" s="647"/>
      <c r="J100" s="647"/>
      <c r="K100" s="647"/>
      <c r="L100" s="647"/>
    </row>
    <row r="101" spans="1:12" ht="14" x14ac:dyDescent="0.3">
      <c r="A101" s="593"/>
      <c r="B101" s="593"/>
      <c r="C101" s="647"/>
      <c r="D101" s="647"/>
      <c r="E101" s="647"/>
      <c r="F101" s="647"/>
      <c r="G101" s="647"/>
      <c r="H101" s="647"/>
      <c r="I101" s="647"/>
      <c r="J101" s="647"/>
      <c r="K101" s="647"/>
      <c r="L101" s="647"/>
    </row>
    <row r="102" spans="1:12" ht="14" x14ac:dyDescent="0.3">
      <c r="A102" s="593"/>
      <c r="B102" s="593"/>
      <c r="C102" s="647"/>
      <c r="D102" s="647"/>
      <c r="E102" s="647"/>
      <c r="F102" s="647"/>
      <c r="G102" s="647"/>
      <c r="H102" s="647"/>
      <c r="I102" s="647"/>
      <c r="J102" s="647"/>
      <c r="K102" s="647"/>
      <c r="L102" s="647"/>
    </row>
    <row r="103" spans="1:12" ht="14" x14ac:dyDescent="0.3">
      <c r="A103" s="593"/>
      <c r="B103" s="593"/>
      <c r="C103" s="647"/>
      <c r="D103" s="647"/>
      <c r="E103" s="647"/>
      <c r="F103" s="647"/>
      <c r="G103" s="647"/>
      <c r="H103" s="647"/>
      <c r="I103" s="647"/>
      <c r="J103" s="647"/>
      <c r="K103" s="647"/>
      <c r="L103" s="647"/>
    </row>
    <row r="104" spans="1:12" ht="14" x14ac:dyDescent="0.3">
      <c r="A104" s="593"/>
      <c r="B104" s="593"/>
      <c r="C104" s="647"/>
      <c r="D104" s="647"/>
      <c r="E104" s="647"/>
      <c r="F104" s="647"/>
      <c r="G104" s="647"/>
      <c r="H104" s="647"/>
      <c r="I104" s="647"/>
      <c r="J104" s="647"/>
      <c r="K104" s="647"/>
      <c r="L104" s="647"/>
    </row>
    <row r="105" spans="1:12" ht="14" x14ac:dyDescent="0.3">
      <c r="A105" s="593"/>
      <c r="B105" s="593"/>
      <c r="C105" s="647"/>
      <c r="D105" s="647"/>
      <c r="E105" s="647"/>
      <c r="F105" s="647"/>
      <c r="G105" s="647"/>
      <c r="H105" s="647"/>
      <c r="I105" s="647"/>
      <c r="J105" s="647"/>
      <c r="K105" s="647"/>
      <c r="L105" s="647"/>
    </row>
    <row r="106" spans="1:12" ht="14" x14ac:dyDescent="0.3">
      <c r="A106" s="593"/>
      <c r="B106" s="593"/>
      <c r="C106" s="647"/>
      <c r="D106" s="647"/>
      <c r="E106" s="647"/>
      <c r="F106" s="647"/>
      <c r="G106" s="647"/>
      <c r="H106" s="647"/>
      <c r="I106" s="647"/>
      <c r="J106" s="647"/>
      <c r="K106" s="647"/>
      <c r="L106" s="647"/>
    </row>
    <row r="107" spans="1:12" ht="14" x14ac:dyDescent="0.3">
      <c r="A107" s="593"/>
      <c r="B107" s="593"/>
      <c r="C107" s="647"/>
      <c r="D107" s="647"/>
      <c r="E107" s="647"/>
      <c r="F107" s="647"/>
      <c r="G107" s="647"/>
      <c r="H107" s="647"/>
      <c r="I107" s="647"/>
      <c r="J107" s="647"/>
      <c r="K107" s="647"/>
      <c r="L107" s="647"/>
    </row>
    <row r="108" spans="1:12" ht="14" x14ac:dyDescent="0.3">
      <c r="A108" s="593"/>
      <c r="B108" s="593"/>
      <c r="C108" s="647"/>
      <c r="D108" s="647"/>
      <c r="E108" s="647"/>
      <c r="F108" s="647"/>
      <c r="G108" s="647"/>
      <c r="H108" s="647"/>
      <c r="I108" s="647"/>
      <c r="J108" s="647"/>
      <c r="K108" s="647"/>
      <c r="L108" s="647"/>
    </row>
    <row r="109" spans="1:12" ht="14" x14ac:dyDescent="0.3">
      <c r="A109" s="593"/>
      <c r="B109" s="593"/>
      <c r="C109" s="647"/>
      <c r="D109" s="673"/>
      <c r="E109" s="674"/>
      <c r="F109" s="674"/>
      <c r="G109" s="674"/>
      <c r="H109" s="674"/>
      <c r="I109" s="647"/>
      <c r="J109" s="647"/>
      <c r="K109" s="647"/>
      <c r="L109" s="647"/>
    </row>
    <row r="110" spans="1:12" ht="14" x14ac:dyDescent="0.3">
      <c r="A110" s="593"/>
      <c r="B110" s="593"/>
      <c r="C110" s="647"/>
      <c r="D110" s="673"/>
      <c r="E110" s="674"/>
      <c r="F110" s="674"/>
      <c r="G110" s="674"/>
      <c r="H110" s="674"/>
      <c r="I110" s="647"/>
      <c r="J110" s="647"/>
      <c r="K110" s="647"/>
      <c r="L110" s="647"/>
    </row>
    <row r="111" spans="1:12" ht="14" x14ac:dyDescent="0.3">
      <c r="A111" s="593"/>
      <c r="B111" s="593"/>
      <c r="C111" s="647"/>
      <c r="D111" s="673"/>
      <c r="E111" s="674"/>
      <c r="F111" s="674"/>
      <c r="G111" s="674"/>
      <c r="H111" s="674"/>
      <c r="I111" s="647"/>
      <c r="J111" s="647"/>
      <c r="K111" s="647"/>
      <c r="L111" s="647"/>
    </row>
    <row r="112" spans="1:12" ht="14" x14ac:dyDescent="0.3">
      <c r="A112" s="593"/>
      <c r="B112" s="593"/>
      <c r="C112" s="647"/>
      <c r="D112" s="647"/>
      <c r="E112" s="647"/>
      <c r="F112" s="647"/>
      <c r="G112" s="647"/>
      <c r="H112" s="647"/>
      <c r="I112" s="647"/>
      <c r="J112" s="647"/>
      <c r="K112" s="647"/>
      <c r="L112" s="647"/>
    </row>
    <row r="113" spans="1:12" ht="14" x14ac:dyDescent="0.3">
      <c r="A113" s="593"/>
      <c r="B113" s="593"/>
      <c r="C113" s="647"/>
      <c r="D113" s="673"/>
      <c r="E113" s="674"/>
      <c r="F113" s="674"/>
      <c r="G113" s="674"/>
      <c r="H113" s="674"/>
      <c r="I113" s="647"/>
      <c r="J113" s="647"/>
      <c r="K113" s="647"/>
      <c r="L113" s="647"/>
    </row>
    <row r="114" spans="1:12" ht="14" x14ac:dyDescent="0.3">
      <c r="A114" s="593"/>
      <c r="B114" s="593"/>
      <c r="C114" s="647"/>
      <c r="D114" s="673"/>
      <c r="E114" s="674"/>
      <c r="F114" s="674"/>
      <c r="G114" s="674"/>
      <c r="H114" s="674"/>
      <c r="I114" s="647"/>
      <c r="J114" s="647"/>
      <c r="K114" s="647"/>
      <c r="L114" s="647"/>
    </row>
    <row r="115" spans="1:12" ht="14" x14ac:dyDescent="0.3">
      <c r="A115" s="593"/>
      <c r="B115" s="593"/>
      <c r="C115" s="647"/>
      <c r="D115" s="673"/>
      <c r="E115" s="674"/>
      <c r="F115" s="674"/>
      <c r="G115" s="674"/>
      <c r="H115" s="674"/>
      <c r="I115" s="647"/>
      <c r="J115" s="647"/>
      <c r="K115" s="647"/>
      <c r="L115" s="647"/>
    </row>
    <row r="116" spans="1:12" ht="14" x14ac:dyDescent="0.3">
      <c r="A116" s="593"/>
      <c r="B116" s="593"/>
      <c r="C116" s="647"/>
      <c r="D116" s="647"/>
      <c r="E116" s="647"/>
      <c r="F116" s="647"/>
      <c r="G116" s="647"/>
      <c r="H116" s="647"/>
      <c r="I116" s="647"/>
      <c r="J116" s="647"/>
      <c r="K116" s="647"/>
      <c r="L116" s="647"/>
    </row>
    <row r="117" spans="1:12" ht="14" x14ac:dyDescent="0.3">
      <c r="A117" s="593"/>
      <c r="B117" s="593"/>
      <c r="C117" s="647"/>
      <c r="D117" s="673"/>
      <c r="E117" s="674"/>
      <c r="F117" s="674"/>
      <c r="G117" s="674"/>
      <c r="H117" s="674"/>
      <c r="I117" s="647"/>
      <c r="J117" s="647"/>
      <c r="K117" s="647"/>
      <c r="L117" s="647"/>
    </row>
    <row r="118" spans="1:12" ht="14" x14ac:dyDescent="0.3">
      <c r="A118" s="593"/>
      <c r="B118" s="593"/>
      <c r="C118" s="647"/>
      <c r="D118" s="673"/>
      <c r="E118" s="674"/>
      <c r="F118" s="674"/>
      <c r="G118" s="674"/>
      <c r="H118" s="674"/>
      <c r="I118" s="647"/>
      <c r="J118" s="647"/>
      <c r="K118" s="647"/>
      <c r="L118" s="647"/>
    </row>
    <row r="119" spans="1:12" ht="14" x14ac:dyDescent="0.3">
      <c r="A119" s="593"/>
      <c r="B119" s="593"/>
      <c r="C119" s="647"/>
      <c r="D119" s="673"/>
      <c r="E119" s="674"/>
      <c r="F119" s="674"/>
      <c r="G119" s="674"/>
      <c r="H119" s="674"/>
      <c r="I119" s="647"/>
      <c r="J119" s="647"/>
      <c r="K119" s="647"/>
      <c r="L119" s="647"/>
    </row>
    <row r="120" spans="1:12" ht="14" x14ac:dyDescent="0.3">
      <c r="A120" s="593"/>
      <c r="B120" s="593"/>
      <c r="C120" s="647"/>
      <c r="D120" s="647"/>
      <c r="E120" s="647"/>
      <c r="F120" s="647"/>
      <c r="G120" s="647"/>
      <c r="H120" s="647"/>
      <c r="I120" s="647"/>
      <c r="J120" s="647"/>
      <c r="K120" s="647"/>
      <c r="L120" s="647"/>
    </row>
    <row r="121" spans="1:12" ht="14" x14ac:dyDescent="0.3">
      <c r="A121" s="593"/>
      <c r="B121" s="593"/>
      <c r="C121" s="647"/>
      <c r="D121" s="673"/>
      <c r="E121" s="674"/>
      <c r="F121" s="674"/>
      <c r="G121" s="674"/>
      <c r="H121" s="674"/>
      <c r="I121" s="647"/>
      <c r="J121" s="647"/>
      <c r="K121" s="647"/>
      <c r="L121" s="647"/>
    </row>
    <row r="122" spans="1:12" ht="14" x14ac:dyDescent="0.3">
      <c r="A122" s="593"/>
      <c r="B122" s="593"/>
      <c r="C122" s="647"/>
      <c r="D122" s="673"/>
      <c r="E122" s="674"/>
      <c r="F122" s="674"/>
      <c r="G122" s="674"/>
      <c r="H122" s="674"/>
      <c r="I122" s="647"/>
      <c r="J122" s="647"/>
      <c r="K122" s="647"/>
      <c r="L122" s="647"/>
    </row>
    <row r="123" spans="1:12" ht="14" x14ac:dyDescent="0.3">
      <c r="A123" s="593"/>
      <c r="B123" s="593"/>
      <c r="C123" s="647"/>
      <c r="D123" s="673"/>
      <c r="E123" s="674"/>
      <c r="F123" s="674"/>
      <c r="G123" s="674"/>
      <c r="H123" s="674"/>
      <c r="I123" s="647"/>
      <c r="J123" s="647"/>
      <c r="K123" s="647"/>
      <c r="L123" s="647"/>
    </row>
    <row r="124" spans="1:12" ht="14" x14ac:dyDescent="0.3">
      <c r="A124" s="593"/>
      <c r="B124" s="593"/>
      <c r="C124" s="647"/>
      <c r="D124" s="647"/>
      <c r="E124" s="647"/>
      <c r="F124" s="647"/>
      <c r="G124" s="647"/>
      <c r="H124" s="647"/>
      <c r="I124" s="647"/>
      <c r="J124" s="647"/>
      <c r="K124" s="647"/>
      <c r="L124" s="647"/>
    </row>
    <row r="125" spans="1:12" ht="14" x14ac:dyDescent="0.3">
      <c r="A125" s="593"/>
      <c r="B125" s="593"/>
      <c r="C125" s="647"/>
      <c r="D125" s="673"/>
      <c r="E125" s="674"/>
      <c r="F125" s="674"/>
      <c r="G125" s="674"/>
      <c r="H125" s="674"/>
      <c r="I125" s="647"/>
      <c r="J125" s="647"/>
      <c r="K125" s="647"/>
      <c r="L125" s="647"/>
    </row>
    <row r="126" spans="1:12" ht="14" x14ac:dyDescent="0.3">
      <c r="A126" s="593"/>
      <c r="B126" s="593"/>
      <c r="C126" s="647"/>
      <c r="D126" s="673"/>
      <c r="E126" s="674"/>
      <c r="F126" s="674"/>
      <c r="G126" s="674"/>
      <c r="H126" s="674"/>
      <c r="I126" s="647"/>
      <c r="J126" s="647"/>
      <c r="K126" s="647"/>
      <c r="L126" s="647"/>
    </row>
    <row r="127" spans="1:12" ht="14" x14ac:dyDescent="0.3">
      <c r="A127" s="593"/>
      <c r="B127" s="593"/>
      <c r="C127" s="647"/>
      <c r="D127" s="673"/>
      <c r="E127" s="674"/>
      <c r="F127" s="674"/>
      <c r="G127" s="674"/>
      <c r="H127" s="674"/>
      <c r="I127" s="647"/>
      <c r="J127" s="647"/>
      <c r="K127" s="647"/>
      <c r="L127" s="647"/>
    </row>
    <row r="128" spans="1:12" ht="14" x14ac:dyDescent="0.3">
      <c r="A128" s="593"/>
      <c r="B128" s="593"/>
      <c r="C128" s="647"/>
      <c r="D128" s="647"/>
      <c r="E128" s="647"/>
      <c r="F128" s="647"/>
      <c r="G128" s="647"/>
      <c r="H128" s="647"/>
      <c r="I128" s="647"/>
      <c r="J128" s="647"/>
      <c r="K128" s="647"/>
      <c r="L128" s="647"/>
    </row>
    <row r="129" spans="1:12" ht="14" x14ac:dyDescent="0.3">
      <c r="A129" s="593"/>
      <c r="B129" s="593"/>
      <c r="C129" s="647"/>
      <c r="D129" s="673"/>
      <c r="E129" s="674"/>
      <c r="F129" s="674"/>
      <c r="G129" s="674"/>
      <c r="H129" s="674"/>
      <c r="I129" s="647"/>
      <c r="J129" s="647"/>
      <c r="K129" s="647"/>
      <c r="L129" s="647"/>
    </row>
    <row r="130" spans="1:12" ht="14" x14ac:dyDescent="0.3">
      <c r="A130" s="593"/>
      <c r="B130" s="593"/>
      <c r="C130" s="647"/>
      <c r="D130" s="673"/>
      <c r="E130" s="674"/>
      <c r="F130" s="674"/>
      <c r="G130" s="674"/>
      <c r="H130" s="674"/>
      <c r="I130" s="647"/>
      <c r="J130" s="647"/>
      <c r="K130" s="647"/>
      <c r="L130" s="647"/>
    </row>
    <row r="131" spans="1:12" ht="14" x14ac:dyDescent="0.3">
      <c r="A131" s="593"/>
      <c r="B131" s="593"/>
      <c r="C131" s="647"/>
      <c r="D131" s="673"/>
      <c r="E131" s="674"/>
      <c r="F131" s="674"/>
      <c r="G131" s="674"/>
      <c r="H131" s="674"/>
      <c r="I131" s="647"/>
      <c r="J131" s="647"/>
      <c r="K131" s="647"/>
      <c r="L131" s="647"/>
    </row>
    <row r="132" spans="1:12" ht="14" x14ac:dyDescent="0.3">
      <c r="A132" s="593"/>
      <c r="B132" s="593"/>
      <c r="C132" s="647"/>
      <c r="D132" s="647"/>
      <c r="E132" s="647"/>
      <c r="F132" s="647"/>
      <c r="G132" s="647"/>
      <c r="H132" s="647"/>
      <c r="I132" s="647"/>
      <c r="J132" s="647"/>
      <c r="K132" s="647"/>
      <c r="L132" s="647"/>
    </row>
    <row r="133" spans="1:12" ht="14" x14ac:dyDescent="0.3">
      <c r="A133" s="593"/>
      <c r="B133" s="593"/>
      <c r="C133" s="647"/>
      <c r="D133" s="673"/>
      <c r="E133" s="674"/>
      <c r="F133" s="674"/>
      <c r="G133" s="674"/>
      <c r="H133" s="674"/>
      <c r="I133" s="647"/>
      <c r="J133" s="647"/>
      <c r="K133" s="647"/>
      <c r="L133" s="647"/>
    </row>
    <row r="134" spans="1:12" ht="14" x14ac:dyDescent="0.3">
      <c r="A134" s="593"/>
      <c r="B134" s="593"/>
      <c r="C134" s="647"/>
      <c r="D134" s="673"/>
      <c r="E134" s="674"/>
      <c r="F134" s="674"/>
      <c r="G134" s="674"/>
      <c r="H134" s="674"/>
      <c r="I134" s="647"/>
      <c r="J134" s="647"/>
      <c r="K134" s="647"/>
      <c r="L134" s="647"/>
    </row>
    <row r="135" spans="1:12" ht="14" x14ac:dyDescent="0.3">
      <c r="A135" s="593"/>
      <c r="B135" s="593"/>
      <c r="C135" s="647"/>
      <c r="D135" s="673"/>
      <c r="E135" s="674"/>
      <c r="F135" s="674"/>
      <c r="G135" s="674"/>
      <c r="H135" s="674"/>
      <c r="I135" s="647"/>
      <c r="J135" s="647"/>
      <c r="K135" s="647"/>
      <c r="L135" s="647"/>
    </row>
    <row r="136" spans="1:12" ht="14" x14ac:dyDescent="0.3">
      <c r="A136" s="593"/>
      <c r="B136" s="593"/>
      <c r="C136" s="647"/>
      <c r="D136" s="647"/>
      <c r="E136" s="647"/>
      <c r="F136" s="647"/>
      <c r="G136" s="647"/>
      <c r="H136" s="647"/>
      <c r="I136" s="647"/>
      <c r="J136" s="647"/>
      <c r="K136" s="647"/>
      <c r="L136" s="647"/>
    </row>
    <row r="137" spans="1:12" ht="14" x14ac:dyDescent="0.3">
      <c r="A137" s="593"/>
      <c r="B137" s="593"/>
      <c r="C137" s="647"/>
      <c r="D137" s="673"/>
      <c r="E137" s="674"/>
      <c r="F137" s="674"/>
      <c r="G137" s="674"/>
      <c r="H137" s="674"/>
      <c r="I137" s="647"/>
      <c r="J137" s="647"/>
      <c r="K137" s="647"/>
      <c r="L137" s="647"/>
    </row>
    <row r="138" spans="1:12" ht="14" x14ac:dyDescent="0.3">
      <c r="A138" s="593"/>
      <c r="B138" s="593"/>
      <c r="C138" s="647"/>
      <c r="D138" s="673"/>
      <c r="E138" s="674"/>
      <c r="F138" s="647"/>
      <c r="G138" s="647"/>
      <c r="H138" s="647"/>
      <c r="I138" s="647"/>
      <c r="J138" s="647"/>
      <c r="K138" s="647"/>
      <c r="L138" s="647"/>
    </row>
    <row r="139" spans="1:12" ht="14" x14ac:dyDescent="0.3">
      <c r="A139" s="593"/>
      <c r="B139" s="593"/>
      <c r="C139" s="647"/>
      <c r="D139" s="673"/>
      <c r="E139" s="674"/>
      <c r="F139" s="647"/>
      <c r="G139" s="647"/>
      <c r="H139" s="647"/>
      <c r="I139" s="647"/>
      <c r="J139" s="647"/>
      <c r="K139" s="647"/>
      <c r="L139" s="647"/>
    </row>
    <row r="140" spans="1:12" ht="14" x14ac:dyDescent="0.3">
      <c r="A140" s="593"/>
      <c r="B140" s="593"/>
      <c r="C140" s="647"/>
      <c r="D140" s="647"/>
      <c r="E140" s="647"/>
      <c r="F140" s="647"/>
      <c r="G140" s="647"/>
      <c r="H140" s="647"/>
      <c r="I140" s="647"/>
      <c r="J140" s="647"/>
      <c r="K140" s="647"/>
      <c r="L140" s="647"/>
    </row>
    <row r="141" spans="1:12" ht="14" x14ac:dyDescent="0.3">
      <c r="A141" s="593"/>
      <c r="B141" s="593"/>
      <c r="C141" s="647"/>
      <c r="D141" s="647"/>
      <c r="E141" s="647"/>
      <c r="F141" s="647"/>
      <c r="G141" s="647"/>
      <c r="H141" s="647"/>
      <c r="I141" s="647"/>
      <c r="J141" s="647"/>
      <c r="K141" s="647"/>
      <c r="L141" s="647"/>
    </row>
    <row r="142" spans="1:12" ht="14" x14ac:dyDescent="0.3">
      <c r="A142" s="593"/>
      <c r="B142" s="593"/>
      <c r="C142" s="647"/>
      <c r="D142" s="647"/>
      <c r="E142" s="647"/>
      <c r="F142" s="647"/>
      <c r="G142" s="647"/>
      <c r="H142" s="647"/>
      <c r="I142" s="647"/>
      <c r="J142" s="647"/>
      <c r="K142" s="647"/>
      <c r="L142" s="647"/>
    </row>
    <row r="143" spans="1:12" ht="14" x14ac:dyDescent="0.3">
      <c r="A143" s="593"/>
      <c r="B143" s="593"/>
      <c r="C143" s="647"/>
      <c r="D143" s="647"/>
      <c r="E143" s="647"/>
      <c r="F143" s="647"/>
      <c r="G143" s="647"/>
      <c r="H143" s="647"/>
      <c r="I143" s="647"/>
      <c r="J143" s="647"/>
      <c r="K143" s="647"/>
      <c r="L143" s="647"/>
    </row>
    <row r="144" spans="1:12" ht="14" x14ac:dyDescent="0.3">
      <c r="A144" s="593"/>
      <c r="B144" s="593"/>
      <c r="C144" s="647"/>
      <c r="D144" s="647"/>
      <c r="E144" s="647"/>
      <c r="F144" s="647"/>
      <c r="G144" s="647"/>
      <c r="H144" s="647"/>
      <c r="I144" s="647"/>
      <c r="J144" s="647"/>
      <c r="K144" s="647"/>
      <c r="L144" s="647"/>
    </row>
    <row r="145" spans="1:12" ht="14" x14ac:dyDescent="0.3">
      <c r="A145" s="593"/>
      <c r="B145" s="593"/>
      <c r="C145" s="647"/>
      <c r="D145" s="647"/>
      <c r="E145" s="647"/>
      <c r="F145" s="647"/>
      <c r="G145" s="647"/>
      <c r="H145" s="647"/>
      <c r="I145" s="647"/>
      <c r="J145" s="647"/>
      <c r="K145" s="647"/>
      <c r="L145" s="647"/>
    </row>
    <row r="146" spans="1:12" ht="14" x14ac:dyDescent="0.3">
      <c r="A146" s="593"/>
      <c r="B146" s="593"/>
      <c r="C146" s="647"/>
      <c r="D146" s="647"/>
      <c r="E146" s="647"/>
      <c r="F146" s="647"/>
      <c r="G146" s="647"/>
      <c r="H146" s="647"/>
      <c r="I146" s="647"/>
      <c r="J146" s="647"/>
      <c r="K146" s="647"/>
      <c r="L146" s="647"/>
    </row>
    <row r="147" spans="1:12" ht="14" x14ac:dyDescent="0.3">
      <c r="A147" s="593"/>
      <c r="B147" s="593"/>
      <c r="C147" s="647"/>
      <c r="D147" s="647"/>
      <c r="E147" s="647"/>
      <c r="F147" s="647"/>
      <c r="G147" s="647"/>
      <c r="H147" s="647"/>
      <c r="I147" s="647"/>
      <c r="J147" s="647"/>
      <c r="K147" s="647"/>
      <c r="L147" s="647"/>
    </row>
    <row r="148" spans="1:12" ht="14" x14ac:dyDescent="0.3">
      <c r="A148" s="593"/>
      <c r="B148" s="593"/>
      <c r="C148" s="647"/>
      <c r="D148" s="647"/>
      <c r="E148" s="647"/>
      <c r="F148" s="647"/>
      <c r="G148" s="647"/>
      <c r="H148" s="647"/>
      <c r="I148" s="647"/>
      <c r="J148" s="647"/>
      <c r="K148" s="647"/>
      <c r="L148" s="647"/>
    </row>
    <row r="149" spans="1:12" ht="14" x14ac:dyDescent="0.3">
      <c r="A149" s="593"/>
      <c r="B149" s="593"/>
      <c r="C149" s="647"/>
      <c r="D149" s="647"/>
      <c r="E149" s="647"/>
      <c r="F149" s="647"/>
      <c r="G149" s="647"/>
      <c r="H149" s="647"/>
      <c r="I149" s="647"/>
      <c r="J149" s="647"/>
      <c r="K149" s="647"/>
      <c r="L149" s="647"/>
    </row>
    <row r="150" spans="1:12" ht="14" x14ac:dyDescent="0.3">
      <c r="A150" s="593"/>
      <c r="B150" s="593"/>
      <c r="C150" s="647"/>
      <c r="D150" s="647"/>
      <c r="E150" s="647"/>
      <c r="F150" s="647"/>
      <c r="G150" s="647"/>
      <c r="H150" s="647"/>
      <c r="I150" s="647"/>
      <c r="J150" s="647"/>
      <c r="K150" s="647"/>
      <c r="L150" s="647"/>
    </row>
    <row r="151" spans="1:12" ht="14" x14ac:dyDescent="0.3">
      <c r="A151" s="593"/>
      <c r="B151" s="593"/>
      <c r="C151" s="647"/>
      <c r="D151" s="647"/>
      <c r="E151" s="647"/>
      <c r="F151" s="647"/>
      <c r="G151" s="647"/>
      <c r="H151" s="647"/>
      <c r="I151" s="647"/>
      <c r="J151" s="647"/>
      <c r="K151" s="647"/>
      <c r="L151" s="647"/>
    </row>
    <row r="152" spans="1:12" ht="14" x14ac:dyDescent="0.3">
      <c r="A152" s="593"/>
      <c r="B152" s="593"/>
      <c r="C152" s="647"/>
      <c r="D152" s="647"/>
      <c r="E152" s="647"/>
      <c r="F152" s="647"/>
      <c r="G152" s="647"/>
      <c r="H152" s="647"/>
      <c r="I152" s="647"/>
      <c r="J152" s="647"/>
      <c r="K152" s="647"/>
      <c r="L152" s="647"/>
    </row>
    <row r="153" spans="1:12" ht="14" x14ac:dyDescent="0.3">
      <c r="A153" s="593"/>
      <c r="B153" s="593"/>
      <c r="C153" s="647"/>
      <c r="D153" s="647"/>
      <c r="E153" s="647"/>
      <c r="F153" s="647"/>
      <c r="G153" s="647"/>
      <c r="H153" s="647"/>
      <c r="I153" s="647"/>
      <c r="J153" s="647"/>
      <c r="K153" s="647"/>
      <c r="L153" s="647"/>
    </row>
    <row r="154" spans="1:12" ht="14" x14ac:dyDescent="0.3">
      <c r="A154" s="593"/>
      <c r="B154" s="593"/>
      <c r="C154" s="647"/>
      <c r="D154" s="647"/>
      <c r="E154" s="647"/>
      <c r="F154" s="647"/>
      <c r="G154" s="647"/>
      <c r="H154" s="647"/>
      <c r="I154" s="647"/>
      <c r="J154" s="647"/>
      <c r="K154" s="647"/>
      <c r="L154" s="647"/>
    </row>
    <row r="155" spans="1:12" ht="14" x14ac:dyDescent="0.3">
      <c r="A155" s="593"/>
      <c r="B155" s="593"/>
      <c r="C155" s="647"/>
      <c r="D155" s="647"/>
      <c r="E155" s="647"/>
      <c r="F155" s="647"/>
      <c r="G155" s="647"/>
      <c r="H155" s="647"/>
      <c r="I155" s="647"/>
      <c r="J155" s="647"/>
      <c r="K155" s="647"/>
      <c r="L155" s="647"/>
    </row>
    <row r="156" spans="1:12" ht="14" x14ac:dyDescent="0.3">
      <c r="A156" s="593"/>
      <c r="B156" s="593"/>
      <c r="C156" s="647"/>
      <c r="D156" s="647"/>
      <c r="E156" s="647"/>
      <c r="F156" s="647"/>
      <c r="G156" s="647"/>
      <c r="H156" s="647"/>
      <c r="I156" s="647"/>
      <c r="J156" s="647"/>
      <c r="K156" s="647"/>
      <c r="L156" s="647"/>
    </row>
    <row r="157" spans="1:12" ht="14" x14ac:dyDescent="0.3">
      <c r="A157" s="593"/>
      <c r="B157" s="593"/>
      <c r="C157" s="647"/>
      <c r="D157" s="647"/>
      <c r="E157" s="647"/>
      <c r="F157" s="647"/>
      <c r="G157" s="647"/>
      <c r="H157" s="647"/>
      <c r="I157" s="647"/>
      <c r="J157" s="647"/>
      <c r="K157" s="647"/>
      <c r="L157" s="647"/>
    </row>
    <row r="158" spans="1:12" ht="14" x14ac:dyDescent="0.3">
      <c r="A158" s="593"/>
      <c r="B158" s="593"/>
      <c r="C158" s="647"/>
      <c r="D158" s="647"/>
      <c r="E158" s="647"/>
      <c r="F158" s="647"/>
      <c r="G158" s="647"/>
      <c r="H158" s="647"/>
      <c r="I158" s="647"/>
      <c r="J158" s="647"/>
      <c r="K158" s="647"/>
      <c r="L158" s="647"/>
    </row>
    <row r="159" spans="1:12" ht="14" x14ac:dyDescent="0.3">
      <c r="A159" s="593"/>
      <c r="B159" s="593"/>
      <c r="C159" s="647"/>
      <c r="D159" s="647"/>
      <c r="E159" s="647"/>
      <c r="F159" s="647"/>
      <c r="G159" s="647"/>
      <c r="H159" s="647"/>
      <c r="I159" s="647"/>
      <c r="J159" s="647"/>
      <c r="K159" s="647"/>
      <c r="L159" s="647"/>
    </row>
    <row r="160" spans="1:12" ht="14" x14ac:dyDescent="0.3">
      <c r="A160" s="593"/>
      <c r="B160" s="593"/>
      <c r="C160" s="647"/>
      <c r="D160" s="647"/>
      <c r="E160" s="647"/>
      <c r="F160" s="647"/>
      <c r="G160" s="647"/>
      <c r="H160" s="647"/>
      <c r="I160" s="647"/>
      <c r="J160" s="647"/>
      <c r="K160" s="647"/>
      <c r="L160" s="647"/>
    </row>
    <row r="161" spans="1:12" ht="14" x14ac:dyDescent="0.3">
      <c r="A161" s="593"/>
      <c r="B161" s="593"/>
      <c r="C161" s="647"/>
      <c r="D161" s="647"/>
      <c r="E161" s="647"/>
      <c r="F161" s="647"/>
      <c r="G161" s="647"/>
      <c r="H161" s="647"/>
      <c r="I161" s="647"/>
      <c r="J161" s="647"/>
      <c r="K161" s="647"/>
      <c r="L161" s="647"/>
    </row>
    <row r="162" spans="1:12" ht="14" x14ac:dyDescent="0.3">
      <c r="A162" s="593"/>
      <c r="B162" s="593"/>
      <c r="C162" s="647"/>
      <c r="D162" s="647"/>
      <c r="E162" s="647"/>
      <c r="F162" s="647"/>
      <c r="G162" s="647"/>
      <c r="H162" s="647"/>
      <c r="I162" s="647"/>
      <c r="J162" s="647"/>
      <c r="K162" s="647"/>
      <c r="L162" s="647"/>
    </row>
    <row r="163" spans="1:12" ht="14" x14ac:dyDescent="0.3">
      <c r="A163" s="593"/>
      <c r="B163" s="593"/>
      <c r="C163" s="647"/>
      <c r="D163" s="647"/>
      <c r="E163" s="647"/>
      <c r="F163" s="647"/>
      <c r="G163" s="647"/>
      <c r="H163" s="647"/>
      <c r="I163" s="647"/>
      <c r="J163" s="647"/>
      <c r="K163" s="647"/>
      <c r="L163" s="647"/>
    </row>
    <row r="164" spans="1:12" ht="14" x14ac:dyDescent="0.3">
      <c r="A164" s="593"/>
      <c r="B164" s="593"/>
      <c r="C164" s="647"/>
      <c r="D164" s="647"/>
      <c r="E164" s="647"/>
      <c r="F164" s="647"/>
      <c r="G164" s="647"/>
      <c r="H164" s="647"/>
      <c r="I164" s="647"/>
      <c r="J164" s="647"/>
      <c r="K164" s="647"/>
      <c r="L164" s="647"/>
    </row>
    <row r="165" spans="1:12" ht="14" x14ac:dyDescent="0.3">
      <c r="A165" s="593"/>
      <c r="B165" s="593"/>
      <c r="C165" s="647"/>
      <c r="D165" s="647"/>
      <c r="E165" s="647"/>
      <c r="F165" s="647"/>
      <c r="G165" s="647"/>
      <c r="H165" s="647"/>
      <c r="I165" s="647"/>
      <c r="J165" s="647"/>
      <c r="K165" s="647"/>
      <c r="L165" s="647"/>
    </row>
    <row r="166" spans="1:12" ht="14" x14ac:dyDescent="0.3">
      <c r="A166" s="593"/>
      <c r="B166" s="593"/>
      <c r="C166" s="647"/>
      <c r="D166" s="647"/>
      <c r="E166" s="647"/>
      <c r="F166" s="647"/>
      <c r="G166" s="647"/>
      <c r="H166" s="647"/>
      <c r="I166" s="647"/>
      <c r="J166" s="647"/>
      <c r="K166" s="647"/>
      <c r="L166" s="647"/>
    </row>
    <row r="167" spans="1:12" ht="14" x14ac:dyDescent="0.3">
      <c r="A167" s="593"/>
      <c r="B167" s="593"/>
      <c r="C167" s="647"/>
      <c r="D167" s="647"/>
      <c r="E167" s="647"/>
      <c r="F167" s="647"/>
      <c r="G167" s="647"/>
      <c r="H167" s="647"/>
      <c r="I167" s="647"/>
      <c r="J167" s="647"/>
      <c r="K167" s="647"/>
      <c r="L167" s="647"/>
    </row>
    <row r="168" spans="1:12" ht="14" x14ac:dyDescent="0.3">
      <c r="A168" s="593"/>
      <c r="B168" s="593"/>
      <c r="C168" s="647"/>
      <c r="D168" s="647"/>
      <c r="E168" s="647"/>
      <c r="F168" s="647"/>
      <c r="G168" s="647"/>
      <c r="H168" s="647"/>
      <c r="I168" s="647"/>
      <c r="J168" s="647"/>
      <c r="K168" s="647"/>
      <c r="L168" s="647"/>
    </row>
    <row r="169" spans="1:12" ht="14" x14ac:dyDescent="0.3">
      <c r="A169" s="593"/>
      <c r="B169" s="593"/>
      <c r="C169" s="647"/>
      <c r="D169" s="647"/>
      <c r="E169" s="647"/>
      <c r="F169" s="647"/>
      <c r="G169" s="647"/>
      <c r="H169" s="647"/>
      <c r="I169" s="647"/>
      <c r="J169" s="647"/>
      <c r="K169" s="647"/>
      <c r="L169" s="647"/>
    </row>
    <row r="170" spans="1:12" ht="14" x14ac:dyDescent="0.3">
      <c r="A170" s="593"/>
      <c r="B170" s="593"/>
      <c r="C170" s="647"/>
      <c r="D170" s="647"/>
      <c r="E170" s="647"/>
      <c r="F170" s="647"/>
      <c r="G170" s="647"/>
      <c r="H170" s="647"/>
      <c r="I170" s="647"/>
      <c r="J170" s="647"/>
      <c r="K170" s="647"/>
      <c r="L170" s="647"/>
    </row>
    <row r="171" spans="1:12" ht="14" x14ac:dyDescent="0.3">
      <c r="A171" s="593"/>
      <c r="B171" s="593"/>
      <c r="C171" s="647"/>
      <c r="D171" s="647"/>
      <c r="E171" s="647"/>
      <c r="F171" s="647"/>
      <c r="G171" s="647"/>
      <c r="H171" s="647"/>
      <c r="I171" s="647"/>
      <c r="J171" s="647"/>
      <c r="K171" s="647"/>
      <c r="L171" s="647"/>
    </row>
    <row r="172" spans="1:12" ht="14" x14ac:dyDescent="0.3">
      <c r="A172" s="593"/>
      <c r="B172" s="593"/>
      <c r="C172" s="647"/>
      <c r="D172" s="647"/>
      <c r="E172" s="647"/>
      <c r="F172" s="647"/>
      <c r="G172" s="647"/>
      <c r="H172" s="647"/>
      <c r="I172" s="647"/>
      <c r="J172" s="647"/>
      <c r="K172" s="647"/>
      <c r="L172" s="647"/>
    </row>
    <row r="173" spans="1:12" ht="14" x14ac:dyDescent="0.3">
      <c r="A173" s="593"/>
      <c r="B173" s="593"/>
      <c r="C173" s="647"/>
      <c r="D173" s="647"/>
      <c r="E173" s="647"/>
      <c r="F173" s="647"/>
      <c r="G173" s="647"/>
      <c r="H173" s="647"/>
      <c r="I173" s="647"/>
      <c r="J173" s="647"/>
      <c r="K173" s="647"/>
      <c r="L173" s="647"/>
    </row>
    <row r="174" spans="1:12" ht="14" x14ac:dyDescent="0.3">
      <c r="A174" s="593"/>
      <c r="B174" s="593"/>
      <c r="C174" s="647"/>
      <c r="D174" s="647"/>
      <c r="E174" s="647"/>
      <c r="F174" s="647"/>
      <c r="G174" s="647"/>
      <c r="H174" s="647"/>
      <c r="I174" s="647"/>
      <c r="J174" s="647"/>
      <c r="K174" s="647"/>
      <c r="L174" s="647"/>
    </row>
    <row r="175" spans="1:12" ht="14" x14ac:dyDescent="0.3">
      <c r="A175" s="593"/>
      <c r="B175" s="593"/>
      <c r="C175" s="647"/>
      <c r="D175" s="647"/>
      <c r="E175" s="647"/>
      <c r="F175" s="647"/>
      <c r="G175" s="647"/>
      <c r="H175" s="647"/>
      <c r="I175" s="647"/>
      <c r="J175" s="647"/>
      <c r="K175" s="647"/>
      <c r="L175" s="647"/>
    </row>
    <row r="176" spans="1:12" ht="14" x14ac:dyDescent="0.3">
      <c r="A176" s="593"/>
      <c r="B176" s="593"/>
      <c r="C176" s="647"/>
      <c r="D176" s="647"/>
      <c r="E176" s="647"/>
      <c r="F176" s="647"/>
      <c r="G176" s="647"/>
      <c r="H176" s="647"/>
      <c r="I176" s="647"/>
      <c r="J176" s="647"/>
      <c r="K176" s="647"/>
      <c r="L176" s="647"/>
    </row>
    <row r="177" spans="1:12" ht="14" x14ac:dyDescent="0.3">
      <c r="A177" s="593"/>
      <c r="B177" s="593"/>
      <c r="C177" s="647"/>
      <c r="D177" s="647"/>
      <c r="E177" s="647"/>
      <c r="F177" s="647"/>
      <c r="G177" s="647"/>
      <c r="H177" s="647"/>
      <c r="I177" s="647"/>
      <c r="J177" s="647"/>
      <c r="K177" s="647"/>
      <c r="L177" s="647"/>
    </row>
    <row r="178" spans="1:12" ht="14" x14ac:dyDescent="0.3">
      <c r="A178" s="593"/>
      <c r="B178" s="593"/>
      <c r="C178" s="647"/>
      <c r="D178" s="647"/>
      <c r="E178" s="647"/>
      <c r="F178" s="647"/>
      <c r="G178" s="647"/>
      <c r="H178" s="647"/>
      <c r="I178" s="647"/>
      <c r="J178" s="647"/>
      <c r="K178" s="647"/>
      <c r="L178" s="647"/>
    </row>
    <row r="179" spans="1:12" ht="14" x14ac:dyDescent="0.3">
      <c r="A179" s="593"/>
      <c r="B179" s="593"/>
      <c r="C179" s="647"/>
      <c r="D179" s="647"/>
      <c r="E179" s="647"/>
      <c r="F179" s="647"/>
      <c r="G179" s="647"/>
      <c r="H179" s="647"/>
      <c r="I179" s="647"/>
      <c r="J179" s="647"/>
      <c r="K179" s="647"/>
      <c r="L179" s="647"/>
    </row>
    <row r="180" spans="1:12" ht="14" x14ac:dyDescent="0.3">
      <c r="A180" s="593"/>
      <c r="B180" s="593"/>
      <c r="C180" s="647"/>
      <c r="D180" s="647"/>
      <c r="E180" s="647"/>
      <c r="F180" s="647"/>
      <c r="G180" s="647"/>
      <c r="H180" s="647"/>
      <c r="I180" s="647"/>
      <c r="J180" s="647"/>
      <c r="K180" s="647"/>
      <c r="L180" s="647"/>
    </row>
    <row r="181" spans="1:12" ht="14" x14ac:dyDescent="0.3">
      <c r="A181" s="593"/>
      <c r="B181" s="593"/>
      <c r="C181" s="647"/>
      <c r="D181" s="647"/>
      <c r="E181" s="647"/>
      <c r="F181" s="647"/>
      <c r="G181" s="647"/>
      <c r="H181" s="647"/>
      <c r="I181" s="647"/>
      <c r="J181" s="647"/>
      <c r="K181" s="647"/>
      <c r="L181" s="647"/>
    </row>
    <row r="182" spans="1:12" ht="14" x14ac:dyDescent="0.3">
      <c r="A182" s="593"/>
      <c r="B182" s="593"/>
      <c r="C182" s="647"/>
      <c r="D182" s="647"/>
      <c r="E182" s="647"/>
      <c r="F182" s="647"/>
      <c r="G182" s="647"/>
      <c r="H182" s="647"/>
      <c r="I182" s="647"/>
      <c r="J182" s="647"/>
      <c r="K182" s="647"/>
      <c r="L182" s="647"/>
    </row>
    <row r="183" spans="1:12" ht="14" x14ac:dyDescent="0.3">
      <c r="A183" s="593"/>
      <c r="B183" s="593"/>
      <c r="C183" s="647"/>
      <c r="D183" s="647"/>
      <c r="E183" s="647"/>
      <c r="F183" s="647"/>
      <c r="G183" s="647"/>
      <c r="H183" s="647"/>
      <c r="I183" s="647"/>
      <c r="J183" s="647"/>
      <c r="K183" s="647"/>
      <c r="L183" s="647"/>
    </row>
    <row r="184" spans="1:12" ht="14" x14ac:dyDescent="0.3">
      <c r="A184" s="593"/>
      <c r="B184" s="593"/>
      <c r="C184" s="647"/>
      <c r="D184" s="647"/>
      <c r="E184" s="647"/>
      <c r="F184" s="647"/>
      <c r="G184" s="647"/>
      <c r="H184" s="647"/>
      <c r="I184" s="647"/>
      <c r="J184" s="647"/>
      <c r="K184" s="647"/>
      <c r="L184" s="647"/>
    </row>
    <row r="185" spans="1:12" ht="14" x14ac:dyDescent="0.3">
      <c r="A185" s="593"/>
      <c r="B185" s="593"/>
      <c r="C185" s="647"/>
      <c r="D185" s="647"/>
      <c r="E185" s="647"/>
      <c r="F185" s="647"/>
      <c r="G185" s="647"/>
      <c r="H185" s="647"/>
      <c r="I185" s="647"/>
      <c r="J185" s="647"/>
      <c r="K185" s="647"/>
      <c r="L185" s="647"/>
    </row>
    <row r="186" spans="1:12" ht="14" x14ac:dyDescent="0.3">
      <c r="A186" s="593"/>
      <c r="B186" s="593"/>
      <c r="C186" s="647"/>
      <c r="D186" s="647"/>
      <c r="E186" s="647"/>
      <c r="F186" s="647"/>
      <c r="G186" s="647"/>
      <c r="H186" s="647"/>
      <c r="I186" s="647"/>
      <c r="J186" s="647"/>
      <c r="K186" s="647"/>
      <c r="L186" s="647"/>
    </row>
    <row r="187" spans="1:12" ht="14" x14ac:dyDescent="0.3">
      <c r="A187" s="593"/>
      <c r="B187" s="593"/>
      <c r="C187" s="647"/>
      <c r="D187" s="647"/>
      <c r="E187" s="647"/>
      <c r="F187" s="647"/>
      <c r="G187" s="647"/>
      <c r="H187" s="647"/>
      <c r="I187" s="647"/>
      <c r="J187" s="647"/>
      <c r="K187" s="647"/>
      <c r="L187" s="647"/>
    </row>
    <row r="188" spans="1:12" ht="14" x14ac:dyDescent="0.3">
      <c r="A188" s="593"/>
      <c r="B188" s="593"/>
      <c r="C188" s="647"/>
      <c r="D188" s="647"/>
      <c r="E188" s="647"/>
      <c r="F188" s="647"/>
      <c r="G188" s="647"/>
      <c r="H188" s="647"/>
      <c r="I188" s="647"/>
      <c r="J188" s="647"/>
      <c r="K188" s="647"/>
      <c r="L188" s="647"/>
    </row>
    <row r="189" spans="1:12" ht="14" x14ac:dyDescent="0.3">
      <c r="A189" s="593"/>
      <c r="B189" s="593"/>
      <c r="C189" s="647"/>
      <c r="D189" s="647"/>
      <c r="E189" s="647"/>
      <c r="F189" s="647"/>
      <c r="G189" s="647"/>
      <c r="H189" s="647"/>
      <c r="I189" s="647"/>
      <c r="J189" s="647"/>
      <c r="K189" s="647"/>
      <c r="L189" s="647"/>
    </row>
    <row r="190" spans="1:12" ht="14" x14ac:dyDescent="0.3">
      <c r="A190" s="593"/>
      <c r="B190" s="593"/>
      <c r="C190" s="647"/>
      <c r="D190" s="647"/>
      <c r="E190" s="647"/>
      <c r="F190" s="647"/>
      <c r="G190" s="647"/>
      <c r="H190" s="647"/>
      <c r="I190" s="647"/>
      <c r="J190" s="647"/>
      <c r="K190" s="647"/>
      <c r="L190" s="647"/>
    </row>
    <row r="191" spans="1:12" ht="14" x14ac:dyDescent="0.3">
      <c r="A191" s="593"/>
      <c r="B191" s="593"/>
      <c r="C191" s="647"/>
      <c r="D191" s="647"/>
      <c r="E191" s="647"/>
      <c r="F191" s="647"/>
      <c r="G191" s="647"/>
      <c r="H191" s="647"/>
      <c r="I191" s="647"/>
      <c r="J191" s="647"/>
      <c r="K191" s="647"/>
      <c r="L191" s="647"/>
    </row>
    <row r="192" spans="1:12" ht="14" x14ac:dyDescent="0.3">
      <c r="A192" s="593"/>
      <c r="B192" s="593"/>
      <c r="C192" s="647"/>
      <c r="D192" s="647"/>
      <c r="E192" s="647"/>
      <c r="F192" s="647"/>
      <c r="G192" s="647"/>
      <c r="H192" s="647"/>
      <c r="I192" s="647"/>
      <c r="J192" s="647"/>
      <c r="K192" s="647"/>
      <c r="L192" s="647"/>
    </row>
    <row r="193" spans="1:12" ht="14" x14ac:dyDescent="0.3">
      <c r="A193" s="593"/>
      <c r="B193" s="593"/>
      <c r="C193" s="647"/>
      <c r="D193" s="647"/>
      <c r="E193" s="647"/>
      <c r="F193" s="647"/>
      <c r="G193" s="647"/>
      <c r="H193" s="647"/>
      <c r="I193" s="647"/>
      <c r="J193" s="647"/>
      <c r="K193" s="647"/>
      <c r="L193" s="647"/>
    </row>
    <row r="194" spans="1:12" ht="14" x14ac:dyDescent="0.3">
      <c r="A194" s="593"/>
      <c r="B194" s="593"/>
      <c r="C194" s="647"/>
      <c r="D194" s="647"/>
      <c r="E194" s="647"/>
      <c r="F194" s="647"/>
      <c r="G194" s="647"/>
      <c r="H194" s="647"/>
      <c r="I194" s="647"/>
      <c r="J194" s="647"/>
      <c r="K194" s="647"/>
      <c r="L194" s="647"/>
    </row>
    <row r="195" spans="1:12" ht="14" x14ac:dyDescent="0.3">
      <c r="A195" s="593"/>
      <c r="B195" s="593"/>
      <c r="C195" s="647"/>
      <c r="D195" s="647"/>
      <c r="E195" s="647"/>
      <c r="F195" s="647"/>
      <c r="G195" s="647"/>
      <c r="H195" s="647"/>
      <c r="I195" s="647"/>
      <c r="J195" s="647"/>
      <c r="K195" s="647"/>
      <c r="L195" s="647"/>
    </row>
    <row r="196" spans="1:12" ht="14" x14ac:dyDescent="0.3">
      <c r="A196" s="593"/>
      <c r="B196" s="593"/>
      <c r="C196" s="647"/>
      <c r="D196" s="647"/>
      <c r="E196" s="647"/>
      <c r="F196" s="647"/>
      <c r="G196" s="647"/>
      <c r="H196" s="647"/>
      <c r="I196" s="647"/>
      <c r="J196" s="647"/>
      <c r="K196" s="647"/>
      <c r="L196" s="647"/>
    </row>
    <row r="197" spans="1:12" ht="14" x14ac:dyDescent="0.3">
      <c r="A197" s="593"/>
      <c r="B197" s="593"/>
      <c r="C197" s="647"/>
      <c r="D197" s="647"/>
      <c r="E197" s="647"/>
      <c r="F197" s="647"/>
      <c r="G197" s="647"/>
      <c r="H197" s="647"/>
      <c r="I197" s="647"/>
      <c r="J197" s="647"/>
      <c r="K197" s="647"/>
      <c r="L197" s="647"/>
    </row>
    <row r="198" spans="1:12" ht="14" x14ac:dyDescent="0.3">
      <c r="A198" s="593"/>
      <c r="B198" s="593"/>
      <c r="C198" s="647"/>
      <c r="D198" s="647"/>
      <c r="E198" s="647"/>
      <c r="F198" s="647"/>
      <c r="G198" s="647"/>
      <c r="H198" s="647"/>
      <c r="I198" s="647"/>
      <c r="J198" s="647"/>
      <c r="K198" s="647"/>
      <c r="L198" s="647"/>
    </row>
    <row r="199" spans="1:12" ht="14" x14ac:dyDescent="0.3">
      <c r="A199" s="593"/>
      <c r="B199" s="593"/>
      <c r="C199" s="647"/>
      <c r="D199" s="647"/>
      <c r="E199" s="647"/>
      <c r="F199" s="647"/>
      <c r="G199" s="647"/>
      <c r="H199" s="647"/>
      <c r="I199" s="647"/>
      <c r="J199" s="647"/>
      <c r="K199" s="647"/>
      <c r="L199" s="647"/>
    </row>
    <row r="200" spans="1:12" ht="14" x14ac:dyDescent="0.3">
      <c r="A200" s="593"/>
      <c r="B200" s="593"/>
      <c r="C200" s="647"/>
      <c r="D200" s="647"/>
      <c r="E200" s="647"/>
      <c r="F200" s="647"/>
      <c r="G200" s="647"/>
      <c r="H200" s="647"/>
      <c r="I200" s="647"/>
      <c r="J200" s="647"/>
      <c r="K200" s="647"/>
      <c r="L200" s="647"/>
    </row>
    <row r="201" spans="1:12" ht="14" x14ac:dyDescent="0.3">
      <c r="A201" s="593"/>
      <c r="B201" s="593"/>
      <c r="C201" s="647"/>
      <c r="D201" s="647"/>
      <c r="E201" s="647"/>
      <c r="F201" s="647"/>
      <c r="G201" s="647"/>
      <c r="H201" s="647"/>
      <c r="I201" s="647"/>
      <c r="J201" s="647"/>
      <c r="K201" s="647"/>
      <c r="L201" s="647"/>
    </row>
    <row r="202" spans="1:12" ht="14" x14ac:dyDescent="0.3">
      <c r="A202" s="593"/>
      <c r="B202" s="593"/>
      <c r="C202" s="647"/>
      <c r="D202" s="647"/>
      <c r="E202" s="647"/>
      <c r="F202" s="647"/>
      <c r="G202" s="647"/>
      <c r="H202" s="647"/>
      <c r="I202" s="647"/>
      <c r="J202" s="647"/>
      <c r="K202" s="647"/>
      <c r="L202" s="647"/>
    </row>
    <row r="203" spans="1:12" ht="14" x14ac:dyDescent="0.3">
      <c r="A203" s="593"/>
      <c r="B203" s="593"/>
      <c r="C203" s="647"/>
      <c r="D203" s="647"/>
      <c r="E203" s="647"/>
      <c r="F203" s="647"/>
      <c r="G203" s="647"/>
      <c r="H203" s="647"/>
      <c r="I203" s="647"/>
      <c r="J203" s="647"/>
      <c r="K203" s="647"/>
      <c r="L203" s="647"/>
    </row>
    <row r="204" spans="1:12" ht="14" x14ac:dyDescent="0.3">
      <c r="A204" s="593"/>
      <c r="B204" s="593"/>
      <c r="C204" s="647"/>
      <c r="D204" s="647"/>
      <c r="E204" s="647"/>
      <c r="F204" s="647"/>
      <c r="G204" s="647"/>
      <c r="H204" s="647"/>
      <c r="I204" s="647"/>
      <c r="J204" s="647"/>
      <c r="K204" s="647"/>
      <c r="L204" s="647"/>
    </row>
    <row r="205" spans="1:12" ht="14" x14ac:dyDescent="0.3">
      <c r="A205" s="593"/>
      <c r="B205" s="593"/>
      <c r="C205" s="647"/>
      <c r="D205" s="647"/>
      <c r="E205" s="647"/>
      <c r="F205" s="647"/>
      <c r="G205" s="647"/>
      <c r="H205" s="647"/>
      <c r="I205" s="647"/>
      <c r="J205" s="647"/>
      <c r="K205" s="647"/>
      <c r="L205" s="647"/>
    </row>
    <row r="206" spans="1:12" ht="14" x14ac:dyDescent="0.3">
      <c r="A206" s="593"/>
      <c r="B206" s="593"/>
      <c r="C206" s="647"/>
      <c r="D206" s="647"/>
      <c r="E206" s="647"/>
      <c r="F206" s="647"/>
      <c r="G206" s="647"/>
      <c r="H206" s="647"/>
      <c r="I206" s="647"/>
      <c r="J206" s="647"/>
      <c r="K206" s="647"/>
      <c r="L206" s="647"/>
    </row>
    <row r="207" spans="1:12" ht="14" x14ac:dyDescent="0.3">
      <c r="A207" s="593"/>
      <c r="B207" s="593"/>
      <c r="C207" s="647"/>
      <c r="D207" s="647"/>
      <c r="E207" s="647"/>
      <c r="F207" s="647"/>
      <c r="G207" s="647"/>
      <c r="H207" s="647"/>
      <c r="I207" s="647"/>
      <c r="J207" s="647"/>
      <c r="K207" s="647"/>
      <c r="L207" s="647"/>
    </row>
    <row r="208" spans="1:12" ht="14" x14ac:dyDescent="0.3">
      <c r="A208" s="593"/>
      <c r="B208" s="593"/>
      <c r="C208" s="647"/>
      <c r="D208" s="647"/>
      <c r="E208" s="647"/>
      <c r="F208" s="647"/>
      <c r="G208" s="647"/>
      <c r="H208" s="647"/>
      <c r="I208" s="647"/>
      <c r="J208" s="647"/>
      <c r="K208" s="647"/>
      <c r="L208" s="647"/>
    </row>
    <row r="209" spans="1:12" ht="14" x14ac:dyDescent="0.3">
      <c r="A209" s="593"/>
      <c r="B209" s="593"/>
      <c r="C209" s="647"/>
      <c r="D209" s="647"/>
      <c r="E209" s="647"/>
      <c r="F209" s="647"/>
      <c r="G209" s="647"/>
      <c r="H209" s="647"/>
      <c r="I209" s="647"/>
      <c r="J209" s="647"/>
      <c r="K209" s="647"/>
      <c r="L209" s="647"/>
    </row>
    <row r="210" spans="1:12" ht="14" x14ac:dyDescent="0.3">
      <c r="A210" s="593"/>
      <c r="B210" s="593"/>
      <c r="C210" s="647"/>
      <c r="D210" s="647"/>
      <c r="E210" s="647"/>
      <c r="F210" s="647"/>
      <c r="G210" s="647"/>
      <c r="H210" s="647"/>
      <c r="I210" s="647"/>
      <c r="J210" s="647"/>
      <c r="K210" s="647"/>
      <c r="L210" s="647"/>
    </row>
    <row r="211" spans="1:12" ht="14" x14ac:dyDescent="0.3">
      <c r="A211" s="593"/>
      <c r="B211" s="593"/>
      <c r="C211" s="647"/>
      <c r="D211" s="647"/>
      <c r="E211" s="647"/>
      <c r="F211" s="647"/>
      <c r="G211" s="647"/>
      <c r="H211" s="647"/>
      <c r="I211" s="647"/>
      <c r="J211" s="647"/>
      <c r="K211" s="647"/>
      <c r="L211" s="647"/>
    </row>
    <row r="212" spans="1:12" ht="14" x14ac:dyDescent="0.3">
      <c r="A212" s="593"/>
      <c r="B212" s="593"/>
      <c r="C212" s="647"/>
      <c r="D212" s="647"/>
      <c r="E212" s="647"/>
      <c r="F212" s="647"/>
      <c r="G212" s="647"/>
      <c r="H212" s="647"/>
      <c r="I212" s="647"/>
      <c r="J212" s="647"/>
      <c r="K212" s="647"/>
      <c r="L212" s="647"/>
    </row>
    <row r="213" spans="1:12" ht="14" x14ac:dyDescent="0.3">
      <c r="A213" s="593"/>
      <c r="B213" s="593"/>
      <c r="C213" s="647"/>
      <c r="D213" s="647"/>
      <c r="E213" s="647"/>
      <c r="F213" s="647"/>
      <c r="G213" s="647"/>
      <c r="H213" s="647"/>
      <c r="I213" s="647"/>
      <c r="J213" s="647"/>
      <c r="K213" s="647"/>
      <c r="L213" s="647"/>
    </row>
    <row r="214" spans="1:12" ht="14" x14ac:dyDescent="0.3">
      <c r="A214" s="593"/>
      <c r="B214" s="593"/>
      <c r="C214" s="647"/>
      <c r="D214" s="647"/>
      <c r="E214" s="647"/>
      <c r="F214" s="647"/>
      <c r="G214" s="647"/>
      <c r="H214" s="647"/>
      <c r="I214" s="647"/>
      <c r="J214" s="647"/>
      <c r="K214" s="647"/>
      <c r="L214" s="647"/>
    </row>
    <row r="215" spans="1:12" ht="14" x14ac:dyDescent="0.3">
      <c r="A215" s="593"/>
      <c r="B215" s="593"/>
      <c r="C215" s="647"/>
      <c r="D215" s="647"/>
      <c r="E215" s="647"/>
      <c r="F215" s="647"/>
      <c r="G215" s="647"/>
      <c r="H215" s="647"/>
      <c r="I215" s="647"/>
      <c r="J215" s="647"/>
      <c r="K215" s="647"/>
      <c r="L215" s="647"/>
    </row>
    <row r="216" spans="1:12" ht="14" x14ac:dyDescent="0.3">
      <c r="A216" s="593"/>
      <c r="B216" s="593"/>
      <c r="C216" s="647"/>
      <c r="D216" s="647"/>
      <c r="E216" s="647"/>
      <c r="F216" s="647"/>
      <c r="G216" s="647"/>
      <c r="H216" s="647"/>
      <c r="I216" s="647"/>
      <c r="J216" s="647"/>
      <c r="K216" s="647"/>
      <c r="L216" s="647"/>
    </row>
    <row r="217" spans="1:12" ht="14" x14ac:dyDescent="0.3">
      <c r="A217" s="593"/>
      <c r="B217" s="593"/>
      <c r="C217" s="647"/>
      <c r="D217" s="647"/>
      <c r="E217" s="647"/>
      <c r="F217" s="647"/>
      <c r="G217" s="647"/>
      <c r="H217" s="647"/>
      <c r="I217" s="647"/>
      <c r="J217" s="647"/>
      <c r="K217" s="647"/>
      <c r="L217" s="647"/>
    </row>
    <row r="218" spans="1:12" ht="14" x14ac:dyDescent="0.3">
      <c r="A218" s="593"/>
      <c r="B218" s="593"/>
      <c r="C218" s="647"/>
      <c r="D218" s="647"/>
      <c r="E218" s="647"/>
      <c r="F218" s="647"/>
      <c r="G218" s="647"/>
      <c r="H218" s="647"/>
      <c r="I218" s="647"/>
      <c r="J218" s="647"/>
      <c r="K218" s="647"/>
      <c r="L218" s="647"/>
    </row>
    <row r="219" spans="1:12" ht="14" x14ac:dyDescent="0.3">
      <c r="A219" s="593"/>
      <c r="B219" s="593"/>
      <c r="C219" s="647"/>
      <c r="D219" s="647"/>
      <c r="E219" s="647"/>
      <c r="F219" s="647"/>
      <c r="G219" s="647"/>
      <c r="H219" s="647"/>
      <c r="I219" s="647"/>
      <c r="J219" s="647"/>
      <c r="K219" s="647"/>
      <c r="L219" s="647"/>
    </row>
    <row r="220" spans="1:12" ht="14" x14ac:dyDescent="0.3">
      <c r="A220" s="593"/>
      <c r="B220" s="593"/>
      <c r="C220" s="647"/>
      <c r="D220" s="647"/>
      <c r="E220" s="647"/>
      <c r="F220" s="647"/>
      <c r="G220" s="647"/>
      <c r="H220" s="647"/>
      <c r="I220" s="647"/>
      <c r="J220" s="647"/>
      <c r="K220" s="647"/>
      <c r="L220" s="647"/>
    </row>
    <row r="221" spans="1:12" ht="14" x14ac:dyDescent="0.3">
      <c r="A221" s="593"/>
      <c r="B221" s="593"/>
      <c r="C221" s="647"/>
      <c r="D221" s="647"/>
      <c r="E221" s="647"/>
      <c r="F221" s="647"/>
      <c r="G221" s="647"/>
      <c r="H221" s="647"/>
      <c r="I221" s="647"/>
      <c r="J221" s="647"/>
      <c r="K221" s="647"/>
      <c r="L221" s="647"/>
    </row>
    <row r="222" spans="1:12" ht="14" x14ac:dyDescent="0.3">
      <c r="A222" s="593"/>
      <c r="B222" s="593"/>
      <c r="C222" s="647"/>
      <c r="D222" s="647"/>
      <c r="E222" s="647"/>
      <c r="F222" s="647"/>
      <c r="G222" s="647"/>
      <c r="H222" s="647"/>
      <c r="I222" s="647"/>
      <c r="J222" s="647"/>
      <c r="K222" s="647"/>
      <c r="L222" s="647"/>
    </row>
    <row r="223" spans="1:12" ht="14" x14ac:dyDescent="0.3">
      <c r="A223" s="593"/>
      <c r="B223" s="593"/>
      <c r="C223" s="647"/>
      <c r="D223" s="647"/>
      <c r="E223" s="647"/>
      <c r="F223" s="647"/>
      <c r="G223" s="647"/>
      <c r="H223" s="647"/>
      <c r="I223" s="647"/>
      <c r="J223" s="647"/>
      <c r="K223" s="647"/>
      <c r="L223" s="647"/>
    </row>
    <row r="224" spans="1:12" ht="14" x14ac:dyDescent="0.3">
      <c r="A224" s="593"/>
      <c r="B224" s="593"/>
      <c r="C224" s="647"/>
      <c r="D224" s="647"/>
      <c r="E224" s="647"/>
      <c r="F224" s="647"/>
      <c r="G224" s="647"/>
      <c r="H224" s="647"/>
      <c r="I224" s="647"/>
      <c r="J224" s="647"/>
      <c r="K224" s="647"/>
      <c r="L224" s="647"/>
    </row>
    <row r="225" spans="1:12" ht="14" x14ac:dyDescent="0.3">
      <c r="A225" s="593"/>
      <c r="B225" s="593"/>
      <c r="C225" s="647"/>
      <c r="D225" s="647"/>
      <c r="E225" s="647"/>
      <c r="F225" s="647"/>
      <c r="G225" s="647"/>
      <c r="H225" s="647"/>
      <c r="I225" s="647"/>
      <c r="J225" s="647"/>
      <c r="K225" s="647"/>
      <c r="L225" s="647"/>
    </row>
    <row r="226" spans="1:12" ht="14" x14ac:dyDescent="0.3">
      <c r="A226" s="593"/>
      <c r="B226" s="593"/>
    </row>
    <row r="227" spans="1:12" ht="14" x14ac:dyDescent="0.3">
      <c r="A227" s="593"/>
      <c r="B227" s="593"/>
    </row>
    <row r="228" spans="1:12" ht="14" x14ac:dyDescent="0.3">
      <c r="A228" s="593"/>
      <c r="B228" s="593"/>
    </row>
    <row r="229" spans="1:12" ht="14" x14ac:dyDescent="0.3">
      <c r="A229" s="593"/>
      <c r="B229" s="593"/>
    </row>
  </sheetData>
  <mergeCells count="7">
    <mergeCell ref="A4:N4"/>
    <mergeCell ref="A5:N5"/>
    <mergeCell ref="A6:N6"/>
    <mergeCell ref="A8:N8"/>
    <mergeCell ref="E11:G11"/>
    <mergeCell ref="I11:K11"/>
    <mergeCell ref="M11:N11"/>
  </mergeCells>
  <pageMargins left="0.7" right="0.7" top="0.75" bottom="0.75" header="0.3" footer="0.3"/>
  <pageSetup scale="64" orientation="portrait" r:id="rId1"/>
  <headerFooter>
    <oddHeader>&amp;RNSTAR Electric Company
d/b/a Eversource Energy
D.P.U. 18-120 (Dec. 26, 2018)
Exhibit ES-MQ-10 (Revised)
Page &amp;P of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102</vt:i4>
      </vt:variant>
      <vt:variant>
        <vt:lpstr>Named Ranges</vt:lpstr>
      </vt:variant>
      <vt:variant>
        <vt:i4>61</vt:i4>
      </vt:variant>
    </vt:vector>
  </HeadingPairs>
  <TitlesOfParts>
    <vt:vector size="163" baseType="lpstr">
      <vt:lpstr>Exh 7_Recon Rates p1-2</vt:lpstr>
      <vt:lpstr>Exh 7_ Recon Rates_Alloc p3-4</vt:lpstr>
      <vt:lpstr>Exh 7_ Recon Rates_Alloc p5</vt:lpstr>
      <vt:lpstr>Exh 9_Proposed Rev p1</vt:lpstr>
      <vt:lpstr>Exh 9_Proposed Track p2</vt:lpstr>
      <vt:lpstr>R1 EMA</vt:lpstr>
      <vt:lpstr>R2 EMA</vt:lpstr>
      <vt:lpstr>R3 EMA</vt:lpstr>
      <vt:lpstr>R4 EMA</vt:lpstr>
      <vt:lpstr>R1 WMA</vt:lpstr>
      <vt:lpstr>R2 WMA</vt:lpstr>
      <vt:lpstr>R3 WMA</vt:lpstr>
      <vt:lpstr>R4 WMA</vt:lpstr>
      <vt:lpstr>G1NDMD BOST</vt:lpstr>
      <vt:lpstr>G1DMD BOST</vt:lpstr>
      <vt:lpstr>T1 BOST</vt:lpstr>
      <vt:lpstr>G2 BOST</vt:lpstr>
      <vt:lpstr>G3 BOST</vt:lpstr>
      <vt:lpstr>T2 BOST</vt:lpstr>
      <vt:lpstr>WR BOST</vt:lpstr>
      <vt:lpstr>G0 CAMB</vt:lpstr>
      <vt:lpstr>G1 CAMB</vt:lpstr>
      <vt:lpstr>G2 CAMB</vt:lpstr>
      <vt:lpstr>G3 CAMB</vt:lpstr>
      <vt:lpstr>G4 CAMB</vt:lpstr>
      <vt:lpstr>G5 CAMB</vt:lpstr>
      <vt:lpstr>G6 CAMB</vt:lpstr>
      <vt:lpstr>SB1 CAMB</vt:lpstr>
      <vt:lpstr>CON CAMB</vt:lpstr>
      <vt:lpstr>G1 SOUTH</vt:lpstr>
      <vt:lpstr>G1S SOUTH</vt:lpstr>
      <vt:lpstr>G2 SOUTH</vt:lpstr>
      <vt:lpstr>G3 SOUTH</vt:lpstr>
      <vt:lpstr>G4 SOUTH</vt:lpstr>
      <vt:lpstr>G5 SOUTH</vt:lpstr>
      <vt:lpstr>G6 SOUTH</vt:lpstr>
      <vt:lpstr>G7 SOUTH</vt:lpstr>
      <vt:lpstr>G7S SOUTH</vt:lpstr>
      <vt:lpstr>23 WMA</vt:lpstr>
      <vt:lpstr>24 WMA</vt:lpstr>
      <vt:lpstr>G0 WMA</vt:lpstr>
      <vt:lpstr>T0 WMA</vt:lpstr>
      <vt:lpstr>G2 WMA</vt:lpstr>
      <vt:lpstr>T4 WMA</vt:lpstr>
      <vt:lpstr>T2 WMA</vt:lpstr>
      <vt:lpstr>T5 WMA</vt:lpstr>
      <vt:lpstr>S1_S2 EMA</vt:lpstr>
      <vt:lpstr>S1_S2 WMA</vt:lpstr>
      <vt:lpstr>Exh 10_Bill_summary EMA</vt:lpstr>
      <vt:lpstr>Exh 10_Bill_summary WMA</vt:lpstr>
      <vt:lpstr>Bill_EMA R1</vt:lpstr>
      <vt:lpstr>Bill_EMA R2</vt:lpstr>
      <vt:lpstr>Bill_EMA R3</vt:lpstr>
      <vt:lpstr>Bill_EMA R4</vt:lpstr>
      <vt:lpstr>Bill_WMA R1</vt:lpstr>
      <vt:lpstr>Bill_WMA R2</vt:lpstr>
      <vt:lpstr>Bill_WMA R3</vt:lpstr>
      <vt:lpstr>Bill_WMA R4</vt:lpstr>
      <vt:lpstr>Bill_Bos G1 nonDem</vt:lpstr>
      <vt:lpstr>Bill_Bos G1 Dmd p1</vt:lpstr>
      <vt:lpstr>Bill_Bos G1 Dmd p2</vt:lpstr>
      <vt:lpstr>Bill_Bos G1 Dmd p3</vt:lpstr>
      <vt:lpstr>Bill_Bos G2 p1</vt:lpstr>
      <vt:lpstr>Bill_Bos G2 p2</vt:lpstr>
      <vt:lpstr>Bill_Bos G2 p3</vt:lpstr>
      <vt:lpstr>Bill_Bos G3 p1</vt:lpstr>
      <vt:lpstr>Bill_Bos G3 p2</vt:lpstr>
      <vt:lpstr>Bill_Bos G3 p3</vt:lpstr>
      <vt:lpstr>Bill_Bos G3 p4</vt:lpstr>
      <vt:lpstr>Bill_Bos G3 p5</vt:lpstr>
      <vt:lpstr>Bill_Bos G3 p6</vt:lpstr>
      <vt:lpstr>Bill_Bos T1</vt:lpstr>
      <vt:lpstr>Bill_Bos T2 p1</vt:lpstr>
      <vt:lpstr>Bill_Bos T2 p2</vt:lpstr>
      <vt:lpstr>Bill_Bos T2 p3</vt:lpstr>
      <vt:lpstr>Bill_Bos T2 p4</vt:lpstr>
      <vt:lpstr>Bill_Bos T2 p5</vt:lpstr>
      <vt:lpstr>Bill_Bos T2 p6</vt:lpstr>
      <vt:lpstr>Bill_Cam G0</vt:lpstr>
      <vt:lpstr>Bill_Cam G1</vt:lpstr>
      <vt:lpstr>Bill_Cam G2</vt:lpstr>
      <vt:lpstr>Bill_Cam G3</vt:lpstr>
      <vt:lpstr>Bill_Cam G4</vt:lpstr>
      <vt:lpstr>Bill_Cam G5</vt:lpstr>
      <vt:lpstr>Bill_Cam G6</vt:lpstr>
      <vt:lpstr>Bill_South G1</vt:lpstr>
      <vt:lpstr>Bill_South G1S</vt:lpstr>
      <vt:lpstr>Bill_South G2</vt:lpstr>
      <vt:lpstr>Bill_South G3</vt:lpstr>
      <vt:lpstr>Bill_South G4</vt:lpstr>
      <vt:lpstr>Bill_South G5</vt:lpstr>
      <vt:lpstr>Bill_South G6</vt:lpstr>
      <vt:lpstr>Bill_South G7</vt:lpstr>
      <vt:lpstr>Bill_South G7S</vt:lpstr>
      <vt:lpstr>Bill_WMA 23</vt:lpstr>
      <vt:lpstr>Bill_WMA 24</vt:lpstr>
      <vt:lpstr>Bill_WMA G0</vt:lpstr>
      <vt:lpstr>Bill_WMA T0</vt:lpstr>
      <vt:lpstr>Bill_WMA G2</vt:lpstr>
      <vt:lpstr>Bill_WMA T4</vt:lpstr>
      <vt:lpstr>Bill_WMA T2</vt:lpstr>
      <vt:lpstr>Bill_WMA T5</vt:lpstr>
      <vt:lpstr>'Bill_Bos G1 Dmd p1'!Print_Area</vt:lpstr>
      <vt:lpstr>'Bill_Bos G1 Dmd p2'!Print_Area</vt:lpstr>
      <vt:lpstr>'Bill_Bos G1 Dmd p3'!Print_Area</vt:lpstr>
      <vt:lpstr>'Bill_Bos G1 nonDem'!Print_Area</vt:lpstr>
      <vt:lpstr>'Bill_Bos G2 p1'!Print_Area</vt:lpstr>
      <vt:lpstr>'Bill_Bos G2 p2'!Print_Area</vt:lpstr>
      <vt:lpstr>'Bill_Bos G2 p3'!Print_Area</vt:lpstr>
      <vt:lpstr>'Bill_Bos G3 p1'!Print_Area</vt:lpstr>
      <vt:lpstr>'Bill_Bos G3 p2'!Print_Area</vt:lpstr>
      <vt:lpstr>'Bill_Bos G3 p3'!Print_Area</vt:lpstr>
      <vt:lpstr>'Bill_Bos G3 p4'!Print_Area</vt:lpstr>
      <vt:lpstr>'Bill_Bos G3 p5'!Print_Area</vt:lpstr>
      <vt:lpstr>'Bill_Bos G3 p6'!Print_Area</vt:lpstr>
      <vt:lpstr>'Bill_Bos T1'!Print_Area</vt:lpstr>
      <vt:lpstr>'Bill_Bos T2 p1'!Print_Area</vt:lpstr>
      <vt:lpstr>'Bill_Bos T2 p2'!Print_Area</vt:lpstr>
      <vt:lpstr>'Bill_Bos T2 p3'!Print_Area</vt:lpstr>
      <vt:lpstr>'Bill_Bos T2 p4'!Print_Area</vt:lpstr>
      <vt:lpstr>'Bill_Bos T2 p5'!Print_Area</vt:lpstr>
      <vt:lpstr>'Bill_Bos T2 p6'!Print_Area</vt:lpstr>
      <vt:lpstr>'Bill_Cam G0'!Print_Area</vt:lpstr>
      <vt:lpstr>'Bill_Cam G1'!Print_Area</vt:lpstr>
      <vt:lpstr>'Bill_Cam G2'!Print_Area</vt:lpstr>
      <vt:lpstr>'Bill_Cam G3'!Print_Area</vt:lpstr>
      <vt:lpstr>'Bill_Cam G4'!Print_Area</vt:lpstr>
      <vt:lpstr>'Bill_Cam G5'!Print_Area</vt:lpstr>
      <vt:lpstr>'Bill_Cam G6'!Print_Area</vt:lpstr>
      <vt:lpstr>'Bill_EMA R1'!Print_Area</vt:lpstr>
      <vt:lpstr>'Bill_EMA R2'!Print_Area</vt:lpstr>
      <vt:lpstr>'Bill_EMA R3'!Print_Area</vt:lpstr>
      <vt:lpstr>'Bill_EMA R4'!Print_Area</vt:lpstr>
      <vt:lpstr>'Bill_South G1'!Print_Area</vt:lpstr>
      <vt:lpstr>'Bill_South G1S'!Print_Area</vt:lpstr>
      <vt:lpstr>'Bill_South G2'!Print_Area</vt:lpstr>
      <vt:lpstr>'Bill_South G3'!Print_Area</vt:lpstr>
      <vt:lpstr>'Bill_South G4'!Print_Area</vt:lpstr>
      <vt:lpstr>'Bill_South G5'!Print_Area</vt:lpstr>
      <vt:lpstr>'Bill_South G6'!Print_Area</vt:lpstr>
      <vt:lpstr>'Bill_South G7'!Print_Area</vt:lpstr>
      <vt:lpstr>'Bill_South G7S'!Print_Area</vt:lpstr>
      <vt:lpstr>'Bill_WMA 23'!Print_Area</vt:lpstr>
      <vt:lpstr>'Bill_WMA 24'!Print_Area</vt:lpstr>
      <vt:lpstr>'Bill_WMA G0'!Print_Area</vt:lpstr>
      <vt:lpstr>'Bill_WMA G2'!Print_Area</vt:lpstr>
      <vt:lpstr>'Bill_WMA R1'!Print_Area</vt:lpstr>
      <vt:lpstr>'Bill_WMA R2'!Print_Area</vt:lpstr>
      <vt:lpstr>'Bill_WMA R3'!Print_Area</vt:lpstr>
      <vt:lpstr>'Bill_WMA R4'!Print_Area</vt:lpstr>
      <vt:lpstr>'Bill_WMA T0'!Print_Area</vt:lpstr>
      <vt:lpstr>'Bill_WMA T2'!Print_Area</vt:lpstr>
      <vt:lpstr>'Bill_WMA T4'!Print_Area</vt:lpstr>
      <vt:lpstr>'Bill_WMA T5'!Print_Area</vt:lpstr>
      <vt:lpstr>'Exh 7_ Recon Rates_Alloc p3-4'!Print_Area</vt:lpstr>
      <vt:lpstr>'Exh 7_ Recon Rates_Alloc p5'!Print_Area</vt:lpstr>
      <vt:lpstr>'Exh 7_Recon Rates p1-2'!Print_Area</vt:lpstr>
      <vt:lpstr>'Exh 9_Proposed Rev p1'!Print_Area</vt:lpstr>
      <vt:lpstr>'Exh 9_Proposed Track p2'!Print_Area</vt:lpstr>
      <vt:lpstr>'G2 BOST'!Print_Area</vt:lpstr>
      <vt:lpstr>'Exh 10_Bill_summary EMA'!Print_Titles</vt:lpstr>
      <vt:lpstr>'Exh 7_ Recon Rates_Alloc p3-4'!Print_Titles</vt:lpstr>
      <vt:lpstr>'Exh 7_Recon Rates p1-2'!Print_Titles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Quan, Mary</dc:creator>
  <cp:lastModifiedBy>Quan, Mary</cp:lastModifiedBy>
  <dcterms:created xsi:type="dcterms:W3CDTF">2018-12-26T17:22:20Z</dcterms:created>
  <dcterms:modified xsi:type="dcterms:W3CDTF">2018-12-26T17:59:30Z</dcterms:modified>
</cp:coreProperties>
</file>