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BAY STATE\2019\DPU 19-07 - Competitive Suppliers in Electric\"/>
    </mc:Choice>
  </mc:AlternateContent>
  <bookViews>
    <workbookView xWindow="0" yWindow="0" windowWidth="23040" windowHeight="8808"/>
  </bookViews>
  <sheets>
    <sheet name="2019 Rate Allocation" sheetId="1" r:id="rId1"/>
    <sheet name="2018 Rate Allocation" sheetId="2" r:id="rId2"/>
  </sheets>
  <definedNames>
    <definedName name="_xlnm.Print_Area" localSheetId="1">'2018 Rate Allocation'!$A$1:$M$35</definedName>
    <definedName name="_xlnm.Print_Area" localSheetId="0">'2019 Rate Allocation'!$A$1:$M$35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0" i="1"/>
  <c r="A10" i="2" l="1"/>
  <c r="B11" i="1" l="1"/>
  <c r="B11" i="2"/>
  <c r="B9" i="2"/>
  <c r="B9" i="1"/>
  <c r="A29" i="2" l="1"/>
  <c r="H28" i="2"/>
  <c r="G28" i="2"/>
  <c r="F28" i="2"/>
  <c r="E28" i="2"/>
  <c r="D28" i="2"/>
  <c r="A28" i="2"/>
  <c r="F27" i="2"/>
  <c r="F29" i="2" s="1"/>
  <c r="A27" i="2"/>
  <c r="F21" i="2"/>
  <c r="H20" i="2"/>
  <c r="H21" i="2" s="1"/>
  <c r="G20" i="2"/>
  <c r="G21" i="2" s="1"/>
  <c r="F20" i="2"/>
  <c r="E20" i="2"/>
  <c r="E21" i="2" s="1"/>
  <c r="D20" i="2"/>
  <c r="D21" i="2" s="1"/>
  <c r="B20" i="2"/>
  <c r="K15" i="2"/>
  <c r="J15" i="2"/>
  <c r="G15" i="2"/>
  <c r="F15" i="2"/>
  <c r="E15" i="2"/>
  <c r="M13" i="2"/>
  <c r="M15" i="2" s="1"/>
  <c r="L13" i="2"/>
  <c r="L15" i="2" s="1"/>
  <c r="K13" i="2"/>
  <c r="J13" i="2"/>
  <c r="I13" i="2"/>
  <c r="I15" i="2" s="1"/>
  <c r="H13" i="2"/>
  <c r="H15" i="2" s="1"/>
  <c r="G13" i="2"/>
  <c r="F13" i="2"/>
  <c r="E27" i="2" s="1"/>
  <c r="E29" i="2" s="1"/>
  <c r="D13" i="2"/>
  <c r="D27" i="2" s="1"/>
  <c r="D29" i="2" s="1"/>
  <c r="M7" i="2"/>
  <c r="L7" i="2"/>
  <c r="K7" i="2"/>
  <c r="J7" i="2"/>
  <c r="I7" i="2"/>
  <c r="H7" i="2"/>
  <c r="G7" i="2"/>
  <c r="F7" i="2"/>
  <c r="E7" i="2"/>
  <c r="D7" i="2"/>
  <c r="B7" i="2" s="1"/>
  <c r="G27" i="2" l="1"/>
  <c r="G29" i="2" s="1"/>
  <c r="B29" i="2" s="1"/>
  <c r="D15" i="2"/>
  <c r="H27" i="2"/>
  <c r="H29" i="2" s="1"/>
  <c r="A29" i="1" l="1"/>
  <c r="H28" i="1"/>
  <c r="G28" i="1"/>
  <c r="F28" i="1"/>
  <c r="E28" i="1"/>
  <c r="D28" i="1"/>
  <c r="A28" i="1"/>
  <c r="F27" i="1"/>
  <c r="F29" i="1" s="1"/>
  <c r="A27" i="1"/>
  <c r="F21" i="1"/>
  <c r="H20" i="1"/>
  <c r="H21" i="1" s="1"/>
  <c r="G20" i="1"/>
  <c r="G21" i="1" s="1"/>
  <c r="F20" i="1"/>
  <c r="E20" i="1"/>
  <c r="E21" i="1" s="1"/>
  <c r="D20" i="1"/>
  <c r="D21" i="1" s="1"/>
  <c r="B20" i="1"/>
  <c r="K15" i="1"/>
  <c r="J15" i="1"/>
  <c r="G15" i="1"/>
  <c r="F15" i="1"/>
  <c r="E15" i="1"/>
  <c r="M13" i="1"/>
  <c r="M15" i="1" s="1"/>
  <c r="L13" i="1"/>
  <c r="L15" i="1" s="1"/>
  <c r="K13" i="1"/>
  <c r="J13" i="1"/>
  <c r="I13" i="1"/>
  <c r="I15" i="1" s="1"/>
  <c r="H13" i="1"/>
  <c r="H15" i="1" s="1"/>
  <c r="G13" i="1"/>
  <c r="F13" i="1"/>
  <c r="E27" i="1" s="1"/>
  <c r="E29" i="1" s="1"/>
  <c r="D13" i="1"/>
  <c r="D27" i="1" s="1"/>
  <c r="D29" i="1" s="1"/>
  <c r="M7" i="1"/>
  <c r="L7" i="1"/>
  <c r="K7" i="1"/>
  <c r="J7" i="1"/>
  <c r="I7" i="1"/>
  <c r="H7" i="1"/>
  <c r="G7" i="1"/>
  <c r="F7" i="1"/>
  <c r="E7" i="1"/>
  <c r="D7" i="1"/>
  <c r="B7" i="1" s="1"/>
  <c r="G27" i="1" l="1"/>
  <c r="G29" i="1" s="1"/>
  <c r="B29" i="1" s="1"/>
  <c r="D15" i="1"/>
  <c r="H27" i="1"/>
  <c r="H29" i="1" s="1"/>
  <c r="M11" i="1" l="1"/>
  <c r="J11" i="1"/>
  <c r="L11" i="1"/>
  <c r="I11" i="1"/>
  <c r="K11" i="1"/>
  <c r="G11" i="1"/>
  <c r="E11" i="1"/>
  <c r="D11" i="1"/>
  <c r="H11" i="1"/>
  <c r="F11" i="1"/>
  <c r="F25" i="1"/>
  <c r="F31" i="1"/>
  <c r="F32" i="1" s="1"/>
  <c r="E25" i="1"/>
  <c r="E31" i="1" s="1"/>
  <c r="E32" i="1" s="1"/>
  <c r="G25" i="1"/>
  <c r="G31" i="1" s="1"/>
  <c r="G32" i="1" s="1"/>
  <c r="D25" i="1"/>
  <c r="D31" i="1" s="1"/>
  <c r="D32" i="1" s="1"/>
  <c r="H25" i="1"/>
  <c r="H31" i="1" s="1"/>
  <c r="H32" i="1" s="1"/>
  <c r="B25" i="1" l="1"/>
  <c r="B31" i="1" s="1"/>
  <c r="B32" i="1" s="1"/>
  <c r="L11" i="2"/>
  <c r="H11" i="2"/>
  <c r="E11" i="2"/>
  <c r="M11" i="2"/>
  <c r="G11" i="2"/>
  <c r="K11" i="2"/>
  <c r="I11" i="2"/>
  <c r="J11" i="2"/>
  <c r="D11" i="2"/>
  <c r="F11" i="2"/>
  <c r="H25" i="2"/>
  <c r="H31" i="2" s="1"/>
  <c r="H32" i="2" s="1"/>
  <c r="G25" i="2"/>
  <c r="G31" i="2"/>
  <c r="G32" i="2" s="1"/>
  <c r="E25" i="2"/>
  <c r="E31" i="2"/>
  <c r="E32" i="2" s="1"/>
  <c r="D25" i="2"/>
  <c r="D31" i="2" s="1"/>
  <c r="D32" i="2" s="1"/>
  <c r="F25" i="2"/>
  <c r="F31" i="2"/>
  <c r="F32" i="2" s="1"/>
  <c r="B25" i="2" l="1"/>
  <c r="B31" i="2" s="1"/>
  <c r="B32" i="2" s="1"/>
</calcChain>
</file>

<file path=xl/sharedStrings.xml><?xml version="1.0" encoding="utf-8"?>
<sst xmlns="http://schemas.openxmlformats.org/spreadsheetml/2006/main" count="73" uniqueCount="41">
  <si>
    <t>RAAF Rate Calculation</t>
  </si>
  <si>
    <t>Based on Distribution Revenues</t>
  </si>
  <si>
    <t>TOTAL</t>
  </si>
  <si>
    <t>R-1/R-2</t>
  </si>
  <si>
    <t>R-3/R4</t>
  </si>
  <si>
    <t>G-40</t>
  </si>
  <si>
    <t>G-41</t>
  </si>
  <si>
    <t>G-42</t>
  </si>
  <si>
    <t>G-43</t>
  </si>
  <si>
    <t>G-50</t>
  </si>
  <si>
    <t>G-51</t>
  </si>
  <si>
    <t>G-52</t>
  </si>
  <si>
    <t>G-53</t>
  </si>
  <si>
    <t>Final Distribution Target Revenue *</t>
  </si>
  <si>
    <t>Allocation</t>
  </si>
  <si>
    <t>Schedule 3 Sales Volumes--November 2019-October 2020</t>
  </si>
  <si>
    <t>Schedule 3 Transportation Volumes--November 2019-October 2020</t>
  </si>
  <si>
    <t>Schedule 3 Total Volumes--November 2019-October 2020</t>
  </si>
  <si>
    <t>RATE SECTOR RATE CALCULATION</t>
  </si>
  <si>
    <t>Residential</t>
  </si>
  <si>
    <t>Sector</t>
  </si>
  <si>
    <t>G-40 &amp; G-50</t>
  </si>
  <si>
    <t>G-41 &amp; G-51</t>
  </si>
  <si>
    <t>G-42 &amp; G-52</t>
  </si>
  <si>
    <t>G-43 &amp; G-53</t>
  </si>
  <si>
    <t>Final Distribution Target Revenue</t>
  </si>
  <si>
    <t>Allocation**</t>
  </si>
  <si>
    <t>Residential Assistance Adjustment Factor - RAAF Recovery Allocation</t>
  </si>
  <si>
    <t xml:space="preserve">  (MMBtu)</t>
  </si>
  <si>
    <t>Billing Rate per Dth</t>
  </si>
  <si>
    <t>Billing Rate per Therm</t>
  </si>
  <si>
    <t xml:space="preserve"> * Schedule 11 Compliance Filing</t>
  </si>
  <si>
    <t>** M.D.P.U. No. 323, 2.03</t>
  </si>
  <si>
    <t>Schedule 3 Sales Volumes--November 2018-October 2019</t>
  </si>
  <si>
    <t>Schedule 3 Transportation Volumes--November 2018-October 2019</t>
  </si>
  <si>
    <t>Schedule 3 Total Volumes--November 2018-October 2019</t>
  </si>
  <si>
    <t>** M.D.P.U. No. 252, 2.03</t>
  </si>
  <si>
    <t>Residential Assistance Adjustment Factor - RAAF Recovery Amount Allocation, plus incremental costs</t>
  </si>
  <si>
    <t>Residential Assistance Adjustment Factor - RAAF Recovery Amount Allocation</t>
  </si>
  <si>
    <t xml:space="preserve">Incremental Costs (D.P.U. 19-04, DPU 1-5, Columns K &amp; O) </t>
  </si>
  <si>
    <t>Docket DPU 15-50 Step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</si>
</sst>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  <numFmt numFmtId="166" formatCode="&quot;$&quot;#,##0.0000"/>
    <numFmt numFmtId="167" formatCode="0.000%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Fill="1"/>
    <xf numFmtId="0" fontId="1" fillId="0" borderId="0" xfId="1" applyFill="1"/>
    <xf numFmtId="0" fontId="0" fillId="0" borderId="0" xfId="0" applyFill="1"/>
    <xf numFmtId="0" fontId="3" fillId="0" borderId="0" xfId="1" applyFont="1" applyFill="1"/>
    <xf numFmtId="0" fontId="5" fillId="0" borderId="0" xfId="2" applyFont="1" applyFill="1" applyBorder="1"/>
    <xf numFmtId="0" fontId="6" fillId="0" borderId="0" xfId="2" applyFont="1" applyFill="1" applyBorder="1" applyAlignment="1">
      <alignment horizontal="right"/>
    </xf>
    <xf numFmtId="0" fontId="1" fillId="0" borderId="0" xfId="1" applyFill="1" applyBorder="1"/>
    <xf numFmtId="8" fontId="6" fillId="0" borderId="0" xfId="2" applyNumberFormat="1" applyFont="1" applyFill="1" applyBorder="1" applyAlignment="1">
      <alignment horizontal="right"/>
    </xf>
    <xf numFmtId="0" fontId="7" fillId="0" borderId="0" xfId="2" applyFont="1" applyFill="1" applyBorder="1"/>
    <xf numFmtId="6" fontId="7" fillId="0" borderId="0" xfId="2" applyNumberFormat="1" applyFont="1" applyFill="1" applyBorder="1"/>
    <xf numFmtId="0" fontId="3" fillId="0" borderId="0" xfId="1" applyFont="1" applyFill="1" applyBorder="1"/>
    <xf numFmtId="3" fontId="7" fillId="0" borderId="0" xfId="2" applyNumberFormat="1" applyFont="1" applyFill="1" applyBorder="1"/>
    <xf numFmtId="164" fontId="7" fillId="0" borderId="0" xfId="3" applyNumberFormat="1" applyFont="1" applyFill="1" applyBorder="1"/>
    <xf numFmtId="0" fontId="7" fillId="0" borderId="0" xfId="1" applyFont="1" applyFill="1" applyBorder="1"/>
    <xf numFmtId="165" fontId="8" fillId="0" borderId="0" xfId="1" applyNumberFormat="1" applyFont="1" applyFill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166" fontId="8" fillId="0" borderId="0" xfId="1" applyNumberFormat="1" applyFont="1" applyFill="1"/>
    <xf numFmtId="0" fontId="9" fillId="0" borderId="1" xfId="1" applyFont="1" applyFill="1" applyBorder="1"/>
    <xf numFmtId="0" fontId="1" fillId="0" borderId="2" xfId="1" applyFill="1" applyBorder="1"/>
    <xf numFmtId="0" fontId="8" fillId="0" borderId="2" xfId="2" applyFont="1" applyFill="1" applyBorder="1" applyAlignment="1">
      <alignment horizontal="center"/>
    </xf>
    <xf numFmtId="0" fontId="1" fillId="0" borderId="3" xfId="1" applyFill="1" applyBorder="1"/>
    <xf numFmtId="0" fontId="1" fillId="0" borderId="4" xfId="1" applyFill="1" applyBorder="1"/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7" fillId="0" borderId="4" xfId="2" applyFont="1" applyFill="1" applyBorder="1"/>
    <xf numFmtId="6" fontId="8" fillId="0" borderId="0" xfId="2" applyNumberFormat="1" applyFont="1" applyFill="1" applyBorder="1"/>
    <xf numFmtId="3" fontId="8" fillId="0" borderId="0" xfId="2" applyNumberFormat="1" applyFont="1" applyFill="1" applyBorder="1"/>
    <xf numFmtId="3" fontId="8" fillId="0" borderId="5" xfId="2" applyNumberFormat="1" applyFont="1" applyFill="1" applyBorder="1"/>
    <xf numFmtId="167" fontId="8" fillId="0" borderId="0" xfId="3" applyNumberFormat="1" applyFont="1" applyFill="1" applyBorder="1"/>
    <xf numFmtId="167" fontId="8" fillId="0" borderId="5" xfId="3" applyNumberFormat="1" applyFont="1" applyFill="1" applyBorder="1"/>
    <xf numFmtId="0" fontId="1" fillId="0" borderId="5" xfId="1" applyFill="1" applyBorder="1"/>
    <xf numFmtId="0" fontId="7" fillId="0" borderId="4" xfId="1" applyFont="1" applyFill="1" applyBorder="1"/>
    <xf numFmtId="165" fontId="8" fillId="0" borderId="0" xfId="1" applyNumberFormat="1" applyFont="1" applyFill="1" applyBorder="1"/>
    <xf numFmtId="165" fontId="8" fillId="0" borderId="5" xfId="1" applyNumberFormat="1" applyFont="1" applyFill="1" applyBorder="1"/>
    <xf numFmtId="3" fontId="8" fillId="0" borderId="0" xfId="1" applyNumberFormat="1" applyFont="1" applyFill="1" applyBorder="1"/>
    <xf numFmtId="3" fontId="8" fillId="0" borderId="5" xfId="1" applyNumberFormat="1" applyFont="1" applyFill="1" applyBorder="1"/>
    <xf numFmtId="0" fontId="6" fillId="0" borderId="0" xfId="1" applyFont="1" applyFill="1" applyBorder="1"/>
    <xf numFmtId="3" fontId="6" fillId="0" borderId="0" xfId="1" applyNumberFormat="1" applyFont="1" applyFill="1" applyBorder="1"/>
    <xf numFmtId="3" fontId="6" fillId="0" borderId="5" xfId="1" applyNumberFormat="1" applyFont="1" applyFill="1" applyBorder="1"/>
    <xf numFmtId="0" fontId="8" fillId="0" borderId="0" xfId="1" applyFont="1" applyFill="1" applyBorder="1"/>
    <xf numFmtId="0" fontId="8" fillId="0" borderId="5" xfId="1" applyFont="1" applyFill="1" applyBorder="1"/>
    <xf numFmtId="166" fontId="8" fillId="0" borderId="0" xfId="1" applyNumberFormat="1" applyFont="1" applyFill="1" applyBorder="1"/>
    <xf numFmtId="166" fontId="8" fillId="0" borderId="5" xfId="1" applyNumberFormat="1" applyFont="1" applyFill="1" applyBorder="1"/>
    <xf numFmtId="0" fontId="7" fillId="0" borderId="6" xfId="1" applyFont="1" applyFill="1" applyBorder="1"/>
    <xf numFmtId="166" fontId="7" fillId="0" borderId="7" xfId="1" applyNumberFormat="1" applyFont="1" applyFill="1" applyBorder="1"/>
    <xf numFmtId="0" fontId="1" fillId="0" borderId="7" xfId="1" applyFill="1" applyBorder="1"/>
    <xf numFmtId="166" fontId="7" fillId="0" borderId="8" xfId="1" applyNumberFormat="1" applyFont="1" applyFill="1" applyBorder="1"/>
    <xf numFmtId="165" fontId="6" fillId="0" borderId="0" xfId="1" applyNumberFormat="1" applyFont="1" applyFill="1"/>
  </cellXfs>
  <cellStyles count="4">
    <cellStyle name="Normal" xfId="0" builtinId="0"/>
    <cellStyle name="Normal 2" xfId="1"/>
    <cellStyle name="Normal_Revenue Shift Electric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A6" sqref="A6"/>
    </sheetView>
  </sheetViews>
  <sheetFormatPr defaultColWidth="9.109375" defaultRowHeight="13.2" x14ac:dyDescent="0.25"/>
  <cols>
    <col min="1" max="1" width="87.44140625" style="3" customWidth="1"/>
    <col min="2" max="2" width="14.33203125" style="3" customWidth="1"/>
    <col min="3" max="3" width="7.109375" style="3" customWidth="1"/>
    <col min="4" max="4" width="11.109375" style="3" customWidth="1"/>
    <col min="5" max="5" width="11.88671875" style="3" customWidth="1"/>
    <col min="6" max="6" width="11.44140625" style="3" customWidth="1"/>
    <col min="7" max="7" width="12.33203125" style="3" customWidth="1"/>
    <col min="8" max="8" width="11.109375" style="3" customWidth="1"/>
    <col min="9" max="9" width="11.88671875" style="3" customWidth="1"/>
    <col min="10" max="10" width="10.5546875" style="3" customWidth="1"/>
    <col min="11" max="11" width="10.6640625" style="3" customWidth="1"/>
    <col min="12" max="12" width="10.44140625" style="3" customWidth="1"/>
    <col min="13" max="13" width="13.44140625" style="3" customWidth="1"/>
    <col min="14" max="16384" width="9.109375" style="3"/>
  </cols>
  <sheetData>
    <row r="1" spans="1:13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5" t="s">
        <v>40</v>
      </c>
      <c r="B5" s="6" t="s">
        <v>2</v>
      </c>
      <c r="C5" s="7"/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</row>
    <row r="6" spans="1:13" x14ac:dyDescent="0.25">
      <c r="A6" s="9" t="s">
        <v>13</v>
      </c>
      <c r="B6" s="10">
        <v>242311452.17306954</v>
      </c>
      <c r="C6" s="11"/>
      <c r="D6" s="12">
        <v>6319668.694315603</v>
      </c>
      <c r="E6" s="12">
        <v>156387706.19430122</v>
      </c>
      <c r="F6" s="12">
        <v>17142863.907897204</v>
      </c>
      <c r="G6" s="12">
        <v>20655767.16029074</v>
      </c>
      <c r="H6" s="12">
        <v>13639587.91347488</v>
      </c>
      <c r="I6" s="10">
        <v>4651647.3828204433</v>
      </c>
      <c r="J6" s="12">
        <v>2612576.9775807634</v>
      </c>
      <c r="K6" s="12">
        <v>6266096.0100026717</v>
      </c>
      <c r="L6" s="12">
        <v>4466185.4475053698</v>
      </c>
      <c r="M6" s="12">
        <v>10169352.484880624</v>
      </c>
    </row>
    <row r="7" spans="1:13" x14ac:dyDescent="0.25">
      <c r="A7" s="9" t="s">
        <v>14</v>
      </c>
      <c r="B7" s="13">
        <f>SUM(D7:M7)</f>
        <v>1</v>
      </c>
      <c r="C7" s="11"/>
      <c r="D7" s="13">
        <f>D6/$B6</f>
        <v>2.6080767696451328E-2</v>
      </c>
      <c r="E7" s="13">
        <f t="shared" ref="E7:M7" si="0">E6/$B6</f>
        <v>0.64539956651575103</v>
      </c>
      <c r="F7" s="13">
        <f t="shared" si="0"/>
        <v>7.0747229460921282E-2</v>
      </c>
      <c r="G7" s="13">
        <f t="shared" si="0"/>
        <v>8.5244700467303869E-2</v>
      </c>
      <c r="H7" s="13">
        <f t="shared" si="0"/>
        <v>5.6289489378871307E-2</v>
      </c>
      <c r="I7" s="13">
        <f t="shared" si="0"/>
        <v>1.9196977035563435E-2</v>
      </c>
      <c r="J7" s="13">
        <f t="shared" si="0"/>
        <v>1.0781896415340475E-2</v>
      </c>
      <c r="K7" s="13">
        <f t="shared" si="0"/>
        <v>2.5859677509287301E-2</v>
      </c>
      <c r="L7" s="13">
        <f t="shared" si="0"/>
        <v>1.8431590448789118E-2</v>
      </c>
      <c r="M7" s="13">
        <f t="shared" si="0"/>
        <v>4.1968105071720767E-2</v>
      </c>
    </row>
    <row r="8" spans="1:13" x14ac:dyDescent="0.25">
      <c r="A8" s="11"/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14" t="s">
        <v>38</v>
      </c>
      <c r="B9" s="15">
        <f>16155660.057</f>
        <v>16155660.057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14" t="s">
        <v>39</v>
      </c>
      <c r="B10" s="50">
        <f>1633+611</f>
        <v>2244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14" t="s">
        <v>37</v>
      </c>
      <c r="B11" s="15">
        <f>B9+B10</f>
        <v>16157904.057</v>
      </c>
      <c r="C11" s="16"/>
      <c r="D11" s="15">
        <f>+$B$11*D7</f>
        <v>421410.54217216547</v>
      </c>
      <c r="E11" s="15">
        <f t="shared" ref="E11:M11" si="1">+$B$11*E7</f>
        <v>10428304.274190895</v>
      </c>
      <c r="F11" s="15">
        <f t="shared" si="1"/>
        <v>1143126.9459281298</v>
      </c>
      <c r="G11" s="15">
        <f t="shared" si="1"/>
        <v>1377375.6915183989</v>
      </c>
      <c r="H11" s="15">
        <f t="shared" si="1"/>
        <v>909520.16880132316</v>
      </c>
      <c r="I11" s="15">
        <f t="shared" si="1"/>
        <v>310182.91312506626</v>
      </c>
      <c r="J11" s="15">
        <f t="shared" si="1"/>
        <v>174212.84783158361</v>
      </c>
      <c r="K11" s="15">
        <f t="shared" si="1"/>
        <v>417838.18814002495</v>
      </c>
      <c r="L11" s="15">
        <f t="shared" si="1"/>
        <v>297815.87008945213</v>
      </c>
      <c r="M11" s="15">
        <f t="shared" si="1"/>
        <v>678116.61520295928</v>
      </c>
    </row>
    <row r="12" spans="1:13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4" t="s">
        <v>15</v>
      </c>
      <c r="B13" s="2"/>
      <c r="C13" s="2"/>
      <c r="D13" s="17">
        <f>365149+114</f>
        <v>365263</v>
      </c>
      <c r="E13" s="17">
        <v>26337952</v>
      </c>
      <c r="F13" s="17">
        <f>2642358+383896</f>
        <v>3026254</v>
      </c>
      <c r="G13" s="17">
        <f>3648297+2060275</f>
        <v>5708572</v>
      </c>
      <c r="H13" s="17">
        <f>1297142+2501700</f>
        <v>3798842</v>
      </c>
      <c r="I13" s="17">
        <f>180420+724137</f>
        <v>904557</v>
      </c>
      <c r="J13" s="17">
        <f>392972+69021</f>
        <v>461993</v>
      </c>
      <c r="K13" s="17">
        <f>1455000+800504</f>
        <v>2255504</v>
      </c>
      <c r="L13" s="17">
        <f>737096+963679</f>
        <v>1700775</v>
      </c>
      <c r="M13" s="17">
        <f>373547+2113268</f>
        <v>2486815</v>
      </c>
    </row>
    <row r="14" spans="1:13" x14ac:dyDescent="0.25">
      <c r="A14" s="14" t="s">
        <v>16</v>
      </c>
      <c r="B14" s="2"/>
      <c r="C14" s="2"/>
      <c r="D14" s="16"/>
      <c r="E14" s="16"/>
      <c r="F14" s="17">
        <v>43498</v>
      </c>
      <c r="G14" s="17">
        <v>416947</v>
      </c>
      <c r="H14" s="17">
        <v>899091</v>
      </c>
      <c r="I14" s="17">
        <v>1448581</v>
      </c>
      <c r="J14" s="17">
        <v>7247</v>
      </c>
      <c r="K14" s="17">
        <v>87672</v>
      </c>
      <c r="L14" s="17">
        <v>568756</v>
      </c>
      <c r="M14" s="17">
        <v>3508996</v>
      </c>
    </row>
    <row r="15" spans="1:13" x14ac:dyDescent="0.25">
      <c r="A15" s="14" t="s">
        <v>17</v>
      </c>
      <c r="B15" s="2"/>
      <c r="C15" s="2"/>
      <c r="D15" s="17">
        <f>SUM(D13:D14)</f>
        <v>365263</v>
      </c>
      <c r="E15" s="17">
        <f t="shared" ref="E15:M15" si="2">SUM(E13:E14)</f>
        <v>26337952</v>
      </c>
      <c r="F15" s="17">
        <f t="shared" si="2"/>
        <v>3069752</v>
      </c>
      <c r="G15" s="17">
        <f t="shared" si="2"/>
        <v>6125519</v>
      </c>
      <c r="H15" s="17">
        <f t="shared" si="2"/>
        <v>4697933</v>
      </c>
      <c r="I15" s="17">
        <f t="shared" si="2"/>
        <v>2353138</v>
      </c>
      <c r="J15" s="17">
        <f t="shared" si="2"/>
        <v>469240</v>
      </c>
      <c r="K15" s="17">
        <f t="shared" si="2"/>
        <v>2343176</v>
      </c>
      <c r="L15" s="17">
        <f t="shared" si="2"/>
        <v>2269531</v>
      </c>
      <c r="M15" s="17">
        <f t="shared" si="2"/>
        <v>5995811</v>
      </c>
    </row>
    <row r="16" spans="1:13" x14ac:dyDescent="0.25">
      <c r="A16" s="2"/>
      <c r="B16" s="2"/>
      <c r="C16" s="2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8" t="s">
        <v>18</v>
      </c>
      <c r="B17" s="2"/>
      <c r="C17" s="2"/>
      <c r="D17" s="2"/>
      <c r="E17" s="2"/>
      <c r="F17" s="2"/>
      <c r="G17" s="2"/>
      <c r="H17" s="2"/>
      <c r="I17" s="19"/>
      <c r="J17" s="19"/>
      <c r="K17" s="19"/>
      <c r="L17" s="19"/>
      <c r="M17" s="19"/>
    </row>
    <row r="18" spans="1:13" x14ac:dyDescent="0.25">
      <c r="A18" s="20"/>
      <c r="B18" s="21"/>
      <c r="C18" s="21"/>
      <c r="D18" s="22" t="s">
        <v>19</v>
      </c>
      <c r="E18" s="21"/>
      <c r="F18" s="21"/>
      <c r="G18" s="21"/>
      <c r="H18" s="23"/>
      <c r="I18" s="19"/>
      <c r="J18" s="19"/>
      <c r="K18" s="19"/>
      <c r="L18" s="19"/>
      <c r="M18" s="19"/>
    </row>
    <row r="19" spans="1:13" x14ac:dyDescent="0.25">
      <c r="A19" s="24"/>
      <c r="B19" s="7"/>
      <c r="C19" s="7"/>
      <c r="D19" s="25" t="s">
        <v>20</v>
      </c>
      <c r="E19" s="25" t="s">
        <v>21</v>
      </c>
      <c r="F19" s="25" t="s">
        <v>22</v>
      </c>
      <c r="G19" s="25" t="s">
        <v>23</v>
      </c>
      <c r="H19" s="26" t="s">
        <v>24</v>
      </c>
      <c r="I19" s="19"/>
      <c r="J19" s="19"/>
      <c r="K19" s="19"/>
      <c r="L19" s="19"/>
      <c r="M19" s="19"/>
    </row>
    <row r="20" spans="1:13" x14ac:dyDescent="0.25">
      <c r="A20" s="27" t="s">
        <v>25</v>
      </c>
      <c r="B20" s="28">
        <f>SUM(D20:H20)</f>
        <v>242311452.17306954</v>
      </c>
      <c r="C20" s="7"/>
      <c r="D20" s="29">
        <f>+D6+E6</f>
        <v>162707374.88861683</v>
      </c>
      <c r="E20" s="29">
        <f>+F6+J6</f>
        <v>19755440.885477968</v>
      </c>
      <c r="F20" s="29">
        <f>+G6+K6</f>
        <v>26921863.170293413</v>
      </c>
      <c r="G20" s="29">
        <f>+H6+L6</f>
        <v>18105773.36098025</v>
      </c>
      <c r="H20" s="30">
        <f>+I6+M6</f>
        <v>14820999.867701069</v>
      </c>
      <c r="I20" s="16"/>
      <c r="J20" s="16"/>
      <c r="K20" s="16"/>
      <c r="L20" s="16"/>
      <c r="M20" s="16"/>
    </row>
    <row r="21" spans="1:13" x14ac:dyDescent="0.25">
      <c r="A21" s="27" t="s">
        <v>26</v>
      </c>
      <c r="B21" s="7"/>
      <c r="C21" s="7"/>
      <c r="D21" s="31">
        <f>D20/$B6</f>
        <v>0.67148033421220243</v>
      </c>
      <c r="E21" s="31">
        <f>E20/$B6</f>
        <v>8.1529125876261765E-2</v>
      </c>
      <c r="F21" s="31">
        <f>F20/$B6</f>
        <v>0.11110437797659117</v>
      </c>
      <c r="G21" s="31">
        <f>G20/$B6</f>
        <v>7.4721079827660422E-2</v>
      </c>
      <c r="H21" s="32">
        <f>H20/$B6</f>
        <v>6.1165082107284205E-2</v>
      </c>
      <c r="I21" s="16"/>
      <c r="J21" s="16"/>
      <c r="K21" s="16"/>
      <c r="L21" s="16"/>
      <c r="M21" s="16"/>
    </row>
    <row r="22" spans="1:13" x14ac:dyDescent="0.25">
      <c r="A22" s="24"/>
      <c r="B22" s="7"/>
      <c r="C22" s="7"/>
      <c r="D22" s="7"/>
      <c r="E22" s="7"/>
      <c r="F22" s="7"/>
      <c r="G22" s="7"/>
      <c r="H22" s="33"/>
      <c r="I22" s="16"/>
      <c r="J22" s="16"/>
      <c r="K22" s="16"/>
      <c r="L22" s="16"/>
      <c r="M22" s="16"/>
    </row>
    <row r="23" spans="1:13" x14ac:dyDescent="0.25">
      <c r="A23" s="24"/>
      <c r="B23" s="7"/>
      <c r="C23" s="7"/>
      <c r="D23" s="7"/>
      <c r="E23" s="7"/>
      <c r="F23" s="7"/>
      <c r="G23" s="7"/>
      <c r="H23" s="33"/>
      <c r="I23" s="16"/>
      <c r="J23" s="16"/>
      <c r="K23" s="16"/>
      <c r="L23" s="16"/>
      <c r="M23" s="16"/>
    </row>
    <row r="24" spans="1:13" x14ac:dyDescent="0.25">
      <c r="A24" s="24"/>
      <c r="B24" s="7"/>
      <c r="C24" s="7"/>
      <c r="D24" s="7"/>
      <c r="E24" s="7"/>
      <c r="F24" s="7"/>
      <c r="G24" s="7"/>
      <c r="H24" s="33"/>
      <c r="I24" s="16"/>
      <c r="J24" s="16"/>
      <c r="K24" s="16"/>
      <c r="L24" s="16"/>
      <c r="M24" s="16"/>
    </row>
    <row r="25" spans="1:13" x14ac:dyDescent="0.25">
      <c r="A25" s="34" t="s">
        <v>27</v>
      </c>
      <c r="B25" s="28">
        <f>SUM(D25:H25)</f>
        <v>16157904.056999998</v>
      </c>
      <c r="C25" s="7"/>
      <c r="D25" s="35">
        <f>+$B$11*D21</f>
        <v>10849714.816363061</v>
      </c>
      <c r="E25" s="35">
        <f>+$B$11*E21</f>
        <v>1317339.7937597136</v>
      </c>
      <c r="F25" s="35">
        <f>+$B$11*F21</f>
        <v>1795213.8796584241</v>
      </c>
      <c r="G25" s="35">
        <f>+$B$11*G21</f>
        <v>1207336.0388907753</v>
      </c>
      <c r="H25" s="36">
        <f>+$B$11*H21</f>
        <v>988299.5283280256</v>
      </c>
      <c r="I25" s="16"/>
      <c r="J25" s="16"/>
      <c r="K25" s="16"/>
      <c r="L25" s="16"/>
      <c r="M25" s="16"/>
    </row>
    <row r="26" spans="1:13" x14ac:dyDescent="0.25">
      <c r="A26" s="24" t="s">
        <v>28</v>
      </c>
      <c r="B26" s="7"/>
      <c r="C26" s="7"/>
      <c r="D26" s="7"/>
      <c r="E26" s="7"/>
      <c r="F26" s="7"/>
      <c r="G26" s="7"/>
      <c r="H26" s="33"/>
      <c r="I26" s="16"/>
      <c r="J26" s="16"/>
      <c r="K26" s="16"/>
      <c r="L26" s="16"/>
      <c r="M26" s="16"/>
    </row>
    <row r="27" spans="1:13" x14ac:dyDescent="0.25">
      <c r="A27" s="34" t="str">
        <f>+A13</f>
        <v>Schedule 3 Sales Volumes--November 2019-October 2020</v>
      </c>
      <c r="B27" s="7"/>
      <c r="C27" s="7"/>
      <c r="D27" s="37">
        <f>+D13+E13</f>
        <v>26703215</v>
      </c>
      <c r="E27" s="37">
        <f t="shared" ref="E27:H28" si="3">+F13+J13</f>
        <v>3488247</v>
      </c>
      <c r="F27" s="37">
        <f t="shared" si="3"/>
        <v>7964076</v>
      </c>
      <c r="G27" s="37">
        <f t="shared" si="3"/>
        <v>5499617</v>
      </c>
      <c r="H27" s="38">
        <f t="shared" si="3"/>
        <v>3391372</v>
      </c>
      <c r="I27" s="16"/>
      <c r="J27" s="16"/>
      <c r="K27" s="16"/>
      <c r="L27" s="16"/>
      <c r="M27" s="16"/>
    </row>
    <row r="28" spans="1:13" x14ac:dyDescent="0.25">
      <c r="A28" s="34" t="str">
        <f>+A14</f>
        <v>Schedule 3 Transportation Volumes--November 2019-October 2020</v>
      </c>
      <c r="B28" s="7"/>
      <c r="C28" s="7"/>
      <c r="D28" s="39">
        <f>+D14+E14</f>
        <v>0</v>
      </c>
      <c r="E28" s="40">
        <f t="shared" si="3"/>
        <v>50745</v>
      </c>
      <c r="F28" s="40">
        <f t="shared" si="3"/>
        <v>504619</v>
      </c>
      <c r="G28" s="40">
        <f t="shared" si="3"/>
        <v>1467847</v>
      </c>
      <c r="H28" s="41">
        <f t="shared" si="3"/>
        <v>4957577</v>
      </c>
      <c r="I28" s="16"/>
      <c r="J28" s="16"/>
      <c r="K28" s="16"/>
      <c r="L28" s="16"/>
      <c r="M28" s="16"/>
    </row>
    <row r="29" spans="1:13" x14ac:dyDescent="0.25">
      <c r="A29" s="34" t="str">
        <f>+A15</f>
        <v>Schedule 3 Total Volumes--November 2019-October 2020</v>
      </c>
      <c r="B29" s="28">
        <f>SUM(D29:H29)</f>
        <v>54027315</v>
      </c>
      <c r="C29" s="7"/>
      <c r="D29" s="37">
        <f>SUM(D27:D28)</f>
        <v>26703215</v>
      </c>
      <c r="E29" s="37">
        <f>SUM(E27:E28)</f>
        <v>3538992</v>
      </c>
      <c r="F29" s="37">
        <f>SUM(F27:F28)</f>
        <v>8468695</v>
      </c>
      <c r="G29" s="37">
        <f>SUM(G27:G28)</f>
        <v>6967464</v>
      </c>
      <c r="H29" s="38">
        <f>SUM(H27:H28)</f>
        <v>8348949</v>
      </c>
      <c r="I29" s="16"/>
      <c r="J29" s="16"/>
      <c r="K29" s="16"/>
      <c r="L29" s="16"/>
      <c r="M29" s="16"/>
    </row>
    <row r="30" spans="1:13" x14ac:dyDescent="0.25">
      <c r="A30" s="24"/>
      <c r="B30" s="7"/>
      <c r="C30" s="7"/>
      <c r="D30" s="42"/>
      <c r="E30" s="42"/>
      <c r="F30" s="42"/>
      <c r="G30" s="42"/>
      <c r="H30" s="43"/>
      <c r="I30" s="16"/>
      <c r="J30" s="16"/>
      <c r="K30" s="16"/>
      <c r="L30" s="16"/>
      <c r="M30" s="16"/>
    </row>
    <row r="31" spans="1:13" x14ac:dyDescent="0.25">
      <c r="A31" s="34" t="s">
        <v>29</v>
      </c>
      <c r="B31" s="44">
        <f>ROUND(B25/B29,4)</f>
        <v>0.29909999999999998</v>
      </c>
      <c r="C31" s="7"/>
      <c r="D31" s="44">
        <f t="shared" ref="D31:H31" si="4">ROUND(D25/D29,4)</f>
        <v>0.40629999999999999</v>
      </c>
      <c r="E31" s="44">
        <f t="shared" si="4"/>
        <v>0.37219999999999998</v>
      </c>
      <c r="F31" s="44">
        <f t="shared" si="4"/>
        <v>0.21199999999999999</v>
      </c>
      <c r="G31" s="44">
        <f t="shared" si="4"/>
        <v>0.17330000000000001</v>
      </c>
      <c r="H31" s="45">
        <f t="shared" si="4"/>
        <v>0.11840000000000001</v>
      </c>
      <c r="I31" s="16"/>
      <c r="J31" s="16"/>
      <c r="K31" s="16"/>
      <c r="L31" s="16"/>
      <c r="M31" s="16"/>
    </row>
    <row r="32" spans="1:13" x14ac:dyDescent="0.25">
      <c r="A32" s="46" t="s">
        <v>30</v>
      </c>
      <c r="B32" s="47">
        <f>+B31*0.1</f>
        <v>2.9909999999999999E-2</v>
      </c>
      <c r="C32" s="48"/>
      <c r="D32" s="47">
        <f>+D31*0.1</f>
        <v>4.0629999999999999E-2</v>
      </c>
      <c r="E32" s="47">
        <f>+E31*0.1</f>
        <v>3.7219999999999996E-2</v>
      </c>
      <c r="F32" s="47">
        <f>+F31*0.1</f>
        <v>2.12E-2</v>
      </c>
      <c r="G32" s="47">
        <f>+G31*0.1</f>
        <v>1.7330000000000002E-2</v>
      </c>
      <c r="H32" s="49">
        <f>+H31*0.1</f>
        <v>1.1840000000000002E-2</v>
      </c>
      <c r="I32" s="16"/>
      <c r="J32" s="16"/>
      <c r="K32" s="16"/>
      <c r="L32" s="16"/>
      <c r="M32" s="16"/>
    </row>
    <row r="33" spans="1:13" x14ac:dyDescent="0.25">
      <c r="A33" s="2"/>
      <c r="B33" s="2"/>
      <c r="C33" s="2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9" t="s">
        <v>31</v>
      </c>
      <c r="B34" s="2"/>
      <c r="C34" s="2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9" t="s">
        <v>32</v>
      </c>
    </row>
  </sheetData>
  <printOptions horizontalCentered="1"/>
  <pageMargins left="0.7" right="0.7" top="1.25" bottom="0.75" header="1.05" footer="0.3"/>
  <pageSetup scale="55" orientation="landscape" r:id="rId1"/>
  <headerFooter>
    <oddHeader xml:space="preserve">&amp;R&amp;"Arial,Bold"Bay State Gas Company d/b/a Columbia Gas of Massachusetts
DPU 19-07
Attachment DPU-1-6 CMA Backup Schedule
Page 1 of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A6" sqref="A6"/>
    </sheetView>
  </sheetViews>
  <sheetFormatPr defaultColWidth="9.109375" defaultRowHeight="13.2" x14ac:dyDescent="0.25"/>
  <cols>
    <col min="1" max="1" width="88.21875" style="3" customWidth="1"/>
    <col min="2" max="2" width="14.33203125" style="3" customWidth="1"/>
    <col min="3" max="3" width="7.109375" style="3" customWidth="1"/>
    <col min="4" max="4" width="11.109375" style="3" customWidth="1"/>
    <col min="5" max="5" width="11.88671875" style="3" customWidth="1"/>
    <col min="6" max="6" width="11.44140625" style="3" customWidth="1"/>
    <col min="7" max="7" width="12.33203125" style="3" customWidth="1"/>
    <col min="8" max="8" width="11.109375" style="3" customWidth="1"/>
    <col min="9" max="9" width="11.88671875" style="3" customWidth="1"/>
    <col min="10" max="10" width="10.5546875" style="3" customWidth="1"/>
    <col min="11" max="11" width="10.6640625" style="3" customWidth="1"/>
    <col min="12" max="12" width="10.44140625" style="3" customWidth="1"/>
    <col min="13" max="13" width="13.44140625" style="3" customWidth="1"/>
    <col min="14" max="16384" width="9.109375" style="3"/>
  </cols>
  <sheetData>
    <row r="1" spans="1:13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5" t="s">
        <v>40</v>
      </c>
      <c r="B5" s="6" t="s">
        <v>2</v>
      </c>
      <c r="C5" s="7"/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</row>
    <row r="6" spans="1:13" x14ac:dyDescent="0.25">
      <c r="A6" s="9" t="s">
        <v>13</v>
      </c>
      <c r="B6" s="10">
        <v>242311452.17306954</v>
      </c>
      <c r="C6" s="11"/>
      <c r="D6" s="12">
        <v>6319668.694315603</v>
      </c>
      <c r="E6" s="12">
        <v>156387706.19430122</v>
      </c>
      <c r="F6" s="12">
        <v>17142863.907897204</v>
      </c>
      <c r="G6" s="12">
        <v>20655767.16029074</v>
      </c>
      <c r="H6" s="12">
        <v>13639587.91347488</v>
      </c>
      <c r="I6" s="10">
        <v>4651647.3828204433</v>
      </c>
      <c r="J6" s="12">
        <v>2612576.9775807634</v>
      </c>
      <c r="K6" s="12">
        <v>6266096.0100026717</v>
      </c>
      <c r="L6" s="12">
        <v>4466185.4475053698</v>
      </c>
      <c r="M6" s="12">
        <v>10169352.484880624</v>
      </c>
    </row>
    <row r="7" spans="1:13" x14ac:dyDescent="0.25">
      <c r="A7" s="9" t="s">
        <v>14</v>
      </c>
      <c r="B7" s="13">
        <f>SUM(D7:M7)</f>
        <v>1</v>
      </c>
      <c r="C7" s="11"/>
      <c r="D7" s="13">
        <f>D6/$B6</f>
        <v>2.6080767696451328E-2</v>
      </c>
      <c r="E7" s="13">
        <f t="shared" ref="E7:M7" si="0">E6/$B6</f>
        <v>0.64539956651575103</v>
      </c>
      <c r="F7" s="13">
        <f t="shared" si="0"/>
        <v>7.0747229460921282E-2</v>
      </c>
      <c r="G7" s="13">
        <f t="shared" si="0"/>
        <v>8.5244700467303869E-2</v>
      </c>
      <c r="H7" s="13">
        <f t="shared" si="0"/>
        <v>5.6289489378871307E-2</v>
      </c>
      <c r="I7" s="13">
        <f t="shared" si="0"/>
        <v>1.9196977035563435E-2</v>
      </c>
      <c r="J7" s="13">
        <f t="shared" si="0"/>
        <v>1.0781896415340475E-2</v>
      </c>
      <c r="K7" s="13">
        <f t="shared" si="0"/>
        <v>2.5859677509287301E-2</v>
      </c>
      <c r="L7" s="13">
        <f t="shared" si="0"/>
        <v>1.8431590448789118E-2</v>
      </c>
      <c r="M7" s="13">
        <f t="shared" si="0"/>
        <v>4.1968105071720767E-2</v>
      </c>
    </row>
    <row r="8" spans="1:13" x14ac:dyDescent="0.25">
      <c r="A8" s="11"/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14" t="s">
        <v>38</v>
      </c>
      <c r="B9" s="15">
        <f>16230212.756</f>
        <v>16230212.755999999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14" t="str">
        <f>'2019 Rate Allocation'!A10</f>
        <v xml:space="preserve">Incremental Costs (D.P.U. 19-04, DPU 1-5, Columns K &amp; O) </v>
      </c>
      <c r="B10" s="50">
        <f>1633+611</f>
        <v>2244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14" t="s">
        <v>37</v>
      </c>
      <c r="B11" s="15">
        <f>B9+B10</f>
        <v>16232456.755999999</v>
      </c>
      <c r="C11" s="16"/>
      <c r="D11" s="15">
        <f>+$B$11*D7</f>
        <v>423354.93379592791</v>
      </c>
      <c r="E11" s="15">
        <f t="shared" ref="E11:M11" si="1">+$B$11*E7</f>
        <v>10476420.553808074</v>
      </c>
      <c r="F11" s="15">
        <f t="shared" si="1"/>
        <v>1148401.3428312137</v>
      </c>
      <c r="G11" s="15">
        <f t="shared" si="1"/>
        <v>1383730.9140136829</v>
      </c>
      <c r="H11" s="15">
        <f t="shared" si="1"/>
        <v>913716.70215984969</v>
      </c>
      <c r="I11" s="15">
        <f t="shared" si="1"/>
        <v>311614.0995757085</v>
      </c>
      <c r="J11" s="15">
        <f t="shared" si="1"/>
        <v>175016.66730968567</v>
      </c>
      <c r="K11" s="15">
        <f t="shared" si="1"/>
        <v>419766.09689361189</v>
      </c>
      <c r="L11" s="15">
        <f t="shared" si="1"/>
        <v>299189.99490427197</v>
      </c>
      <c r="M11" s="15">
        <f t="shared" si="1"/>
        <v>681245.45070797158</v>
      </c>
    </row>
    <row r="12" spans="1:13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4" t="s">
        <v>33</v>
      </c>
      <c r="B13" s="2"/>
      <c r="C13" s="2"/>
      <c r="D13" s="17">
        <f>385315+114</f>
        <v>385429</v>
      </c>
      <c r="E13" s="17">
        <v>25957943</v>
      </c>
      <c r="F13" s="17">
        <f>2715413+386760</f>
        <v>3102173</v>
      </c>
      <c r="G13" s="17">
        <f>3629928+1862453</f>
        <v>5492381</v>
      </c>
      <c r="H13" s="17">
        <f>1284188+2156459</f>
        <v>3440647</v>
      </c>
      <c r="I13" s="17">
        <f>207923+612501</f>
        <v>820424</v>
      </c>
      <c r="J13" s="17">
        <f>438840+66961</f>
        <v>505801</v>
      </c>
      <c r="K13" s="17">
        <f>1490052+813105</f>
        <v>2303157</v>
      </c>
      <c r="L13" s="17">
        <f>666530+1016905</f>
        <v>1683435</v>
      </c>
      <c r="M13" s="17">
        <f>456669+1947891</f>
        <v>2404560</v>
      </c>
    </row>
    <row r="14" spans="1:13" x14ac:dyDescent="0.25">
      <c r="A14" s="14" t="s">
        <v>34</v>
      </c>
      <c r="B14" s="2"/>
      <c r="C14" s="2"/>
      <c r="D14" s="16"/>
      <c r="E14" s="16"/>
      <c r="F14" s="17">
        <v>44564</v>
      </c>
      <c r="G14" s="17">
        <v>461006</v>
      </c>
      <c r="H14" s="17">
        <v>862788</v>
      </c>
      <c r="I14" s="17">
        <v>1210010</v>
      </c>
      <c r="J14" s="17">
        <v>9453</v>
      </c>
      <c r="K14" s="17">
        <v>124033</v>
      </c>
      <c r="L14" s="17">
        <v>668985</v>
      </c>
      <c r="M14" s="17">
        <v>3461586</v>
      </c>
    </row>
    <row r="15" spans="1:13" x14ac:dyDescent="0.25">
      <c r="A15" s="14" t="s">
        <v>35</v>
      </c>
      <c r="B15" s="2"/>
      <c r="C15" s="2"/>
      <c r="D15" s="17">
        <f>SUM(D13:D14)</f>
        <v>385429</v>
      </c>
      <c r="E15" s="17">
        <f t="shared" ref="E15:M15" si="2">SUM(E13:E14)</f>
        <v>25957943</v>
      </c>
      <c r="F15" s="17">
        <f t="shared" si="2"/>
        <v>3146737</v>
      </c>
      <c r="G15" s="17">
        <f t="shared" si="2"/>
        <v>5953387</v>
      </c>
      <c r="H15" s="17">
        <f t="shared" si="2"/>
        <v>4303435</v>
      </c>
      <c r="I15" s="17">
        <f t="shared" si="2"/>
        <v>2030434</v>
      </c>
      <c r="J15" s="17">
        <f t="shared" si="2"/>
        <v>515254</v>
      </c>
      <c r="K15" s="17">
        <f t="shared" si="2"/>
        <v>2427190</v>
      </c>
      <c r="L15" s="17">
        <f t="shared" si="2"/>
        <v>2352420</v>
      </c>
      <c r="M15" s="17">
        <f t="shared" si="2"/>
        <v>5866146</v>
      </c>
    </row>
    <row r="16" spans="1:13" x14ac:dyDescent="0.25">
      <c r="A16" s="2"/>
      <c r="B16" s="2"/>
      <c r="C16" s="2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8" t="s">
        <v>18</v>
      </c>
      <c r="B17" s="2"/>
      <c r="C17" s="2"/>
      <c r="D17" s="2"/>
      <c r="E17" s="2"/>
      <c r="F17" s="2"/>
      <c r="G17" s="2"/>
      <c r="H17" s="2"/>
      <c r="I17" s="19"/>
      <c r="J17" s="19"/>
      <c r="K17" s="19"/>
      <c r="L17" s="19"/>
      <c r="M17" s="19"/>
    </row>
    <row r="18" spans="1:13" x14ac:dyDescent="0.25">
      <c r="A18" s="20"/>
      <c r="B18" s="21"/>
      <c r="C18" s="21"/>
      <c r="D18" s="22" t="s">
        <v>19</v>
      </c>
      <c r="E18" s="21"/>
      <c r="F18" s="21"/>
      <c r="G18" s="21"/>
      <c r="H18" s="23"/>
      <c r="I18" s="19"/>
      <c r="J18" s="19"/>
      <c r="K18" s="19"/>
      <c r="L18" s="19"/>
      <c r="M18" s="19"/>
    </row>
    <row r="19" spans="1:13" x14ac:dyDescent="0.25">
      <c r="A19" s="24"/>
      <c r="B19" s="7"/>
      <c r="C19" s="7"/>
      <c r="D19" s="25" t="s">
        <v>20</v>
      </c>
      <c r="E19" s="25" t="s">
        <v>21</v>
      </c>
      <c r="F19" s="25" t="s">
        <v>22</v>
      </c>
      <c r="G19" s="25" t="s">
        <v>23</v>
      </c>
      <c r="H19" s="26" t="s">
        <v>24</v>
      </c>
      <c r="I19" s="19"/>
      <c r="J19" s="19"/>
      <c r="K19" s="19"/>
      <c r="L19" s="19"/>
      <c r="M19" s="19"/>
    </row>
    <row r="20" spans="1:13" x14ac:dyDescent="0.25">
      <c r="A20" s="27" t="s">
        <v>25</v>
      </c>
      <c r="B20" s="28">
        <f>SUM(D20:H20)</f>
        <v>242311452.17306954</v>
      </c>
      <c r="C20" s="7"/>
      <c r="D20" s="29">
        <f>+D6+E6</f>
        <v>162707374.88861683</v>
      </c>
      <c r="E20" s="29">
        <f>+F6+J6</f>
        <v>19755440.885477968</v>
      </c>
      <c r="F20" s="29">
        <f>+G6+K6</f>
        <v>26921863.170293413</v>
      </c>
      <c r="G20" s="29">
        <f>+H6+L6</f>
        <v>18105773.36098025</v>
      </c>
      <c r="H20" s="30">
        <f>+I6+M6</f>
        <v>14820999.867701069</v>
      </c>
      <c r="I20" s="16"/>
      <c r="J20" s="16"/>
      <c r="K20" s="16"/>
      <c r="L20" s="16"/>
      <c r="M20" s="16"/>
    </row>
    <row r="21" spans="1:13" x14ac:dyDescent="0.25">
      <c r="A21" s="27" t="s">
        <v>26</v>
      </c>
      <c r="B21" s="7"/>
      <c r="C21" s="7"/>
      <c r="D21" s="31">
        <f>D20/$B6</f>
        <v>0.67148033421220243</v>
      </c>
      <c r="E21" s="31">
        <f>E20/$B6</f>
        <v>8.1529125876261765E-2</v>
      </c>
      <c r="F21" s="31">
        <f>F20/$B6</f>
        <v>0.11110437797659117</v>
      </c>
      <c r="G21" s="31">
        <f>G20/$B6</f>
        <v>7.4721079827660422E-2</v>
      </c>
      <c r="H21" s="32">
        <f>H20/$B6</f>
        <v>6.1165082107284205E-2</v>
      </c>
      <c r="I21" s="16"/>
      <c r="J21" s="16"/>
      <c r="K21" s="16"/>
      <c r="L21" s="16"/>
      <c r="M21" s="16"/>
    </row>
    <row r="22" spans="1:13" x14ac:dyDescent="0.25">
      <c r="A22" s="24"/>
      <c r="B22" s="7"/>
      <c r="C22" s="7"/>
      <c r="D22" s="7"/>
      <c r="E22" s="7"/>
      <c r="F22" s="7"/>
      <c r="G22" s="7"/>
      <c r="H22" s="33"/>
      <c r="I22" s="16"/>
      <c r="J22" s="16"/>
      <c r="K22" s="16"/>
      <c r="L22" s="16"/>
      <c r="M22" s="16"/>
    </row>
    <row r="23" spans="1:13" x14ac:dyDescent="0.25">
      <c r="A23" s="24"/>
      <c r="B23" s="7"/>
      <c r="C23" s="7"/>
      <c r="D23" s="7"/>
      <c r="E23" s="7"/>
      <c r="F23" s="7"/>
      <c r="G23" s="7"/>
      <c r="H23" s="33"/>
      <c r="I23" s="16"/>
      <c r="J23" s="16"/>
      <c r="K23" s="16"/>
      <c r="L23" s="16"/>
      <c r="M23" s="16"/>
    </row>
    <row r="24" spans="1:13" x14ac:dyDescent="0.25">
      <c r="A24" s="24"/>
      <c r="B24" s="7"/>
      <c r="C24" s="7"/>
      <c r="D24" s="7"/>
      <c r="E24" s="7"/>
      <c r="F24" s="7"/>
      <c r="G24" s="7"/>
      <c r="H24" s="33"/>
      <c r="I24" s="16"/>
      <c r="J24" s="16"/>
      <c r="K24" s="16"/>
      <c r="L24" s="16"/>
      <c r="M24" s="16"/>
    </row>
    <row r="25" spans="1:13" x14ac:dyDescent="0.25">
      <c r="A25" s="34" t="s">
        <v>27</v>
      </c>
      <c r="B25" s="28">
        <f>SUM(D25:H25)</f>
        <v>16232456.755999999</v>
      </c>
      <c r="C25" s="7"/>
      <c r="D25" s="35">
        <f>+$B$11*D21</f>
        <v>10899775.487604003</v>
      </c>
      <c r="E25" s="35">
        <f>+$B$11*E21</f>
        <v>1323418.0101408996</v>
      </c>
      <c r="F25" s="35">
        <f>+$B$11*F21</f>
        <v>1803497.0109072949</v>
      </c>
      <c r="G25" s="35">
        <f>+$B$11*G21</f>
        <v>1212906.6970641217</v>
      </c>
      <c r="H25" s="36">
        <f>+$B$11*H21</f>
        <v>992859.5502836802</v>
      </c>
      <c r="I25" s="16"/>
      <c r="J25" s="16"/>
      <c r="K25" s="16"/>
      <c r="L25" s="16"/>
      <c r="M25" s="16"/>
    </row>
    <row r="26" spans="1:13" x14ac:dyDescent="0.25">
      <c r="A26" s="24" t="s">
        <v>28</v>
      </c>
      <c r="B26" s="7"/>
      <c r="C26" s="7"/>
      <c r="D26" s="7"/>
      <c r="E26" s="7"/>
      <c r="F26" s="7"/>
      <c r="G26" s="7"/>
      <c r="H26" s="33"/>
      <c r="I26" s="16"/>
      <c r="J26" s="16"/>
      <c r="K26" s="16"/>
      <c r="L26" s="16"/>
      <c r="M26" s="16"/>
    </row>
    <row r="27" spans="1:13" x14ac:dyDescent="0.25">
      <c r="A27" s="34" t="str">
        <f>+A13</f>
        <v>Schedule 3 Sales Volumes--November 2018-October 2019</v>
      </c>
      <c r="B27" s="7"/>
      <c r="C27" s="7"/>
      <c r="D27" s="37">
        <f>+D13+E13</f>
        <v>26343372</v>
      </c>
      <c r="E27" s="37">
        <f t="shared" ref="E27:H28" si="3">+F13+J13</f>
        <v>3607974</v>
      </c>
      <c r="F27" s="37">
        <f t="shared" si="3"/>
        <v>7795538</v>
      </c>
      <c r="G27" s="37">
        <f t="shared" si="3"/>
        <v>5124082</v>
      </c>
      <c r="H27" s="38">
        <f t="shared" si="3"/>
        <v>3224984</v>
      </c>
      <c r="I27" s="16"/>
      <c r="J27" s="16"/>
      <c r="K27" s="16"/>
      <c r="L27" s="16"/>
      <c r="M27" s="16"/>
    </row>
    <row r="28" spans="1:13" x14ac:dyDescent="0.25">
      <c r="A28" s="34" t="str">
        <f>+A14</f>
        <v>Schedule 3 Transportation Volumes--November 2018-October 2019</v>
      </c>
      <c r="B28" s="7"/>
      <c r="C28" s="7"/>
      <c r="D28" s="39">
        <f>+D14+E14</f>
        <v>0</v>
      </c>
      <c r="E28" s="40">
        <f t="shared" si="3"/>
        <v>54017</v>
      </c>
      <c r="F28" s="40">
        <f t="shared" si="3"/>
        <v>585039</v>
      </c>
      <c r="G28" s="40">
        <f t="shared" si="3"/>
        <v>1531773</v>
      </c>
      <c r="H28" s="41">
        <f t="shared" si="3"/>
        <v>4671596</v>
      </c>
      <c r="I28" s="16"/>
      <c r="J28" s="16"/>
      <c r="K28" s="16"/>
      <c r="L28" s="16"/>
      <c r="M28" s="16"/>
    </row>
    <row r="29" spans="1:13" x14ac:dyDescent="0.25">
      <c r="A29" s="34" t="str">
        <f>+A15</f>
        <v>Schedule 3 Total Volumes--November 2018-October 2019</v>
      </c>
      <c r="B29" s="28">
        <f>SUM(D29:H29)</f>
        <v>52938375</v>
      </c>
      <c r="C29" s="7"/>
      <c r="D29" s="37">
        <f>SUM(D27:D28)</f>
        <v>26343372</v>
      </c>
      <c r="E29" s="37">
        <f>SUM(E27:E28)</f>
        <v>3661991</v>
      </c>
      <c r="F29" s="37">
        <f>SUM(F27:F28)</f>
        <v>8380577</v>
      </c>
      <c r="G29" s="37">
        <f>SUM(G27:G28)</f>
        <v>6655855</v>
      </c>
      <c r="H29" s="38">
        <f>SUM(H27:H28)</f>
        <v>7896580</v>
      </c>
      <c r="I29" s="16"/>
      <c r="J29" s="16"/>
      <c r="K29" s="16"/>
      <c r="L29" s="16"/>
      <c r="M29" s="16"/>
    </row>
    <row r="30" spans="1:13" x14ac:dyDescent="0.25">
      <c r="A30" s="24"/>
      <c r="B30" s="7"/>
      <c r="C30" s="7"/>
      <c r="D30" s="42"/>
      <c r="E30" s="42"/>
      <c r="F30" s="42"/>
      <c r="G30" s="42"/>
      <c r="H30" s="43"/>
      <c r="I30" s="16"/>
      <c r="J30" s="16"/>
      <c r="K30" s="16"/>
      <c r="L30" s="16"/>
      <c r="M30" s="16"/>
    </row>
    <row r="31" spans="1:13" x14ac:dyDescent="0.25">
      <c r="A31" s="34" t="s">
        <v>29</v>
      </c>
      <c r="B31" s="44">
        <f>ROUND(B25/B29,4)</f>
        <v>0.30659999999999998</v>
      </c>
      <c r="C31" s="7"/>
      <c r="D31" s="44">
        <f t="shared" ref="D31:H31" si="4">ROUND(D25/D29,4)</f>
        <v>0.4138</v>
      </c>
      <c r="E31" s="44">
        <f t="shared" si="4"/>
        <v>0.3614</v>
      </c>
      <c r="F31" s="44">
        <f t="shared" si="4"/>
        <v>0.2152</v>
      </c>
      <c r="G31" s="44">
        <f t="shared" si="4"/>
        <v>0.1822</v>
      </c>
      <c r="H31" s="45">
        <f t="shared" si="4"/>
        <v>0.12570000000000001</v>
      </c>
      <c r="I31" s="16"/>
      <c r="J31" s="16"/>
      <c r="K31" s="16"/>
      <c r="L31" s="16"/>
      <c r="M31" s="16"/>
    </row>
    <row r="32" spans="1:13" x14ac:dyDescent="0.25">
      <c r="A32" s="46" t="s">
        <v>30</v>
      </c>
      <c r="B32" s="47">
        <f>+B31*0.1</f>
        <v>3.066E-2</v>
      </c>
      <c r="C32" s="48"/>
      <c r="D32" s="47">
        <f>+D31*0.1</f>
        <v>4.138E-2</v>
      </c>
      <c r="E32" s="47">
        <f>+E31*0.1</f>
        <v>3.6139999999999999E-2</v>
      </c>
      <c r="F32" s="47">
        <f>+F31*0.1</f>
        <v>2.1520000000000001E-2</v>
      </c>
      <c r="G32" s="47">
        <f>+G31*0.1</f>
        <v>1.822E-2</v>
      </c>
      <c r="H32" s="49">
        <f>+H31*0.1</f>
        <v>1.2570000000000001E-2</v>
      </c>
      <c r="I32" s="16"/>
      <c r="J32" s="16"/>
      <c r="K32" s="16"/>
      <c r="L32" s="16"/>
      <c r="M32" s="16"/>
    </row>
    <row r="33" spans="1:13" x14ac:dyDescent="0.25">
      <c r="A33" s="2"/>
      <c r="B33" s="2"/>
      <c r="C33" s="2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9" t="s">
        <v>31</v>
      </c>
      <c r="B34" s="2"/>
      <c r="C34" s="2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9" t="s">
        <v>36</v>
      </c>
    </row>
  </sheetData>
  <printOptions horizontalCentered="1"/>
  <pageMargins left="0.7" right="0.7" top="1.25" bottom="0.75" header="0.55000000000000004" footer="0.3"/>
  <pageSetup scale="55" orientation="landscape" r:id="rId1"/>
  <headerFooter>
    <oddHeader xml:space="preserve">&amp;R&amp;"Arial,Bold"Bay State Gas Company d/b/a Columbia Gas of Massachusetts
DPU 19-07
Attachment DPU-1-6 CMA Backup Schedule
Page 2 of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Rate Allocation</vt:lpstr>
      <vt:lpstr>2018 Rate Allocation</vt:lpstr>
      <vt:lpstr>'2018 Rate Allocation'!Print_Area</vt:lpstr>
      <vt:lpstr>'2019 Rate Allocation'!Print_Area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\ Jennifer \ L</dc:creator>
  <cp:lastModifiedBy>Kullberg \ Susan \ B</cp:lastModifiedBy>
  <cp:lastPrinted>2020-07-07T21:59:03Z</cp:lastPrinted>
  <dcterms:created xsi:type="dcterms:W3CDTF">2020-06-24T17:15:05Z</dcterms:created>
  <dcterms:modified xsi:type="dcterms:W3CDTF">2020-07-07T21:59:45Z</dcterms:modified>
</cp:coreProperties>
</file>