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Regulatory\DPU Files\2020 - DPU\COVID-19 (Pandemic)\Arrearage Data Reporting\"/>
    </mc:Choice>
  </mc:AlternateContent>
  <bookViews>
    <workbookView xWindow="0" yWindow="0" windowWidth="24000" windowHeight="9735"/>
  </bookViews>
  <sheets>
    <sheet name="Monthly" sheetId="2" r:id="rId1"/>
    <sheet name="Weekly" sheetId="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25" i="3" l="1"/>
  <c r="AB124" i="3"/>
  <c r="AB123" i="3"/>
  <c r="AB122" i="3"/>
  <c r="AB66" i="3" l="1"/>
  <c r="AB70" i="3"/>
  <c r="AB69" i="3"/>
  <c r="AB68" i="3"/>
  <c r="AB67" i="3"/>
  <c r="AB64" i="3"/>
  <c r="AB60" i="3"/>
  <c r="AB61" i="3"/>
  <c r="AB62" i="3"/>
  <c r="AB63" i="3"/>
  <c r="AB59" i="3"/>
  <c r="AB14" i="3"/>
  <c r="AB13" i="3"/>
  <c r="AB12" i="3"/>
  <c r="AB11" i="3"/>
  <c r="AB10" i="3"/>
  <c r="AB127" i="3" l="1"/>
  <c r="AB120" i="3"/>
  <c r="AB113" i="3"/>
  <c r="AB106" i="3"/>
  <c r="AB95" i="3"/>
  <c r="AB96" i="3"/>
  <c r="AB97" i="3"/>
  <c r="AB98" i="3"/>
  <c r="AB94" i="3"/>
  <c r="AB92" i="3"/>
  <c r="AB85" i="3"/>
  <c r="AB78" i="3"/>
  <c r="AB71" i="3"/>
  <c r="AB57" i="3"/>
  <c r="AB50" i="3"/>
  <c r="AB43" i="3"/>
  <c r="AB36" i="3"/>
  <c r="AB29" i="3"/>
  <c r="AB22" i="3"/>
  <c r="AB15" i="3"/>
  <c r="AB99" i="3" l="1"/>
  <c r="U99" i="2"/>
  <c r="U95" i="2"/>
  <c r="U96" i="2"/>
  <c r="U97" i="2"/>
  <c r="U98" i="2"/>
  <c r="U94" i="2"/>
  <c r="U77" i="2" l="1"/>
  <c r="U76" i="2"/>
  <c r="U75" i="2"/>
  <c r="U74" i="2"/>
  <c r="U73" i="2"/>
  <c r="U14" i="2" l="1"/>
  <c r="U13" i="2"/>
  <c r="U10" i="2"/>
  <c r="U12" i="2"/>
  <c r="U11" i="2"/>
  <c r="U21" i="2" l="1"/>
  <c r="U20" i="2"/>
  <c r="U19" i="2"/>
  <c r="U18" i="2"/>
  <c r="U17" i="2"/>
  <c r="AA125" i="3" l="1"/>
  <c r="AA124" i="3"/>
  <c r="AA123" i="3"/>
  <c r="AA122" i="3"/>
  <c r="AA64" i="3"/>
  <c r="AA71" i="3"/>
  <c r="AA78" i="3"/>
  <c r="Z78" i="3"/>
  <c r="AA68" i="3"/>
  <c r="AA66" i="3"/>
  <c r="AA70" i="3"/>
  <c r="AA69" i="3"/>
  <c r="AA67" i="3"/>
  <c r="U85" i="2"/>
  <c r="AA14" i="3"/>
  <c r="AA13" i="3"/>
  <c r="AA12" i="3"/>
  <c r="AA11" i="3"/>
  <c r="AA10" i="3"/>
  <c r="AA127" i="3" l="1"/>
  <c r="AA120" i="3"/>
  <c r="AA113" i="3"/>
  <c r="AA106" i="3"/>
  <c r="AA98" i="3"/>
  <c r="AA97" i="3"/>
  <c r="AA96" i="3"/>
  <c r="AA95" i="3"/>
  <c r="AA94" i="3"/>
  <c r="AA92" i="3"/>
  <c r="AA85" i="3"/>
  <c r="AA63" i="3"/>
  <c r="AA62" i="3"/>
  <c r="AA61" i="3"/>
  <c r="AA60" i="3"/>
  <c r="AA59" i="3"/>
  <c r="AA57" i="3"/>
  <c r="AA50" i="3"/>
  <c r="AA43" i="3"/>
  <c r="AA36" i="3"/>
  <c r="AA29" i="3"/>
  <c r="AA22" i="3"/>
  <c r="AA15" i="3"/>
  <c r="AA99" i="3" l="1"/>
  <c r="Z125" i="3"/>
  <c r="Z124" i="3"/>
  <c r="Z123" i="3"/>
  <c r="Z122" i="3"/>
  <c r="Z69" i="3" l="1"/>
  <c r="Z68" i="3"/>
  <c r="Z66" i="3"/>
  <c r="Z70" i="3"/>
  <c r="Z67" i="3"/>
  <c r="Z14" i="3"/>
  <c r="Z13" i="3"/>
  <c r="Z12" i="3"/>
  <c r="Z11" i="3"/>
  <c r="Z10" i="3"/>
  <c r="Y125" i="3" l="1"/>
  <c r="Y124" i="3"/>
  <c r="Y123" i="3"/>
  <c r="Y122" i="3"/>
  <c r="Y69" i="3" l="1"/>
  <c r="Y68" i="3"/>
  <c r="Y66" i="3"/>
  <c r="Y70" i="3"/>
  <c r="Y67" i="3"/>
  <c r="Y14" i="3"/>
  <c r="Y13" i="3"/>
  <c r="Y12" i="3"/>
  <c r="Y11" i="3"/>
  <c r="Y10" i="3"/>
  <c r="X125" i="3" l="1"/>
  <c r="X124" i="3"/>
  <c r="X123" i="3"/>
  <c r="X122" i="3"/>
  <c r="X70" i="3" l="1"/>
  <c r="X71" i="3" s="1"/>
  <c r="X69" i="3"/>
  <c r="X68" i="3"/>
  <c r="X67" i="3"/>
  <c r="X66" i="3"/>
  <c r="X14" i="3"/>
  <c r="X13" i="3"/>
  <c r="X12" i="3"/>
  <c r="X11" i="3"/>
  <c r="X10" i="3"/>
  <c r="X127" i="3"/>
  <c r="Y127" i="3"/>
  <c r="Z127" i="3"/>
  <c r="X120" i="3"/>
  <c r="Y120" i="3"/>
  <c r="Z120" i="3"/>
  <c r="X113" i="3"/>
  <c r="Y113" i="3"/>
  <c r="Z113" i="3"/>
  <c r="X106" i="3"/>
  <c r="Y106" i="3"/>
  <c r="Z106" i="3"/>
  <c r="X98" i="3"/>
  <c r="Y98" i="3"/>
  <c r="Z98" i="3"/>
  <c r="X97" i="3"/>
  <c r="Y97" i="3"/>
  <c r="Z97" i="3"/>
  <c r="X96" i="3"/>
  <c r="Y96" i="3"/>
  <c r="Z96" i="3"/>
  <c r="X95" i="3"/>
  <c r="Y95" i="3"/>
  <c r="Z95" i="3"/>
  <c r="X94" i="3"/>
  <c r="Y94" i="3"/>
  <c r="Z94" i="3"/>
  <c r="X92" i="3"/>
  <c r="Y92" i="3"/>
  <c r="Z92" i="3"/>
  <c r="X85" i="3"/>
  <c r="Y85" i="3"/>
  <c r="Z85" i="3"/>
  <c r="X78" i="3"/>
  <c r="Y78" i="3"/>
  <c r="Y71" i="3"/>
  <c r="Z71" i="3"/>
  <c r="X63" i="3"/>
  <c r="Y63" i="3"/>
  <c r="Z63" i="3"/>
  <c r="X62" i="3"/>
  <c r="Y62" i="3"/>
  <c r="Z62" i="3"/>
  <c r="X61" i="3"/>
  <c r="Y61" i="3"/>
  <c r="Z61" i="3"/>
  <c r="X60" i="3"/>
  <c r="Y60" i="3"/>
  <c r="Z60" i="3"/>
  <c r="X59" i="3"/>
  <c r="Y59" i="3"/>
  <c r="Z59" i="3"/>
  <c r="X57" i="3"/>
  <c r="Y57" i="3"/>
  <c r="Z57" i="3"/>
  <c r="X50" i="3"/>
  <c r="Y50" i="3"/>
  <c r="Z50" i="3"/>
  <c r="X43" i="3"/>
  <c r="Y43" i="3"/>
  <c r="Z43" i="3"/>
  <c r="X36" i="3"/>
  <c r="Y36" i="3"/>
  <c r="Z36" i="3"/>
  <c r="W36" i="3"/>
  <c r="X29" i="3"/>
  <c r="Y29" i="3"/>
  <c r="Z29" i="3"/>
  <c r="Y15" i="3"/>
  <c r="Z15" i="3"/>
  <c r="X22" i="3"/>
  <c r="Y22" i="3"/>
  <c r="Z22" i="3"/>
  <c r="Z99" i="3" l="1"/>
  <c r="Z64" i="3"/>
  <c r="Y99" i="3"/>
  <c r="Y64" i="3"/>
  <c r="X99" i="3"/>
  <c r="X15" i="3"/>
  <c r="X64" i="3"/>
  <c r="AG59" i="2"/>
  <c r="AG58" i="2"/>
  <c r="AF59" i="2"/>
  <c r="AF58" i="2"/>
  <c r="AE59" i="2"/>
  <c r="AE58" i="2"/>
  <c r="AD59" i="2"/>
  <c r="AD58" i="2"/>
  <c r="T80" i="2"/>
  <c r="T82" i="2"/>
  <c r="T84" i="2"/>
  <c r="T83" i="2"/>
  <c r="T81" i="2"/>
  <c r="T77" i="2"/>
  <c r="T76" i="2"/>
  <c r="T75" i="2"/>
  <c r="T74" i="2"/>
  <c r="T73" i="2"/>
  <c r="T21" i="2" l="1"/>
  <c r="T20" i="2"/>
  <c r="T19" i="2"/>
  <c r="T18" i="2"/>
  <c r="T17" i="2"/>
  <c r="T14" i="2"/>
  <c r="T13" i="2"/>
  <c r="T12" i="2"/>
  <c r="T11" i="2"/>
  <c r="T10" i="2"/>
  <c r="W127" i="3" l="1"/>
  <c r="W125" i="3"/>
  <c r="W124" i="3"/>
  <c r="W123" i="3"/>
  <c r="W122" i="3"/>
  <c r="W78" i="3"/>
  <c r="W68" i="3"/>
  <c r="W66" i="3"/>
  <c r="W71" i="3" s="1"/>
  <c r="W70" i="3"/>
  <c r="W69" i="3"/>
  <c r="W67" i="3"/>
  <c r="W92" i="3" l="1"/>
  <c r="W85" i="3"/>
  <c r="W95" i="3"/>
  <c r="W96" i="3"/>
  <c r="W97" i="3"/>
  <c r="W98" i="3"/>
  <c r="W94" i="3"/>
  <c r="W120" i="3"/>
  <c r="W113" i="3"/>
  <c r="W106" i="3"/>
  <c r="W14" i="3"/>
  <c r="W13" i="3"/>
  <c r="W12" i="3"/>
  <c r="W11" i="3"/>
  <c r="W10" i="3"/>
  <c r="W60" i="3"/>
  <c r="W61" i="3"/>
  <c r="W62" i="3"/>
  <c r="W63" i="3"/>
  <c r="W64" i="3"/>
  <c r="W59" i="3"/>
  <c r="W57" i="3"/>
  <c r="W50" i="3"/>
  <c r="W43" i="3"/>
  <c r="W29" i="3"/>
  <c r="W22" i="3"/>
  <c r="W99" i="3" l="1"/>
  <c r="W15" i="3"/>
  <c r="V125" i="3"/>
  <c r="V124" i="3"/>
  <c r="V123" i="3"/>
  <c r="V127" i="3" s="1"/>
  <c r="V122" i="3"/>
  <c r="V68" i="3"/>
  <c r="V66" i="3"/>
  <c r="V70" i="3"/>
  <c r="V71" i="3" s="1"/>
  <c r="V69" i="3"/>
  <c r="V67" i="3"/>
  <c r="V63" i="3"/>
  <c r="V62" i="3"/>
  <c r="V61" i="3"/>
  <c r="V60" i="3"/>
  <c r="V59" i="3"/>
  <c r="V14" i="3"/>
  <c r="V13" i="3"/>
  <c r="V12" i="3"/>
  <c r="V11" i="3"/>
  <c r="V10" i="3"/>
  <c r="V134" i="3"/>
  <c r="V120" i="3"/>
  <c r="V113" i="3"/>
  <c r="V106" i="3"/>
  <c r="V98" i="3"/>
  <c r="V97" i="3"/>
  <c r="V96" i="3"/>
  <c r="V95" i="3"/>
  <c r="V94" i="3"/>
  <c r="V92" i="3"/>
  <c r="V85" i="3"/>
  <c r="V78" i="3"/>
  <c r="V57" i="3"/>
  <c r="V50" i="3"/>
  <c r="V43" i="3"/>
  <c r="V36" i="3"/>
  <c r="V29" i="3"/>
  <c r="V22" i="3"/>
  <c r="V99" i="3" l="1"/>
  <c r="V64" i="3"/>
  <c r="V15" i="3"/>
  <c r="U66" i="3"/>
  <c r="U69" i="3"/>
  <c r="U70" i="3"/>
  <c r="U68" i="3"/>
  <c r="U67" i="3"/>
  <c r="U14" i="3"/>
  <c r="U13" i="3"/>
  <c r="U12" i="3"/>
  <c r="U11" i="3"/>
  <c r="U10" i="3"/>
  <c r="T70" i="3" l="1"/>
  <c r="T69" i="3"/>
  <c r="T68" i="3"/>
  <c r="T67" i="3"/>
  <c r="T66" i="3"/>
  <c r="T14" i="3"/>
  <c r="T13" i="3"/>
  <c r="T12" i="3"/>
  <c r="T11" i="3"/>
  <c r="T10" i="3"/>
  <c r="AE55" i="2" l="1"/>
  <c r="AG54" i="2"/>
  <c r="AF54" i="2"/>
  <c r="AF55" i="2"/>
  <c r="AG55" i="2" s="1"/>
  <c r="AE54" i="2"/>
  <c r="AD55" i="2"/>
  <c r="AD54" i="2"/>
  <c r="AD51" i="2"/>
  <c r="S77" i="2"/>
  <c r="S76" i="2"/>
  <c r="S75" i="2"/>
  <c r="S73" i="2"/>
  <c r="S74" i="2"/>
  <c r="S84" i="2" l="1"/>
  <c r="S83" i="2"/>
  <c r="S82" i="2"/>
  <c r="S81" i="2"/>
  <c r="S80" i="2"/>
  <c r="S14" i="2"/>
  <c r="S13" i="2"/>
  <c r="S12" i="2"/>
  <c r="S11" i="2"/>
  <c r="S10" i="2"/>
  <c r="S21" i="2" l="1"/>
  <c r="S20" i="2"/>
  <c r="S19" i="2"/>
  <c r="S18" i="2"/>
  <c r="S17" i="2"/>
  <c r="S69" i="3" l="1"/>
  <c r="S66" i="3"/>
  <c r="S70" i="3"/>
  <c r="S68" i="3"/>
  <c r="S67" i="3"/>
  <c r="S113" i="3"/>
  <c r="S15" i="3"/>
  <c r="S14" i="3"/>
  <c r="S13" i="3"/>
  <c r="S12" i="3"/>
  <c r="S11" i="3"/>
  <c r="S10" i="3"/>
  <c r="AD141" i="2" l="1"/>
  <c r="AG50" i="2"/>
  <c r="AG46" i="2"/>
  <c r="AC141" i="2"/>
  <c r="R122" i="3" l="1"/>
  <c r="R76" i="3"/>
  <c r="R75" i="3"/>
  <c r="R74" i="3"/>
  <c r="R73" i="3"/>
  <c r="R68" i="3" l="1"/>
  <c r="R66" i="3"/>
  <c r="R69" i="3"/>
  <c r="R67" i="3"/>
  <c r="R14" i="3"/>
  <c r="R13" i="3"/>
  <c r="R12" i="3"/>
  <c r="R11" i="3"/>
  <c r="R10" i="3"/>
  <c r="Q77" i="3" l="1"/>
  <c r="Q76" i="3"/>
  <c r="Q75" i="3"/>
  <c r="Q74" i="3"/>
  <c r="Q73" i="3"/>
  <c r="Q66" i="3"/>
  <c r="Q70" i="3"/>
  <c r="Q69" i="3"/>
  <c r="Q68" i="3"/>
  <c r="Q67" i="3"/>
  <c r="Q14" i="3"/>
  <c r="Q13" i="3"/>
  <c r="Q12" i="3"/>
  <c r="Q11" i="3"/>
  <c r="Q10" i="3"/>
  <c r="P14" i="3" l="1"/>
  <c r="P13" i="3"/>
  <c r="P12" i="3"/>
  <c r="P11" i="3"/>
  <c r="P10" i="3"/>
  <c r="P69" i="3"/>
  <c r="P68" i="3"/>
  <c r="P67" i="3"/>
  <c r="P66" i="3"/>
  <c r="O69" i="3" l="1"/>
  <c r="O68" i="3"/>
  <c r="O67" i="3"/>
  <c r="O66" i="3"/>
  <c r="O70" i="3"/>
  <c r="O14" i="3"/>
  <c r="O13" i="3"/>
  <c r="O12" i="3"/>
  <c r="O11" i="3"/>
  <c r="O10" i="3"/>
  <c r="AF51" i="2" l="1"/>
  <c r="AG51" i="2" s="1"/>
  <c r="AF50" i="2"/>
  <c r="AF46" i="2"/>
  <c r="AE51" i="2"/>
  <c r="AE50" i="2"/>
  <c r="AD50" i="2"/>
  <c r="AD46" i="2"/>
  <c r="R73" i="2"/>
  <c r="R77" i="2"/>
  <c r="R76" i="2"/>
  <c r="R75" i="2"/>
  <c r="R74" i="2"/>
  <c r="R84" i="2" l="1"/>
  <c r="R83" i="2"/>
  <c r="R82" i="2"/>
  <c r="R81" i="2"/>
  <c r="R80" i="2"/>
  <c r="R14" i="2"/>
  <c r="R13" i="2"/>
  <c r="R12" i="2"/>
  <c r="R11" i="2"/>
  <c r="R10" i="2"/>
  <c r="R21" i="2" l="1"/>
  <c r="R20" i="2"/>
  <c r="R19" i="2"/>
  <c r="R18" i="2"/>
  <c r="R17" i="2"/>
  <c r="N69" i="3" l="1"/>
  <c r="N68" i="3"/>
  <c r="N67" i="3"/>
  <c r="N66" i="3"/>
  <c r="N14" i="3"/>
  <c r="N13" i="3"/>
  <c r="N12" i="3"/>
  <c r="N11" i="3"/>
  <c r="N10" i="3"/>
  <c r="M67" i="3" l="1"/>
  <c r="M70" i="3"/>
  <c r="M69" i="3"/>
  <c r="M68" i="3"/>
  <c r="M66" i="3"/>
  <c r="M14" i="3"/>
  <c r="M13" i="3"/>
  <c r="M12" i="3"/>
  <c r="M11" i="3"/>
  <c r="M10" i="3"/>
  <c r="L68" i="3" l="1"/>
  <c r="L66" i="3"/>
  <c r="L70" i="3"/>
  <c r="L69" i="3"/>
  <c r="L67" i="3"/>
  <c r="L14" i="3"/>
  <c r="L13" i="3"/>
  <c r="L12" i="3"/>
  <c r="L11" i="3"/>
  <c r="L10" i="3"/>
  <c r="K70" i="3" l="1"/>
  <c r="K69" i="3"/>
  <c r="K68" i="3"/>
  <c r="K67" i="3"/>
  <c r="K66" i="3"/>
  <c r="K14" i="3"/>
  <c r="K13" i="3"/>
  <c r="K12" i="3"/>
  <c r="K11" i="3"/>
  <c r="K10" i="3"/>
  <c r="AE47" i="2" l="1"/>
  <c r="AD47" i="2"/>
  <c r="AE46" i="2"/>
  <c r="AF47" i="2" l="1"/>
  <c r="AG47" i="2" s="1"/>
  <c r="J68" i="3" l="1"/>
  <c r="J67" i="3"/>
  <c r="J66" i="3"/>
  <c r="J70" i="3"/>
  <c r="J69" i="3"/>
  <c r="J14" i="3"/>
  <c r="J13" i="3"/>
  <c r="J12" i="3"/>
  <c r="J11" i="3"/>
  <c r="J10" i="3"/>
  <c r="Q14" i="2" l="1"/>
  <c r="Q13" i="2"/>
  <c r="Q12" i="2"/>
  <c r="Q11" i="2"/>
  <c r="Q10" i="2"/>
  <c r="Q21" i="2" l="1"/>
  <c r="Q20" i="2"/>
  <c r="Q19" i="2"/>
  <c r="Q18" i="2"/>
  <c r="Q17" i="2"/>
  <c r="Q77" i="2"/>
  <c r="Q76" i="2"/>
  <c r="Q75" i="2"/>
  <c r="Q74" i="2"/>
  <c r="Q73" i="2"/>
  <c r="Q84" i="2" l="1"/>
  <c r="Q83" i="2"/>
  <c r="Q82" i="2"/>
  <c r="Q81" i="2"/>
  <c r="Q80" i="2"/>
  <c r="I69" i="3" l="1"/>
  <c r="I68" i="3" l="1"/>
  <c r="I71" i="3"/>
  <c r="I70" i="3"/>
  <c r="I67" i="3"/>
  <c r="I66" i="3"/>
  <c r="I13" i="3"/>
  <c r="I12" i="3"/>
  <c r="I11" i="3"/>
  <c r="I10" i="3"/>
  <c r="I14" i="3"/>
  <c r="H70" i="3" l="1"/>
  <c r="H69" i="3"/>
  <c r="H68" i="3"/>
  <c r="H67" i="3"/>
  <c r="H66" i="3"/>
  <c r="H13" i="3" l="1"/>
  <c r="H14" i="3"/>
  <c r="H12" i="3"/>
  <c r="H11" i="3"/>
  <c r="H10" i="3"/>
  <c r="I50" i="3"/>
  <c r="H50" i="3"/>
  <c r="G69" i="3" l="1"/>
  <c r="G68" i="3"/>
  <c r="G67" i="3"/>
  <c r="G66" i="3"/>
  <c r="G13" i="3"/>
  <c r="G12" i="3"/>
  <c r="G11" i="3"/>
  <c r="G10" i="3"/>
  <c r="G14" i="3"/>
  <c r="P84" i="2" l="1"/>
  <c r="P83" i="2"/>
  <c r="P82" i="2"/>
  <c r="P81" i="2"/>
  <c r="P80" i="2"/>
  <c r="P77" i="2" l="1"/>
  <c r="P76" i="2"/>
  <c r="P75" i="2"/>
  <c r="P74" i="2"/>
  <c r="P73" i="2"/>
  <c r="P20" i="2" l="1"/>
  <c r="P19" i="2"/>
  <c r="P18" i="2"/>
  <c r="P17" i="2"/>
  <c r="P21" i="2"/>
  <c r="P10" i="2"/>
  <c r="P12" i="2"/>
  <c r="P14" i="2"/>
  <c r="P13" i="2"/>
  <c r="P11" i="2"/>
  <c r="F13" i="3" l="1"/>
  <c r="F12" i="3"/>
  <c r="F11" i="3"/>
  <c r="F10" i="3"/>
  <c r="F14" i="3"/>
  <c r="F68" i="3"/>
  <c r="F66" i="3"/>
  <c r="F69" i="3"/>
  <c r="F70" i="3"/>
  <c r="F67" i="3"/>
  <c r="C134" i="3" l="1"/>
  <c r="E69" i="3" l="1"/>
  <c r="E68" i="3"/>
  <c r="E67" i="3"/>
  <c r="E66" i="3"/>
  <c r="E13" i="3"/>
  <c r="E12" i="3"/>
  <c r="E11" i="3"/>
  <c r="E10" i="3"/>
  <c r="E14" i="3"/>
  <c r="D106" i="3" l="1"/>
  <c r="D92" i="3"/>
  <c r="D68" i="3"/>
  <c r="D67" i="3"/>
  <c r="D71" i="3" s="1"/>
  <c r="D66" i="3"/>
  <c r="D70" i="3"/>
  <c r="D69" i="3"/>
  <c r="D10" i="3"/>
  <c r="D11" i="3"/>
  <c r="D12" i="3"/>
  <c r="D13" i="3"/>
  <c r="D14" i="3"/>
  <c r="C29" i="2" l="1"/>
  <c r="L15" i="2"/>
  <c r="K15" i="2"/>
  <c r="J15" i="2"/>
  <c r="I15" i="2"/>
  <c r="H15" i="2"/>
  <c r="G15" i="2"/>
  <c r="F15" i="2"/>
  <c r="E15" i="2"/>
  <c r="D15" i="2"/>
  <c r="C15" i="2"/>
  <c r="C127" i="3" l="1"/>
  <c r="C120" i="3"/>
  <c r="C113" i="3"/>
  <c r="C106" i="3"/>
  <c r="C92" i="3"/>
  <c r="C85" i="3"/>
  <c r="C78" i="3"/>
  <c r="C57" i="3"/>
  <c r="C50" i="3"/>
  <c r="C43" i="3"/>
  <c r="C36" i="3"/>
  <c r="C29" i="3"/>
  <c r="C22" i="3"/>
  <c r="D106" i="2" l="1"/>
  <c r="C60" i="3" l="1"/>
  <c r="C61" i="3"/>
  <c r="C62" i="3"/>
  <c r="C63" i="3"/>
  <c r="C59" i="3"/>
  <c r="C14" i="3"/>
  <c r="C13" i="3"/>
  <c r="C12" i="3"/>
  <c r="C11" i="3"/>
  <c r="C10" i="3"/>
  <c r="C64" i="3" l="1"/>
  <c r="C15" i="3"/>
  <c r="C129" i="3"/>
  <c r="C70" i="3" l="1"/>
  <c r="C69" i="3"/>
  <c r="C68" i="3"/>
  <c r="C67" i="3"/>
  <c r="C66" i="3"/>
  <c r="C71" i="3" l="1"/>
  <c r="U134" i="3"/>
  <c r="T134" i="3"/>
  <c r="S134" i="3"/>
  <c r="R134" i="3"/>
  <c r="Q134" i="3"/>
  <c r="P134" i="3"/>
  <c r="O134" i="3"/>
  <c r="N134" i="3"/>
  <c r="M134" i="3"/>
  <c r="L134" i="3"/>
  <c r="K134" i="3"/>
  <c r="J134" i="3"/>
  <c r="I134" i="3"/>
  <c r="H134" i="3"/>
  <c r="G134" i="3"/>
  <c r="F134" i="3"/>
  <c r="E134" i="3"/>
  <c r="D134" i="3"/>
  <c r="U127" i="3"/>
  <c r="T127" i="3"/>
  <c r="S127" i="3"/>
  <c r="R127" i="3"/>
  <c r="Q127" i="3"/>
  <c r="P127" i="3"/>
  <c r="O127" i="3"/>
  <c r="N127" i="3"/>
  <c r="M127" i="3"/>
  <c r="L127" i="3"/>
  <c r="K127" i="3"/>
  <c r="J127" i="3"/>
  <c r="I127" i="3"/>
  <c r="H127" i="3"/>
  <c r="G127" i="3"/>
  <c r="F127" i="3"/>
  <c r="E127" i="3"/>
  <c r="D127" i="3"/>
  <c r="M98" i="3"/>
  <c r="N98" i="3"/>
  <c r="O98" i="3"/>
  <c r="P98" i="3"/>
  <c r="Q98" i="3"/>
  <c r="R98" i="3"/>
  <c r="S98" i="3"/>
  <c r="T98" i="3"/>
  <c r="U98" i="3"/>
  <c r="M97" i="3"/>
  <c r="N97" i="3"/>
  <c r="O97" i="3"/>
  <c r="P97" i="3"/>
  <c r="Q97" i="3"/>
  <c r="R97" i="3"/>
  <c r="S97" i="3"/>
  <c r="T97" i="3"/>
  <c r="U97" i="3"/>
  <c r="M96" i="3"/>
  <c r="N96" i="3"/>
  <c r="O96" i="3"/>
  <c r="P96" i="3"/>
  <c r="Q96" i="3"/>
  <c r="R96" i="3"/>
  <c r="S96" i="3"/>
  <c r="T96" i="3"/>
  <c r="U96" i="3"/>
  <c r="M95" i="3"/>
  <c r="N95" i="3"/>
  <c r="O95" i="3"/>
  <c r="P95" i="3"/>
  <c r="Q95" i="3"/>
  <c r="R95" i="3"/>
  <c r="S95" i="3"/>
  <c r="T95" i="3"/>
  <c r="U95" i="3"/>
  <c r="D98" i="3"/>
  <c r="E98" i="3"/>
  <c r="F98" i="3"/>
  <c r="G98" i="3"/>
  <c r="H98" i="3"/>
  <c r="I98" i="3"/>
  <c r="J98" i="3"/>
  <c r="K98" i="3"/>
  <c r="L98" i="3"/>
  <c r="D97" i="3"/>
  <c r="E97" i="3"/>
  <c r="F97" i="3"/>
  <c r="G97" i="3"/>
  <c r="H97" i="3"/>
  <c r="I97" i="3"/>
  <c r="J97" i="3"/>
  <c r="K97" i="3"/>
  <c r="L97" i="3"/>
  <c r="D96" i="3"/>
  <c r="E96" i="3"/>
  <c r="F96" i="3"/>
  <c r="G96" i="3"/>
  <c r="H96" i="3"/>
  <c r="I96" i="3"/>
  <c r="J96" i="3"/>
  <c r="K96" i="3"/>
  <c r="L96" i="3"/>
  <c r="D95" i="3"/>
  <c r="E95" i="3"/>
  <c r="F95" i="3"/>
  <c r="G95" i="3"/>
  <c r="H95" i="3"/>
  <c r="I95" i="3"/>
  <c r="J95" i="3"/>
  <c r="K95" i="3"/>
  <c r="L95" i="3"/>
  <c r="D94" i="3"/>
  <c r="E94" i="3"/>
  <c r="F94" i="3"/>
  <c r="G94" i="3"/>
  <c r="H94" i="3"/>
  <c r="I94" i="3"/>
  <c r="J94" i="3"/>
  <c r="K94" i="3"/>
  <c r="L94" i="3"/>
  <c r="M94" i="3"/>
  <c r="N94" i="3"/>
  <c r="O94" i="3"/>
  <c r="P94" i="3"/>
  <c r="Q94" i="3"/>
  <c r="R94" i="3"/>
  <c r="S94" i="3"/>
  <c r="T94" i="3"/>
  <c r="U94" i="3"/>
  <c r="C95" i="3"/>
  <c r="C96" i="3"/>
  <c r="C97" i="3"/>
  <c r="C98" i="3"/>
  <c r="C94" i="3"/>
  <c r="V26" i="2"/>
  <c r="V27" i="2"/>
  <c r="V28" i="2"/>
  <c r="C99" i="3" l="1"/>
  <c r="U120" i="3"/>
  <c r="T120" i="3"/>
  <c r="S120" i="3"/>
  <c r="R120" i="3"/>
  <c r="Q120" i="3"/>
  <c r="P120" i="3"/>
  <c r="O120" i="3"/>
  <c r="N120" i="3"/>
  <c r="M120" i="3"/>
  <c r="L120" i="3"/>
  <c r="K120" i="3"/>
  <c r="J120" i="3"/>
  <c r="I120" i="3"/>
  <c r="H120" i="3"/>
  <c r="G120" i="3"/>
  <c r="F120" i="3"/>
  <c r="E120" i="3"/>
  <c r="D120" i="3"/>
  <c r="U113" i="3"/>
  <c r="T113" i="3"/>
  <c r="R113" i="3"/>
  <c r="Q113" i="3"/>
  <c r="P113" i="3"/>
  <c r="O113" i="3"/>
  <c r="N113" i="3"/>
  <c r="M113" i="3"/>
  <c r="L113" i="3"/>
  <c r="K113" i="3"/>
  <c r="J113" i="3"/>
  <c r="I113" i="3"/>
  <c r="H113" i="3"/>
  <c r="G113" i="3"/>
  <c r="F113" i="3"/>
  <c r="E113" i="3"/>
  <c r="D113" i="3"/>
  <c r="U106" i="3"/>
  <c r="T106" i="3"/>
  <c r="S106" i="3"/>
  <c r="R106" i="3"/>
  <c r="Q106" i="3"/>
  <c r="P106" i="3"/>
  <c r="O106" i="3"/>
  <c r="N106" i="3"/>
  <c r="M106" i="3"/>
  <c r="L106" i="3"/>
  <c r="K106" i="3"/>
  <c r="J106" i="3"/>
  <c r="I106" i="3"/>
  <c r="H106" i="3"/>
  <c r="G106" i="3"/>
  <c r="F106" i="3"/>
  <c r="E106" i="3"/>
  <c r="U92" i="3"/>
  <c r="T92" i="3"/>
  <c r="S92" i="3"/>
  <c r="R92" i="3"/>
  <c r="Q92" i="3"/>
  <c r="P92" i="3"/>
  <c r="O92" i="3"/>
  <c r="N92" i="3"/>
  <c r="M92" i="3"/>
  <c r="L92" i="3"/>
  <c r="K92" i="3"/>
  <c r="J92" i="3"/>
  <c r="I92" i="3"/>
  <c r="H92" i="3"/>
  <c r="G92" i="3"/>
  <c r="F92" i="3"/>
  <c r="E92" i="3"/>
  <c r="U85" i="3"/>
  <c r="T85" i="3"/>
  <c r="S85" i="3"/>
  <c r="R85" i="3"/>
  <c r="Q85" i="3"/>
  <c r="P85" i="3"/>
  <c r="O85" i="3"/>
  <c r="N85" i="3"/>
  <c r="M85" i="3"/>
  <c r="L85" i="3"/>
  <c r="K85" i="3"/>
  <c r="J85" i="3"/>
  <c r="I85" i="3"/>
  <c r="H85" i="3"/>
  <c r="G85" i="3"/>
  <c r="F85" i="3"/>
  <c r="E85" i="3"/>
  <c r="D85" i="3"/>
  <c r="U78" i="3"/>
  <c r="T78" i="3"/>
  <c r="S78" i="3"/>
  <c r="R78" i="3"/>
  <c r="Q78" i="3"/>
  <c r="P78" i="3"/>
  <c r="O78" i="3"/>
  <c r="N78" i="3"/>
  <c r="M78" i="3"/>
  <c r="L78" i="3"/>
  <c r="K78" i="3"/>
  <c r="J78" i="3"/>
  <c r="I78" i="3"/>
  <c r="H78" i="3"/>
  <c r="G78" i="3"/>
  <c r="F78" i="3"/>
  <c r="E78" i="3"/>
  <c r="D78" i="3"/>
  <c r="U71" i="3"/>
  <c r="T71" i="3"/>
  <c r="S71" i="3"/>
  <c r="R71" i="3"/>
  <c r="Q71" i="3"/>
  <c r="P71" i="3"/>
  <c r="O71" i="3"/>
  <c r="N71" i="3"/>
  <c r="M71" i="3"/>
  <c r="L71" i="3"/>
  <c r="K71" i="3"/>
  <c r="J71" i="3"/>
  <c r="H71" i="3"/>
  <c r="G71" i="3"/>
  <c r="F71" i="3"/>
  <c r="E71" i="3"/>
  <c r="U63" i="3"/>
  <c r="T63" i="3"/>
  <c r="S63" i="3"/>
  <c r="R63" i="3"/>
  <c r="Q63" i="3"/>
  <c r="P63" i="3"/>
  <c r="O63" i="3"/>
  <c r="N63" i="3"/>
  <c r="M63" i="3"/>
  <c r="L63" i="3"/>
  <c r="K63" i="3"/>
  <c r="J63" i="3"/>
  <c r="I63" i="3"/>
  <c r="H63" i="3"/>
  <c r="G63" i="3"/>
  <c r="F63" i="3"/>
  <c r="E63" i="3"/>
  <c r="D63" i="3"/>
  <c r="U62" i="3"/>
  <c r="T62" i="3"/>
  <c r="S62" i="3"/>
  <c r="R62" i="3"/>
  <c r="Q62" i="3"/>
  <c r="P62" i="3"/>
  <c r="O62" i="3"/>
  <c r="N62" i="3"/>
  <c r="M62" i="3"/>
  <c r="L62" i="3"/>
  <c r="K62" i="3"/>
  <c r="J62" i="3"/>
  <c r="I62" i="3"/>
  <c r="H62" i="3"/>
  <c r="G62" i="3"/>
  <c r="F62" i="3"/>
  <c r="E62" i="3"/>
  <c r="D62" i="3"/>
  <c r="U61" i="3"/>
  <c r="T61" i="3"/>
  <c r="S61" i="3"/>
  <c r="R61" i="3"/>
  <c r="Q61" i="3"/>
  <c r="P61" i="3"/>
  <c r="O61" i="3"/>
  <c r="N61" i="3"/>
  <c r="M61" i="3"/>
  <c r="L61" i="3"/>
  <c r="K61" i="3"/>
  <c r="J61" i="3"/>
  <c r="I61" i="3"/>
  <c r="H61" i="3"/>
  <c r="G61" i="3"/>
  <c r="F61" i="3"/>
  <c r="E61" i="3"/>
  <c r="D61" i="3"/>
  <c r="U60" i="3"/>
  <c r="T60" i="3"/>
  <c r="S60" i="3"/>
  <c r="R60" i="3"/>
  <c r="Q60" i="3"/>
  <c r="P60" i="3"/>
  <c r="O60" i="3"/>
  <c r="N60" i="3"/>
  <c r="M60" i="3"/>
  <c r="L60" i="3"/>
  <c r="K60" i="3"/>
  <c r="J60" i="3"/>
  <c r="I60" i="3"/>
  <c r="H60" i="3"/>
  <c r="G60" i="3"/>
  <c r="F60" i="3"/>
  <c r="E60" i="3"/>
  <c r="D60" i="3"/>
  <c r="U59" i="3"/>
  <c r="T59" i="3"/>
  <c r="S59" i="3"/>
  <c r="R59" i="3"/>
  <c r="Q59" i="3"/>
  <c r="P59" i="3"/>
  <c r="O59" i="3"/>
  <c r="N59" i="3"/>
  <c r="M59" i="3"/>
  <c r="L59" i="3"/>
  <c r="K59" i="3"/>
  <c r="J59" i="3"/>
  <c r="I59" i="3"/>
  <c r="H59" i="3"/>
  <c r="G59" i="3"/>
  <c r="F59" i="3"/>
  <c r="E59" i="3"/>
  <c r="D59" i="3"/>
  <c r="U57" i="3"/>
  <c r="T57" i="3"/>
  <c r="S57" i="3"/>
  <c r="R57" i="3"/>
  <c r="Q57" i="3"/>
  <c r="P57" i="3"/>
  <c r="O57" i="3"/>
  <c r="N57" i="3"/>
  <c r="M57" i="3"/>
  <c r="L57" i="3"/>
  <c r="K57" i="3"/>
  <c r="J57" i="3"/>
  <c r="I57" i="3"/>
  <c r="H57" i="3"/>
  <c r="G57" i="3"/>
  <c r="F57" i="3"/>
  <c r="E57" i="3"/>
  <c r="D57" i="3"/>
  <c r="U50" i="3"/>
  <c r="T50" i="3"/>
  <c r="S50" i="3"/>
  <c r="R50" i="3"/>
  <c r="Q50" i="3"/>
  <c r="P50" i="3"/>
  <c r="O50" i="3"/>
  <c r="N50" i="3"/>
  <c r="M50" i="3"/>
  <c r="L50" i="3"/>
  <c r="K50" i="3"/>
  <c r="J50" i="3"/>
  <c r="G50" i="3"/>
  <c r="F50" i="3"/>
  <c r="E50" i="3"/>
  <c r="D50" i="3"/>
  <c r="U43" i="3"/>
  <c r="T43" i="3"/>
  <c r="S43" i="3"/>
  <c r="R43" i="3"/>
  <c r="Q43" i="3"/>
  <c r="P43" i="3"/>
  <c r="O43" i="3"/>
  <c r="N43" i="3"/>
  <c r="M43" i="3"/>
  <c r="L43" i="3"/>
  <c r="K43" i="3"/>
  <c r="J43" i="3"/>
  <c r="I43" i="3"/>
  <c r="H43" i="3"/>
  <c r="G43" i="3"/>
  <c r="F43" i="3"/>
  <c r="E43" i="3"/>
  <c r="D43" i="3"/>
  <c r="U36" i="3"/>
  <c r="T36" i="3"/>
  <c r="S36" i="3"/>
  <c r="R36" i="3"/>
  <c r="Q36" i="3"/>
  <c r="P36" i="3"/>
  <c r="O36" i="3"/>
  <c r="N36" i="3"/>
  <c r="M36" i="3"/>
  <c r="L36" i="3"/>
  <c r="K36" i="3"/>
  <c r="J36" i="3"/>
  <c r="I36" i="3"/>
  <c r="H36" i="3"/>
  <c r="G36" i="3"/>
  <c r="F36" i="3"/>
  <c r="E36" i="3"/>
  <c r="D36" i="3"/>
  <c r="U29" i="3"/>
  <c r="T29" i="3"/>
  <c r="S29" i="3"/>
  <c r="R29" i="3"/>
  <c r="Q29" i="3"/>
  <c r="P29" i="3"/>
  <c r="O29" i="3"/>
  <c r="N29" i="3"/>
  <c r="M29" i="3"/>
  <c r="L29" i="3"/>
  <c r="K29" i="3"/>
  <c r="J29" i="3"/>
  <c r="I29" i="3"/>
  <c r="H29" i="3"/>
  <c r="G29" i="3"/>
  <c r="F29" i="3"/>
  <c r="E29" i="3"/>
  <c r="D29" i="3"/>
  <c r="U22" i="3"/>
  <c r="T22" i="3"/>
  <c r="S22" i="3"/>
  <c r="R22" i="3"/>
  <c r="Q22" i="3"/>
  <c r="P22" i="3"/>
  <c r="O22" i="3"/>
  <c r="N22" i="3"/>
  <c r="M22" i="3"/>
  <c r="L22" i="3"/>
  <c r="K22" i="3"/>
  <c r="J22" i="3"/>
  <c r="I22" i="3"/>
  <c r="H22" i="3"/>
  <c r="G22" i="3"/>
  <c r="F22" i="3"/>
  <c r="E22" i="3"/>
  <c r="D22" i="3"/>
  <c r="U15" i="3"/>
  <c r="T15" i="3"/>
  <c r="R15" i="3"/>
  <c r="Q15" i="3"/>
  <c r="P15" i="3"/>
  <c r="O15" i="3"/>
  <c r="M15" i="3"/>
  <c r="L15" i="3"/>
  <c r="J15" i="3"/>
  <c r="I15" i="3"/>
  <c r="G15" i="3"/>
  <c r="E15" i="3"/>
  <c r="A16" i="3"/>
  <c r="A23" i="3" s="1"/>
  <c r="A30" i="3" s="1"/>
  <c r="A37" i="3" s="1"/>
  <c r="A44" i="3" s="1"/>
  <c r="A51" i="3" s="1"/>
  <c r="A58" i="3" s="1"/>
  <c r="A65" i="3" s="1"/>
  <c r="A72" i="3" s="1"/>
  <c r="A86" i="3" s="1"/>
  <c r="A93" i="3" s="1"/>
  <c r="A100" i="3" s="1"/>
  <c r="A107" i="3" s="1"/>
  <c r="A114" i="3" s="1"/>
  <c r="A121" i="3" s="1"/>
  <c r="A128" i="3" s="1"/>
  <c r="L21" i="2"/>
  <c r="L20" i="2"/>
  <c r="L19" i="2"/>
  <c r="L18" i="2"/>
  <c r="L17" i="2"/>
  <c r="K21" i="2"/>
  <c r="K20" i="2"/>
  <c r="K19" i="2"/>
  <c r="K18" i="2"/>
  <c r="K17" i="2"/>
  <c r="J21" i="2"/>
  <c r="J20" i="2"/>
  <c r="J19" i="2"/>
  <c r="J18" i="2"/>
  <c r="J17" i="2"/>
  <c r="I21" i="2"/>
  <c r="I20" i="2"/>
  <c r="I19" i="2"/>
  <c r="I18" i="2"/>
  <c r="I17" i="2"/>
  <c r="H21" i="2"/>
  <c r="H20" i="2"/>
  <c r="H19" i="2"/>
  <c r="H18" i="2"/>
  <c r="H17" i="2"/>
  <c r="G21" i="2"/>
  <c r="G20" i="2"/>
  <c r="G19" i="2"/>
  <c r="G18" i="2"/>
  <c r="G17" i="2"/>
  <c r="F21" i="2"/>
  <c r="F20" i="2"/>
  <c r="F19" i="2"/>
  <c r="F18" i="2"/>
  <c r="F17" i="2"/>
  <c r="E20" i="2"/>
  <c r="E19" i="2"/>
  <c r="E18" i="2"/>
  <c r="E17" i="2"/>
  <c r="E21" i="2"/>
  <c r="D21" i="2"/>
  <c r="D20" i="2"/>
  <c r="D19" i="2"/>
  <c r="D18" i="2"/>
  <c r="D17" i="2"/>
  <c r="C21" i="2"/>
  <c r="C20" i="2"/>
  <c r="C19" i="2"/>
  <c r="C18" i="2"/>
  <c r="C17" i="2"/>
  <c r="T64" i="3" l="1"/>
  <c r="K64" i="3"/>
  <c r="S64" i="3"/>
  <c r="U64" i="3"/>
  <c r="D64" i="3"/>
  <c r="L64" i="3"/>
  <c r="M64" i="3"/>
  <c r="N64" i="3"/>
  <c r="E64" i="3"/>
  <c r="F64" i="3"/>
  <c r="F15" i="3"/>
  <c r="N15" i="3"/>
  <c r="N99" i="3"/>
  <c r="Q99" i="3"/>
  <c r="K15" i="3"/>
  <c r="H64" i="3"/>
  <c r="P64" i="3"/>
  <c r="J64" i="3"/>
  <c r="R64" i="3"/>
  <c r="S99" i="3"/>
  <c r="K99" i="3"/>
  <c r="O99" i="3"/>
  <c r="G64" i="3"/>
  <c r="O64" i="3"/>
  <c r="J99" i="3"/>
  <c r="I64" i="3"/>
  <c r="Q64" i="3"/>
  <c r="I99" i="3"/>
  <c r="H15" i="3"/>
  <c r="L99" i="3"/>
  <c r="T99" i="3"/>
  <c r="M99" i="3"/>
  <c r="U99" i="3"/>
  <c r="D15" i="3"/>
  <c r="O21" i="2"/>
  <c r="O20" i="2"/>
  <c r="O19" i="2"/>
  <c r="O18" i="2"/>
  <c r="O17" i="2"/>
  <c r="N21" i="2"/>
  <c r="N20" i="2"/>
  <c r="N19" i="2"/>
  <c r="N18" i="2"/>
  <c r="N17" i="2"/>
  <c r="M21" i="2"/>
  <c r="M20" i="2"/>
  <c r="M19" i="2"/>
  <c r="M18" i="2"/>
  <c r="M17" i="2"/>
  <c r="G99" i="3" l="1"/>
  <c r="R99" i="3"/>
  <c r="E99" i="3"/>
  <c r="P99" i="3"/>
  <c r="F99" i="3"/>
  <c r="D99" i="3"/>
  <c r="H99" i="3"/>
  <c r="H67" i="2"/>
  <c r="G67" i="2"/>
  <c r="H66" i="2"/>
  <c r="U70" i="2" l="1"/>
  <c r="D70" i="2"/>
  <c r="E70" i="2"/>
  <c r="F70" i="2"/>
  <c r="G70" i="2"/>
  <c r="H70" i="2"/>
  <c r="I70" i="2"/>
  <c r="J70" i="2"/>
  <c r="K70" i="2"/>
  <c r="L70" i="2"/>
  <c r="M70" i="2"/>
  <c r="N70" i="2"/>
  <c r="O70" i="2"/>
  <c r="P70" i="2"/>
  <c r="Q70" i="2"/>
  <c r="R70" i="2"/>
  <c r="S70" i="2"/>
  <c r="T70" i="2"/>
  <c r="D69" i="2"/>
  <c r="E69" i="2"/>
  <c r="F69" i="2"/>
  <c r="G69" i="2"/>
  <c r="H69" i="2"/>
  <c r="I69" i="2"/>
  <c r="J69" i="2"/>
  <c r="K69" i="2"/>
  <c r="L69" i="2"/>
  <c r="M69" i="2"/>
  <c r="N69" i="2"/>
  <c r="O69" i="2"/>
  <c r="P69" i="2"/>
  <c r="Q69" i="2"/>
  <c r="R69" i="2"/>
  <c r="S69" i="2"/>
  <c r="T69" i="2"/>
  <c r="U69" i="2"/>
  <c r="D68" i="2"/>
  <c r="E68" i="2"/>
  <c r="F68" i="2"/>
  <c r="G68" i="2"/>
  <c r="H68" i="2"/>
  <c r="I68" i="2"/>
  <c r="J68" i="2"/>
  <c r="K68" i="2"/>
  <c r="L68" i="2"/>
  <c r="M68" i="2"/>
  <c r="N68" i="2"/>
  <c r="O68" i="2"/>
  <c r="P68" i="2"/>
  <c r="Q68" i="2"/>
  <c r="R68" i="2"/>
  <c r="S68" i="2"/>
  <c r="T68" i="2"/>
  <c r="U68" i="2"/>
  <c r="C70" i="2"/>
  <c r="C69" i="2"/>
  <c r="C68" i="2"/>
  <c r="D67" i="2"/>
  <c r="E67" i="2"/>
  <c r="F67" i="2"/>
  <c r="I67" i="2"/>
  <c r="J67" i="2"/>
  <c r="K67" i="2"/>
  <c r="L67" i="2"/>
  <c r="M67" i="2"/>
  <c r="N67" i="2"/>
  <c r="O67" i="2"/>
  <c r="P67" i="2"/>
  <c r="Q67" i="2"/>
  <c r="R67" i="2"/>
  <c r="S67" i="2"/>
  <c r="T67" i="2"/>
  <c r="U67" i="2"/>
  <c r="C67" i="2"/>
  <c r="D66" i="2"/>
  <c r="C66" i="2"/>
  <c r="F66" i="2"/>
  <c r="G66" i="2"/>
  <c r="I66" i="2"/>
  <c r="J66" i="2"/>
  <c r="K66" i="2"/>
  <c r="L66" i="2"/>
  <c r="M66" i="2"/>
  <c r="N66" i="2"/>
  <c r="O66" i="2"/>
  <c r="P66" i="2"/>
  <c r="Q66" i="2"/>
  <c r="R66" i="2"/>
  <c r="S66" i="2"/>
  <c r="T66" i="2"/>
  <c r="U66" i="2"/>
  <c r="E66" i="2"/>
  <c r="N78" i="2" l="1"/>
  <c r="M78" i="2"/>
  <c r="I78" i="2" l="1"/>
  <c r="D78" i="2" l="1"/>
  <c r="V88" i="2" l="1"/>
  <c r="W88" i="2"/>
  <c r="X88" i="2"/>
  <c r="Y88" i="2"/>
  <c r="Z88" i="2"/>
  <c r="AA88" i="2"/>
  <c r="AB88" i="2"/>
  <c r="V89" i="2"/>
  <c r="W89" i="2"/>
  <c r="X89" i="2"/>
  <c r="Y89" i="2"/>
  <c r="Z89" i="2"/>
  <c r="AA89" i="2"/>
  <c r="AB89" i="2"/>
  <c r="V90" i="2"/>
  <c r="W90" i="2"/>
  <c r="W92" i="2" s="1"/>
  <c r="X90" i="2"/>
  <c r="Y90" i="2"/>
  <c r="Z90" i="2"/>
  <c r="AA90" i="2"/>
  <c r="AB90" i="2"/>
  <c r="V91" i="2"/>
  <c r="W91" i="2"/>
  <c r="X91" i="2"/>
  <c r="X92" i="2" s="1"/>
  <c r="Y91" i="2"/>
  <c r="Z91" i="2"/>
  <c r="AA91" i="2"/>
  <c r="AB91" i="2"/>
  <c r="AB87" i="2"/>
  <c r="AA87" i="2"/>
  <c r="AA92" i="2" s="1"/>
  <c r="Z87" i="2"/>
  <c r="Y87" i="2"/>
  <c r="Y92" i="2" s="1"/>
  <c r="X87" i="2"/>
  <c r="W87" i="2"/>
  <c r="V87" i="2"/>
  <c r="V81" i="2"/>
  <c r="W81" i="2"/>
  <c r="X81" i="2"/>
  <c r="Y81" i="2"/>
  <c r="Z81" i="2"/>
  <c r="AA81" i="2"/>
  <c r="AB81" i="2"/>
  <c r="V82" i="2"/>
  <c r="W82" i="2"/>
  <c r="X82" i="2"/>
  <c r="Y82" i="2"/>
  <c r="Z82" i="2"/>
  <c r="AA82" i="2"/>
  <c r="AB82" i="2"/>
  <c r="V83" i="2"/>
  <c r="W83" i="2"/>
  <c r="X83" i="2"/>
  <c r="Y83" i="2"/>
  <c r="Z83" i="2"/>
  <c r="AA83" i="2"/>
  <c r="AB83" i="2"/>
  <c r="V84" i="2"/>
  <c r="W84" i="2"/>
  <c r="X84" i="2"/>
  <c r="Y84" i="2"/>
  <c r="Z84" i="2"/>
  <c r="AA84" i="2"/>
  <c r="AB84" i="2"/>
  <c r="AB80" i="2"/>
  <c r="AA80" i="2"/>
  <c r="Z80" i="2"/>
  <c r="Y80" i="2"/>
  <c r="X80" i="2"/>
  <c r="W80" i="2"/>
  <c r="V80" i="2"/>
  <c r="V74" i="2"/>
  <c r="W74" i="2"/>
  <c r="X74" i="2"/>
  <c r="Y74" i="2"/>
  <c r="Z74" i="2"/>
  <c r="AA74" i="2"/>
  <c r="AB74" i="2"/>
  <c r="V75" i="2"/>
  <c r="W75" i="2"/>
  <c r="X75" i="2"/>
  <c r="Y75" i="2"/>
  <c r="Z75" i="2"/>
  <c r="AA75" i="2"/>
  <c r="AB75" i="2"/>
  <c r="V76" i="2"/>
  <c r="W76" i="2"/>
  <c r="X76" i="2"/>
  <c r="Y76" i="2"/>
  <c r="Z76" i="2"/>
  <c r="AA76" i="2"/>
  <c r="AB76" i="2"/>
  <c r="V77" i="2"/>
  <c r="W77" i="2"/>
  <c r="X77" i="2"/>
  <c r="Y77" i="2"/>
  <c r="Z77" i="2"/>
  <c r="Z78" i="2" s="1"/>
  <c r="AA77" i="2"/>
  <c r="AB77" i="2"/>
  <c r="AB73" i="2"/>
  <c r="AA73" i="2"/>
  <c r="Z73" i="2"/>
  <c r="Y73" i="2"/>
  <c r="X73" i="2"/>
  <c r="W73" i="2"/>
  <c r="V73" i="2"/>
  <c r="V67" i="2"/>
  <c r="W67" i="2"/>
  <c r="X67" i="2"/>
  <c r="Y67" i="2"/>
  <c r="Z67" i="2"/>
  <c r="AA67" i="2"/>
  <c r="AB67" i="2"/>
  <c r="V68" i="2"/>
  <c r="W68" i="2"/>
  <c r="X68" i="2"/>
  <c r="Y68" i="2"/>
  <c r="Z68" i="2"/>
  <c r="AA68" i="2"/>
  <c r="AB68" i="2"/>
  <c r="V69" i="2"/>
  <c r="W69" i="2"/>
  <c r="X69" i="2"/>
  <c r="Y69" i="2"/>
  <c r="Z69" i="2"/>
  <c r="AA69" i="2"/>
  <c r="AB69" i="2"/>
  <c r="V70" i="2"/>
  <c r="W70" i="2"/>
  <c r="X70" i="2"/>
  <c r="Y70" i="2"/>
  <c r="Z70" i="2"/>
  <c r="AA70" i="2"/>
  <c r="AB70" i="2"/>
  <c r="AB66" i="2"/>
  <c r="AA66" i="2"/>
  <c r="Z66" i="2"/>
  <c r="Y66" i="2"/>
  <c r="X66" i="2"/>
  <c r="W66" i="2"/>
  <c r="V66" i="2"/>
  <c r="V60" i="2"/>
  <c r="W60" i="2"/>
  <c r="X60" i="2"/>
  <c r="Y60" i="2"/>
  <c r="Z60" i="2"/>
  <c r="AA60" i="2"/>
  <c r="AB60" i="2"/>
  <c r="V61" i="2"/>
  <c r="W61" i="2"/>
  <c r="X61" i="2"/>
  <c r="Y61" i="2"/>
  <c r="Z61" i="2"/>
  <c r="AA61" i="2"/>
  <c r="AB61" i="2"/>
  <c r="V62" i="2"/>
  <c r="W62" i="2"/>
  <c r="X62" i="2"/>
  <c r="Y62" i="2"/>
  <c r="Z62" i="2"/>
  <c r="AA62" i="2"/>
  <c r="AB62" i="2"/>
  <c r="V63" i="2"/>
  <c r="W63" i="2"/>
  <c r="X63" i="2"/>
  <c r="Y63" i="2"/>
  <c r="Z63" i="2"/>
  <c r="AA63" i="2"/>
  <c r="AB63" i="2"/>
  <c r="AB59" i="2"/>
  <c r="AA59" i="2"/>
  <c r="Z59" i="2"/>
  <c r="Y59" i="2"/>
  <c r="X59" i="2"/>
  <c r="W59" i="2"/>
  <c r="V59" i="2"/>
  <c r="V53" i="2"/>
  <c r="W53" i="2"/>
  <c r="X53" i="2"/>
  <c r="Y53" i="2"/>
  <c r="Z53" i="2"/>
  <c r="AA53" i="2"/>
  <c r="AB53" i="2"/>
  <c r="V54" i="2"/>
  <c r="W54" i="2"/>
  <c r="X54" i="2"/>
  <c r="Y54" i="2"/>
  <c r="Z54" i="2"/>
  <c r="AA54" i="2"/>
  <c r="AB54" i="2"/>
  <c r="V55" i="2"/>
  <c r="W55" i="2"/>
  <c r="X55" i="2"/>
  <c r="Y55" i="2"/>
  <c r="Z55" i="2"/>
  <c r="AA55" i="2"/>
  <c r="AB55" i="2"/>
  <c r="V56" i="2"/>
  <c r="W56" i="2"/>
  <c r="X56" i="2"/>
  <c r="Y56" i="2"/>
  <c r="Z56" i="2"/>
  <c r="AA56" i="2"/>
  <c r="AB56" i="2"/>
  <c r="AB52" i="2"/>
  <c r="AA52" i="2"/>
  <c r="Z52" i="2"/>
  <c r="Y52" i="2"/>
  <c r="X52" i="2"/>
  <c r="W52" i="2"/>
  <c r="V52" i="2"/>
  <c r="V46" i="2"/>
  <c r="W46" i="2"/>
  <c r="X46" i="2"/>
  <c r="Y46" i="2"/>
  <c r="Z46" i="2"/>
  <c r="AA46" i="2"/>
  <c r="AB46" i="2"/>
  <c r="V47" i="2"/>
  <c r="W47" i="2"/>
  <c r="X47" i="2"/>
  <c r="Y47" i="2"/>
  <c r="Z47" i="2"/>
  <c r="AA47" i="2"/>
  <c r="AB47" i="2"/>
  <c r="V48" i="2"/>
  <c r="W48" i="2"/>
  <c r="X48" i="2"/>
  <c r="Y48" i="2"/>
  <c r="Z48" i="2"/>
  <c r="AA48" i="2"/>
  <c r="AB48" i="2"/>
  <c r="V49" i="2"/>
  <c r="W49" i="2"/>
  <c r="X49" i="2"/>
  <c r="Y49" i="2"/>
  <c r="Z49" i="2"/>
  <c r="AA49" i="2"/>
  <c r="AB49" i="2"/>
  <c r="AB45" i="2"/>
  <c r="AA45" i="2"/>
  <c r="Z45" i="2"/>
  <c r="Y45" i="2"/>
  <c r="X45" i="2"/>
  <c r="W45" i="2"/>
  <c r="V45" i="2"/>
  <c r="V39" i="2"/>
  <c r="W39" i="2"/>
  <c r="X39" i="2"/>
  <c r="Y39" i="2"/>
  <c r="Z39" i="2"/>
  <c r="AA39" i="2"/>
  <c r="AB39" i="2"/>
  <c r="V40" i="2"/>
  <c r="W40" i="2"/>
  <c r="X40" i="2"/>
  <c r="Y40" i="2"/>
  <c r="Z40" i="2"/>
  <c r="AA40" i="2"/>
  <c r="AB40" i="2"/>
  <c r="V41" i="2"/>
  <c r="W41" i="2"/>
  <c r="X41" i="2"/>
  <c r="Y41" i="2"/>
  <c r="Z41" i="2"/>
  <c r="AA41" i="2"/>
  <c r="AB41" i="2"/>
  <c r="V42" i="2"/>
  <c r="W42" i="2"/>
  <c r="X42" i="2"/>
  <c r="Y42" i="2"/>
  <c r="Z42" i="2"/>
  <c r="AA42" i="2"/>
  <c r="AB42" i="2"/>
  <c r="AB38" i="2"/>
  <c r="AA38" i="2"/>
  <c r="Z38" i="2"/>
  <c r="Y38" i="2"/>
  <c r="X38" i="2"/>
  <c r="W38" i="2"/>
  <c r="V38" i="2"/>
  <c r="V32" i="2"/>
  <c r="W32" i="2"/>
  <c r="X32" i="2"/>
  <c r="Y32" i="2"/>
  <c r="Z32" i="2"/>
  <c r="AA32" i="2"/>
  <c r="AB32" i="2"/>
  <c r="V33" i="2"/>
  <c r="W33" i="2"/>
  <c r="X33" i="2"/>
  <c r="Y33" i="2"/>
  <c r="Z33" i="2"/>
  <c r="AA33" i="2"/>
  <c r="AB33" i="2"/>
  <c r="V34" i="2"/>
  <c r="W34" i="2"/>
  <c r="X34" i="2"/>
  <c r="Y34" i="2"/>
  <c r="Z34" i="2"/>
  <c r="AA34" i="2"/>
  <c r="AB34" i="2"/>
  <c r="V35" i="2"/>
  <c r="W35" i="2"/>
  <c r="X35" i="2"/>
  <c r="Y35" i="2"/>
  <c r="Z35" i="2"/>
  <c r="AA35" i="2"/>
  <c r="AB35" i="2"/>
  <c r="AB31" i="2"/>
  <c r="AA31" i="2"/>
  <c r="Z31" i="2"/>
  <c r="Y31" i="2"/>
  <c r="Y36" i="2" s="1"/>
  <c r="X31" i="2"/>
  <c r="W31" i="2"/>
  <c r="V31" i="2"/>
  <c r="V25" i="2"/>
  <c r="W25" i="2"/>
  <c r="X25" i="2"/>
  <c r="Y25" i="2"/>
  <c r="Z25" i="2"/>
  <c r="AA25" i="2"/>
  <c r="AB25" i="2"/>
  <c r="W26" i="2"/>
  <c r="X26" i="2"/>
  <c r="Y26" i="2"/>
  <c r="Z26" i="2"/>
  <c r="AA26" i="2"/>
  <c r="AB26" i="2"/>
  <c r="W27" i="2"/>
  <c r="X27" i="2"/>
  <c r="Y27" i="2"/>
  <c r="Z27" i="2"/>
  <c r="AA27" i="2"/>
  <c r="AB27" i="2"/>
  <c r="W28" i="2"/>
  <c r="X28" i="2"/>
  <c r="Y28" i="2"/>
  <c r="Z28" i="2"/>
  <c r="AA28" i="2"/>
  <c r="AB28" i="2"/>
  <c r="AB24" i="2"/>
  <c r="AA24" i="2"/>
  <c r="Z24" i="2"/>
  <c r="Y24" i="2"/>
  <c r="X24" i="2"/>
  <c r="W24" i="2"/>
  <c r="V24" i="2"/>
  <c r="E29" i="2"/>
  <c r="F29" i="2"/>
  <c r="G29" i="2"/>
  <c r="H29" i="2"/>
  <c r="I29" i="2"/>
  <c r="J29" i="2"/>
  <c r="K29" i="2"/>
  <c r="L29" i="2"/>
  <c r="M29" i="2"/>
  <c r="N29" i="2"/>
  <c r="O29" i="2"/>
  <c r="P29" i="2"/>
  <c r="Q29" i="2"/>
  <c r="R29" i="2"/>
  <c r="S29" i="2"/>
  <c r="T29" i="2"/>
  <c r="U29" i="2"/>
  <c r="E36" i="2"/>
  <c r="F36" i="2"/>
  <c r="G36" i="2"/>
  <c r="H36" i="2"/>
  <c r="I36" i="2"/>
  <c r="J36" i="2"/>
  <c r="K36" i="2"/>
  <c r="L36" i="2"/>
  <c r="M36" i="2"/>
  <c r="N36" i="2"/>
  <c r="O36" i="2"/>
  <c r="P36" i="2"/>
  <c r="Q36" i="2"/>
  <c r="R36" i="2"/>
  <c r="S36" i="2"/>
  <c r="T36" i="2"/>
  <c r="U36" i="2"/>
  <c r="E43" i="2"/>
  <c r="F43" i="2"/>
  <c r="G43" i="2"/>
  <c r="H43" i="2"/>
  <c r="I43" i="2"/>
  <c r="J43" i="2"/>
  <c r="K43" i="2"/>
  <c r="L43" i="2"/>
  <c r="M43" i="2"/>
  <c r="N43" i="2"/>
  <c r="O43" i="2"/>
  <c r="P43" i="2"/>
  <c r="Q43" i="2"/>
  <c r="R43" i="2"/>
  <c r="S43" i="2"/>
  <c r="T43" i="2"/>
  <c r="U43" i="2"/>
  <c r="E50" i="2"/>
  <c r="F50" i="2"/>
  <c r="G50" i="2"/>
  <c r="H50" i="2"/>
  <c r="I50" i="2"/>
  <c r="J50" i="2"/>
  <c r="K50" i="2"/>
  <c r="L50" i="2"/>
  <c r="M50" i="2"/>
  <c r="N50" i="2"/>
  <c r="O50" i="2"/>
  <c r="P50" i="2"/>
  <c r="Q50" i="2"/>
  <c r="R50" i="2"/>
  <c r="S50" i="2"/>
  <c r="T50" i="2"/>
  <c r="U50" i="2"/>
  <c r="E57" i="2"/>
  <c r="F57" i="2"/>
  <c r="G57" i="2"/>
  <c r="H57" i="2"/>
  <c r="I57" i="2"/>
  <c r="J57" i="2"/>
  <c r="K57" i="2"/>
  <c r="L57" i="2"/>
  <c r="M57" i="2"/>
  <c r="N57" i="2"/>
  <c r="O57" i="2"/>
  <c r="P57" i="2"/>
  <c r="Q57" i="2"/>
  <c r="R57" i="2"/>
  <c r="S57" i="2"/>
  <c r="T57" i="2"/>
  <c r="U57" i="2"/>
  <c r="E64" i="2"/>
  <c r="F64" i="2"/>
  <c r="G64" i="2"/>
  <c r="H64" i="2"/>
  <c r="I64" i="2"/>
  <c r="J64" i="2"/>
  <c r="K64" i="2"/>
  <c r="L64" i="2"/>
  <c r="M64" i="2"/>
  <c r="N64" i="2"/>
  <c r="O64" i="2"/>
  <c r="P64" i="2"/>
  <c r="Q64" i="2"/>
  <c r="R64" i="2"/>
  <c r="S64" i="2"/>
  <c r="T64" i="2"/>
  <c r="U64" i="2"/>
  <c r="E71" i="2"/>
  <c r="F71" i="2"/>
  <c r="G71" i="2"/>
  <c r="H71" i="2"/>
  <c r="I71" i="2"/>
  <c r="J71" i="2"/>
  <c r="K71" i="2"/>
  <c r="L71" i="2"/>
  <c r="M71" i="2"/>
  <c r="N71" i="2"/>
  <c r="O71" i="2"/>
  <c r="P71" i="2"/>
  <c r="Q71" i="2"/>
  <c r="R71" i="2"/>
  <c r="S71" i="2"/>
  <c r="T71" i="2"/>
  <c r="U71" i="2"/>
  <c r="E78" i="2"/>
  <c r="F78" i="2"/>
  <c r="G78" i="2"/>
  <c r="H78" i="2"/>
  <c r="J78" i="2"/>
  <c r="K78" i="2"/>
  <c r="L78" i="2"/>
  <c r="O78" i="2"/>
  <c r="P78" i="2"/>
  <c r="Q78" i="2"/>
  <c r="R78" i="2"/>
  <c r="S78" i="2"/>
  <c r="T78" i="2"/>
  <c r="U78" i="2"/>
  <c r="E85" i="2"/>
  <c r="F85" i="2"/>
  <c r="G85" i="2"/>
  <c r="H85" i="2"/>
  <c r="I85" i="2"/>
  <c r="J85" i="2"/>
  <c r="K85" i="2"/>
  <c r="L85" i="2"/>
  <c r="M85" i="2"/>
  <c r="N85" i="2"/>
  <c r="O85" i="2"/>
  <c r="P85" i="2"/>
  <c r="Q85" i="2"/>
  <c r="R85" i="2"/>
  <c r="S85" i="2"/>
  <c r="T85" i="2"/>
  <c r="E92" i="2"/>
  <c r="F92" i="2"/>
  <c r="G92" i="2"/>
  <c r="H92" i="2"/>
  <c r="I92" i="2"/>
  <c r="J92" i="2"/>
  <c r="K92" i="2"/>
  <c r="L92" i="2"/>
  <c r="M92" i="2"/>
  <c r="N92" i="2"/>
  <c r="O92" i="2"/>
  <c r="P92" i="2"/>
  <c r="Q92" i="2"/>
  <c r="R92" i="2"/>
  <c r="S92" i="2"/>
  <c r="T92" i="2"/>
  <c r="U92" i="2"/>
  <c r="V92" i="2"/>
  <c r="Z92" i="2"/>
  <c r="AB92" i="2"/>
  <c r="D29" i="2"/>
  <c r="D36" i="2"/>
  <c r="D43" i="2"/>
  <c r="D50" i="2"/>
  <c r="D57" i="2"/>
  <c r="D64" i="2"/>
  <c r="D71" i="2"/>
  <c r="D85" i="2"/>
  <c r="D92" i="2"/>
  <c r="C92" i="2"/>
  <c r="C85" i="2"/>
  <c r="C78" i="2"/>
  <c r="C71" i="2"/>
  <c r="C64" i="2"/>
  <c r="C57" i="2"/>
  <c r="C50" i="2"/>
  <c r="C43" i="2"/>
  <c r="C36" i="2"/>
  <c r="X17" i="2"/>
  <c r="Y17" i="2"/>
  <c r="Z17" i="2"/>
  <c r="AA17" i="2"/>
  <c r="AB17" i="2"/>
  <c r="X18" i="2"/>
  <c r="Y18" i="2"/>
  <c r="Z18" i="2"/>
  <c r="AA18" i="2"/>
  <c r="AB18" i="2"/>
  <c r="X19" i="2"/>
  <c r="Y19" i="2"/>
  <c r="Z19" i="2"/>
  <c r="AA19" i="2"/>
  <c r="AB19" i="2"/>
  <c r="X20" i="2"/>
  <c r="Y20" i="2"/>
  <c r="Z20" i="2"/>
  <c r="AA20" i="2"/>
  <c r="AB20" i="2"/>
  <c r="X21" i="2"/>
  <c r="Y21" i="2"/>
  <c r="Z21" i="2"/>
  <c r="AA21" i="2"/>
  <c r="AB21" i="2"/>
  <c r="W17" i="2"/>
  <c r="W18" i="2"/>
  <c r="W19" i="2"/>
  <c r="W20" i="2"/>
  <c r="W21" i="2"/>
  <c r="V18" i="2"/>
  <c r="V19" i="2"/>
  <c r="V20" i="2"/>
  <c r="V21" i="2"/>
  <c r="V17" i="2"/>
  <c r="E22" i="2"/>
  <c r="F22" i="2"/>
  <c r="G22" i="2"/>
  <c r="H22" i="2"/>
  <c r="I22" i="2"/>
  <c r="J22" i="2"/>
  <c r="K22" i="2"/>
  <c r="L22" i="2"/>
  <c r="M22" i="2"/>
  <c r="N22" i="2"/>
  <c r="O22" i="2"/>
  <c r="P22" i="2"/>
  <c r="Q22" i="2"/>
  <c r="R22" i="2"/>
  <c r="S22" i="2"/>
  <c r="T22" i="2"/>
  <c r="U22" i="2"/>
  <c r="D22" i="2"/>
  <c r="C22" i="2"/>
  <c r="X10" i="2"/>
  <c r="Y10" i="2"/>
  <c r="Z10" i="2"/>
  <c r="AA10" i="2"/>
  <c r="AB10" i="2"/>
  <c r="X11" i="2"/>
  <c r="Y11" i="2"/>
  <c r="Z11" i="2"/>
  <c r="AA11" i="2"/>
  <c r="AB11" i="2"/>
  <c r="X12" i="2"/>
  <c r="Y12" i="2"/>
  <c r="Z12" i="2"/>
  <c r="AA12" i="2"/>
  <c r="AB12" i="2"/>
  <c r="X13" i="2"/>
  <c r="Y13" i="2"/>
  <c r="Z13" i="2"/>
  <c r="AA13" i="2"/>
  <c r="AB13" i="2"/>
  <c r="X14" i="2"/>
  <c r="Y14" i="2"/>
  <c r="Z14" i="2"/>
  <c r="AA14" i="2"/>
  <c r="AB14" i="2"/>
  <c r="W10" i="2"/>
  <c r="W11" i="2"/>
  <c r="W12" i="2"/>
  <c r="W13" i="2"/>
  <c r="W14" i="2"/>
  <c r="V11" i="2"/>
  <c r="V12" i="2"/>
  <c r="V13" i="2"/>
  <c r="V14" i="2"/>
  <c r="V10" i="2"/>
  <c r="M15" i="2"/>
  <c r="N15" i="2"/>
  <c r="O15" i="2"/>
  <c r="P15" i="2"/>
  <c r="Q15" i="2"/>
  <c r="R15" i="2"/>
  <c r="S15" i="2"/>
  <c r="T15" i="2"/>
  <c r="U15" i="2"/>
  <c r="X136" i="2"/>
  <c r="Y136" i="2"/>
  <c r="Z136" i="2"/>
  <c r="AA136" i="2"/>
  <c r="AB136" i="2"/>
  <c r="X137" i="2"/>
  <c r="Y137" i="2"/>
  <c r="Z137" i="2"/>
  <c r="AA137" i="2"/>
  <c r="AB137" i="2"/>
  <c r="X138" i="2"/>
  <c r="Y138" i="2"/>
  <c r="Z138" i="2"/>
  <c r="AA138" i="2"/>
  <c r="AB138" i="2"/>
  <c r="X139" i="2"/>
  <c r="Y139" i="2"/>
  <c r="Z139" i="2"/>
  <c r="AA139" i="2"/>
  <c r="AB139" i="2"/>
  <c r="X140" i="2"/>
  <c r="Y140" i="2"/>
  <c r="Z140" i="2"/>
  <c r="AA140" i="2"/>
  <c r="AB140" i="2"/>
  <c r="W136" i="2"/>
  <c r="W137" i="2"/>
  <c r="W138" i="2"/>
  <c r="W139" i="2"/>
  <c r="W140" i="2"/>
  <c r="V137" i="2"/>
  <c r="V138" i="2"/>
  <c r="V139" i="2"/>
  <c r="V140" i="2"/>
  <c r="V136" i="2"/>
  <c r="E141" i="2"/>
  <c r="F141" i="2"/>
  <c r="G141" i="2"/>
  <c r="H141" i="2"/>
  <c r="I141" i="2"/>
  <c r="J141" i="2"/>
  <c r="K141" i="2"/>
  <c r="L141" i="2"/>
  <c r="M141" i="2"/>
  <c r="N141" i="2"/>
  <c r="O141" i="2"/>
  <c r="P141" i="2"/>
  <c r="Q141" i="2"/>
  <c r="R141" i="2"/>
  <c r="S141" i="2"/>
  <c r="T141" i="2"/>
  <c r="U141" i="2"/>
  <c r="D141" i="2"/>
  <c r="C141" i="2"/>
  <c r="X129" i="2"/>
  <c r="Y129" i="2"/>
  <c r="Z129" i="2"/>
  <c r="AA129" i="2"/>
  <c r="AB129" i="2"/>
  <c r="X130" i="2"/>
  <c r="Y130" i="2"/>
  <c r="Z130" i="2"/>
  <c r="AA130" i="2"/>
  <c r="AB130" i="2"/>
  <c r="X131" i="2"/>
  <c r="Y131" i="2"/>
  <c r="Z131" i="2"/>
  <c r="AA131" i="2"/>
  <c r="AB131" i="2"/>
  <c r="X132" i="2"/>
  <c r="Y132" i="2"/>
  <c r="Z132" i="2"/>
  <c r="AA132" i="2"/>
  <c r="AB132" i="2"/>
  <c r="X133" i="2"/>
  <c r="Y133" i="2"/>
  <c r="Z133" i="2"/>
  <c r="AA133" i="2"/>
  <c r="AB133" i="2"/>
  <c r="W129" i="2"/>
  <c r="W130" i="2"/>
  <c r="W131" i="2"/>
  <c r="W132" i="2"/>
  <c r="W133" i="2"/>
  <c r="V130" i="2"/>
  <c r="V131" i="2"/>
  <c r="V132" i="2"/>
  <c r="V133" i="2"/>
  <c r="V129" i="2"/>
  <c r="E134" i="2"/>
  <c r="F134" i="2"/>
  <c r="G134" i="2"/>
  <c r="H134" i="2"/>
  <c r="I134" i="2"/>
  <c r="J134" i="2"/>
  <c r="K134" i="2"/>
  <c r="L134" i="2"/>
  <c r="M134" i="2"/>
  <c r="N134" i="2"/>
  <c r="O134" i="2"/>
  <c r="P134" i="2"/>
  <c r="Q134" i="2"/>
  <c r="R134" i="2"/>
  <c r="S134" i="2"/>
  <c r="T134" i="2"/>
  <c r="U134" i="2"/>
  <c r="D134" i="2"/>
  <c r="C134" i="2"/>
  <c r="X122" i="2"/>
  <c r="Y122" i="2"/>
  <c r="Z122" i="2"/>
  <c r="AA122" i="2"/>
  <c r="AB122" i="2"/>
  <c r="X123" i="2"/>
  <c r="Y123" i="2"/>
  <c r="Z123" i="2"/>
  <c r="AA123" i="2"/>
  <c r="AB123" i="2"/>
  <c r="X124" i="2"/>
  <c r="Y124" i="2"/>
  <c r="Z124" i="2"/>
  <c r="AA124" i="2"/>
  <c r="AB124" i="2"/>
  <c r="X125" i="2"/>
  <c r="Y125" i="2"/>
  <c r="Z125" i="2"/>
  <c r="AA125" i="2"/>
  <c r="AB125" i="2"/>
  <c r="X126" i="2"/>
  <c r="Y126" i="2"/>
  <c r="Z126" i="2"/>
  <c r="AA126" i="2"/>
  <c r="AB126" i="2"/>
  <c r="W122" i="2"/>
  <c r="W123" i="2"/>
  <c r="W124" i="2"/>
  <c r="W125" i="2"/>
  <c r="W126" i="2"/>
  <c r="V123" i="2"/>
  <c r="V124" i="2"/>
  <c r="V125" i="2"/>
  <c r="V126" i="2"/>
  <c r="V122" i="2"/>
  <c r="G127" i="2"/>
  <c r="H127" i="2"/>
  <c r="I127" i="2"/>
  <c r="J127" i="2"/>
  <c r="K127" i="2"/>
  <c r="L127" i="2"/>
  <c r="M127" i="2"/>
  <c r="N127" i="2"/>
  <c r="O127" i="2"/>
  <c r="P127" i="2"/>
  <c r="Q127" i="2"/>
  <c r="R127" i="2"/>
  <c r="S127" i="2"/>
  <c r="T127" i="2"/>
  <c r="U127" i="2"/>
  <c r="E127" i="2"/>
  <c r="F127" i="2"/>
  <c r="D127" i="2"/>
  <c r="C127" i="2"/>
  <c r="R116" i="2"/>
  <c r="O119" i="2"/>
  <c r="X108" i="2"/>
  <c r="Y108" i="2"/>
  <c r="Z108" i="2"/>
  <c r="AA108" i="2"/>
  <c r="AB108" i="2"/>
  <c r="X109" i="2"/>
  <c r="Y109" i="2"/>
  <c r="Z109" i="2"/>
  <c r="AA109" i="2"/>
  <c r="AB109" i="2"/>
  <c r="X110" i="2"/>
  <c r="Y110" i="2"/>
  <c r="Z110" i="2"/>
  <c r="AA110" i="2"/>
  <c r="AB110" i="2"/>
  <c r="X111" i="2"/>
  <c r="Y111" i="2"/>
  <c r="Z111" i="2"/>
  <c r="AA111" i="2"/>
  <c r="AB111" i="2"/>
  <c r="X112" i="2"/>
  <c r="Y112" i="2"/>
  <c r="Z112" i="2"/>
  <c r="AA112" i="2"/>
  <c r="AB112" i="2"/>
  <c r="W108" i="2"/>
  <c r="W109" i="2"/>
  <c r="W110" i="2"/>
  <c r="W111" i="2"/>
  <c r="W112" i="2"/>
  <c r="V109" i="2"/>
  <c r="V110" i="2"/>
  <c r="V111" i="2"/>
  <c r="V112" i="2"/>
  <c r="V108" i="2"/>
  <c r="E113" i="2"/>
  <c r="F113" i="2"/>
  <c r="G113" i="2"/>
  <c r="H113" i="2"/>
  <c r="I113" i="2"/>
  <c r="J113" i="2"/>
  <c r="K113" i="2"/>
  <c r="L113" i="2"/>
  <c r="M113" i="2"/>
  <c r="N113" i="2"/>
  <c r="O113" i="2"/>
  <c r="P113" i="2"/>
  <c r="Q113" i="2"/>
  <c r="R113" i="2"/>
  <c r="S113" i="2"/>
  <c r="T113" i="2"/>
  <c r="U113" i="2"/>
  <c r="D113" i="2"/>
  <c r="C113" i="2"/>
  <c r="W101" i="2"/>
  <c r="X101" i="2"/>
  <c r="Y101" i="2"/>
  <c r="Z101" i="2"/>
  <c r="AA101" i="2"/>
  <c r="AB101" i="2"/>
  <c r="W102" i="2"/>
  <c r="X102" i="2"/>
  <c r="Y102" i="2"/>
  <c r="Z102" i="2"/>
  <c r="AA102" i="2"/>
  <c r="AB102" i="2"/>
  <c r="W103" i="2"/>
  <c r="X103" i="2"/>
  <c r="Y103" i="2"/>
  <c r="Z103" i="2"/>
  <c r="AA103" i="2"/>
  <c r="AB103" i="2"/>
  <c r="W104" i="2"/>
  <c r="X104" i="2"/>
  <c r="Y104" i="2"/>
  <c r="Z104" i="2"/>
  <c r="AA104" i="2"/>
  <c r="AB104" i="2"/>
  <c r="W105" i="2"/>
  <c r="X105" i="2"/>
  <c r="Y105" i="2"/>
  <c r="Z105" i="2"/>
  <c r="AA105" i="2"/>
  <c r="AB105" i="2"/>
  <c r="V102" i="2"/>
  <c r="V103" i="2"/>
  <c r="V104" i="2"/>
  <c r="V105" i="2"/>
  <c r="V101" i="2"/>
  <c r="E106" i="2"/>
  <c r="F106" i="2"/>
  <c r="G106" i="2"/>
  <c r="H106" i="2"/>
  <c r="I106" i="2"/>
  <c r="J106" i="2"/>
  <c r="K106" i="2"/>
  <c r="L106" i="2"/>
  <c r="M106" i="2"/>
  <c r="N106" i="2"/>
  <c r="O106" i="2"/>
  <c r="P106" i="2"/>
  <c r="Q106" i="2"/>
  <c r="R106" i="2"/>
  <c r="S106" i="2"/>
  <c r="T106" i="2"/>
  <c r="U106" i="2"/>
  <c r="C106" i="2"/>
  <c r="Y95" i="2"/>
  <c r="D94" i="2"/>
  <c r="D115" i="2" s="1"/>
  <c r="E94" i="2"/>
  <c r="E115" i="2" s="1"/>
  <c r="F94" i="2"/>
  <c r="F115" i="2" s="1"/>
  <c r="G94" i="2"/>
  <c r="G115" i="2" s="1"/>
  <c r="H94" i="2"/>
  <c r="I94" i="2"/>
  <c r="I115" i="2" s="1"/>
  <c r="J94" i="2"/>
  <c r="K94" i="2"/>
  <c r="K115" i="2" s="1"/>
  <c r="L94" i="2"/>
  <c r="L115" i="2" s="1"/>
  <c r="M94" i="2"/>
  <c r="M115" i="2" s="1"/>
  <c r="N94" i="2"/>
  <c r="N115" i="2" s="1"/>
  <c r="O94" i="2"/>
  <c r="P94" i="2"/>
  <c r="P115" i="2" s="1"/>
  <c r="Q94" i="2"/>
  <c r="Q115" i="2" s="1"/>
  <c r="R94" i="2"/>
  <c r="S94" i="2"/>
  <c r="S115" i="2" s="1"/>
  <c r="T94" i="2"/>
  <c r="T115" i="2" s="1"/>
  <c r="U115" i="2"/>
  <c r="D95" i="2"/>
  <c r="E95" i="2"/>
  <c r="E116" i="2" s="1"/>
  <c r="F95" i="2"/>
  <c r="G95" i="2"/>
  <c r="H95" i="2"/>
  <c r="H116" i="2" s="1"/>
  <c r="I95" i="2"/>
  <c r="I116" i="2" s="1"/>
  <c r="J95" i="2"/>
  <c r="J116" i="2" s="1"/>
  <c r="K95" i="2"/>
  <c r="K116" i="2" s="1"/>
  <c r="L95" i="2"/>
  <c r="L116" i="2" s="1"/>
  <c r="M95" i="2"/>
  <c r="M116" i="2" s="1"/>
  <c r="N95" i="2"/>
  <c r="N116" i="2" s="1"/>
  <c r="O95" i="2"/>
  <c r="P95" i="2"/>
  <c r="P116" i="2" s="1"/>
  <c r="Q95" i="2"/>
  <c r="Q116" i="2" s="1"/>
  <c r="R95" i="2"/>
  <c r="S95" i="2"/>
  <c r="S116" i="2" s="1"/>
  <c r="T95" i="2"/>
  <c r="T116" i="2" s="1"/>
  <c r="U116" i="2"/>
  <c r="D96" i="2"/>
  <c r="D117" i="2" s="1"/>
  <c r="E96" i="2"/>
  <c r="E117" i="2" s="1"/>
  <c r="F96" i="2"/>
  <c r="G96" i="2"/>
  <c r="G117" i="2" s="1"/>
  <c r="H96" i="2"/>
  <c r="H117" i="2" s="1"/>
  <c r="I96" i="2"/>
  <c r="AB96" i="2" s="1"/>
  <c r="J96" i="2"/>
  <c r="J117" i="2" s="1"/>
  <c r="K96" i="2"/>
  <c r="K117" i="2" s="1"/>
  <c r="L96" i="2"/>
  <c r="M96" i="2"/>
  <c r="M117" i="2" s="1"/>
  <c r="N96" i="2"/>
  <c r="N117" i="2" s="1"/>
  <c r="O96" i="2"/>
  <c r="P96" i="2"/>
  <c r="P117" i="2" s="1"/>
  <c r="Q96" i="2"/>
  <c r="Q117" i="2" s="1"/>
  <c r="R96" i="2"/>
  <c r="R117" i="2" s="1"/>
  <c r="S96" i="2"/>
  <c r="S117" i="2" s="1"/>
  <c r="T96" i="2"/>
  <c r="U117" i="2"/>
  <c r="D97" i="2"/>
  <c r="D118" i="2" s="1"/>
  <c r="E97" i="2"/>
  <c r="E118" i="2" s="1"/>
  <c r="F97" i="2"/>
  <c r="F118" i="2" s="1"/>
  <c r="G97" i="2"/>
  <c r="G118" i="2" s="1"/>
  <c r="H97" i="2"/>
  <c r="H118" i="2" s="1"/>
  <c r="I97" i="2"/>
  <c r="J97" i="2"/>
  <c r="J118" i="2" s="1"/>
  <c r="K97" i="2"/>
  <c r="K118" i="2" s="1"/>
  <c r="L97" i="2"/>
  <c r="L118" i="2" s="1"/>
  <c r="M97" i="2"/>
  <c r="M118" i="2" s="1"/>
  <c r="N97" i="2"/>
  <c r="N118" i="2" s="1"/>
  <c r="O97" i="2"/>
  <c r="O118" i="2" s="1"/>
  <c r="P97" i="2"/>
  <c r="P118" i="2" s="1"/>
  <c r="Q97" i="2"/>
  <c r="Q118" i="2" s="1"/>
  <c r="R97" i="2"/>
  <c r="R118" i="2" s="1"/>
  <c r="S97" i="2"/>
  <c r="S118" i="2" s="1"/>
  <c r="T97" i="2"/>
  <c r="T118" i="2" s="1"/>
  <c r="U118" i="2"/>
  <c r="D98" i="2"/>
  <c r="D119" i="2" s="1"/>
  <c r="E98" i="2"/>
  <c r="E119" i="2" s="1"/>
  <c r="F98" i="2"/>
  <c r="F119" i="2" s="1"/>
  <c r="G98" i="2"/>
  <c r="G119" i="2" s="1"/>
  <c r="H98" i="2"/>
  <c r="I98" i="2"/>
  <c r="I119" i="2" s="1"/>
  <c r="J98" i="2"/>
  <c r="J119" i="2" s="1"/>
  <c r="K98" i="2"/>
  <c r="K119" i="2" s="1"/>
  <c r="L98" i="2"/>
  <c r="L119" i="2" s="1"/>
  <c r="M98" i="2"/>
  <c r="M119" i="2" s="1"/>
  <c r="N98" i="2"/>
  <c r="N119" i="2" s="1"/>
  <c r="O98" i="2"/>
  <c r="P98" i="2"/>
  <c r="Q98" i="2"/>
  <c r="Q119" i="2" s="1"/>
  <c r="R98" i="2"/>
  <c r="R119" i="2" s="1"/>
  <c r="S98" i="2"/>
  <c r="S119" i="2" s="1"/>
  <c r="T98" i="2"/>
  <c r="T119" i="2" s="1"/>
  <c r="U119" i="2"/>
  <c r="C95" i="2"/>
  <c r="C116" i="2" s="1"/>
  <c r="C96" i="2"/>
  <c r="C97" i="2"/>
  <c r="C118" i="2" s="1"/>
  <c r="C98" i="2"/>
  <c r="C119" i="2" s="1"/>
  <c r="C94" i="2"/>
  <c r="C115" i="2" s="1"/>
  <c r="AB29" i="2" l="1"/>
  <c r="W94" i="2"/>
  <c r="Y96" i="2"/>
  <c r="Y118" i="2"/>
  <c r="AB97" i="2"/>
  <c r="AA94" i="2"/>
  <c r="AA97" i="2"/>
  <c r="AA85" i="2"/>
  <c r="T99" i="2"/>
  <c r="AA78" i="2"/>
  <c r="AA57" i="2"/>
  <c r="Z134" i="2"/>
  <c r="S120" i="2"/>
  <c r="Z119" i="2"/>
  <c r="Z118" i="2"/>
  <c r="Z95" i="2"/>
  <c r="Z36" i="2"/>
  <c r="Z29" i="2"/>
  <c r="Y85" i="2"/>
  <c r="Y71" i="2"/>
  <c r="Y29" i="2"/>
  <c r="X71" i="2"/>
  <c r="X78" i="2"/>
  <c r="X118" i="2"/>
  <c r="X116" i="2"/>
  <c r="X115" i="2"/>
  <c r="W85" i="2"/>
  <c r="P99" i="2"/>
  <c r="AA113" i="2"/>
  <c r="AB22" i="2"/>
  <c r="X22" i="2"/>
  <c r="Y22" i="2"/>
  <c r="W22" i="2"/>
  <c r="AA22" i="2"/>
  <c r="Z22" i="2"/>
  <c r="Y141" i="2"/>
  <c r="Z141" i="2"/>
  <c r="AA141" i="2"/>
  <c r="X141" i="2"/>
  <c r="AB64" i="2"/>
  <c r="AB43" i="2"/>
  <c r="AB71" i="2"/>
  <c r="AB36" i="2"/>
  <c r="AB57" i="2"/>
  <c r="AB50" i="2"/>
  <c r="AA64" i="2"/>
  <c r="AA43" i="2"/>
  <c r="AA36" i="2"/>
  <c r="AA29" i="2"/>
  <c r="AA50" i="2"/>
  <c r="Z64" i="2"/>
  <c r="Z43" i="2"/>
  <c r="Z57" i="2"/>
  <c r="Z50" i="2"/>
  <c r="Z71" i="2"/>
  <c r="AA71" i="2"/>
  <c r="V71" i="2"/>
  <c r="W71" i="2"/>
  <c r="Y64" i="2"/>
  <c r="Y43" i="2"/>
  <c r="Y57" i="2"/>
  <c r="Y50" i="2"/>
  <c r="X43" i="2"/>
  <c r="X64" i="2"/>
  <c r="X57" i="2"/>
  <c r="W64" i="2"/>
  <c r="W43" i="2"/>
  <c r="W36" i="2"/>
  <c r="W57" i="2"/>
  <c r="W50" i="2"/>
  <c r="V64" i="2"/>
  <c r="V36" i="2"/>
  <c r="V29" i="2"/>
  <c r="AB113" i="2"/>
  <c r="AB106" i="2"/>
  <c r="AA106" i="2"/>
  <c r="Z106" i="2"/>
  <c r="Z113" i="2"/>
  <c r="Y113" i="2"/>
  <c r="Y106" i="2"/>
  <c r="X106" i="2"/>
  <c r="X113" i="2"/>
  <c r="W113" i="2"/>
  <c r="W106" i="2"/>
  <c r="V106" i="2"/>
  <c r="V113" i="2"/>
  <c r="V43" i="2"/>
  <c r="AB141" i="2"/>
  <c r="W141" i="2"/>
  <c r="V141" i="2"/>
  <c r="V98" i="2"/>
  <c r="V94" i="2"/>
  <c r="AB134" i="2"/>
  <c r="AA134" i="2"/>
  <c r="Y134" i="2"/>
  <c r="X134" i="2"/>
  <c r="W134" i="2"/>
  <c r="V134" i="2"/>
  <c r="AA127" i="2"/>
  <c r="Z127" i="2"/>
  <c r="AB127" i="2"/>
  <c r="W127" i="2"/>
  <c r="V127" i="2"/>
  <c r="Y127" i="2"/>
  <c r="X127" i="2"/>
  <c r="AB78" i="2"/>
  <c r="Y78" i="2"/>
  <c r="W78" i="2"/>
  <c r="V78" i="2"/>
  <c r="V119" i="2"/>
  <c r="V96" i="2"/>
  <c r="N99" i="2"/>
  <c r="L99" i="2"/>
  <c r="K120" i="2"/>
  <c r="I118" i="2"/>
  <c r="AB118" i="2" s="1"/>
  <c r="AB85" i="2"/>
  <c r="AB15" i="2"/>
  <c r="H99" i="2"/>
  <c r="H115" i="2"/>
  <c r="AA115" i="2" s="1"/>
  <c r="AA15" i="2"/>
  <c r="Z98" i="2"/>
  <c r="Z85" i="2"/>
  <c r="Z94" i="2"/>
  <c r="Z15" i="2"/>
  <c r="Y98" i="2"/>
  <c r="F117" i="2"/>
  <c r="Y117" i="2" s="1"/>
  <c r="F99" i="2"/>
  <c r="Y15" i="2"/>
  <c r="X119" i="2"/>
  <c r="X95" i="2"/>
  <c r="X85" i="2"/>
  <c r="X15" i="2"/>
  <c r="W15" i="2"/>
  <c r="V118" i="2"/>
  <c r="C99" i="2"/>
  <c r="C117" i="2"/>
  <c r="C120" i="2" s="1"/>
  <c r="V95" i="2"/>
  <c r="V15" i="2"/>
  <c r="V85" i="2"/>
  <c r="V57" i="2"/>
  <c r="V50" i="2"/>
  <c r="X50" i="2"/>
  <c r="X36" i="2"/>
  <c r="W29" i="2"/>
  <c r="X29" i="2"/>
  <c r="Z115" i="2"/>
  <c r="U120" i="2"/>
  <c r="M120" i="2"/>
  <c r="AA116" i="2"/>
  <c r="Y119" i="2"/>
  <c r="AB116" i="2"/>
  <c r="AB119" i="2"/>
  <c r="X117" i="2"/>
  <c r="AA118" i="2"/>
  <c r="X96" i="2"/>
  <c r="Z97" i="2"/>
  <c r="AB95" i="2"/>
  <c r="Y94" i="2"/>
  <c r="F116" i="2"/>
  <c r="Y116" i="2" s="1"/>
  <c r="O115" i="2"/>
  <c r="M99" i="2"/>
  <c r="E99" i="2"/>
  <c r="O99" i="2"/>
  <c r="S99" i="2"/>
  <c r="K99" i="2"/>
  <c r="AB98" i="2"/>
  <c r="Y97" i="2"/>
  <c r="AA95" i="2"/>
  <c r="X94" i="2"/>
  <c r="W117" i="2"/>
  <c r="T117" i="2"/>
  <c r="T120" i="2" s="1"/>
  <c r="L117" i="2"/>
  <c r="L120" i="2" s="1"/>
  <c r="N120" i="2"/>
  <c r="O116" i="2"/>
  <c r="V116" i="2" s="1"/>
  <c r="G116" i="2"/>
  <c r="Z116" i="2" s="1"/>
  <c r="W118" i="2"/>
  <c r="R99" i="2"/>
  <c r="J99" i="2"/>
  <c r="AA98" i="2"/>
  <c r="X97" i="2"/>
  <c r="Q99" i="2"/>
  <c r="P119" i="2"/>
  <c r="W119" i="2" s="1"/>
  <c r="H119" i="2"/>
  <c r="AA119" i="2" s="1"/>
  <c r="Q120" i="2"/>
  <c r="I117" i="2"/>
  <c r="AB117" i="2" s="1"/>
  <c r="V97" i="2"/>
  <c r="AA96" i="2"/>
  <c r="G99" i="2"/>
  <c r="X98" i="2"/>
  <c r="Z96" i="2"/>
  <c r="AB94" i="2"/>
  <c r="R115" i="2"/>
  <c r="R120" i="2" s="1"/>
  <c r="J115" i="2"/>
  <c r="J120" i="2" s="1"/>
  <c r="I99" i="2"/>
  <c r="W95" i="2"/>
  <c r="O117" i="2"/>
  <c r="D99" i="2"/>
  <c r="D116" i="2"/>
  <c r="W116" i="2" s="1"/>
  <c r="W98" i="2"/>
  <c r="W97" i="2"/>
  <c r="W96" i="2"/>
  <c r="V22" i="2"/>
  <c r="Z117" i="2"/>
  <c r="AB115" i="2"/>
  <c r="W115" i="2"/>
  <c r="E120" i="2"/>
  <c r="A16" i="2"/>
  <c r="AA117" i="2" l="1"/>
  <c r="Z120" i="2"/>
  <c r="X120" i="2"/>
  <c r="D120" i="2"/>
  <c r="V117" i="2"/>
  <c r="V99" i="2"/>
  <c r="AB99" i="2"/>
  <c r="AA120" i="2"/>
  <c r="AA99" i="2"/>
  <c r="Z99" i="2"/>
  <c r="Y99" i="2"/>
  <c r="W120" i="2"/>
  <c r="W99" i="2"/>
  <c r="F120" i="2"/>
  <c r="O120" i="2"/>
  <c r="V115" i="2"/>
  <c r="Y115" i="2"/>
  <c r="Y120" i="2" s="1"/>
  <c r="P120" i="2"/>
  <c r="AB120" i="2"/>
  <c r="H120" i="2"/>
  <c r="I120" i="2"/>
  <c r="X99" i="2"/>
  <c r="G120" i="2"/>
  <c r="A23" i="2"/>
  <c r="A30" i="2" s="1"/>
  <c r="A37" i="2" s="1"/>
  <c r="A44" i="2" s="1"/>
  <c r="A51" i="2" s="1"/>
  <c r="A58" i="2" s="1"/>
  <c r="A65" i="2" s="1"/>
  <c r="A72" i="2" s="1"/>
  <c r="A79" i="2" s="1"/>
  <c r="A86" i="2" s="1"/>
  <c r="A93" i="2" s="1"/>
  <c r="A100" i="2" s="1"/>
  <c r="A107" i="2" s="1"/>
  <c r="V120" i="2" l="1"/>
  <c r="A114" i="2"/>
  <c r="A121" i="2" s="1"/>
  <c r="A128" i="2" s="1"/>
  <c r="A135" i="2" s="1"/>
</calcChain>
</file>

<file path=xl/comments1.xml><?xml version="1.0" encoding="utf-8"?>
<comments xmlns="http://schemas.openxmlformats.org/spreadsheetml/2006/main">
  <authors>
    <author>Alisha Camara</author>
  </authors>
  <commentList>
    <comment ref="R60" authorId="0" shapeId="0">
      <text>
        <r>
          <rPr>
            <b/>
            <sz val="9"/>
            <color indexed="81"/>
            <rFont val="Tahoma"/>
            <family val="2"/>
          </rPr>
          <t>Alisha Camara:</t>
        </r>
        <r>
          <rPr>
            <sz val="9"/>
            <color indexed="81"/>
            <rFont val="Tahoma"/>
            <family val="2"/>
          </rPr>
          <t xml:space="preserve">
Decrease due to the Auto AMP enrollment</t>
        </r>
      </text>
    </comment>
    <comment ref="E83" authorId="0" shapeId="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text>
        <r>
          <rPr>
            <b/>
            <sz val="9"/>
            <color indexed="81"/>
            <rFont val="Tahoma"/>
            <family val="2"/>
          </rPr>
          <t>Alisha Camara:</t>
        </r>
        <r>
          <rPr>
            <sz val="9"/>
            <color indexed="81"/>
            <rFont val="Tahoma"/>
            <family val="2"/>
          </rPr>
          <t xml:space="preserve">
Adjustment posted on T42 account for an overbill in previous month</t>
        </r>
      </text>
    </comment>
    <comment ref="B131" authorId="0" shapeId="0">
      <text>
        <r>
          <rPr>
            <b/>
            <sz val="9"/>
            <color indexed="81"/>
            <rFont val="Tahoma"/>
            <family val="2"/>
          </rPr>
          <t>Alisha Camara:</t>
        </r>
        <r>
          <rPr>
            <sz val="9"/>
            <color indexed="81"/>
            <rFont val="Tahoma"/>
            <family val="2"/>
          </rPr>
          <t xml:space="preserve">
Commercial all in one bucket</t>
        </r>
      </text>
    </comment>
  </commentList>
</comments>
</file>

<file path=xl/comments2.xml><?xml version="1.0" encoding="utf-8"?>
<comments xmlns="http://schemas.openxmlformats.org/spreadsheetml/2006/main">
  <authors>
    <author>Alisha Camara</author>
  </authors>
  <commentList>
    <comment ref="C8" authorId="0" shapeId="0">
      <text>
        <r>
          <rPr>
            <b/>
            <sz val="9"/>
            <color indexed="81"/>
            <rFont val="Tahoma"/>
            <family val="2"/>
          </rPr>
          <t>Alisha Camara:</t>
        </r>
        <r>
          <rPr>
            <sz val="9"/>
            <color indexed="81"/>
            <rFont val="Tahoma"/>
            <family val="2"/>
          </rPr>
          <t xml:space="preserve">
From April 1</t>
        </r>
      </text>
    </comment>
    <comment ref="B110" authorId="0" shapeId="0">
      <text>
        <r>
          <rPr>
            <b/>
            <sz val="9"/>
            <color indexed="81"/>
            <rFont val="Tahoma"/>
            <family val="2"/>
          </rPr>
          <t>Alisha Camara:</t>
        </r>
        <r>
          <rPr>
            <sz val="9"/>
            <color indexed="81"/>
            <rFont val="Tahoma"/>
            <family val="2"/>
          </rPr>
          <t xml:space="preserve">
Commercial all in one bucket</t>
        </r>
      </text>
    </comment>
    <comment ref="M122" authorId="0" shapeId="0">
      <text>
        <r>
          <rPr>
            <b/>
            <sz val="9"/>
            <color indexed="81"/>
            <rFont val="Tahoma"/>
            <family val="2"/>
          </rPr>
          <t>Alisha Camara:</t>
        </r>
        <r>
          <rPr>
            <sz val="9"/>
            <color indexed="81"/>
            <rFont val="Tahoma"/>
            <family val="2"/>
          </rPr>
          <t xml:space="preserve">
Changed parameters to over $250 from $300</t>
        </r>
      </text>
    </comment>
    <comment ref="P122" authorId="0" shapeId="0">
      <text>
        <r>
          <rPr>
            <b/>
            <sz val="9"/>
            <color indexed="81"/>
            <rFont val="Tahoma"/>
            <family val="2"/>
          </rPr>
          <t>Alisha Camara:</t>
        </r>
        <r>
          <rPr>
            <sz val="9"/>
            <color indexed="81"/>
            <rFont val="Tahoma"/>
            <family val="2"/>
          </rPr>
          <t xml:space="preserve">
Changed parameters from $250 to $150
</t>
        </r>
      </text>
    </comment>
    <comment ref="U122" authorId="0" shapeId="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B129" authorId="0" shapeId="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B129" authorId="0" shapeId="0">
      <text>
        <r>
          <rPr>
            <b/>
            <sz val="9"/>
            <color indexed="81"/>
            <rFont val="Tahoma"/>
            <charset val="1"/>
          </rPr>
          <t>Alisha Camara:</t>
        </r>
        <r>
          <rPr>
            <sz val="9"/>
            <color indexed="81"/>
            <rFont val="Tahoma"/>
            <charset val="1"/>
          </rPr>
          <t xml:space="preserve">
Cumulative number received from LIHEAP agency for the new heating season to date.                              </t>
        </r>
      </text>
    </comment>
  </commentList>
</comments>
</file>

<file path=xl/sharedStrings.xml><?xml version="1.0" encoding="utf-8"?>
<sst xmlns="http://schemas.openxmlformats.org/spreadsheetml/2006/main" count="317" uniqueCount="58">
  <si>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</si>
  <si>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</si>
  <si>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</si>
  <si>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</si>
  <si>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</si>
  <si>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</si>
  <si>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</si>
  <si>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</si>
  <si>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</si>
  <si>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</si>
  <si>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</si>
  <si>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</si>
  <si>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</si>
  <si>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</si>
  <si>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</si>
  <si>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</si>
  <si>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</si>
  <si>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</si>
  <si>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</si>
  <si>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</si>
  <si>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</si>
  <si>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</si>
  <si>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</si>
  <si>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</si>
  <si>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</si>
  <si>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</si>
  <si>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</si>
  <si>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</si>
  <si>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(1) Average Historical Payment Period</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</si>
  <si>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</si>
  <si>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</si>
  <si>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</si>
  <si>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</si>
  <si>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</si>
  <si>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</si>
  <si>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</si>
  <si>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</si>
  <si>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</si>
  <si>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</si>
  <si>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</si>
  <si>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</si>
  <si>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</si>
  <si>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</si>
  <si>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</si>
  <si>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</si>
  <si>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</si>
  <si>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Customers Eligible for Termination</t>
  </si>
  <si>
    <t>Number of Customers Applied for Fuel Assistance</t>
  </si>
  <si>
    <t>R.J. Ritchie | R.J.Ritchie@libertyutilities.com |C: 774-320-5801</t>
  </si>
  <si>
    <t>res</t>
  </si>
  <si>
    <t>com</t>
  </si>
  <si>
    <t>Narrative:</t>
  </si>
  <si>
    <t xml:space="preserve">6.20: The month of June is showing a slight decrease on average in arrearages from May.  When completing the comparison to June 2019 there is still a significant increase of Residential up by 14% and commercial up by 100%.  However these percentages both show a decrease from May's percentage comparisons of 24% and 105%.  There was also an increase in number of customer payments for all rate categories.  This may be a direct reflection of businesses slowly being able to open. In the month of June we have implemented our AMP auto enrollment project which is apparant in the Low income customers arrearages and the AMP totals in row 123.  Liberty is hopeful a large majority of those customers are successful at completing the program.   </t>
  </si>
  <si>
    <t>Liberty's arrearage calculation is an automatic process which begins calculating any balance after the date billed.  The unpaid arrears balances fall into buckets of 30-60, 61-90, 91+ days.  While June's numbers indicate a slight decrease in average arrearages vis-a-vis May of this year, a comparison of June 2020 to 2019 shows a significant increase in arrearages for both residential and commercial customers.  Specifically, our analysis shows a year-over-year increase in the dollars in arrears for the month of June of 100 percent for commercial customers and 14 percent for residential customers.  In addition to this modest improvement, the Company noted an increase in the number of customer payments for all rate categories over the past month, which could be a direct reflection of the gradual reopening of many small businesses. Lastly, the Company implemented its AMP auto enrollment initiative, which accounts for the changes in the low income customers arrearages and AMP totals in row 123.  Liberty is hopeful a large majority of those customers are successful at completing the program, which was recently enhanced to provide additional foregiveness to participating customers.</t>
  </si>
  <si>
    <t>8.7: As did June, July exhibited a slight decrease in arrearages in each bucket; however, compared to 2019, Residential arrearage balances were up 23% and commercial arrearages spiked by staggering 170%.  Importantly, the number of arrearage balances that are older than 90 days is trending upward significantly on a monthly basis.  Liberty has been and will continue to target those customers in marketing its various payment assistance programs.</t>
  </si>
  <si>
    <t>9.4: It appears the month of August does not show any drastic changes compared to previous months.  The trends are still going in the same direction with residential up by 34% compared to 2019 and commercial up by %233.  It is Liberty's assumption with the resumption of commercial collections the commercial arrearages will show decreases in the coming months.  Again, we will continue our customer outreach in order to educate customers about available payment assistance programs.</t>
  </si>
  <si>
    <t xml:space="preserve">Liberty Utilities (New England Natural Gas Company) Corp. d/b/a Liberty </t>
  </si>
  <si>
    <t xml:space="preserve">10.8: As anticipated, the resumption of collections activity on commercial accounts precipitated a decline in both arrearages and delinquent accounts in September, as the possibility of termination incentivized account maintenance.  The Company is hopeful the same dynamic will apply to residential accounts beginning in November.  For those customers still in dire financial straits, Liberty is applying security deposits, when appropriate, and offering AFP payment arrangements.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</si>
</sst>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4" formatCode="mmm\.\ d\,\ yy"/>
    <numFmt numFmtId="165" formatCode="#,##0.0"/>
  </numFmts>
  <fonts count="13"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9"/>
      <color indexed="81"/>
      <name val="Tahoma"/>
      <charset val="1"/>
    </font>
    <font>
      <b/>
      <sz val="9"/>
      <color indexed="81"/>
      <name val="Tahoma"/>
      <charset val="1"/>
    </font>
  </fonts>
  <fills count="3">
    <fill>
      <patternFill patternType="none"/>
    </fill>
    <fill>
      <patternFill patternType="gray125"/>
    </fill>
    <fill>
      <patternFill patternType="solid">
        <fgColor theme="0" tint="-0.249977111117893"/>
        <bgColor indexed="64"/>
      </patternFill>
    </fill>
  </fills>
  <borders count="84">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dotted">
        <color indexed="64"/>
      </left>
      <right style="thick">
        <color indexed="64"/>
      </right>
      <top style="dotted">
        <color indexed="64"/>
      </top>
      <bottom/>
      <diagonal/>
    </border>
    <border>
      <left style="thick">
        <color indexed="64"/>
      </left>
      <right/>
      <top/>
      <bottom style="thick">
        <color indexed="64"/>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dotted">
        <color indexed="64"/>
      </bottom>
      <diagonal/>
    </border>
    <border>
      <left style="thick">
        <color indexed="64"/>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thick">
        <color indexed="64"/>
      </bottom>
      <diagonal/>
    </border>
    <border>
      <left style="thick">
        <color indexed="64"/>
      </left>
      <right/>
      <top/>
      <bottom style="dotted">
        <color indexed="64"/>
      </bottom>
      <diagonal/>
    </border>
    <border>
      <left style="dotted">
        <color indexed="64"/>
      </left>
      <right style="thick">
        <color indexed="64"/>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right style="thick">
        <color indexed="64"/>
      </right>
      <top/>
      <bottom/>
      <diagonal/>
    </border>
    <border>
      <left style="thick">
        <color auto="1"/>
      </left>
      <right style="thick">
        <color auto="1"/>
      </right>
      <top/>
      <bottom style="dashed">
        <color auto="1"/>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ck">
        <color indexed="64"/>
      </right>
      <top style="dotted">
        <color indexed="64"/>
      </top>
      <bottom style="medium">
        <color indexed="64"/>
      </bottom>
      <diagonal/>
    </border>
    <border>
      <left style="dotted">
        <color indexed="64"/>
      </left>
      <right style="thick">
        <color indexed="64"/>
      </right>
      <top/>
      <bottom/>
      <diagonal/>
    </border>
    <border>
      <left style="thick">
        <color indexed="64"/>
      </left>
      <right/>
      <top/>
      <bottom/>
      <diagonal/>
    </border>
    <border>
      <left/>
      <right/>
      <top style="thick">
        <color auto="1"/>
      </top>
      <bottom style="thin">
        <color indexed="64"/>
      </bottom>
      <diagonal/>
    </border>
    <border>
      <left/>
      <right style="thick">
        <color indexed="64"/>
      </right>
      <top style="dotted">
        <color indexed="64"/>
      </top>
      <bottom/>
      <diagonal/>
    </border>
    <border>
      <left/>
      <right/>
      <top style="dotted">
        <color indexed="64"/>
      </top>
      <bottom/>
      <diagonal/>
    </border>
    <border>
      <left/>
      <right/>
      <top style="dotted">
        <color indexed="64"/>
      </top>
      <bottom style="thick">
        <color indexed="64"/>
      </bottom>
      <diagonal/>
    </border>
    <border>
      <left style="dotted">
        <color indexed="64"/>
      </left>
      <right style="medium">
        <color indexed="64"/>
      </right>
      <top style="dotted">
        <color indexed="64"/>
      </top>
      <bottom/>
      <diagonal/>
    </border>
    <border>
      <left style="dotted">
        <color indexed="64"/>
      </left>
      <right style="dotted">
        <color indexed="64"/>
      </right>
      <top style="medium">
        <color indexed="64"/>
      </top>
      <bottom/>
      <diagonal/>
    </border>
    <border>
      <left style="dotted">
        <color indexed="64"/>
      </left>
      <right style="thick">
        <color indexed="64"/>
      </right>
      <top style="medium">
        <color indexed="64"/>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thick">
        <color indexed="64"/>
      </right>
      <top/>
      <bottom style="thick">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hair">
        <color indexed="64"/>
      </left>
      <right style="thick">
        <color indexed="64"/>
      </right>
      <top/>
      <bottom style="medium">
        <color indexed="64"/>
      </bottom>
      <diagonal/>
    </border>
    <border>
      <left/>
      <right style="thick">
        <color indexed="64"/>
      </right>
      <top/>
      <bottom style="thick">
        <color indexed="64"/>
      </bottom>
      <diagonal/>
    </border>
    <border>
      <left style="hair">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thick">
        <color indexed="64"/>
      </bottom>
      <diagonal/>
    </border>
    <border>
      <left/>
      <right/>
      <top style="medium">
        <color indexed="64"/>
      </top>
      <bottom style="medium">
        <color indexed="64"/>
      </bottom>
      <diagonal/>
    </border>
    <border>
      <left style="thick">
        <color auto="1"/>
      </left>
      <right/>
      <top/>
      <bottom style="dashed">
        <color auto="1"/>
      </bottom>
      <diagonal/>
    </border>
    <border>
      <left style="thick">
        <color auto="1"/>
      </left>
      <right style="dotted">
        <color indexed="64"/>
      </right>
      <top style="thick">
        <color indexed="64"/>
      </top>
      <bottom style="dotted">
        <color auto="1"/>
      </bottom>
      <diagonal/>
    </border>
    <border>
      <left style="thick">
        <color indexed="64"/>
      </left>
      <right style="dotted">
        <color indexed="64"/>
      </right>
      <top style="dotted">
        <color indexed="64"/>
      </top>
      <bottom style="thick">
        <color indexed="64"/>
      </bottom>
      <diagonal/>
    </border>
    <border>
      <left style="dotted">
        <color indexed="64"/>
      </left>
      <right style="thick">
        <color indexed="64"/>
      </right>
      <top style="dotted">
        <color indexed="64"/>
      </top>
      <bottom style="thick">
        <color indexed="64"/>
      </bottom>
      <diagonal/>
    </border>
    <border>
      <left style="dotted">
        <color indexed="64"/>
      </left>
      <right/>
      <top style="dotted">
        <color indexed="64"/>
      </top>
      <bottom style="dotted">
        <color indexed="64"/>
      </bottom>
      <diagonal/>
    </border>
    <border>
      <left style="thick">
        <color indexed="64"/>
      </left>
      <right style="dotted">
        <color indexed="64"/>
      </right>
      <top style="thick">
        <color indexed="64"/>
      </top>
      <bottom/>
      <diagonal/>
    </border>
    <border>
      <left style="thick">
        <color indexed="64"/>
      </left>
      <right style="dotted">
        <color indexed="64"/>
      </right>
      <top/>
      <bottom style="thick">
        <color indexed="64"/>
      </bottom>
      <diagonal/>
    </border>
  </borders>
  <cellStyleXfs count="1">
    <xf numFmtId="0" fontId="0" fillId="0" borderId="0"/>
  </cellStyleXfs>
  <cellXfs count="262">
    <xf numFmtId="0" fontId="0" fillId="0" borderId="0" xfId="0"/>
    <xf numFmtId="0" fontId="1" fillId="0" borderId="0" xfId="0" applyFont="1"/>
    <xf numFmtId="0" fontId="0" fillId="0" borderId="0" xfId="0" applyFont="1"/>
    <xf numFmtId="0" fontId="0" fillId="0" borderId="0" xfId="0" applyFont="1" applyAlignment="1">
      <alignment horizontal="left"/>
    </xf>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164" fontId="4" fillId="0" borderId="0" xfId="0" applyNumberFormat="1" applyFont="1" applyBorder="1" applyAlignment="1" applyProtection="1">
      <alignment horizontal="center"/>
      <protection locked="0"/>
    </xf>
    <xf numFmtId="0" fontId="4" fillId="0" borderId="0" xfId="0" applyFont="1" applyBorder="1" applyAlignment="1"/>
    <xf numFmtId="0" fontId="4" fillId="0" borderId="0" xfId="0" applyFont="1" applyAlignment="1"/>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8" xfId="0" applyFont="1" applyBorder="1" applyAlignment="1" applyProtection="1">
      <alignment horizontal="centerContinuous"/>
    </xf>
    <xf numFmtId="0" fontId="5" fillId="0" borderId="9" xfId="0" applyFont="1" applyBorder="1" applyAlignment="1" applyProtection="1">
      <alignment horizontal="centerContinuous"/>
    </xf>
    <xf numFmtId="0" fontId="5" fillId="0" borderId="10" xfId="0" applyFont="1" applyBorder="1" applyAlignment="1" applyProtection="1">
      <alignment horizontal="centerContinuous"/>
    </xf>
    <xf numFmtId="0" fontId="5" fillId="0" borderId="13" xfId="0" applyFont="1" applyBorder="1" applyAlignment="1" applyProtection="1">
      <alignment horizontal="centerContinuous"/>
    </xf>
    <xf numFmtId="0" fontId="5" fillId="0" borderId="21" xfId="0" applyFont="1" applyBorder="1" applyAlignment="1" applyProtection="1">
      <alignment horizontal="centerContinuous"/>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4" fillId="0" borderId="38" xfId="0" applyFont="1" applyBorder="1" applyAlignment="1">
      <alignment horizontal="left" indent="2"/>
    </xf>
    <xf numFmtId="0" fontId="4" fillId="0" borderId="29" xfId="0" applyFont="1" applyBorder="1" applyAlignment="1">
      <alignment horizontal="left" indent="2"/>
    </xf>
    <xf numFmtId="0" fontId="4" fillId="0" borderId="45"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24" xfId="0" applyFont="1" applyBorder="1"/>
    <xf numFmtId="0" fontId="2" fillId="0" borderId="38" xfId="0" applyFont="1" applyBorder="1"/>
    <xf numFmtId="0" fontId="2" fillId="0" borderId="26" xfId="0" applyFont="1" applyBorder="1"/>
    <xf numFmtId="0" fontId="2" fillId="0" borderId="27" xfId="0" applyFont="1" applyBorder="1"/>
    <xf numFmtId="0" fontId="2" fillId="0" borderId="49" xfId="0" applyFont="1" applyBorder="1"/>
    <xf numFmtId="0" fontId="2" fillId="0" borderId="34" xfId="0" applyFont="1" applyBorder="1"/>
    <xf numFmtId="0" fontId="2" fillId="0" borderId="34" xfId="0" applyFont="1" applyFill="1" applyBorder="1"/>
    <xf numFmtId="0" fontId="2" fillId="0" borderId="44" xfId="0" applyFont="1" applyFill="1" applyBorder="1"/>
    <xf numFmtId="38" fontId="4" fillId="0" borderId="30" xfId="0" applyNumberFormat="1" applyFont="1" applyBorder="1" applyAlignment="1">
      <alignment horizontal="center"/>
    </xf>
    <xf numFmtId="38" fontId="4" fillId="0" borderId="11" xfId="0" applyNumberFormat="1" applyFont="1" applyBorder="1" applyAlignment="1">
      <alignment horizontal="center"/>
    </xf>
    <xf numFmtId="38" fontId="4" fillId="0" borderId="25" xfId="0" applyNumberFormat="1" applyFont="1" applyBorder="1" applyAlignment="1">
      <alignment horizontal="center"/>
    </xf>
    <xf numFmtId="38" fontId="4" fillId="0" borderId="15" xfId="0" applyNumberFormat="1" applyFont="1" applyBorder="1" applyAlignment="1">
      <alignment horizontal="center"/>
    </xf>
    <xf numFmtId="38" fontId="4" fillId="0" borderId="11" xfId="0" applyNumberFormat="1" applyFont="1" applyBorder="1" applyAlignment="1">
      <alignment horizontal="center" wrapText="1"/>
    </xf>
    <xf numFmtId="38" fontId="0" fillId="0" borderId="11" xfId="0" applyNumberFormat="1" applyFont="1" applyBorder="1" applyAlignment="1">
      <alignment horizontal="center"/>
    </xf>
    <xf numFmtId="38" fontId="0" fillId="0" borderId="25" xfId="0" applyNumberFormat="1" applyFont="1" applyBorder="1" applyAlignment="1">
      <alignment horizontal="center"/>
    </xf>
    <xf numFmtId="38" fontId="4" fillId="0" borderId="35" xfId="0" applyNumberFormat="1" applyFont="1" applyBorder="1" applyAlignment="1">
      <alignment horizontal="center"/>
    </xf>
    <xf numFmtId="38" fontId="4" fillId="0" borderId="36" xfId="0" applyNumberFormat="1" applyFont="1" applyBorder="1" applyAlignment="1">
      <alignment horizontal="center"/>
    </xf>
    <xf numFmtId="38" fontId="4" fillId="0" borderId="39" xfId="0" applyNumberFormat="1" applyFont="1" applyBorder="1" applyAlignment="1">
      <alignment horizontal="center"/>
    </xf>
    <xf numFmtId="38" fontId="4" fillId="0" borderId="32" xfId="0" applyNumberFormat="1" applyFont="1" applyBorder="1" applyAlignment="1">
      <alignment horizontal="center"/>
    </xf>
    <xf numFmtId="38" fontId="4" fillId="0" borderId="47" xfId="0" applyNumberFormat="1" applyFont="1" applyBorder="1" applyAlignment="1">
      <alignment horizontal="center"/>
    </xf>
    <xf numFmtId="38" fontId="4" fillId="0" borderId="46" xfId="0" applyNumberFormat="1"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39" xfId="0" applyFont="1" applyBorder="1" applyAlignment="1">
      <alignment horizontal="center"/>
    </xf>
    <xf numFmtId="0" fontId="4" fillId="0" borderId="32" xfId="0" applyFont="1" applyBorder="1" applyAlignment="1">
      <alignment horizontal="center"/>
    </xf>
    <xf numFmtId="0" fontId="4" fillId="0" borderId="36" xfId="0" applyFont="1" applyBorder="1" applyAlignment="1">
      <alignment horizontal="center" wrapText="1"/>
    </xf>
    <xf numFmtId="0" fontId="0" fillId="0" borderId="36" xfId="0" applyFont="1" applyBorder="1" applyAlignment="1">
      <alignment horizontal="center"/>
    </xf>
    <xf numFmtId="0" fontId="0" fillId="0" borderId="39" xfId="0" applyFont="1" applyBorder="1" applyAlignment="1">
      <alignment horizontal="center"/>
    </xf>
    <xf numFmtId="38" fontId="4" fillId="0" borderId="18" xfId="0" applyNumberFormat="1" applyFont="1" applyBorder="1" applyAlignment="1">
      <alignment horizontal="center"/>
    </xf>
    <xf numFmtId="38" fontId="4" fillId="0" borderId="12" xfId="0" applyNumberFormat="1" applyFont="1" applyBorder="1" applyAlignment="1">
      <alignment horizontal="center"/>
    </xf>
    <xf numFmtId="38" fontId="4" fillId="0" borderId="19" xfId="0" applyNumberFormat="1" applyFont="1" applyBorder="1" applyAlignment="1">
      <alignment horizontal="center"/>
    </xf>
    <xf numFmtId="38" fontId="4" fillId="0" borderId="16" xfId="0" applyNumberFormat="1" applyFont="1" applyBorder="1" applyAlignment="1">
      <alignment horizontal="center"/>
    </xf>
    <xf numFmtId="38" fontId="4" fillId="0" borderId="12" xfId="0" applyNumberFormat="1" applyFont="1" applyBorder="1" applyAlignment="1">
      <alignment horizontal="center" wrapText="1"/>
    </xf>
    <xf numFmtId="38" fontId="0" fillId="0" borderId="12" xfId="0" applyNumberFormat="1" applyFont="1" applyBorder="1" applyAlignment="1">
      <alignment horizontal="center"/>
    </xf>
    <xf numFmtId="38" fontId="0" fillId="0" borderId="19" xfId="0" applyNumberFormat="1" applyFont="1" applyBorder="1" applyAlignment="1">
      <alignment horizontal="center"/>
    </xf>
    <xf numFmtId="6" fontId="4" fillId="0" borderId="39" xfId="0" applyNumberFormat="1" applyFont="1" applyBorder="1" applyAlignment="1">
      <alignment horizontal="center"/>
    </xf>
    <xf numFmtId="6" fontId="4" fillId="0" borderId="32" xfId="0" applyNumberFormat="1" applyFont="1" applyBorder="1" applyAlignment="1">
      <alignment horizontal="center"/>
    </xf>
    <xf numFmtId="6" fontId="4" fillId="0" borderId="12" xfId="0" applyNumberFormat="1" applyFont="1" applyBorder="1" applyAlignment="1">
      <alignment horizontal="center"/>
    </xf>
    <xf numFmtId="6" fontId="4" fillId="0" borderId="19" xfId="0" applyNumberFormat="1" applyFont="1" applyBorder="1" applyAlignment="1">
      <alignment horizontal="center"/>
    </xf>
    <xf numFmtId="6" fontId="4" fillId="0" borderId="16" xfId="0" applyNumberFormat="1" applyFont="1" applyBorder="1" applyAlignment="1">
      <alignment horizontal="center"/>
    </xf>
    <xf numFmtId="6" fontId="4" fillId="0" borderId="47" xfId="0" applyNumberFormat="1" applyFont="1" applyBorder="1" applyAlignment="1">
      <alignment horizontal="center"/>
    </xf>
    <xf numFmtId="6" fontId="4" fillId="0" borderId="46" xfId="0" applyNumberFormat="1" applyFont="1" applyBorder="1" applyAlignment="1">
      <alignment horizontal="center"/>
    </xf>
    <xf numFmtId="3" fontId="4" fillId="0" borderId="19" xfId="0" applyNumberFormat="1" applyFont="1" applyBorder="1" applyAlignment="1">
      <alignment horizontal="center"/>
    </xf>
    <xf numFmtId="3" fontId="4" fillId="0" borderId="16" xfId="0" applyNumberFormat="1" applyFont="1" applyBorder="1" applyAlignment="1">
      <alignment horizontal="center"/>
    </xf>
    <xf numFmtId="0" fontId="4" fillId="0" borderId="19" xfId="0" applyFont="1" applyBorder="1" applyAlignment="1">
      <alignment horizontal="center"/>
    </xf>
    <xf numFmtId="0" fontId="4" fillId="0" borderId="16" xfId="0" applyFont="1" applyBorder="1" applyAlignment="1">
      <alignment horizontal="center"/>
    </xf>
    <xf numFmtId="6" fontId="4" fillId="0" borderId="31" xfId="0" applyNumberFormat="1" applyFont="1" applyBorder="1" applyAlignment="1">
      <alignment horizontal="center"/>
    </xf>
    <xf numFmtId="6" fontId="4" fillId="0" borderId="17" xfId="0" applyNumberFormat="1" applyFont="1" applyBorder="1" applyAlignment="1">
      <alignment horizontal="center"/>
    </xf>
    <xf numFmtId="6" fontId="4" fillId="0" borderId="28" xfId="0" applyNumberFormat="1" applyFont="1" applyBorder="1" applyAlignment="1">
      <alignment horizontal="center"/>
    </xf>
    <xf numFmtId="6" fontId="4" fillId="0" borderId="20" xfId="0" applyNumberFormat="1" applyFont="1" applyBorder="1" applyAlignment="1">
      <alignment horizontal="center"/>
    </xf>
    <xf numFmtId="0" fontId="4" fillId="0" borderId="31" xfId="0" applyFont="1" applyBorder="1" applyAlignment="1">
      <alignment horizontal="center"/>
    </xf>
    <xf numFmtId="0" fontId="4" fillId="0" borderId="17" xfId="0" applyFont="1" applyBorder="1" applyAlignment="1">
      <alignment horizontal="center"/>
    </xf>
    <xf numFmtId="0" fontId="4" fillId="0" borderId="28" xfId="0" applyFont="1" applyBorder="1" applyAlignment="1">
      <alignment horizontal="center"/>
    </xf>
    <xf numFmtId="0" fontId="4" fillId="0" borderId="20" xfId="0" applyFont="1" applyBorder="1" applyAlignment="1">
      <alignment horizontal="center"/>
    </xf>
    <xf numFmtId="0" fontId="4" fillId="0" borderId="17" xfId="0" applyFont="1" applyBorder="1" applyAlignment="1">
      <alignment horizontal="center" wrapText="1"/>
    </xf>
    <xf numFmtId="0" fontId="0" fillId="0" borderId="17" xfId="0" applyFont="1" applyBorder="1" applyAlignment="1">
      <alignment horizontal="center"/>
    </xf>
    <xf numFmtId="0" fontId="0" fillId="0" borderId="28" xfId="0" applyFont="1" applyBorder="1" applyAlignment="1">
      <alignment horizontal="center"/>
    </xf>
    <xf numFmtId="6" fontId="4" fillId="0" borderId="27" xfId="0" applyNumberFormat="1" applyFont="1" applyBorder="1" applyAlignment="1">
      <alignment horizontal="center"/>
    </xf>
    <xf numFmtId="6" fontId="4" fillId="0" borderId="52" xfId="0" applyNumberFormat="1" applyFont="1" applyBorder="1" applyAlignment="1">
      <alignment horizontal="center"/>
    </xf>
    <xf numFmtId="6" fontId="4" fillId="0" borderId="51" xfId="0" applyNumberFormat="1" applyFont="1" applyBorder="1" applyAlignment="1">
      <alignment horizontal="center"/>
    </xf>
    <xf numFmtId="6" fontId="4" fillId="0" borderId="45" xfId="0" applyNumberFormat="1" applyFont="1" applyBorder="1" applyAlignment="1">
      <alignment horizontal="center"/>
    </xf>
    <xf numFmtId="6" fontId="4" fillId="0" borderId="53" xfId="0" applyNumberFormat="1" applyFont="1" applyBorder="1" applyAlignment="1">
      <alignment horizontal="center"/>
    </xf>
    <xf numFmtId="6" fontId="4" fillId="0" borderId="40" xfId="0" applyNumberFormat="1" applyFont="1" applyBorder="1" applyAlignment="1">
      <alignment horizontal="center"/>
    </xf>
    <xf numFmtId="6" fontId="4" fillId="0" borderId="41" xfId="0" applyNumberFormat="1" applyFont="1" applyBorder="1" applyAlignment="1">
      <alignment horizontal="center"/>
    </xf>
    <xf numFmtId="6" fontId="4" fillId="0" borderId="48" xfId="0" applyNumberFormat="1" applyFont="1" applyBorder="1" applyAlignment="1">
      <alignment horizontal="center"/>
    </xf>
    <xf numFmtId="6" fontId="4" fillId="0" borderId="55" xfId="0" applyNumberFormat="1" applyFont="1" applyBorder="1" applyAlignment="1">
      <alignment horizontal="center" wrapText="1"/>
    </xf>
    <xf numFmtId="6" fontId="0" fillId="0" borderId="55" xfId="0" applyNumberFormat="1" applyFont="1" applyBorder="1" applyAlignment="1">
      <alignment horizontal="center"/>
    </xf>
    <xf numFmtId="6" fontId="0" fillId="0" borderId="56" xfId="0" applyNumberFormat="1" applyFont="1" applyBorder="1" applyAlignment="1">
      <alignment horizontal="center"/>
    </xf>
    <xf numFmtId="6" fontId="4" fillId="0" borderId="26" xfId="0" applyNumberFormat="1" applyFont="1" applyBorder="1" applyAlignment="1">
      <alignment horizontal="center"/>
    </xf>
    <xf numFmtId="6" fontId="4" fillId="0" borderId="58" xfId="0" applyNumberFormat="1" applyFont="1" applyBorder="1" applyAlignment="1">
      <alignment horizontal="center"/>
    </xf>
    <xf numFmtId="6" fontId="4" fillId="0" borderId="57" xfId="0" applyNumberFormat="1" applyFont="1" applyBorder="1" applyAlignment="1">
      <alignment horizontal="center"/>
    </xf>
    <xf numFmtId="165" fontId="4" fillId="0" borderId="31" xfId="0" applyNumberFormat="1" applyFont="1" applyBorder="1" applyAlignment="1">
      <alignment horizontal="center"/>
    </xf>
    <xf numFmtId="165" fontId="4" fillId="0" borderId="17" xfId="0" applyNumberFormat="1" applyFont="1" applyBorder="1" applyAlignment="1">
      <alignment horizontal="center"/>
    </xf>
    <xf numFmtId="165" fontId="4" fillId="0" borderId="20" xfId="0" applyNumberFormat="1" applyFont="1" applyBorder="1" applyAlignment="1">
      <alignment horizontal="center"/>
    </xf>
    <xf numFmtId="165" fontId="4" fillId="0" borderId="28" xfId="0" applyNumberFormat="1" applyFont="1" applyBorder="1" applyAlignment="1">
      <alignment horizontal="center"/>
    </xf>
    <xf numFmtId="165" fontId="4" fillId="0" borderId="17" xfId="0" applyNumberFormat="1" applyFont="1" applyBorder="1" applyAlignment="1">
      <alignment horizontal="center" wrapText="1"/>
    </xf>
    <xf numFmtId="165" fontId="0" fillId="0" borderId="17" xfId="0" applyNumberFormat="1" applyFont="1" applyBorder="1" applyAlignment="1">
      <alignment horizontal="center"/>
    </xf>
    <xf numFmtId="165" fontId="0" fillId="0" borderId="28" xfId="0" applyNumberFormat="1" applyFont="1" applyBorder="1" applyAlignment="1">
      <alignment horizontal="center"/>
    </xf>
    <xf numFmtId="38" fontId="4" fillId="0" borderId="31" xfId="0" applyNumberFormat="1" applyFont="1" applyBorder="1" applyAlignment="1">
      <alignment horizontal="center"/>
    </xf>
    <xf numFmtId="38" fontId="4" fillId="0" borderId="17" xfId="0" applyNumberFormat="1" applyFont="1" applyBorder="1" applyAlignment="1">
      <alignment horizontal="center"/>
    </xf>
    <xf numFmtId="38" fontId="4" fillId="0" borderId="20" xfId="0" applyNumberFormat="1" applyFont="1" applyBorder="1" applyAlignment="1">
      <alignment horizontal="center"/>
    </xf>
    <xf numFmtId="38" fontId="4" fillId="0" borderId="28" xfId="0" applyNumberFormat="1" applyFont="1" applyBorder="1" applyAlignment="1">
      <alignment horizontal="center"/>
    </xf>
    <xf numFmtId="38" fontId="4" fillId="0" borderId="45" xfId="0" applyNumberFormat="1"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48" xfId="0" applyFont="1" applyBorder="1" applyAlignment="1">
      <alignment horizontal="center"/>
    </xf>
    <xf numFmtId="0" fontId="4" fillId="0" borderId="41" xfId="0" applyFont="1" applyBorder="1" applyAlignment="1">
      <alignment horizontal="center" wrapText="1"/>
    </xf>
    <xf numFmtId="0" fontId="0" fillId="0" borderId="41" xfId="0" applyFont="1" applyBorder="1" applyAlignment="1">
      <alignment horizontal="center"/>
    </xf>
    <xf numFmtId="0" fontId="0" fillId="0" borderId="56" xfId="0" applyFont="1" applyBorder="1" applyAlignment="1">
      <alignment horizontal="center"/>
    </xf>
    <xf numFmtId="38" fontId="4" fillId="0" borderId="33" xfId="0" applyNumberFormat="1" applyFont="1" applyBorder="1" applyAlignment="1">
      <alignment horizontal="center"/>
    </xf>
    <xf numFmtId="38" fontId="4" fillId="0" borderId="26" xfId="0" applyNumberFormat="1" applyFont="1" applyBorder="1" applyAlignment="1">
      <alignment horizontal="center"/>
    </xf>
    <xf numFmtId="0" fontId="0" fillId="0" borderId="35" xfId="0" applyFont="1" applyBorder="1" applyAlignment="1">
      <alignment horizontal="center"/>
    </xf>
    <xf numFmtId="0" fontId="0" fillId="0" borderId="32" xfId="0" applyFont="1" applyBorder="1" applyAlignment="1">
      <alignment horizontal="center"/>
    </xf>
    <xf numFmtId="0" fontId="0" fillId="0" borderId="33" xfId="0" applyFont="1" applyBorder="1" applyAlignment="1">
      <alignment horizontal="center"/>
    </xf>
    <xf numFmtId="38" fontId="0" fillId="0" borderId="40" xfId="0" applyNumberFormat="1" applyFont="1" applyBorder="1" applyAlignment="1">
      <alignment horizontal="center"/>
    </xf>
    <xf numFmtId="38" fontId="0" fillId="0" borderId="41" xfId="0" applyNumberFormat="1" applyFont="1" applyBorder="1" applyAlignment="1">
      <alignment horizontal="center"/>
    </xf>
    <xf numFmtId="38" fontId="0" fillId="0" borderId="42" xfId="0" applyNumberFormat="1" applyFont="1" applyBorder="1" applyAlignment="1">
      <alignment horizontal="center"/>
    </xf>
    <xf numFmtId="38" fontId="0" fillId="0" borderId="43" xfId="0" applyNumberFormat="1" applyFont="1" applyBorder="1" applyAlignment="1">
      <alignment horizontal="center"/>
    </xf>
    <xf numFmtId="38" fontId="0" fillId="0" borderId="27" xfId="0" applyNumberFormat="1" applyFont="1" applyBorder="1" applyAlignment="1">
      <alignment horizontal="center"/>
    </xf>
    <xf numFmtId="38" fontId="0" fillId="0" borderId="49" xfId="0" applyNumberFormat="1" applyFont="1" applyBorder="1" applyAlignment="1">
      <alignment horizontal="center"/>
    </xf>
    <xf numFmtId="38" fontId="0" fillId="0" borderId="48" xfId="0" applyNumberFormat="1" applyFont="1" applyBorder="1" applyAlignment="1">
      <alignment horizontal="center"/>
    </xf>
    <xf numFmtId="0" fontId="0" fillId="0" borderId="42" xfId="0" applyFont="1" applyBorder="1" applyAlignment="1">
      <alignment horizontal="center"/>
    </xf>
    <xf numFmtId="0" fontId="0" fillId="0" borderId="43" xfId="0" applyFont="1" applyBorder="1" applyAlignment="1">
      <alignment horizontal="center"/>
    </xf>
    <xf numFmtId="0" fontId="0" fillId="0" borderId="40" xfId="0" applyFont="1" applyBorder="1" applyAlignment="1">
      <alignment horizontal="center"/>
    </xf>
    <xf numFmtId="0" fontId="0" fillId="0" borderId="48" xfId="0" applyFont="1" applyBorder="1" applyAlignment="1">
      <alignment horizontal="center"/>
    </xf>
    <xf numFmtId="3" fontId="0" fillId="0" borderId="40" xfId="0" applyNumberFormat="1" applyFont="1" applyBorder="1" applyAlignment="1">
      <alignment horizontal="center"/>
    </xf>
    <xf numFmtId="3" fontId="0" fillId="0" borderId="41" xfId="0" applyNumberFormat="1" applyFont="1" applyBorder="1" applyAlignment="1">
      <alignment horizontal="center"/>
    </xf>
    <xf numFmtId="3" fontId="0" fillId="0" borderId="42" xfId="0" applyNumberFormat="1" applyFont="1" applyBorder="1" applyAlignment="1">
      <alignment horizontal="center"/>
    </xf>
    <xf numFmtId="3" fontId="0" fillId="0" borderId="49" xfId="0" applyNumberFormat="1" applyFont="1" applyBorder="1" applyAlignment="1">
      <alignment horizontal="center"/>
    </xf>
    <xf numFmtId="3" fontId="0" fillId="0" borderId="48" xfId="0" applyNumberFormat="1" applyFont="1" applyBorder="1" applyAlignment="1">
      <alignment horizontal="center"/>
    </xf>
    <xf numFmtId="3" fontId="0" fillId="0" borderId="29" xfId="0" applyNumberFormat="1" applyFont="1" applyBorder="1" applyAlignment="1">
      <alignment horizontal="center"/>
    </xf>
    <xf numFmtId="3" fontId="0" fillId="0" borderId="37" xfId="0" applyNumberFormat="1" applyFont="1" applyBorder="1" applyAlignment="1">
      <alignment horizontal="center"/>
    </xf>
    <xf numFmtId="3" fontId="0" fillId="0" borderId="59" xfId="0" applyNumberFormat="1" applyFont="1" applyBorder="1" applyAlignment="1">
      <alignment horizontal="center"/>
    </xf>
    <xf numFmtId="6" fontId="4" fillId="0" borderId="38" xfId="0" applyNumberFormat="1" applyFont="1" applyBorder="1" applyAlignment="1">
      <alignment horizontal="center"/>
    </xf>
    <xf numFmtId="0" fontId="4" fillId="0" borderId="38" xfId="0" applyFont="1" applyBorder="1" applyAlignment="1">
      <alignment horizontal="center"/>
    </xf>
    <xf numFmtId="3" fontId="4" fillId="0" borderId="26" xfId="0" applyNumberFormat="1"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6" fontId="4" fillId="0" borderId="60" xfId="0" applyNumberFormat="1" applyFont="1" applyBorder="1" applyAlignment="1">
      <alignment horizontal="center"/>
    </xf>
    <xf numFmtId="6" fontId="4" fillId="0" borderId="61" xfId="0" applyNumberFormat="1" applyFont="1" applyBorder="1" applyAlignment="1">
      <alignment horizontal="center"/>
    </xf>
    <xf numFmtId="6" fontId="4" fillId="0" borderId="42" xfId="0" applyNumberFormat="1" applyFont="1" applyBorder="1" applyAlignment="1">
      <alignment horizontal="center"/>
    </xf>
    <xf numFmtId="38" fontId="4" fillId="0" borderId="57" xfId="0" applyNumberFormat="1" applyFont="1" applyBorder="1" applyAlignment="1">
      <alignment horizontal="center"/>
    </xf>
    <xf numFmtId="38" fontId="4" fillId="0" borderId="61" xfId="0" applyNumberFormat="1" applyFont="1" applyBorder="1" applyAlignment="1">
      <alignment horizontal="center"/>
    </xf>
    <xf numFmtId="6" fontId="4" fillId="0" borderId="33" xfId="0" applyNumberFormat="1" applyFont="1" applyBorder="1" applyAlignment="1">
      <alignment horizontal="center"/>
    </xf>
    <xf numFmtId="0" fontId="4" fillId="0" borderId="33" xfId="0" applyFont="1" applyBorder="1" applyAlignment="1">
      <alignment horizontal="center"/>
    </xf>
    <xf numFmtId="3" fontId="4" fillId="0" borderId="57" xfId="0" applyNumberFormat="1" applyFont="1" applyBorder="1" applyAlignment="1">
      <alignment horizontal="center"/>
    </xf>
    <xf numFmtId="0" fontId="4" fillId="0" borderId="57" xfId="0" applyFont="1" applyBorder="1" applyAlignment="1">
      <alignment horizontal="center"/>
    </xf>
    <xf numFmtId="0" fontId="4" fillId="0" borderId="51" xfId="0" applyFont="1" applyBorder="1" applyAlignment="1">
      <alignment horizontal="center"/>
    </xf>
    <xf numFmtId="6" fontId="4" fillId="0" borderId="62" xfId="0" applyNumberFormat="1" applyFont="1" applyBorder="1" applyAlignment="1">
      <alignment horizontal="center"/>
    </xf>
    <xf numFmtId="0" fontId="4" fillId="0" borderId="63" xfId="0" applyFont="1" applyBorder="1" applyAlignment="1">
      <alignment horizontal="center"/>
    </xf>
    <xf numFmtId="38" fontId="4" fillId="0" borderId="64" xfId="0" applyNumberFormat="1" applyFont="1" applyBorder="1" applyAlignment="1">
      <alignment horizontal="center"/>
    </xf>
    <xf numFmtId="38" fontId="4" fillId="0" borderId="65" xfId="0" applyNumberFormat="1" applyFont="1" applyBorder="1" applyAlignment="1">
      <alignment horizontal="center"/>
    </xf>
    <xf numFmtId="38" fontId="4" fillId="0" borderId="66" xfId="0" applyNumberFormat="1" applyFont="1" applyBorder="1" applyAlignment="1">
      <alignment horizontal="center"/>
    </xf>
    <xf numFmtId="6" fontId="4" fillId="0" borderId="67" xfId="0" applyNumberFormat="1" applyFont="1" applyBorder="1" applyAlignment="1">
      <alignment horizontal="center"/>
    </xf>
    <xf numFmtId="6" fontId="4" fillId="0" borderId="65" xfId="0" applyNumberFormat="1" applyFont="1" applyBorder="1" applyAlignment="1">
      <alignment horizontal="center"/>
    </xf>
    <xf numFmtId="6" fontId="4" fillId="0" borderId="66" xfId="0" applyNumberFormat="1" applyFont="1" applyBorder="1" applyAlignment="1">
      <alignment horizontal="center"/>
    </xf>
    <xf numFmtId="0" fontId="4" fillId="0" borderId="67" xfId="0" applyFont="1" applyBorder="1" applyAlignment="1">
      <alignment horizontal="center"/>
    </xf>
    <xf numFmtId="3" fontId="4" fillId="0" borderId="65" xfId="0" applyNumberFormat="1" applyFont="1" applyBorder="1" applyAlignment="1">
      <alignment horizontal="center"/>
    </xf>
    <xf numFmtId="0" fontId="4" fillId="0" borderId="65" xfId="0" applyFont="1" applyBorder="1" applyAlignment="1">
      <alignment horizontal="center"/>
    </xf>
    <xf numFmtId="6" fontId="4" fillId="0" borderId="68" xfId="0" applyNumberFormat="1" applyFont="1" applyBorder="1" applyAlignment="1">
      <alignment horizontal="center"/>
    </xf>
    <xf numFmtId="0" fontId="4" fillId="0" borderId="68" xfId="0" applyFont="1" applyBorder="1" applyAlignment="1">
      <alignment horizontal="center"/>
    </xf>
    <xf numFmtId="0" fontId="4" fillId="0" borderId="54" xfId="0" applyFont="1" applyBorder="1" applyAlignment="1">
      <alignment horizontal="center"/>
    </xf>
    <xf numFmtId="6" fontId="4" fillId="0" borderId="69" xfId="0" applyNumberFormat="1" applyFont="1" applyBorder="1" applyAlignment="1">
      <alignment horizontal="center"/>
    </xf>
    <xf numFmtId="6" fontId="4" fillId="0" borderId="54" xfId="0" applyNumberFormat="1" applyFont="1" applyBorder="1" applyAlignment="1">
      <alignment horizontal="center"/>
    </xf>
    <xf numFmtId="165" fontId="4" fillId="0" borderId="54" xfId="0" applyNumberFormat="1" applyFont="1" applyBorder="1" applyAlignment="1">
      <alignment horizontal="center"/>
    </xf>
    <xf numFmtId="38" fontId="4" fillId="0" borderId="54" xfId="0" applyNumberFormat="1" applyFont="1" applyBorder="1" applyAlignment="1">
      <alignment horizontal="center"/>
    </xf>
    <xf numFmtId="38" fontId="4" fillId="0" borderId="70" xfId="0" applyNumberFormat="1" applyFont="1" applyBorder="1" applyAlignment="1">
      <alignment horizontal="center"/>
    </xf>
    <xf numFmtId="0" fontId="4" fillId="0" borderId="69" xfId="0" applyFont="1" applyBorder="1" applyAlignment="1">
      <alignment horizontal="center"/>
    </xf>
    <xf numFmtId="6" fontId="4" fillId="0" borderId="64" xfId="0" applyNumberFormat="1" applyFont="1" applyBorder="1" applyAlignment="1">
      <alignment horizontal="center"/>
    </xf>
    <xf numFmtId="3" fontId="4" fillId="0" borderId="27" xfId="0" applyNumberFormat="1" applyFont="1" applyBorder="1" applyAlignment="1">
      <alignment horizontal="center"/>
    </xf>
    <xf numFmtId="3" fontId="4" fillId="0" borderId="20" xfId="0" applyNumberFormat="1" applyFont="1" applyBorder="1" applyAlignment="1">
      <alignment horizontal="center"/>
    </xf>
    <xf numFmtId="3" fontId="4" fillId="0" borderId="51" xfId="0" applyNumberFormat="1" applyFont="1" applyBorder="1" applyAlignment="1">
      <alignment horizontal="center"/>
    </xf>
    <xf numFmtId="3" fontId="4" fillId="0" borderId="68" xfId="0" applyNumberFormat="1" applyFont="1" applyBorder="1" applyAlignment="1">
      <alignment horizontal="center"/>
    </xf>
    <xf numFmtId="3" fontId="4" fillId="0" borderId="28" xfId="0" applyNumberFormat="1" applyFont="1" applyBorder="1" applyAlignment="1">
      <alignment horizontal="center"/>
    </xf>
    <xf numFmtId="0" fontId="5" fillId="0" borderId="23" xfId="0" applyFont="1" applyBorder="1" applyAlignment="1" applyProtection="1">
      <alignment horizontal="centerContinuous"/>
    </xf>
    <xf numFmtId="0" fontId="7" fillId="0" borderId="71" xfId="0" applyFont="1" applyBorder="1" applyAlignment="1" applyProtection="1">
      <alignment horizontal="center" vertical="center"/>
      <protection locked="0"/>
    </xf>
    <xf numFmtId="3" fontId="0" fillId="0" borderId="72" xfId="0" applyNumberFormat="1" applyFont="1" applyBorder="1" applyAlignment="1">
      <alignment horizontal="center"/>
    </xf>
    <xf numFmtId="0" fontId="7" fillId="0" borderId="73" xfId="0" applyFont="1" applyBorder="1" applyAlignment="1" applyProtection="1">
      <alignment horizontal="center" vertical="center"/>
      <protection locked="0"/>
    </xf>
    <xf numFmtId="38" fontId="4" fillId="0" borderId="74" xfId="0" applyNumberFormat="1" applyFont="1" applyBorder="1" applyAlignment="1">
      <alignment horizontal="center"/>
    </xf>
    <xf numFmtId="6" fontId="4" fillId="0" borderId="74" xfId="0" applyNumberFormat="1" applyFont="1" applyBorder="1" applyAlignment="1">
      <alignment horizontal="center"/>
    </xf>
    <xf numFmtId="3" fontId="0" fillId="0" borderId="75" xfId="0" applyNumberFormat="1" applyFont="1" applyBorder="1" applyAlignment="1">
      <alignment horizontal="center"/>
    </xf>
    <xf numFmtId="0" fontId="5" fillId="0" borderId="76" xfId="0" applyFont="1" applyBorder="1" applyAlignment="1" applyProtection="1">
      <alignment horizontal="centerContinuous"/>
    </xf>
    <xf numFmtId="38" fontId="4" fillId="0" borderId="49" xfId="0" applyNumberFormat="1" applyFont="1" applyFill="1" applyBorder="1" applyAlignment="1">
      <alignment horizontal="center"/>
    </xf>
    <xf numFmtId="6" fontId="4" fillId="0" borderId="42" xfId="0" applyNumberFormat="1" applyFont="1" applyFill="1" applyBorder="1" applyAlignment="1">
      <alignment horizontal="center"/>
    </xf>
    <xf numFmtId="16" fontId="7" fillId="0" borderId="6" xfId="0" applyNumberFormat="1" applyFont="1" applyBorder="1" applyAlignment="1" applyProtection="1">
      <alignment horizontal="center" vertical="center"/>
      <protection locked="0"/>
    </xf>
    <xf numFmtId="16" fontId="7" fillId="0" borderId="7" xfId="0" applyNumberFormat="1" applyFont="1" applyBorder="1" applyAlignment="1" applyProtection="1">
      <alignment horizontal="center" vertical="center"/>
      <protection locked="0"/>
    </xf>
    <xf numFmtId="16" fontId="7" fillId="0" borderId="71" xfId="0" applyNumberFormat="1" applyFont="1" applyBorder="1" applyAlignment="1" applyProtection="1">
      <alignment horizontal="center" vertical="center"/>
      <protection locked="0"/>
    </xf>
    <xf numFmtId="16" fontId="7" fillId="0" borderId="14" xfId="0" applyNumberFormat="1" applyFont="1" applyBorder="1" applyAlignment="1" applyProtection="1">
      <alignment horizontal="center" vertical="center"/>
      <protection locked="0"/>
    </xf>
    <xf numFmtId="16" fontId="7" fillId="0" borderId="73" xfId="0" applyNumberFormat="1" applyFont="1" applyBorder="1" applyAlignment="1" applyProtection="1">
      <alignment horizontal="center" vertical="center"/>
      <protection locked="0"/>
    </xf>
    <xf numFmtId="16" fontId="7" fillId="0" borderId="22" xfId="0" applyNumberFormat="1" applyFont="1" applyBorder="1" applyAlignment="1" applyProtection="1">
      <alignment horizontal="center" vertical="center"/>
      <protection locked="0"/>
    </xf>
    <xf numFmtId="0" fontId="2" fillId="0" borderId="77" xfId="0" applyFont="1" applyFill="1" applyBorder="1"/>
    <xf numFmtId="0" fontId="0" fillId="0" borderId="12" xfId="0" applyFont="1" applyBorder="1" applyAlignment="1">
      <alignment horizontal="center"/>
    </xf>
    <xf numFmtId="3" fontId="0" fillId="0" borderId="12" xfId="0" applyNumberFormat="1" applyFont="1" applyBorder="1" applyAlignment="1">
      <alignment horizontal="center"/>
    </xf>
    <xf numFmtId="0" fontId="0" fillId="0" borderId="78" xfId="0" applyFont="1" applyBorder="1" applyAlignment="1">
      <alignment horizontal="center"/>
    </xf>
    <xf numFmtId="3" fontId="0" fillId="0" borderId="18" xfId="0" applyNumberFormat="1" applyFont="1" applyBorder="1" applyAlignment="1">
      <alignment horizontal="center"/>
    </xf>
    <xf numFmtId="3" fontId="0" fillId="0" borderId="31" xfId="0" applyNumberFormat="1" applyFont="1" applyBorder="1" applyAlignment="1">
      <alignment horizontal="center"/>
    </xf>
    <xf numFmtId="3" fontId="0" fillId="0" borderId="39" xfId="0" applyNumberFormat="1" applyFont="1" applyBorder="1" applyAlignment="1">
      <alignment horizontal="center"/>
    </xf>
    <xf numFmtId="3" fontId="0" fillId="0" borderId="19" xfId="0" applyNumberFormat="1" applyFont="1" applyBorder="1" applyAlignment="1">
      <alignment horizontal="center"/>
    </xf>
    <xf numFmtId="3" fontId="0" fillId="0" borderId="28" xfId="0" applyNumberFormat="1" applyFont="1" applyBorder="1" applyAlignment="1">
      <alignment horizontal="center"/>
    </xf>
    <xf numFmtId="3" fontId="0" fillId="0" borderId="79" xfId="0" applyNumberFormat="1" applyFont="1" applyBorder="1" applyAlignment="1">
      <alignment horizontal="center"/>
    </xf>
    <xf numFmtId="3" fontId="0" fillId="0" borderId="80" xfId="0" applyNumberFormat="1" applyFont="1" applyBorder="1" applyAlignment="1">
      <alignment horizontal="center"/>
    </xf>
    <xf numFmtId="38" fontId="0" fillId="0" borderId="18" xfId="0" applyNumberFormat="1" applyFont="1" applyBorder="1" applyAlignment="1">
      <alignment horizontal="center"/>
    </xf>
    <xf numFmtId="0" fontId="0" fillId="0" borderId="18" xfId="0" applyFont="1" applyBorder="1" applyAlignment="1">
      <alignment horizontal="center"/>
    </xf>
    <xf numFmtId="0" fontId="0" fillId="0" borderId="19" xfId="0" applyFont="1" applyBorder="1" applyAlignment="1">
      <alignment horizontal="center"/>
    </xf>
    <xf numFmtId="0" fontId="0" fillId="0" borderId="26" xfId="0" applyFont="1" applyBorder="1" applyAlignment="1">
      <alignment horizontal="center"/>
    </xf>
    <xf numFmtId="38" fontId="4" fillId="0" borderId="18" xfId="0" applyNumberFormat="1" applyFont="1" applyFill="1" applyBorder="1" applyAlignment="1">
      <alignment horizontal="center"/>
    </xf>
    <xf numFmtId="8" fontId="4" fillId="0" borderId="26" xfId="0" applyNumberFormat="1" applyFont="1" applyBorder="1" applyAlignment="1">
      <alignment horizontal="center"/>
    </xf>
    <xf numFmtId="0" fontId="0" fillId="0" borderId="0" xfId="0" applyFont="1" applyAlignment="1">
      <alignment horizontal="left" vertical="center" wrapText="1"/>
    </xf>
    <xf numFmtId="0" fontId="0" fillId="0" borderId="0" xfId="0" applyFont="1" applyAlignment="1">
      <alignment horizontal="left" vertical="center" wrapText="1"/>
    </xf>
    <xf numFmtId="38" fontId="0" fillId="0" borderId="0" xfId="0" applyNumberFormat="1" applyFont="1" applyBorder="1" applyAlignment="1">
      <alignment horizontal="center"/>
    </xf>
    <xf numFmtId="0" fontId="0" fillId="0" borderId="0" xfId="0" applyFont="1" applyBorder="1" applyAlignment="1">
      <alignment horizontal="center"/>
    </xf>
    <xf numFmtId="3" fontId="0" fillId="0" borderId="0" xfId="0" applyNumberFormat="1" applyFont="1" applyBorder="1" applyAlignment="1">
      <alignment horizontal="center"/>
    </xf>
    <xf numFmtId="38" fontId="0" fillId="0" borderId="17" xfId="0" applyNumberFormat="1" applyFont="1" applyBorder="1" applyAlignment="1">
      <alignment horizontal="center"/>
    </xf>
    <xf numFmtId="38" fontId="0" fillId="0" borderId="20" xfId="0" applyNumberFormat="1" applyFont="1" applyBorder="1" applyAlignment="1">
      <alignment horizontal="center"/>
    </xf>
    <xf numFmtId="3" fontId="0" fillId="0" borderId="36" xfId="0" applyNumberFormat="1" applyFont="1" applyBorder="1" applyAlignment="1">
      <alignment horizontal="center"/>
    </xf>
    <xf numFmtId="3" fontId="0" fillId="0" borderId="32" xfId="0" applyNumberFormat="1" applyFont="1" applyBorder="1" applyAlignment="1">
      <alignment horizontal="center"/>
    </xf>
    <xf numFmtId="3" fontId="0" fillId="0" borderId="17" xfId="0" applyNumberFormat="1" applyFont="1" applyBorder="1" applyAlignment="1">
      <alignment horizontal="center"/>
    </xf>
    <xf numFmtId="6" fontId="0" fillId="0" borderId="0" xfId="0" applyNumberFormat="1" applyFont="1"/>
    <xf numFmtId="16" fontId="0" fillId="0" borderId="0" xfId="0" applyNumberFormat="1" applyFont="1"/>
    <xf numFmtId="0" fontId="4" fillId="0" borderId="0" xfId="0" applyFont="1" applyFill="1" applyBorder="1" applyAlignment="1">
      <alignment horizontal="center" vertical="center"/>
    </xf>
    <xf numFmtId="3" fontId="0" fillId="0" borderId="35" xfId="0" applyNumberFormat="1" applyFont="1" applyBorder="1" applyAlignment="1">
      <alignment horizontal="center"/>
    </xf>
    <xf numFmtId="38" fontId="4" fillId="0" borderId="81" xfId="0" applyNumberFormat="1" applyFont="1" applyBorder="1" applyAlignment="1">
      <alignment horizontal="center"/>
    </xf>
    <xf numFmtId="0" fontId="0" fillId="0" borderId="0" xfId="0" applyFont="1" applyAlignment="1">
      <alignment wrapText="1"/>
    </xf>
    <xf numFmtId="3" fontId="0" fillId="0" borderId="0" xfId="0" applyNumberFormat="1" applyFont="1"/>
    <xf numFmtId="3" fontId="0" fillId="0" borderId="0" xfId="0" applyNumberFormat="1" applyFont="1" applyFill="1" applyBorder="1" applyAlignment="1">
      <alignment horizontal="center"/>
    </xf>
    <xf numFmtId="14" fontId="7" fillId="0" borderId="7" xfId="0" applyNumberFormat="1" applyFont="1" applyBorder="1" applyAlignment="1" applyProtection="1">
      <alignment horizontal="center" vertical="center"/>
      <protection locked="0"/>
    </xf>
    <xf numFmtId="0" fontId="0" fillId="0" borderId="82" xfId="0" applyFont="1" applyBorder="1" applyAlignment="1">
      <alignment horizontal="center"/>
    </xf>
    <xf numFmtId="3" fontId="0" fillId="0" borderId="83" xfId="0" applyNumberFormat="1" applyFont="1" applyBorder="1" applyAlignment="1">
      <alignment horizontal="center"/>
    </xf>
    <xf numFmtId="6" fontId="4" fillId="0" borderId="0" xfId="0" applyNumberFormat="1" applyFont="1" applyFill="1" applyBorder="1" applyAlignment="1">
      <alignment horizontal="center"/>
    </xf>
    <xf numFmtId="14" fontId="7" fillId="0" borderId="23" xfId="0" applyNumberFormat="1" applyFont="1" applyBorder="1" applyAlignment="1" applyProtection="1">
      <alignment horizontal="center" vertical="center"/>
      <protection locked="0"/>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Font="1" applyAlignment="1">
      <alignment horizontal="left" vertical="center" wrapText="1"/>
    </xf>
    <xf numFmtId="0" fontId="0" fillId="0" borderId="0" xfId="0" applyAlignment="1">
      <alignment horizontal="left" wrapText="1"/>
    </xf>
    <xf numFmtId="0" fontId="0" fillId="0" borderId="0" xfId="0" applyFont="1" applyAlignment="1">
      <alignment horizontal="center" vertical="center" wrapText="1"/>
    </xf>
    <xf numFmtId="0" fontId="0" fillId="0" borderId="0" xfId="0" applyFont="1" applyAlignment="1">
      <alignment horizontal="center" vertical="top" wrapText="1"/>
    </xf>
    <xf numFmtId="0" fontId="0"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51"/>
  <sheetViews>
    <sheetView tabSelected="1" workbookViewId="0">
      <pane xSplit="2" ySplit="8" topLeftCell="T132" activePane="bottomRight" state="frozen"/>
      <selection pane="topRight" activeCell="C1" sqref="C1"/>
      <selection pane="bottomLeft" activeCell="A9" sqref="A9"/>
      <selection pane="bottomRight" activeCell="AH144" sqref="AH144:AM144"/>
    </sheetView>
  </sheetViews>
  <sheetFormatPr defaultColWidth="9.140625" defaultRowHeight="15" x14ac:dyDescent="0.25"/>
  <cols>
    <col min="1" max="1" width="5.85546875" style="2" customWidth="1"/>
    <col min="2" max="2" width="63.28515625" style="2" customWidth="1"/>
    <col min="3" max="3" width="12.7109375" style="2" bestFit="1" customWidth="1"/>
    <col min="4" max="4" width="11.85546875" style="2" bestFit="1" customWidth="1"/>
    <col min="5" max="12" width="10.85546875" style="2" bestFit="1" customWidth="1"/>
    <col min="13" max="15" width="11.85546875" style="2" bestFit="1" customWidth="1"/>
    <col min="16" max="21" width="10.85546875" style="2" bestFit="1" customWidth="1"/>
    <col min="22" max="29" width="9.140625" style="2"/>
    <col min="30" max="32" width="10.85546875" style="2" bestFit="1" customWidth="1"/>
    <col min="33" max="16384" width="9.140625" style="2"/>
  </cols>
  <sheetData>
    <row r="1" spans="1:28" ht="16.5" thickTop="1" thickBot="1" x14ac:dyDescent="0.3">
      <c r="B1" s="251" t="s">
        <v>19</v>
      </c>
      <c r="C1" s="252"/>
      <c r="D1" s="252"/>
      <c r="E1" s="252"/>
      <c r="F1" s="252"/>
      <c r="G1" s="252"/>
      <c r="H1" s="252"/>
      <c r="I1" s="252"/>
      <c r="J1" s="252"/>
      <c r="K1" s="252"/>
      <c r="L1" s="252"/>
      <c r="M1" s="252"/>
      <c r="N1" s="252"/>
      <c r="O1" s="252"/>
      <c r="P1" s="252"/>
      <c r="Q1" s="252"/>
      <c r="R1" s="252"/>
      <c r="S1" s="252"/>
      <c r="T1" s="252"/>
      <c r="U1" s="252"/>
      <c r="V1" s="252"/>
      <c r="W1" s="252"/>
      <c r="X1" s="38"/>
      <c r="Y1" s="38"/>
      <c r="Z1" s="38"/>
      <c r="AA1" s="38"/>
      <c r="AB1" s="39"/>
    </row>
    <row r="2" spans="1:28" ht="27.6" customHeight="1" thickTop="1" thickBot="1" x14ac:dyDescent="0.3">
      <c r="B2" s="5" t="s">
        <v>0</v>
      </c>
      <c r="C2" s="253" t="s">
        <v>56</v>
      </c>
      <c r="D2" s="254"/>
      <c r="E2" s="254"/>
      <c r="F2" s="254"/>
      <c r="G2" s="254"/>
      <c r="H2" s="254"/>
      <c r="I2" s="254"/>
      <c r="J2" s="6"/>
      <c r="K2" s="7"/>
      <c r="L2" s="7"/>
      <c r="M2" s="253"/>
      <c r="N2" s="254"/>
      <c r="O2" s="254"/>
      <c r="P2" s="254"/>
      <c r="Q2" s="254"/>
      <c r="R2" s="254"/>
      <c r="S2" s="254"/>
      <c r="T2" s="7"/>
      <c r="U2" s="7"/>
      <c r="V2" s="7"/>
      <c r="W2" s="8"/>
    </row>
    <row r="3" spans="1:28" ht="27.6" customHeight="1" thickTop="1" thickBot="1" x14ac:dyDescent="0.3">
      <c r="B3" s="5" t="s">
        <v>1</v>
      </c>
      <c r="C3" s="253" t="s">
        <v>48</v>
      </c>
      <c r="D3" s="254"/>
      <c r="E3" s="254"/>
      <c r="F3" s="254"/>
      <c r="G3" s="254"/>
      <c r="H3" s="254"/>
      <c r="I3" s="254"/>
      <c r="J3" s="6"/>
      <c r="K3" s="9"/>
      <c r="L3" s="9"/>
      <c r="M3" s="253"/>
      <c r="N3" s="254"/>
      <c r="O3" s="254"/>
      <c r="P3" s="254"/>
      <c r="Q3" s="254"/>
      <c r="R3" s="254"/>
      <c r="S3" s="254"/>
      <c r="T3" s="9"/>
      <c r="U3" s="9"/>
      <c r="V3" s="9"/>
      <c r="W3" s="10"/>
    </row>
    <row r="4" spans="1:28" ht="27.6" customHeight="1" thickTop="1" thickBot="1" x14ac:dyDescent="0.3">
      <c r="B4" s="5" t="s">
        <v>2</v>
      </c>
      <c r="C4" s="255">
        <v>44077</v>
      </c>
      <c r="D4" s="256"/>
      <c r="E4" s="256"/>
      <c r="F4" s="256"/>
      <c r="G4" s="256"/>
      <c r="H4" s="256"/>
      <c r="I4" s="256"/>
      <c r="J4" s="6"/>
      <c r="K4" s="9"/>
      <c r="L4" s="9"/>
      <c r="M4" s="255"/>
      <c r="N4" s="256"/>
      <c r="O4" s="256"/>
      <c r="P4" s="256"/>
      <c r="Q4" s="256"/>
      <c r="R4" s="256"/>
      <c r="S4" s="256"/>
      <c r="T4" s="9"/>
      <c r="U4" s="9"/>
      <c r="V4" s="9"/>
      <c r="W4" s="11"/>
    </row>
    <row r="5" spans="1:28" ht="15.75" thickTop="1" x14ac:dyDescent="0.25">
      <c r="B5" s="5"/>
      <c r="C5" s="12"/>
      <c r="D5" s="12"/>
      <c r="E5" s="12"/>
      <c r="F5" s="6"/>
      <c r="G5" s="7"/>
      <c r="H5" s="6"/>
      <c r="I5" s="7"/>
      <c r="J5" s="6"/>
      <c r="K5" s="9"/>
      <c r="L5" s="9"/>
      <c r="M5" s="9"/>
      <c r="N5" s="9"/>
      <c r="O5" s="9"/>
      <c r="P5" s="9"/>
      <c r="Q5" s="9"/>
      <c r="R5" s="9"/>
      <c r="S5" s="9"/>
      <c r="T5" s="9"/>
      <c r="U5" s="9"/>
      <c r="V5" s="9"/>
      <c r="W5" s="11"/>
    </row>
    <row r="6" spans="1:28" ht="15.75" thickBot="1" x14ac:dyDescent="0.3">
      <c r="B6" s="13"/>
      <c r="C6" s="14"/>
      <c r="D6" s="15"/>
      <c r="E6" s="15"/>
      <c r="F6" s="16"/>
      <c r="G6" s="17"/>
      <c r="H6" s="18"/>
      <c r="I6" s="17"/>
      <c r="J6" s="19"/>
      <c r="K6" s="18"/>
      <c r="L6" s="18"/>
      <c r="M6" s="18"/>
      <c r="N6" s="18"/>
      <c r="O6" s="18"/>
      <c r="P6" s="18"/>
      <c r="Q6" s="18"/>
      <c r="R6" s="18"/>
      <c r="S6" s="18"/>
      <c r="T6" s="18"/>
      <c r="U6" s="18"/>
      <c r="V6" s="18"/>
      <c r="W6" s="20"/>
    </row>
    <row r="7" spans="1:28" s="3" customFormat="1" ht="15.75" thickBot="1" x14ac:dyDescent="0.3">
      <c r="B7" s="21"/>
      <c r="C7" s="22">
        <v>2019</v>
      </c>
      <c r="D7" s="23"/>
      <c r="E7" s="23"/>
      <c r="F7" s="23"/>
      <c r="G7" s="23"/>
      <c r="H7" s="23"/>
      <c r="I7" s="23"/>
      <c r="J7" s="23"/>
      <c r="K7" s="23"/>
      <c r="L7" s="195"/>
      <c r="M7" s="202">
        <v>2020</v>
      </c>
      <c r="N7" s="202"/>
      <c r="O7" s="25"/>
      <c r="P7" s="23"/>
      <c r="Q7" s="23"/>
      <c r="R7" s="23"/>
      <c r="S7" s="23"/>
      <c r="T7" s="23"/>
      <c r="U7" s="26"/>
      <c r="V7" s="22" t="s">
        <v>15</v>
      </c>
      <c r="W7" s="23"/>
      <c r="X7" s="23"/>
      <c r="Y7" s="23"/>
      <c r="Z7" s="23"/>
      <c r="AA7" s="23"/>
      <c r="AB7" s="24"/>
    </row>
    <row r="8" spans="1:28" ht="15.75" thickBot="1" x14ac:dyDescent="0.3">
      <c r="B8" s="27"/>
      <c r="C8" s="28" t="s">
        <v>9</v>
      </c>
      <c r="D8" s="29" t="s">
        <v>10</v>
      </c>
      <c r="E8" s="29" t="s">
        <v>16</v>
      </c>
      <c r="F8" s="29" t="s">
        <v>11</v>
      </c>
      <c r="G8" s="29" t="s">
        <v>17</v>
      </c>
      <c r="H8" s="29" t="s">
        <v>3</v>
      </c>
      <c r="I8" s="29" t="s">
        <v>13</v>
      </c>
      <c r="J8" s="29" t="s">
        <v>4</v>
      </c>
      <c r="K8" s="29" t="s">
        <v>5</v>
      </c>
      <c r="L8" s="196" t="s">
        <v>6</v>
      </c>
      <c r="M8" s="30" t="s">
        <v>7</v>
      </c>
      <c r="N8" s="198" t="s">
        <v>8</v>
      </c>
      <c r="O8" s="30" t="s">
        <v>9</v>
      </c>
      <c r="P8" s="29" t="s">
        <v>10</v>
      </c>
      <c r="Q8" s="29" t="s">
        <v>16</v>
      </c>
      <c r="R8" s="29" t="s">
        <v>11</v>
      </c>
      <c r="S8" s="29" t="s">
        <v>12</v>
      </c>
      <c r="T8" s="29" t="s">
        <v>3</v>
      </c>
      <c r="U8" s="31" t="s">
        <v>13</v>
      </c>
      <c r="V8" s="28" t="s">
        <v>9</v>
      </c>
      <c r="W8" s="29" t="s">
        <v>10</v>
      </c>
      <c r="X8" s="29" t="s">
        <v>16</v>
      </c>
      <c r="Y8" s="29" t="s">
        <v>11</v>
      </c>
      <c r="Z8" s="29" t="s">
        <v>12</v>
      </c>
      <c r="AA8" s="29" t="s">
        <v>3</v>
      </c>
      <c r="AB8" s="32" t="s">
        <v>13</v>
      </c>
    </row>
    <row r="9" spans="1:28" x14ac:dyDescent="0.25">
      <c r="A9" s="4">
        <v>1</v>
      </c>
      <c r="B9" s="40" t="s">
        <v>14</v>
      </c>
      <c r="C9" s="48"/>
      <c r="D9" s="49"/>
      <c r="E9" s="49"/>
      <c r="F9" s="49"/>
      <c r="G9" s="49"/>
      <c r="H9" s="49"/>
      <c r="I9" s="49"/>
      <c r="J9" s="49"/>
      <c r="K9" s="49"/>
      <c r="L9" s="50"/>
      <c r="M9" s="51"/>
      <c r="N9" s="49"/>
      <c r="O9" s="51"/>
      <c r="P9" s="49"/>
      <c r="Q9" s="49"/>
      <c r="R9" s="49"/>
      <c r="S9" s="49"/>
      <c r="T9" s="49"/>
      <c r="U9" s="50"/>
      <c r="V9" s="51"/>
      <c r="W9" s="52"/>
      <c r="X9" s="53"/>
      <c r="Y9" s="53"/>
      <c r="Z9" s="53"/>
      <c r="AA9" s="53"/>
      <c r="AB9" s="54"/>
    </row>
    <row r="10" spans="1:28" x14ac:dyDescent="0.25">
      <c r="A10" s="4"/>
      <c r="B10" s="35" t="s">
        <v>36</v>
      </c>
      <c r="C10" s="55">
        <v>42093</v>
      </c>
      <c r="D10" s="56">
        <v>41417</v>
      </c>
      <c r="E10" s="56">
        <v>41314</v>
      </c>
      <c r="F10" s="56">
        <v>42207</v>
      </c>
      <c r="G10" s="56">
        <v>41967</v>
      </c>
      <c r="H10" s="56">
        <v>41916</v>
      </c>
      <c r="I10" s="56">
        <v>42074</v>
      </c>
      <c r="J10" s="56">
        <v>42016</v>
      </c>
      <c r="K10" s="56">
        <v>42267</v>
      </c>
      <c r="L10" s="57">
        <v>42519</v>
      </c>
      <c r="M10" s="58">
        <v>42421</v>
      </c>
      <c r="N10" s="56">
        <v>42447</v>
      </c>
      <c r="O10" s="58">
        <v>42410</v>
      </c>
      <c r="P10" s="56">
        <f>2381+39694+56+182</f>
        <v>42313</v>
      </c>
      <c r="Q10" s="56">
        <f>2390+39818+56+182</f>
        <v>42446</v>
      </c>
      <c r="R10" s="56">
        <f>2430+41009+56+182</f>
        <v>43677</v>
      </c>
      <c r="S10" s="56">
        <f>2416+40565+56+182</f>
        <v>43219</v>
      </c>
      <c r="T10" s="56">
        <f>2413+40660+56+182</f>
        <v>43311</v>
      </c>
      <c r="U10" s="57">
        <f>2414+40703+56+182</f>
        <v>43355</v>
      </c>
      <c r="V10" s="58">
        <f>C10-O10</f>
        <v>-317</v>
      </c>
      <c r="W10" s="58">
        <f>D10-P10</f>
        <v>-896</v>
      </c>
      <c r="X10" s="58">
        <f t="shared" ref="X10:AB14" si="0">E10-Q10</f>
        <v>-1132</v>
      </c>
      <c r="Y10" s="58">
        <f t="shared" si="0"/>
        <v>-1470</v>
      </c>
      <c r="Z10" s="58">
        <f t="shared" si="0"/>
        <v>-1252</v>
      </c>
      <c r="AA10" s="58">
        <f t="shared" si="0"/>
        <v>-1395</v>
      </c>
      <c r="AB10" s="70">
        <f t="shared" si="0"/>
        <v>-1281</v>
      </c>
    </row>
    <row r="11" spans="1:28" x14ac:dyDescent="0.25">
      <c r="A11" s="4"/>
      <c r="B11" s="35" t="s">
        <v>37</v>
      </c>
      <c r="C11" s="55">
        <v>10386</v>
      </c>
      <c r="D11" s="56">
        <v>10646</v>
      </c>
      <c r="E11" s="56">
        <v>10604</v>
      </c>
      <c r="F11" s="56">
        <v>9763</v>
      </c>
      <c r="G11" s="56">
        <v>9843</v>
      </c>
      <c r="H11" s="56">
        <v>9767</v>
      </c>
      <c r="I11" s="56">
        <v>9634</v>
      </c>
      <c r="J11" s="56">
        <v>9788</v>
      </c>
      <c r="K11" s="56">
        <v>10029</v>
      </c>
      <c r="L11" s="57">
        <v>10105</v>
      </c>
      <c r="M11" s="58">
        <v>10253</v>
      </c>
      <c r="N11" s="56">
        <v>10308</v>
      </c>
      <c r="O11" s="58">
        <v>10359</v>
      </c>
      <c r="P11" s="56">
        <f>326+10246</f>
        <v>10572</v>
      </c>
      <c r="Q11" s="56">
        <f>326+10188</f>
        <v>10514</v>
      </c>
      <c r="R11" s="56">
        <f>295+9063</f>
        <v>9358</v>
      </c>
      <c r="S11" s="56">
        <f>314+9545</f>
        <v>9859</v>
      </c>
      <c r="T11" s="56">
        <f>322+9544</f>
        <v>9866</v>
      </c>
      <c r="U11" s="57">
        <f>326+9593</f>
        <v>9919</v>
      </c>
      <c r="V11" s="58">
        <f t="shared" ref="V11:W14" si="1">C11-O11</f>
        <v>27</v>
      </c>
      <c r="W11" s="58">
        <f t="shared" si="1"/>
        <v>74</v>
      </c>
      <c r="X11" s="58">
        <f t="shared" si="0"/>
        <v>90</v>
      </c>
      <c r="Y11" s="58">
        <f t="shared" si="0"/>
        <v>405</v>
      </c>
      <c r="Z11" s="58">
        <f t="shared" si="0"/>
        <v>-16</v>
      </c>
      <c r="AA11" s="58">
        <f t="shared" si="0"/>
        <v>-99</v>
      </c>
      <c r="AB11" s="57">
        <f t="shared" si="0"/>
        <v>-285</v>
      </c>
    </row>
    <row r="12" spans="1:28" x14ac:dyDescent="0.25">
      <c r="A12" s="4"/>
      <c r="B12" s="35" t="s">
        <v>38</v>
      </c>
      <c r="C12" s="55">
        <v>3745</v>
      </c>
      <c r="D12" s="56">
        <v>3717</v>
      </c>
      <c r="E12" s="56">
        <v>3695</v>
      </c>
      <c r="F12" s="56">
        <v>3673</v>
      </c>
      <c r="G12" s="56">
        <v>3659</v>
      </c>
      <c r="H12" s="56">
        <v>3643</v>
      </c>
      <c r="I12" s="56">
        <v>3642</v>
      </c>
      <c r="J12" s="56">
        <v>3670</v>
      </c>
      <c r="K12" s="56">
        <v>3735</v>
      </c>
      <c r="L12" s="57">
        <v>3788</v>
      </c>
      <c r="M12" s="58">
        <v>3792</v>
      </c>
      <c r="N12" s="56">
        <v>3789</v>
      </c>
      <c r="O12" s="58">
        <v>3780</v>
      </c>
      <c r="P12" s="56">
        <f>3018+569+171+39</f>
        <v>3797</v>
      </c>
      <c r="Q12" s="56">
        <f>3013+569+171+39</f>
        <v>3792</v>
      </c>
      <c r="R12" s="56">
        <f>3001+570+175+38</f>
        <v>3784</v>
      </c>
      <c r="S12" s="56">
        <f>3001+570+174+37</f>
        <v>3782</v>
      </c>
      <c r="T12" s="56">
        <f>2998+570+175+36</f>
        <v>3779</v>
      </c>
      <c r="U12" s="57">
        <f>2981+558+175+37</f>
        <v>3751</v>
      </c>
      <c r="V12" s="58">
        <f t="shared" si="1"/>
        <v>-35</v>
      </c>
      <c r="W12" s="58">
        <f t="shared" si="1"/>
        <v>-80</v>
      </c>
      <c r="X12" s="58">
        <f t="shared" si="0"/>
        <v>-97</v>
      </c>
      <c r="Y12" s="58">
        <f t="shared" si="0"/>
        <v>-111</v>
      </c>
      <c r="Z12" s="58">
        <f t="shared" si="0"/>
        <v>-123</v>
      </c>
      <c r="AA12" s="58">
        <f t="shared" si="0"/>
        <v>-136</v>
      </c>
      <c r="AB12" s="57">
        <f t="shared" si="0"/>
        <v>-109</v>
      </c>
    </row>
    <row r="13" spans="1:28" x14ac:dyDescent="0.25">
      <c r="A13" s="4"/>
      <c r="B13" s="35" t="s">
        <v>39</v>
      </c>
      <c r="C13" s="55">
        <v>543</v>
      </c>
      <c r="D13" s="56">
        <v>543</v>
      </c>
      <c r="E13" s="56">
        <v>542</v>
      </c>
      <c r="F13" s="56">
        <v>541</v>
      </c>
      <c r="G13" s="56">
        <v>542</v>
      </c>
      <c r="H13" s="56">
        <v>542</v>
      </c>
      <c r="I13" s="56">
        <v>527</v>
      </c>
      <c r="J13" s="56">
        <v>431</v>
      </c>
      <c r="K13" s="56">
        <v>532</v>
      </c>
      <c r="L13" s="57">
        <v>536</v>
      </c>
      <c r="M13" s="58">
        <v>540</v>
      </c>
      <c r="N13" s="56">
        <v>541</v>
      </c>
      <c r="O13" s="58">
        <v>542</v>
      </c>
      <c r="P13" s="56">
        <f>220+107+148+66</f>
        <v>541</v>
      </c>
      <c r="Q13" s="56">
        <f>220+109+148+66</f>
        <v>543</v>
      </c>
      <c r="R13" s="56">
        <f>218+113+149+62</f>
        <v>542</v>
      </c>
      <c r="S13" s="56">
        <f>220+116+148+59</f>
        <v>543</v>
      </c>
      <c r="T13" s="56">
        <f>217+116+152+59</f>
        <v>544</v>
      </c>
      <c r="U13" s="57">
        <f>206+114+147+60</f>
        <v>527</v>
      </c>
      <c r="V13" s="58">
        <f t="shared" si="1"/>
        <v>1</v>
      </c>
      <c r="W13" s="58">
        <f t="shared" si="1"/>
        <v>2</v>
      </c>
      <c r="X13" s="58">
        <f t="shared" si="0"/>
        <v>-1</v>
      </c>
      <c r="Y13" s="58">
        <f t="shared" si="0"/>
        <v>-1</v>
      </c>
      <c r="Z13" s="58">
        <f t="shared" si="0"/>
        <v>-1</v>
      </c>
      <c r="AA13" s="58">
        <f t="shared" si="0"/>
        <v>-2</v>
      </c>
      <c r="AB13" s="57">
        <f t="shared" si="0"/>
        <v>0</v>
      </c>
    </row>
    <row r="14" spans="1:28" x14ac:dyDescent="0.25">
      <c r="A14" s="4"/>
      <c r="B14" s="35" t="s">
        <v>40</v>
      </c>
      <c r="C14" s="55">
        <v>17</v>
      </c>
      <c r="D14" s="56">
        <v>17</v>
      </c>
      <c r="E14" s="56">
        <v>17</v>
      </c>
      <c r="F14" s="56">
        <v>17</v>
      </c>
      <c r="G14" s="56">
        <v>17</v>
      </c>
      <c r="H14" s="56">
        <v>17</v>
      </c>
      <c r="I14" s="56">
        <v>16</v>
      </c>
      <c r="J14" s="56">
        <v>16</v>
      </c>
      <c r="K14" s="56">
        <v>16</v>
      </c>
      <c r="L14" s="57">
        <v>17</v>
      </c>
      <c r="M14" s="58">
        <v>18</v>
      </c>
      <c r="N14" s="56">
        <v>18</v>
      </c>
      <c r="O14" s="58">
        <v>18</v>
      </c>
      <c r="P14" s="56">
        <f>2+2+4+10</f>
        <v>18</v>
      </c>
      <c r="Q14" s="56">
        <f>2+2+4+10</f>
        <v>18</v>
      </c>
      <c r="R14" s="56">
        <f>2+2+4+10</f>
        <v>18</v>
      </c>
      <c r="S14" s="56">
        <f>2+2+4+10</f>
        <v>18</v>
      </c>
      <c r="T14" s="56">
        <f>4+2+3+10</f>
        <v>19</v>
      </c>
      <c r="U14" s="57">
        <f>2+2+4+11</f>
        <v>19</v>
      </c>
      <c r="V14" s="58">
        <f t="shared" si="1"/>
        <v>-1</v>
      </c>
      <c r="W14" s="58">
        <f t="shared" si="1"/>
        <v>-1</v>
      </c>
      <c r="X14" s="58">
        <f t="shared" si="0"/>
        <v>-1</v>
      </c>
      <c r="Y14" s="58">
        <f t="shared" si="0"/>
        <v>-1</v>
      </c>
      <c r="Z14" s="58">
        <f t="shared" si="0"/>
        <v>-1</v>
      </c>
      <c r="AA14" s="58">
        <f t="shared" si="0"/>
        <v>-2</v>
      </c>
      <c r="AB14" s="57">
        <f t="shared" si="0"/>
        <v>-3</v>
      </c>
    </row>
    <row r="15" spans="1:28" ht="15.75" thickBot="1" x14ac:dyDescent="0.3">
      <c r="A15" s="4"/>
      <c r="B15" s="37" t="s">
        <v>41</v>
      </c>
      <c r="C15" s="122">
        <f t="shared" ref="C15:L15" si="2">SUM(C10:C14)</f>
        <v>56784</v>
      </c>
      <c r="D15" s="60">
        <f t="shared" si="2"/>
        <v>56340</v>
      </c>
      <c r="E15" s="60">
        <f t="shared" si="2"/>
        <v>56172</v>
      </c>
      <c r="F15" s="60">
        <f t="shared" si="2"/>
        <v>56201</v>
      </c>
      <c r="G15" s="60">
        <f t="shared" si="2"/>
        <v>56028</v>
      </c>
      <c r="H15" s="60">
        <f t="shared" si="2"/>
        <v>55885</v>
      </c>
      <c r="I15" s="60">
        <f t="shared" si="2"/>
        <v>55893</v>
      </c>
      <c r="J15" s="60">
        <f t="shared" si="2"/>
        <v>55921</v>
      </c>
      <c r="K15" s="60">
        <f t="shared" si="2"/>
        <v>56579</v>
      </c>
      <c r="L15" s="163">
        <f t="shared" si="2"/>
        <v>56965</v>
      </c>
      <c r="M15" s="60">
        <f t="shared" ref="M15:U15" si="3">SUM(M10:M14)</f>
        <v>57024</v>
      </c>
      <c r="N15" s="199">
        <f t="shared" si="3"/>
        <v>57103</v>
      </c>
      <c r="O15" s="60">
        <f t="shared" si="3"/>
        <v>57109</v>
      </c>
      <c r="P15" s="60">
        <f t="shared" si="3"/>
        <v>57241</v>
      </c>
      <c r="Q15" s="60">
        <f t="shared" si="3"/>
        <v>57313</v>
      </c>
      <c r="R15" s="60">
        <f t="shared" si="3"/>
        <v>57379</v>
      </c>
      <c r="S15" s="60">
        <f t="shared" si="3"/>
        <v>57421</v>
      </c>
      <c r="T15" s="60">
        <f t="shared" si="3"/>
        <v>57519</v>
      </c>
      <c r="U15" s="59">
        <f t="shared" si="3"/>
        <v>57571</v>
      </c>
      <c r="V15" s="60">
        <f t="shared" ref="V15:AB15" si="4">SUM(V10:V14)</f>
        <v>-325</v>
      </c>
      <c r="W15" s="60">
        <f t="shared" si="4"/>
        <v>-901</v>
      </c>
      <c r="X15" s="60">
        <f t="shared" si="4"/>
        <v>-1141</v>
      </c>
      <c r="Y15" s="60">
        <f t="shared" si="4"/>
        <v>-1178</v>
      </c>
      <c r="Z15" s="60">
        <f t="shared" si="4"/>
        <v>-1393</v>
      </c>
      <c r="AA15" s="60">
        <f t="shared" si="4"/>
        <v>-1634</v>
      </c>
      <c r="AB15" s="59">
        <f t="shared" si="4"/>
        <v>-1678</v>
      </c>
    </row>
    <row r="16" spans="1:28" x14ac:dyDescent="0.25">
      <c r="A16" s="4">
        <f>+A9+1</f>
        <v>2</v>
      </c>
      <c r="B16" s="41" t="s">
        <v>18</v>
      </c>
      <c r="C16" s="61"/>
      <c r="D16" s="62"/>
      <c r="E16" s="62"/>
      <c r="F16" s="62"/>
      <c r="G16" s="62"/>
      <c r="H16" s="62"/>
      <c r="I16" s="62"/>
      <c r="J16" s="62"/>
      <c r="K16" s="62"/>
      <c r="L16" s="63"/>
      <c r="M16" s="64"/>
      <c r="N16" s="62"/>
      <c r="O16" s="64"/>
      <c r="P16" s="62"/>
      <c r="Q16" s="62"/>
      <c r="R16" s="62"/>
      <c r="S16" s="62"/>
      <c r="T16" s="62"/>
      <c r="U16" s="170"/>
      <c r="V16" s="64"/>
      <c r="W16" s="65"/>
      <c r="X16" s="66"/>
      <c r="Y16" s="66"/>
      <c r="Z16" s="66"/>
      <c r="AA16" s="66"/>
      <c r="AB16" s="67"/>
    </row>
    <row r="17" spans="1:28" x14ac:dyDescent="0.25">
      <c r="A17" s="4"/>
      <c r="B17" s="35" t="s">
        <v>36</v>
      </c>
      <c r="C17" s="131">
        <f>C24+C31+C38-2625</f>
        <v>18033</v>
      </c>
      <c r="D17" s="69">
        <f>D24+D31+D38-2955</f>
        <v>18690</v>
      </c>
      <c r="E17" s="69">
        <f>E24+E31+E38-3100</f>
        <v>19349</v>
      </c>
      <c r="F17" s="69">
        <f>F24+F31+F38-4327</f>
        <v>20789</v>
      </c>
      <c r="G17" s="69">
        <f>G24+G31+G38-4738</f>
        <v>19846</v>
      </c>
      <c r="H17" s="69">
        <f>H24+H31+H38-5455</f>
        <v>19505</v>
      </c>
      <c r="I17" s="69">
        <f>I24+I31+I38-5440</f>
        <v>18922</v>
      </c>
      <c r="J17" s="69">
        <f>J24+J31+J38-5082</f>
        <v>17708</v>
      </c>
      <c r="K17" s="69">
        <f>K24+K31+K38-4917</f>
        <v>18029</v>
      </c>
      <c r="L17" s="70">
        <f>L24+L31+L38-4619</f>
        <v>17720</v>
      </c>
      <c r="M17" s="71">
        <f>M24+M31+M38-3846</f>
        <v>17153</v>
      </c>
      <c r="N17" s="71">
        <f>N24+N31+N38-3004</f>
        <v>18000</v>
      </c>
      <c r="O17" s="71">
        <f>O24+O31+O38-3354</f>
        <v>19684</v>
      </c>
      <c r="P17" s="71">
        <f>P24+P31+P38-4547</f>
        <v>20389</v>
      </c>
      <c r="Q17" s="71">
        <f>Q24+Q31+Q38-5469</f>
        <v>21448</v>
      </c>
      <c r="R17" s="71">
        <f>R24+R31+R38-6530</f>
        <v>22002</v>
      </c>
      <c r="S17" s="71">
        <f>S24+S31+S38-6593</f>
        <v>21109</v>
      </c>
      <c r="T17" s="71">
        <f>T24+T31+T38-7086</f>
        <v>21224</v>
      </c>
      <c r="U17" s="68">
        <f>SUM(U24+U31+U38-7083)</f>
        <v>21173</v>
      </c>
      <c r="V17" s="71">
        <f>C17-O17</f>
        <v>-1651</v>
      </c>
      <c r="W17" s="71">
        <f>D17-P17</f>
        <v>-1699</v>
      </c>
      <c r="X17" s="71">
        <f t="shared" ref="X17:AB21" si="5">E17-Q17</f>
        <v>-2099</v>
      </c>
      <c r="Y17" s="71">
        <f t="shared" si="5"/>
        <v>-1213</v>
      </c>
      <c r="Z17" s="71">
        <f t="shared" si="5"/>
        <v>-1263</v>
      </c>
      <c r="AA17" s="71">
        <f t="shared" si="5"/>
        <v>-1719</v>
      </c>
      <c r="AB17" s="70">
        <f t="shared" si="5"/>
        <v>-2251</v>
      </c>
    </row>
    <row r="18" spans="1:28" x14ac:dyDescent="0.25">
      <c r="A18" s="4"/>
      <c r="B18" s="35" t="s">
        <v>37</v>
      </c>
      <c r="C18" s="131">
        <f>C25+C32+C39-1801</f>
        <v>6725</v>
      </c>
      <c r="D18" s="69">
        <f>D25+D32+D39-1760</f>
        <v>6639</v>
      </c>
      <c r="E18" s="69">
        <f>E25+E32+E39-1394</f>
        <v>6235</v>
      </c>
      <c r="F18" s="69">
        <f>F25+F32+F39-1883</f>
        <v>8249</v>
      </c>
      <c r="G18" s="69">
        <f>G25+G32+G39-2181</f>
        <v>9665</v>
      </c>
      <c r="H18" s="69">
        <f>H25+H32+H39-3624</f>
        <v>9646</v>
      </c>
      <c r="I18" s="69">
        <f>I25+I32+I39-3698</f>
        <v>9683</v>
      </c>
      <c r="J18" s="69">
        <f>J25+J32+J39-3638</f>
        <v>9661</v>
      </c>
      <c r="K18" s="69">
        <f>K25+K32+K39-3468</f>
        <v>9351</v>
      </c>
      <c r="L18" s="70">
        <f>L25+L32+L39-2742</f>
        <v>7840</v>
      </c>
      <c r="M18" s="71">
        <f>M25+M32+M39-2178</f>
        <v>6416</v>
      </c>
      <c r="N18" s="71">
        <f>N25+N32+N39-1985</f>
        <v>6112</v>
      </c>
      <c r="O18" s="71">
        <f>O25+O32+O39-2010</f>
        <v>5970</v>
      </c>
      <c r="P18" s="71">
        <f>P25+P32+P39-2198</f>
        <v>6796</v>
      </c>
      <c r="Q18" s="71">
        <f>Q25+Q32+Q39-2200</f>
        <v>6965</v>
      </c>
      <c r="R18" s="71">
        <f>R25+R32+R39-1143</f>
        <v>5818</v>
      </c>
      <c r="S18" s="71">
        <f>S25+S32+S39-1043</f>
        <v>7077</v>
      </c>
      <c r="T18" s="71">
        <f>T25+T32+T39-2635</f>
        <v>7691</v>
      </c>
      <c r="U18" s="68">
        <f>SUM(U25+U32+U39-3028)</f>
        <v>8577</v>
      </c>
      <c r="V18" s="71">
        <f t="shared" ref="V18:W21" si="6">C18-O18</f>
        <v>755</v>
      </c>
      <c r="W18" s="71">
        <f t="shared" si="6"/>
        <v>-157</v>
      </c>
      <c r="X18" s="71">
        <f t="shared" si="5"/>
        <v>-730</v>
      </c>
      <c r="Y18" s="71">
        <f t="shared" si="5"/>
        <v>2431</v>
      </c>
      <c r="Z18" s="71">
        <f t="shared" si="5"/>
        <v>2588</v>
      </c>
      <c r="AA18" s="71">
        <f t="shared" si="5"/>
        <v>1955</v>
      </c>
      <c r="AB18" s="70">
        <f t="shared" si="5"/>
        <v>1106</v>
      </c>
    </row>
    <row r="19" spans="1:28" x14ac:dyDescent="0.25">
      <c r="A19" s="4"/>
      <c r="B19" s="35" t="s">
        <v>38</v>
      </c>
      <c r="C19" s="131">
        <f>C26+C33+C40-80</f>
        <v>737</v>
      </c>
      <c r="D19" s="69">
        <f>D26+D33+D40-87</f>
        <v>815</v>
      </c>
      <c r="E19" s="69">
        <f>E26+E33+E40-125</f>
        <v>854</v>
      </c>
      <c r="F19" s="69">
        <f>F26+F33+F40-114</f>
        <v>899</v>
      </c>
      <c r="G19" s="69">
        <f>G26+G33+G40-133</f>
        <v>860</v>
      </c>
      <c r="H19" s="69">
        <f>H26+H33+H40-158</f>
        <v>909</v>
      </c>
      <c r="I19" s="69">
        <f>I26+I33+I40-171</f>
        <v>824</v>
      </c>
      <c r="J19" s="69">
        <f>J26+J33+J40-134</f>
        <v>667</v>
      </c>
      <c r="K19" s="69">
        <f>K26+K33+K40-138</f>
        <v>737</v>
      </c>
      <c r="L19" s="70">
        <f>L26+L33+L40-132</f>
        <v>703</v>
      </c>
      <c r="M19" s="71">
        <f>M26+M33+M40-118</f>
        <v>762</v>
      </c>
      <c r="N19" s="71">
        <f>N26+N33+N40-78</f>
        <v>852</v>
      </c>
      <c r="O19" s="71">
        <f>O26+O33+O40-101</f>
        <v>815</v>
      </c>
      <c r="P19" s="71">
        <f>P26+P33+P40-158</f>
        <v>1186</v>
      </c>
      <c r="Q19" s="71">
        <f>Q26+Q33+Q40-228</f>
        <v>1439</v>
      </c>
      <c r="R19" s="71">
        <f>R26+R33+R40-245</f>
        <v>1081</v>
      </c>
      <c r="S19" s="71">
        <f>S26+S33+S40-252</f>
        <v>928</v>
      </c>
      <c r="T19" s="71">
        <f>T26+T33+T40-222</f>
        <v>917</v>
      </c>
      <c r="U19" s="68">
        <f>SUM(U26+U33+U40-196)</f>
        <v>873</v>
      </c>
      <c r="V19" s="71">
        <f t="shared" si="6"/>
        <v>-78</v>
      </c>
      <c r="W19" s="71">
        <f t="shared" si="6"/>
        <v>-371</v>
      </c>
      <c r="X19" s="71">
        <f t="shared" si="5"/>
        <v>-585</v>
      </c>
      <c r="Y19" s="71">
        <f t="shared" si="5"/>
        <v>-182</v>
      </c>
      <c r="Z19" s="71">
        <f t="shared" si="5"/>
        <v>-68</v>
      </c>
      <c r="AA19" s="71">
        <f t="shared" si="5"/>
        <v>-8</v>
      </c>
      <c r="AB19" s="70">
        <f t="shared" si="5"/>
        <v>-49</v>
      </c>
    </row>
    <row r="20" spans="1:28" x14ac:dyDescent="0.25">
      <c r="A20" s="4"/>
      <c r="B20" s="35" t="s">
        <v>39</v>
      </c>
      <c r="C20" s="131">
        <f>C27+C34+C41-3</f>
        <v>74</v>
      </c>
      <c r="D20" s="69">
        <f>D27+D34+D41-4</f>
        <v>81</v>
      </c>
      <c r="E20" s="69">
        <f>E27+E34+E41-4</f>
        <v>84</v>
      </c>
      <c r="F20" s="69">
        <f>F27+F34+F41-5</f>
        <v>91</v>
      </c>
      <c r="G20" s="69">
        <f>G27+G34+G41-7</f>
        <v>75</v>
      </c>
      <c r="H20" s="69">
        <f>H27+H34+H41-12</f>
        <v>88</v>
      </c>
      <c r="I20" s="69">
        <f>I27+I34+I41-12</f>
        <v>77</v>
      </c>
      <c r="J20" s="69">
        <f>J27+J34+J41-12</f>
        <v>53</v>
      </c>
      <c r="K20" s="69">
        <f>K27+K34+K41-11</f>
        <v>73</v>
      </c>
      <c r="L20" s="70">
        <f>L27+L34+L41-6</f>
        <v>61</v>
      </c>
      <c r="M20" s="71">
        <f>M27+M34+M41-5</f>
        <v>62</v>
      </c>
      <c r="N20" s="71">
        <f>N27+N34+N41-3</f>
        <v>73</v>
      </c>
      <c r="O20" s="71">
        <f>O27+O34+O41-2</f>
        <v>91</v>
      </c>
      <c r="P20" s="71">
        <f>P27+P34+P41-16</f>
        <v>156</v>
      </c>
      <c r="Q20" s="71">
        <f>Q27+Q34+Q41-28</f>
        <v>170</v>
      </c>
      <c r="R20" s="71">
        <f>R27+R34+R41-28</f>
        <v>150</v>
      </c>
      <c r="S20" s="71">
        <f>S27+S34+S41-28</f>
        <v>129</v>
      </c>
      <c r="T20" s="71">
        <f>T27+T34+T41-29</f>
        <v>117</v>
      </c>
      <c r="U20" s="68">
        <f>SUM(U27+U34+U41-30)</f>
        <v>101</v>
      </c>
      <c r="V20" s="71">
        <f t="shared" si="6"/>
        <v>-17</v>
      </c>
      <c r="W20" s="71">
        <f t="shared" si="6"/>
        <v>-75</v>
      </c>
      <c r="X20" s="71">
        <f t="shared" si="5"/>
        <v>-86</v>
      </c>
      <c r="Y20" s="71">
        <f t="shared" si="5"/>
        <v>-59</v>
      </c>
      <c r="Z20" s="71">
        <f t="shared" si="5"/>
        <v>-54</v>
      </c>
      <c r="AA20" s="71">
        <f t="shared" si="5"/>
        <v>-29</v>
      </c>
      <c r="AB20" s="70">
        <f t="shared" si="5"/>
        <v>-24</v>
      </c>
    </row>
    <row r="21" spans="1:28" x14ac:dyDescent="0.25">
      <c r="A21" s="4"/>
      <c r="B21" s="35" t="s">
        <v>40</v>
      </c>
      <c r="C21" s="131">
        <f t="shared" ref="C21:L21" si="7">C28+C35+C42-0</f>
        <v>0</v>
      </c>
      <c r="D21" s="69">
        <f t="shared" si="7"/>
        <v>2</v>
      </c>
      <c r="E21" s="69">
        <f t="shared" si="7"/>
        <v>1</v>
      </c>
      <c r="F21" s="69">
        <f t="shared" si="7"/>
        <v>3</v>
      </c>
      <c r="G21" s="69">
        <f t="shared" si="7"/>
        <v>1</v>
      </c>
      <c r="H21" s="69">
        <f t="shared" si="7"/>
        <v>2</v>
      </c>
      <c r="I21" s="69">
        <f t="shared" si="7"/>
        <v>2</v>
      </c>
      <c r="J21" s="69">
        <f t="shared" si="7"/>
        <v>1</v>
      </c>
      <c r="K21" s="69">
        <f t="shared" si="7"/>
        <v>3</v>
      </c>
      <c r="L21" s="70">
        <f t="shared" si="7"/>
        <v>2</v>
      </c>
      <c r="M21" s="71">
        <f>M28+M35+M42-1</f>
        <v>2</v>
      </c>
      <c r="N21" s="71">
        <f>N28+N35+N42-1</f>
        <v>2</v>
      </c>
      <c r="O21" s="71">
        <f>O28+O35+O42-0</f>
        <v>0</v>
      </c>
      <c r="P21" s="71">
        <f>P28+P35+P42-0</f>
        <v>4</v>
      </c>
      <c r="Q21" s="71">
        <f>Q28+Q35+Q42-0</f>
        <v>9</v>
      </c>
      <c r="R21" s="71">
        <f>R28+R35+R42-2</f>
        <v>10</v>
      </c>
      <c r="S21" s="71">
        <f>S28+S35+S42-1</f>
        <v>5</v>
      </c>
      <c r="T21" s="71">
        <f>T28+T35+T42-0</f>
        <v>7</v>
      </c>
      <c r="U21" s="68">
        <f>SUM(U28+U35+U42-1)</f>
        <v>5</v>
      </c>
      <c r="V21" s="71">
        <f t="shared" si="6"/>
        <v>0</v>
      </c>
      <c r="W21" s="71">
        <f t="shared" si="6"/>
        <v>-2</v>
      </c>
      <c r="X21" s="71">
        <f t="shared" si="5"/>
        <v>-8</v>
      </c>
      <c r="Y21" s="71">
        <f t="shared" si="5"/>
        <v>-7</v>
      </c>
      <c r="Z21" s="71">
        <f t="shared" si="5"/>
        <v>-4</v>
      </c>
      <c r="AA21" s="71">
        <f t="shared" si="5"/>
        <v>-5</v>
      </c>
      <c r="AB21" s="70">
        <f t="shared" si="5"/>
        <v>-3</v>
      </c>
    </row>
    <row r="22" spans="1:28" x14ac:dyDescent="0.25">
      <c r="B22" s="35" t="s">
        <v>41</v>
      </c>
      <c r="C22" s="131">
        <f>SUM(C17:C21)</f>
        <v>25569</v>
      </c>
      <c r="D22" s="71">
        <f>SUM(D17:D21)</f>
        <v>26227</v>
      </c>
      <c r="E22" s="71">
        <f t="shared" ref="E22:AB22" si="8">SUM(E17:E21)</f>
        <v>26523</v>
      </c>
      <c r="F22" s="71">
        <f t="shared" si="8"/>
        <v>30031</v>
      </c>
      <c r="G22" s="71">
        <f t="shared" si="8"/>
        <v>30447</v>
      </c>
      <c r="H22" s="71">
        <f t="shared" si="8"/>
        <v>30150</v>
      </c>
      <c r="I22" s="71">
        <f t="shared" si="8"/>
        <v>29508</v>
      </c>
      <c r="J22" s="71">
        <f t="shared" si="8"/>
        <v>28090</v>
      </c>
      <c r="K22" s="71">
        <f t="shared" si="8"/>
        <v>28193</v>
      </c>
      <c r="L22" s="162">
        <f t="shared" si="8"/>
        <v>26326</v>
      </c>
      <c r="M22" s="71">
        <f t="shared" si="8"/>
        <v>24395</v>
      </c>
      <c r="N22" s="69">
        <f t="shared" si="8"/>
        <v>25039</v>
      </c>
      <c r="O22" s="71">
        <f t="shared" si="8"/>
        <v>26560</v>
      </c>
      <c r="P22" s="71">
        <f t="shared" si="8"/>
        <v>28531</v>
      </c>
      <c r="Q22" s="71">
        <f t="shared" si="8"/>
        <v>30031</v>
      </c>
      <c r="R22" s="71">
        <f t="shared" si="8"/>
        <v>29061</v>
      </c>
      <c r="S22" s="71">
        <f t="shared" si="8"/>
        <v>29248</v>
      </c>
      <c r="T22" s="71">
        <f t="shared" si="8"/>
        <v>29956</v>
      </c>
      <c r="U22" s="171">
        <f t="shared" si="8"/>
        <v>30729</v>
      </c>
      <c r="V22" s="71">
        <f t="shared" si="8"/>
        <v>-991</v>
      </c>
      <c r="W22" s="71">
        <f t="shared" si="8"/>
        <v>-2304</v>
      </c>
      <c r="X22" s="71">
        <f t="shared" si="8"/>
        <v>-3508</v>
      </c>
      <c r="Y22" s="71">
        <f t="shared" si="8"/>
        <v>970</v>
      </c>
      <c r="Z22" s="71">
        <f t="shared" si="8"/>
        <v>1199</v>
      </c>
      <c r="AA22" s="71">
        <f t="shared" si="8"/>
        <v>194</v>
      </c>
      <c r="AB22" s="70">
        <f t="shared" si="8"/>
        <v>-1221</v>
      </c>
    </row>
    <row r="23" spans="1:28" x14ac:dyDescent="0.25">
      <c r="A23" s="4">
        <f>+A16+1</f>
        <v>3</v>
      </c>
      <c r="B23" s="42" t="s">
        <v>21</v>
      </c>
      <c r="C23" s="68"/>
      <c r="D23" s="69"/>
      <c r="E23" s="69"/>
      <c r="F23" s="69"/>
      <c r="G23" s="69"/>
      <c r="H23" s="69"/>
      <c r="I23" s="69"/>
      <c r="J23" s="69"/>
      <c r="K23" s="69"/>
      <c r="L23" s="70"/>
      <c r="M23" s="71"/>
      <c r="N23" s="69"/>
      <c r="O23" s="71"/>
      <c r="P23" s="69"/>
      <c r="Q23" s="69"/>
      <c r="R23" s="69"/>
      <c r="S23" s="69"/>
      <c r="T23" s="69"/>
      <c r="U23" s="171"/>
      <c r="V23" s="71"/>
      <c r="W23" s="72"/>
      <c r="X23" s="73"/>
      <c r="Y23" s="73"/>
      <c r="Z23" s="73"/>
      <c r="AA23" s="73"/>
      <c r="AB23" s="74"/>
    </row>
    <row r="24" spans="1:28" x14ac:dyDescent="0.25">
      <c r="B24" s="35" t="s">
        <v>36</v>
      </c>
      <c r="C24" s="68">
        <v>11698</v>
      </c>
      <c r="D24" s="69">
        <v>11837</v>
      </c>
      <c r="E24" s="69">
        <v>11854</v>
      </c>
      <c r="F24" s="69">
        <v>12070</v>
      </c>
      <c r="G24" s="69">
        <v>11067</v>
      </c>
      <c r="H24" s="69">
        <v>10946</v>
      </c>
      <c r="I24" s="69">
        <v>10678</v>
      </c>
      <c r="J24" s="69">
        <v>9967</v>
      </c>
      <c r="K24" s="69">
        <v>10296</v>
      </c>
      <c r="L24" s="70">
        <v>10428</v>
      </c>
      <c r="M24" s="71">
        <v>10547</v>
      </c>
      <c r="N24" s="69">
        <v>11393</v>
      </c>
      <c r="O24" s="71">
        <v>12145</v>
      </c>
      <c r="P24" s="69">
        <v>12052</v>
      </c>
      <c r="Q24" s="69">
        <v>12469</v>
      </c>
      <c r="R24" s="69">
        <v>12527</v>
      </c>
      <c r="S24" s="69">
        <v>11678</v>
      </c>
      <c r="T24" s="69">
        <v>11819</v>
      </c>
      <c r="U24" s="71">
        <v>11817</v>
      </c>
      <c r="V24" s="71">
        <f t="shared" ref="V24:AB28" si="9">C24-O24</f>
        <v>-447</v>
      </c>
      <c r="W24" s="71">
        <f t="shared" si="9"/>
        <v>-215</v>
      </c>
      <c r="X24" s="71">
        <f t="shared" si="9"/>
        <v>-615</v>
      </c>
      <c r="Y24" s="71">
        <f t="shared" si="9"/>
        <v>-457</v>
      </c>
      <c r="Z24" s="71">
        <f t="shared" si="9"/>
        <v>-611</v>
      </c>
      <c r="AA24" s="71">
        <f t="shared" si="9"/>
        <v>-873</v>
      </c>
      <c r="AB24" s="70">
        <f t="shared" si="9"/>
        <v>-1139</v>
      </c>
    </row>
    <row r="25" spans="1:28" x14ac:dyDescent="0.25">
      <c r="B25" s="35" t="s">
        <v>37</v>
      </c>
      <c r="C25" s="68">
        <v>3712</v>
      </c>
      <c r="D25" s="69">
        <v>3846</v>
      </c>
      <c r="E25" s="69">
        <v>3523</v>
      </c>
      <c r="F25" s="69">
        <v>5172</v>
      </c>
      <c r="G25" s="69">
        <v>5089</v>
      </c>
      <c r="H25" s="69">
        <v>5050</v>
      </c>
      <c r="I25" s="69">
        <v>5087</v>
      </c>
      <c r="J25" s="69">
        <v>5069</v>
      </c>
      <c r="K25" s="69">
        <v>4965</v>
      </c>
      <c r="L25" s="70">
        <v>4293</v>
      </c>
      <c r="M25" s="71">
        <v>3487</v>
      </c>
      <c r="N25" s="69">
        <v>3131</v>
      </c>
      <c r="O25" s="71">
        <v>3269</v>
      </c>
      <c r="P25" s="69">
        <v>3878</v>
      </c>
      <c r="Q25" s="69">
        <v>3986</v>
      </c>
      <c r="R25" s="69">
        <v>4091</v>
      </c>
      <c r="S25" s="69">
        <v>3913</v>
      </c>
      <c r="T25" s="69">
        <v>4371</v>
      </c>
      <c r="U25" s="71">
        <v>4712</v>
      </c>
      <c r="V25" s="71">
        <f t="shared" si="9"/>
        <v>443</v>
      </c>
      <c r="W25" s="71">
        <f t="shared" si="9"/>
        <v>-32</v>
      </c>
      <c r="X25" s="71">
        <f t="shared" si="9"/>
        <v>-463</v>
      </c>
      <c r="Y25" s="71">
        <f t="shared" si="9"/>
        <v>1081</v>
      </c>
      <c r="Z25" s="71">
        <f t="shared" si="9"/>
        <v>1176</v>
      </c>
      <c r="AA25" s="71">
        <f t="shared" si="9"/>
        <v>679</v>
      </c>
      <c r="AB25" s="70">
        <f t="shared" si="9"/>
        <v>375</v>
      </c>
    </row>
    <row r="26" spans="1:28" x14ac:dyDescent="0.25">
      <c r="B26" s="35" t="s">
        <v>38</v>
      </c>
      <c r="C26" s="131">
        <v>547</v>
      </c>
      <c r="D26" s="69">
        <v>583</v>
      </c>
      <c r="E26" s="69">
        <v>580</v>
      </c>
      <c r="F26" s="69">
        <v>574</v>
      </c>
      <c r="G26" s="69">
        <v>525</v>
      </c>
      <c r="H26" s="69">
        <v>573</v>
      </c>
      <c r="I26" s="69">
        <v>521</v>
      </c>
      <c r="J26" s="69">
        <v>419</v>
      </c>
      <c r="K26" s="69">
        <v>486</v>
      </c>
      <c r="L26" s="70">
        <v>460</v>
      </c>
      <c r="M26" s="71">
        <v>531</v>
      </c>
      <c r="N26" s="69">
        <v>586</v>
      </c>
      <c r="O26" s="71">
        <v>579</v>
      </c>
      <c r="P26" s="69">
        <v>801</v>
      </c>
      <c r="Q26" s="69">
        <v>924</v>
      </c>
      <c r="R26" s="69">
        <v>664</v>
      </c>
      <c r="S26" s="69">
        <v>556</v>
      </c>
      <c r="T26" s="69">
        <v>561</v>
      </c>
      <c r="U26" s="71">
        <v>560</v>
      </c>
      <c r="V26" s="71">
        <f t="shared" si="9"/>
        <v>-32</v>
      </c>
      <c r="W26" s="71">
        <f t="shared" si="9"/>
        <v>-218</v>
      </c>
      <c r="X26" s="71">
        <f t="shared" si="9"/>
        <v>-344</v>
      </c>
      <c r="Y26" s="71">
        <f t="shared" si="9"/>
        <v>-90</v>
      </c>
      <c r="Z26" s="71">
        <f t="shared" si="9"/>
        <v>-31</v>
      </c>
      <c r="AA26" s="71">
        <f t="shared" si="9"/>
        <v>12</v>
      </c>
      <c r="AB26" s="70">
        <f t="shared" si="9"/>
        <v>-39</v>
      </c>
    </row>
    <row r="27" spans="1:28" x14ac:dyDescent="0.25">
      <c r="B27" s="35" t="s">
        <v>39</v>
      </c>
      <c r="C27" s="131">
        <v>63</v>
      </c>
      <c r="D27" s="69">
        <v>65</v>
      </c>
      <c r="E27" s="69">
        <v>65</v>
      </c>
      <c r="F27" s="69">
        <v>66</v>
      </c>
      <c r="G27" s="69">
        <v>51</v>
      </c>
      <c r="H27" s="69">
        <v>62</v>
      </c>
      <c r="I27" s="69">
        <v>57</v>
      </c>
      <c r="J27" s="69">
        <v>36</v>
      </c>
      <c r="K27" s="69">
        <v>50</v>
      </c>
      <c r="L27" s="70">
        <v>50</v>
      </c>
      <c r="M27" s="71">
        <v>55</v>
      </c>
      <c r="N27" s="69">
        <v>61</v>
      </c>
      <c r="O27" s="71">
        <v>71</v>
      </c>
      <c r="P27" s="69">
        <v>107</v>
      </c>
      <c r="Q27" s="69">
        <v>117</v>
      </c>
      <c r="R27" s="69">
        <v>97</v>
      </c>
      <c r="S27" s="69">
        <v>80</v>
      </c>
      <c r="T27" s="69">
        <v>73</v>
      </c>
      <c r="U27" s="71">
        <v>63</v>
      </c>
      <c r="V27" s="71">
        <f t="shared" si="9"/>
        <v>-8</v>
      </c>
      <c r="W27" s="71">
        <f t="shared" si="9"/>
        <v>-42</v>
      </c>
      <c r="X27" s="71">
        <f t="shared" si="9"/>
        <v>-52</v>
      </c>
      <c r="Y27" s="71">
        <f t="shared" si="9"/>
        <v>-31</v>
      </c>
      <c r="Z27" s="71">
        <f t="shared" si="9"/>
        <v>-29</v>
      </c>
      <c r="AA27" s="71">
        <f t="shared" si="9"/>
        <v>-11</v>
      </c>
      <c r="AB27" s="70">
        <f t="shared" si="9"/>
        <v>-6</v>
      </c>
    </row>
    <row r="28" spans="1:28" x14ac:dyDescent="0.25">
      <c r="B28" s="35" t="s">
        <v>40</v>
      </c>
      <c r="C28" s="68">
        <v>0</v>
      </c>
      <c r="D28" s="69">
        <v>2</v>
      </c>
      <c r="E28" s="69">
        <v>1</v>
      </c>
      <c r="F28" s="69">
        <v>3</v>
      </c>
      <c r="G28" s="69">
        <v>1</v>
      </c>
      <c r="H28" s="69">
        <v>2</v>
      </c>
      <c r="I28" s="69">
        <v>1</v>
      </c>
      <c r="J28" s="69">
        <v>1</v>
      </c>
      <c r="K28" s="69">
        <v>2</v>
      </c>
      <c r="L28" s="70">
        <v>1</v>
      </c>
      <c r="M28" s="71">
        <v>1</v>
      </c>
      <c r="N28" s="69">
        <v>1</v>
      </c>
      <c r="O28" s="71">
        <v>0</v>
      </c>
      <c r="P28" s="69">
        <v>4</v>
      </c>
      <c r="Q28" s="69">
        <v>6</v>
      </c>
      <c r="R28" s="69">
        <v>6</v>
      </c>
      <c r="S28" s="69">
        <v>3</v>
      </c>
      <c r="T28" s="69">
        <v>4</v>
      </c>
      <c r="U28" s="71">
        <v>4</v>
      </c>
      <c r="V28" s="71">
        <f t="shared" si="9"/>
        <v>0</v>
      </c>
      <c r="W28" s="71">
        <f t="shared" si="9"/>
        <v>-2</v>
      </c>
      <c r="X28" s="71">
        <f t="shared" si="9"/>
        <v>-5</v>
      </c>
      <c r="Y28" s="71">
        <f t="shared" si="9"/>
        <v>-3</v>
      </c>
      <c r="Z28" s="71">
        <f t="shared" si="9"/>
        <v>-2</v>
      </c>
      <c r="AA28" s="71">
        <f t="shared" si="9"/>
        <v>-2</v>
      </c>
      <c r="AB28" s="70">
        <f t="shared" si="9"/>
        <v>-3</v>
      </c>
    </row>
    <row r="29" spans="1:28" x14ac:dyDescent="0.25">
      <c r="B29" s="35" t="s">
        <v>41</v>
      </c>
      <c r="C29" s="131">
        <f>SUM(C24:C28)</f>
        <v>16020</v>
      </c>
      <c r="D29" s="71">
        <f>SUM(D24:D28)</f>
        <v>16333</v>
      </c>
      <c r="E29" s="71">
        <f t="shared" ref="E29:AB29" si="10">SUM(E24:E28)</f>
        <v>16023</v>
      </c>
      <c r="F29" s="71">
        <f t="shared" si="10"/>
        <v>17885</v>
      </c>
      <c r="G29" s="71">
        <f t="shared" si="10"/>
        <v>16733</v>
      </c>
      <c r="H29" s="71">
        <f t="shared" si="10"/>
        <v>16633</v>
      </c>
      <c r="I29" s="71">
        <f t="shared" si="10"/>
        <v>16344</v>
      </c>
      <c r="J29" s="71">
        <f t="shared" si="10"/>
        <v>15492</v>
      </c>
      <c r="K29" s="71">
        <f t="shared" si="10"/>
        <v>15799</v>
      </c>
      <c r="L29" s="162">
        <f t="shared" si="10"/>
        <v>15232</v>
      </c>
      <c r="M29" s="71">
        <f t="shared" si="10"/>
        <v>14621</v>
      </c>
      <c r="N29" s="71">
        <f t="shared" si="10"/>
        <v>15172</v>
      </c>
      <c r="O29" s="71">
        <f t="shared" si="10"/>
        <v>16064</v>
      </c>
      <c r="P29" s="71">
        <f t="shared" si="10"/>
        <v>16842</v>
      </c>
      <c r="Q29" s="71">
        <f t="shared" si="10"/>
        <v>17502</v>
      </c>
      <c r="R29" s="71">
        <f t="shared" si="10"/>
        <v>17385</v>
      </c>
      <c r="S29" s="71">
        <f t="shared" si="10"/>
        <v>16230</v>
      </c>
      <c r="T29" s="71">
        <f t="shared" si="10"/>
        <v>16828</v>
      </c>
      <c r="U29" s="172">
        <f t="shared" si="10"/>
        <v>17156</v>
      </c>
      <c r="V29" s="71">
        <f t="shared" si="10"/>
        <v>-44</v>
      </c>
      <c r="W29" s="71">
        <f t="shared" si="10"/>
        <v>-509</v>
      </c>
      <c r="X29" s="71">
        <f t="shared" si="10"/>
        <v>-1479</v>
      </c>
      <c r="Y29" s="71">
        <f t="shared" si="10"/>
        <v>500</v>
      </c>
      <c r="Z29" s="71">
        <f t="shared" si="10"/>
        <v>503</v>
      </c>
      <c r="AA29" s="71">
        <f t="shared" si="10"/>
        <v>-195</v>
      </c>
      <c r="AB29" s="70">
        <f t="shared" si="10"/>
        <v>-812</v>
      </c>
    </row>
    <row r="30" spans="1:28" x14ac:dyDescent="0.25">
      <c r="A30" s="4">
        <f>+A23+1</f>
        <v>4</v>
      </c>
      <c r="B30" s="42" t="s">
        <v>22</v>
      </c>
      <c r="C30" s="131"/>
      <c r="D30" s="71"/>
      <c r="E30" s="71"/>
      <c r="F30" s="71"/>
      <c r="G30" s="71"/>
      <c r="H30" s="71"/>
      <c r="I30" s="71"/>
      <c r="J30" s="71"/>
      <c r="K30" s="71"/>
      <c r="L30" s="162"/>
      <c r="M30" s="71"/>
      <c r="N30" s="71"/>
      <c r="O30" s="71"/>
      <c r="P30" s="71"/>
      <c r="Q30" s="71"/>
      <c r="R30" s="71"/>
      <c r="S30" s="71"/>
      <c r="T30" s="71"/>
      <c r="U30" s="172"/>
      <c r="V30" s="71"/>
      <c r="W30" s="71"/>
      <c r="X30" s="71"/>
      <c r="Y30" s="71"/>
      <c r="Z30" s="71"/>
      <c r="AA30" s="71"/>
      <c r="AB30" s="70"/>
    </row>
    <row r="31" spans="1:28" x14ac:dyDescent="0.25">
      <c r="A31" s="4"/>
      <c r="B31" s="35" t="s">
        <v>36</v>
      </c>
      <c r="C31" s="131">
        <v>5293</v>
      </c>
      <c r="D31" s="71">
        <v>6308</v>
      </c>
      <c r="E31" s="71">
        <v>6644</v>
      </c>
      <c r="F31" s="71">
        <v>8013</v>
      </c>
      <c r="G31" s="71">
        <v>7461</v>
      </c>
      <c r="H31" s="71">
        <v>7683</v>
      </c>
      <c r="I31" s="71">
        <v>7520</v>
      </c>
      <c r="J31" s="71">
        <v>6955</v>
      </c>
      <c r="K31" s="71">
        <v>6941</v>
      </c>
      <c r="L31" s="162">
        <v>6508</v>
      </c>
      <c r="M31" s="71">
        <v>5859</v>
      </c>
      <c r="N31" s="71">
        <v>5888</v>
      </c>
      <c r="O31" s="71">
        <v>7002</v>
      </c>
      <c r="P31" s="71">
        <v>7875</v>
      </c>
      <c r="Q31" s="71">
        <v>8468</v>
      </c>
      <c r="R31" s="71">
        <v>8954</v>
      </c>
      <c r="S31" s="71">
        <v>8841</v>
      </c>
      <c r="T31" s="71">
        <v>8730</v>
      </c>
      <c r="U31" s="71">
        <v>8837</v>
      </c>
      <c r="V31" s="71">
        <f t="shared" ref="V31:AB35" si="11">C31-O31</f>
        <v>-1709</v>
      </c>
      <c r="W31" s="71">
        <f t="shared" si="11"/>
        <v>-1567</v>
      </c>
      <c r="X31" s="71">
        <f t="shared" si="11"/>
        <v>-1824</v>
      </c>
      <c r="Y31" s="71">
        <f t="shared" si="11"/>
        <v>-941</v>
      </c>
      <c r="Z31" s="71">
        <f t="shared" si="11"/>
        <v>-1380</v>
      </c>
      <c r="AA31" s="71">
        <f t="shared" si="11"/>
        <v>-1047</v>
      </c>
      <c r="AB31" s="70">
        <f t="shared" si="11"/>
        <v>-1317</v>
      </c>
    </row>
    <row r="32" spans="1:28" x14ac:dyDescent="0.25">
      <c r="A32" s="4"/>
      <c r="B32" s="35" t="s">
        <v>37</v>
      </c>
      <c r="C32" s="131">
        <v>2441</v>
      </c>
      <c r="D32" s="71">
        <v>2594</v>
      </c>
      <c r="E32" s="71">
        <v>2446</v>
      </c>
      <c r="F32" s="71">
        <v>2850</v>
      </c>
      <c r="G32" s="71">
        <v>4252</v>
      </c>
      <c r="H32" s="71">
        <v>4312</v>
      </c>
      <c r="I32" s="71">
        <v>4316</v>
      </c>
      <c r="J32" s="71">
        <v>4296</v>
      </c>
      <c r="K32" s="71">
        <v>4090</v>
      </c>
      <c r="L32" s="162">
        <v>3276</v>
      </c>
      <c r="M32" s="71">
        <v>2727</v>
      </c>
      <c r="N32" s="71">
        <v>2693</v>
      </c>
      <c r="O32" s="71">
        <v>2589</v>
      </c>
      <c r="P32" s="71">
        <v>2805</v>
      </c>
      <c r="Q32" s="71">
        <v>2863</v>
      </c>
      <c r="R32" s="71">
        <v>1662</v>
      </c>
      <c r="S32" s="71">
        <v>3081</v>
      </c>
      <c r="T32" s="71">
        <v>3234</v>
      </c>
      <c r="U32" s="71">
        <v>3818</v>
      </c>
      <c r="V32" s="71">
        <f t="shared" si="11"/>
        <v>-148</v>
      </c>
      <c r="W32" s="71">
        <f t="shared" si="11"/>
        <v>-211</v>
      </c>
      <c r="X32" s="71">
        <f t="shared" si="11"/>
        <v>-417</v>
      </c>
      <c r="Y32" s="71">
        <f t="shared" si="11"/>
        <v>1188</v>
      </c>
      <c r="Z32" s="71">
        <f t="shared" si="11"/>
        <v>1171</v>
      </c>
      <c r="AA32" s="71">
        <f t="shared" si="11"/>
        <v>1078</v>
      </c>
      <c r="AB32" s="70">
        <f t="shared" si="11"/>
        <v>498</v>
      </c>
    </row>
    <row r="33" spans="1:33" x14ac:dyDescent="0.25">
      <c r="A33" s="4"/>
      <c r="B33" s="35" t="s">
        <v>38</v>
      </c>
      <c r="C33" s="131">
        <v>177</v>
      </c>
      <c r="D33" s="71">
        <v>213</v>
      </c>
      <c r="E33" s="71">
        <v>253</v>
      </c>
      <c r="F33" s="71">
        <v>282</v>
      </c>
      <c r="G33" s="71">
        <v>282</v>
      </c>
      <c r="H33" s="71">
        <v>289</v>
      </c>
      <c r="I33" s="71">
        <v>271</v>
      </c>
      <c r="J33" s="71">
        <v>229</v>
      </c>
      <c r="K33" s="71">
        <v>229</v>
      </c>
      <c r="L33" s="162">
        <v>222</v>
      </c>
      <c r="M33" s="71">
        <v>184</v>
      </c>
      <c r="N33" s="71">
        <v>231</v>
      </c>
      <c r="O33" s="71">
        <v>209</v>
      </c>
      <c r="P33" s="71">
        <v>362</v>
      </c>
      <c r="Q33" s="71">
        <v>486</v>
      </c>
      <c r="R33" s="71">
        <v>387</v>
      </c>
      <c r="S33" s="71">
        <v>347</v>
      </c>
      <c r="T33" s="71">
        <v>329</v>
      </c>
      <c r="U33" s="71">
        <v>292</v>
      </c>
      <c r="V33" s="71">
        <f t="shared" si="11"/>
        <v>-32</v>
      </c>
      <c r="W33" s="71">
        <f t="shared" si="11"/>
        <v>-149</v>
      </c>
      <c r="X33" s="71">
        <f t="shared" si="11"/>
        <v>-233</v>
      </c>
      <c r="Y33" s="71">
        <f t="shared" si="11"/>
        <v>-105</v>
      </c>
      <c r="Z33" s="71">
        <f t="shared" si="11"/>
        <v>-65</v>
      </c>
      <c r="AA33" s="71">
        <f t="shared" si="11"/>
        <v>-40</v>
      </c>
      <c r="AB33" s="70">
        <f t="shared" si="11"/>
        <v>-21</v>
      </c>
    </row>
    <row r="34" spans="1:33" x14ac:dyDescent="0.25">
      <c r="A34" s="4"/>
      <c r="B34" s="35" t="s">
        <v>39</v>
      </c>
      <c r="C34" s="131">
        <v>8</v>
      </c>
      <c r="D34" s="71">
        <v>14</v>
      </c>
      <c r="E34" s="71">
        <v>16</v>
      </c>
      <c r="F34" s="71">
        <v>21</v>
      </c>
      <c r="G34" s="71">
        <v>20</v>
      </c>
      <c r="H34" s="71">
        <v>23</v>
      </c>
      <c r="I34" s="71">
        <v>18</v>
      </c>
      <c r="J34" s="71">
        <v>17</v>
      </c>
      <c r="K34" s="71">
        <v>22</v>
      </c>
      <c r="L34" s="162">
        <v>11</v>
      </c>
      <c r="M34" s="71">
        <v>8</v>
      </c>
      <c r="N34" s="71">
        <v>12</v>
      </c>
      <c r="O34" s="71">
        <v>20</v>
      </c>
      <c r="P34" s="71">
        <v>49</v>
      </c>
      <c r="Q34" s="71">
        <v>52</v>
      </c>
      <c r="R34" s="71">
        <v>47</v>
      </c>
      <c r="S34" s="71">
        <v>40</v>
      </c>
      <c r="T34" s="71">
        <v>40</v>
      </c>
      <c r="U34" s="71">
        <v>37</v>
      </c>
      <c r="V34" s="71">
        <f t="shared" si="11"/>
        <v>-12</v>
      </c>
      <c r="W34" s="71">
        <f t="shared" si="11"/>
        <v>-35</v>
      </c>
      <c r="X34" s="71">
        <f t="shared" si="11"/>
        <v>-36</v>
      </c>
      <c r="Y34" s="71">
        <f t="shared" si="11"/>
        <v>-26</v>
      </c>
      <c r="Z34" s="71">
        <f t="shared" si="11"/>
        <v>-20</v>
      </c>
      <c r="AA34" s="71">
        <f t="shared" si="11"/>
        <v>-17</v>
      </c>
      <c r="AB34" s="70">
        <f t="shared" si="11"/>
        <v>-19</v>
      </c>
    </row>
    <row r="35" spans="1:33" x14ac:dyDescent="0.25">
      <c r="A35" s="4"/>
      <c r="B35" s="35" t="s">
        <v>40</v>
      </c>
      <c r="C35" s="131">
        <v>0</v>
      </c>
      <c r="D35" s="71">
        <v>0</v>
      </c>
      <c r="E35" s="71">
        <v>0</v>
      </c>
      <c r="F35" s="71">
        <v>0</v>
      </c>
      <c r="G35" s="71">
        <v>0</v>
      </c>
      <c r="H35" s="71">
        <v>0</v>
      </c>
      <c r="I35" s="71">
        <v>1</v>
      </c>
      <c r="J35" s="71">
        <v>0</v>
      </c>
      <c r="K35" s="71">
        <v>1</v>
      </c>
      <c r="L35" s="162">
        <v>0</v>
      </c>
      <c r="M35" s="71">
        <v>1</v>
      </c>
      <c r="N35" s="71">
        <v>1</v>
      </c>
      <c r="O35" s="71">
        <v>0</v>
      </c>
      <c r="P35" s="71">
        <v>0</v>
      </c>
      <c r="Q35" s="71">
        <v>3</v>
      </c>
      <c r="R35" s="71">
        <v>4</v>
      </c>
      <c r="S35" s="71">
        <v>1</v>
      </c>
      <c r="T35" s="71">
        <v>2</v>
      </c>
      <c r="U35" s="71">
        <v>1</v>
      </c>
      <c r="V35" s="71">
        <f t="shared" si="11"/>
        <v>0</v>
      </c>
      <c r="W35" s="71">
        <f t="shared" si="11"/>
        <v>0</v>
      </c>
      <c r="X35" s="71">
        <f t="shared" si="11"/>
        <v>-3</v>
      </c>
      <c r="Y35" s="71">
        <f t="shared" si="11"/>
        <v>-4</v>
      </c>
      <c r="Z35" s="71">
        <f t="shared" si="11"/>
        <v>-1</v>
      </c>
      <c r="AA35" s="71">
        <f t="shared" si="11"/>
        <v>-2</v>
      </c>
      <c r="AB35" s="70">
        <f t="shared" si="11"/>
        <v>0</v>
      </c>
    </row>
    <row r="36" spans="1:33" x14ac:dyDescent="0.25">
      <c r="A36" s="4"/>
      <c r="B36" s="35" t="s">
        <v>41</v>
      </c>
      <c r="C36" s="131">
        <f>SUM(C31:C35)</f>
        <v>7919</v>
      </c>
      <c r="D36" s="71">
        <f>SUM(D31:D35)</f>
        <v>9129</v>
      </c>
      <c r="E36" s="71">
        <f t="shared" ref="E36:AB36" si="12">SUM(E31:E35)</f>
        <v>9359</v>
      </c>
      <c r="F36" s="71">
        <f t="shared" si="12"/>
        <v>11166</v>
      </c>
      <c r="G36" s="71">
        <f t="shared" si="12"/>
        <v>12015</v>
      </c>
      <c r="H36" s="71">
        <f t="shared" si="12"/>
        <v>12307</v>
      </c>
      <c r="I36" s="71">
        <f t="shared" si="12"/>
        <v>12126</v>
      </c>
      <c r="J36" s="71">
        <f t="shared" si="12"/>
        <v>11497</v>
      </c>
      <c r="K36" s="71">
        <f t="shared" si="12"/>
        <v>11283</v>
      </c>
      <c r="L36" s="162">
        <f t="shared" si="12"/>
        <v>10017</v>
      </c>
      <c r="M36" s="71">
        <f t="shared" si="12"/>
        <v>8779</v>
      </c>
      <c r="N36" s="71">
        <f t="shared" si="12"/>
        <v>8825</v>
      </c>
      <c r="O36" s="71">
        <f t="shared" si="12"/>
        <v>9820</v>
      </c>
      <c r="P36" s="71">
        <f t="shared" si="12"/>
        <v>11091</v>
      </c>
      <c r="Q36" s="71">
        <f t="shared" si="12"/>
        <v>11872</v>
      </c>
      <c r="R36" s="71">
        <f t="shared" si="12"/>
        <v>11054</v>
      </c>
      <c r="S36" s="71">
        <f t="shared" si="12"/>
        <v>12310</v>
      </c>
      <c r="T36" s="71">
        <f t="shared" si="12"/>
        <v>12335</v>
      </c>
      <c r="U36" s="172">
        <f t="shared" si="12"/>
        <v>12985</v>
      </c>
      <c r="V36" s="71">
        <f t="shared" si="12"/>
        <v>-1901</v>
      </c>
      <c r="W36" s="71">
        <f t="shared" si="12"/>
        <v>-1962</v>
      </c>
      <c r="X36" s="71">
        <f t="shared" si="12"/>
        <v>-2513</v>
      </c>
      <c r="Y36" s="71">
        <f t="shared" si="12"/>
        <v>112</v>
      </c>
      <c r="Z36" s="71">
        <f t="shared" si="12"/>
        <v>-295</v>
      </c>
      <c r="AA36" s="71">
        <f t="shared" si="12"/>
        <v>-28</v>
      </c>
      <c r="AB36" s="70">
        <f t="shared" si="12"/>
        <v>-859</v>
      </c>
    </row>
    <row r="37" spans="1:33" x14ac:dyDescent="0.25">
      <c r="A37" s="4">
        <f>+A30+1</f>
        <v>5</v>
      </c>
      <c r="B37" s="42" t="s">
        <v>23</v>
      </c>
      <c r="C37" s="131"/>
      <c r="D37" s="71"/>
      <c r="E37" s="71"/>
      <c r="F37" s="71"/>
      <c r="G37" s="71"/>
      <c r="H37" s="71"/>
      <c r="I37" s="71"/>
      <c r="J37" s="71"/>
      <c r="K37" s="71"/>
      <c r="L37" s="162"/>
      <c r="M37" s="71"/>
      <c r="N37" s="71"/>
      <c r="O37" s="71"/>
      <c r="P37" s="71"/>
      <c r="Q37" s="71"/>
      <c r="R37" s="71"/>
      <c r="S37" s="71"/>
      <c r="T37" s="71"/>
      <c r="U37" s="172"/>
      <c r="V37" s="71"/>
      <c r="W37" s="71"/>
      <c r="X37" s="71"/>
      <c r="Y37" s="71"/>
      <c r="Z37" s="71"/>
      <c r="AA37" s="71"/>
      <c r="AB37" s="70"/>
    </row>
    <row r="38" spans="1:33" x14ac:dyDescent="0.25">
      <c r="A38" s="4"/>
      <c r="B38" s="35" t="s">
        <v>36</v>
      </c>
      <c r="C38" s="131">
        <v>3667</v>
      </c>
      <c r="D38" s="71">
        <v>3500</v>
      </c>
      <c r="E38" s="71">
        <v>3951</v>
      </c>
      <c r="F38" s="71">
        <v>5033</v>
      </c>
      <c r="G38" s="71">
        <v>6056</v>
      </c>
      <c r="H38" s="71">
        <v>6331</v>
      </c>
      <c r="I38" s="71">
        <v>6164</v>
      </c>
      <c r="J38" s="71">
        <v>5868</v>
      </c>
      <c r="K38" s="71">
        <v>5709</v>
      </c>
      <c r="L38" s="162">
        <v>5403</v>
      </c>
      <c r="M38" s="71">
        <v>4593</v>
      </c>
      <c r="N38" s="71">
        <v>3723</v>
      </c>
      <c r="O38" s="71">
        <v>3891</v>
      </c>
      <c r="P38" s="71">
        <v>5009</v>
      </c>
      <c r="Q38" s="71">
        <v>5980</v>
      </c>
      <c r="R38" s="71">
        <v>7051</v>
      </c>
      <c r="S38" s="71">
        <v>7183</v>
      </c>
      <c r="T38" s="71">
        <v>7761</v>
      </c>
      <c r="U38" s="71">
        <v>7602</v>
      </c>
      <c r="V38" s="71">
        <f t="shared" ref="V38:AB39" si="13">C38-O38</f>
        <v>-224</v>
      </c>
      <c r="W38" s="71">
        <f t="shared" si="13"/>
        <v>-1509</v>
      </c>
      <c r="X38" s="71">
        <f t="shared" si="13"/>
        <v>-2029</v>
      </c>
      <c r="Y38" s="71">
        <f t="shared" si="13"/>
        <v>-2018</v>
      </c>
      <c r="Z38" s="71">
        <f t="shared" si="13"/>
        <v>-1127</v>
      </c>
      <c r="AA38" s="71">
        <f t="shared" si="13"/>
        <v>-1430</v>
      </c>
      <c r="AB38" s="70">
        <f t="shared" si="13"/>
        <v>-1438</v>
      </c>
    </row>
    <row r="39" spans="1:33" x14ac:dyDescent="0.25">
      <c r="A39" s="4"/>
      <c r="B39" s="35" t="s">
        <v>37</v>
      </c>
      <c r="C39" s="131">
        <v>2373</v>
      </c>
      <c r="D39" s="71">
        <v>1959</v>
      </c>
      <c r="E39" s="71">
        <v>1660</v>
      </c>
      <c r="F39" s="71">
        <v>2110</v>
      </c>
      <c r="G39" s="71">
        <v>2505</v>
      </c>
      <c r="H39" s="71">
        <v>3908</v>
      </c>
      <c r="I39" s="71">
        <v>3978</v>
      </c>
      <c r="J39" s="71">
        <v>3934</v>
      </c>
      <c r="K39" s="71">
        <v>3764</v>
      </c>
      <c r="L39" s="162">
        <v>3013</v>
      </c>
      <c r="M39" s="71">
        <v>2380</v>
      </c>
      <c r="N39" s="71">
        <v>2273</v>
      </c>
      <c r="O39" s="71">
        <v>2122</v>
      </c>
      <c r="P39" s="71">
        <v>2311</v>
      </c>
      <c r="Q39" s="71">
        <v>2316</v>
      </c>
      <c r="R39" s="71">
        <v>1208</v>
      </c>
      <c r="S39" s="71">
        <v>1126</v>
      </c>
      <c r="T39" s="71">
        <v>2721</v>
      </c>
      <c r="U39" s="71">
        <v>3075</v>
      </c>
      <c r="V39" s="71">
        <f t="shared" si="13"/>
        <v>251</v>
      </c>
      <c r="W39" s="71">
        <f t="shared" si="13"/>
        <v>-352</v>
      </c>
      <c r="X39" s="71">
        <f t="shared" si="13"/>
        <v>-656</v>
      </c>
      <c r="Y39" s="71">
        <f t="shared" si="13"/>
        <v>902</v>
      </c>
      <c r="Z39" s="71">
        <f t="shared" si="13"/>
        <v>1379</v>
      </c>
      <c r="AA39" s="71">
        <f t="shared" si="13"/>
        <v>1187</v>
      </c>
      <c r="AB39" s="70">
        <f t="shared" si="13"/>
        <v>903</v>
      </c>
    </row>
    <row r="40" spans="1:33" x14ac:dyDescent="0.25">
      <c r="A40" s="4"/>
      <c r="B40" s="35" t="s">
        <v>38</v>
      </c>
      <c r="C40" s="203">
        <v>93</v>
      </c>
      <c r="D40" s="71">
        <v>106</v>
      </c>
      <c r="E40" s="71">
        <v>146</v>
      </c>
      <c r="F40" s="71">
        <v>157</v>
      </c>
      <c r="G40" s="71">
        <v>186</v>
      </c>
      <c r="H40" s="71">
        <v>205</v>
      </c>
      <c r="I40" s="71">
        <v>203</v>
      </c>
      <c r="J40" s="71">
        <v>153</v>
      </c>
      <c r="K40" s="71">
        <v>160</v>
      </c>
      <c r="L40" s="162">
        <v>153</v>
      </c>
      <c r="M40" s="71">
        <v>165</v>
      </c>
      <c r="N40" s="71">
        <v>113</v>
      </c>
      <c r="O40" s="71">
        <v>128</v>
      </c>
      <c r="P40" s="71">
        <v>181</v>
      </c>
      <c r="Q40" s="71">
        <v>257</v>
      </c>
      <c r="R40" s="71">
        <v>275</v>
      </c>
      <c r="S40" s="71">
        <v>277</v>
      </c>
      <c r="T40" s="71">
        <v>249</v>
      </c>
      <c r="U40" s="71">
        <v>217</v>
      </c>
      <c r="V40" s="71">
        <f>C26-O40</f>
        <v>419</v>
      </c>
      <c r="W40" s="71">
        <f t="shared" ref="W40:AB42" si="14">D40-P40</f>
        <v>-75</v>
      </c>
      <c r="X40" s="71">
        <f t="shared" si="14"/>
        <v>-111</v>
      </c>
      <c r="Y40" s="71">
        <f t="shared" si="14"/>
        <v>-118</v>
      </c>
      <c r="Z40" s="71">
        <f t="shared" si="14"/>
        <v>-91</v>
      </c>
      <c r="AA40" s="71">
        <f t="shared" si="14"/>
        <v>-44</v>
      </c>
      <c r="AB40" s="70">
        <f t="shared" si="14"/>
        <v>-14</v>
      </c>
    </row>
    <row r="41" spans="1:33" x14ac:dyDescent="0.25">
      <c r="A41" s="4"/>
      <c r="B41" s="35" t="s">
        <v>39</v>
      </c>
      <c r="C41" s="203">
        <v>6</v>
      </c>
      <c r="D41" s="71">
        <v>6</v>
      </c>
      <c r="E41" s="71">
        <v>7</v>
      </c>
      <c r="F41" s="71">
        <v>9</v>
      </c>
      <c r="G41" s="71">
        <v>11</v>
      </c>
      <c r="H41" s="71">
        <v>15</v>
      </c>
      <c r="I41" s="71">
        <v>14</v>
      </c>
      <c r="J41" s="71">
        <v>12</v>
      </c>
      <c r="K41" s="71">
        <v>12</v>
      </c>
      <c r="L41" s="162">
        <v>6</v>
      </c>
      <c r="M41" s="71">
        <v>4</v>
      </c>
      <c r="N41" s="71">
        <v>3</v>
      </c>
      <c r="O41" s="71">
        <v>2</v>
      </c>
      <c r="P41" s="71">
        <v>16</v>
      </c>
      <c r="Q41" s="71">
        <v>29</v>
      </c>
      <c r="R41" s="71">
        <v>34</v>
      </c>
      <c r="S41" s="71">
        <v>37</v>
      </c>
      <c r="T41" s="71">
        <v>33</v>
      </c>
      <c r="U41" s="71">
        <v>31</v>
      </c>
      <c r="V41" s="71">
        <f>C27-O41</f>
        <v>61</v>
      </c>
      <c r="W41" s="71">
        <f t="shared" si="14"/>
        <v>-10</v>
      </c>
      <c r="X41" s="71">
        <f t="shared" si="14"/>
        <v>-22</v>
      </c>
      <c r="Y41" s="71">
        <f t="shared" si="14"/>
        <v>-25</v>
      </c>
      <c r="Z41" s="71">
        <f t="shared" si="14"/>
        <v>-26</v>
      </c>
      <c r="AA41" s="71">
        <f t="shared" si="14"/>
        <v>-18</v>
      </c>
      <c r="AB41" s="70">
        <f t="shared" si="14"/>
        <v>-17</v>
      </c>
    </row>
    <row r="42" spans="1:33" x14ac:dyDescent="0.25">
      <c r="A42" s="4"/>
      <c r="B42" s="35" t="s">
        <v>40</v>
      </c>
      <c r="C42" s="131">
        <v>0</v>
      </c>
      <c r="D42" s="71">
        <v>0</v>
      </c>
      <c r="E42" s="71">
        <v>0</v>
      </c>
      <c r="F42" s="71">
        <v>0</v>
      </c>
      <c r="G42" s="71">
        <v>0</v>
      </c>
      <c r="H42" s="71">
        <v>0</v>
      </c>
      <c r="I42" s="71">
        <v>0</v>
      </c>
      <c r="J42" s="71">
        <v>0</v>
      </c>
      <c r="K42" s="71">
        <v>0</v>
      </c>
      <c r="L42" s="162">
        <v>1</v>
      </c>
      <c r="M42" s="71">
        <v>1</v>
      </c>
      <c r="N42" s="71">
        <v>1</v>
      </c>
      <c r="O42" s="71">
        <v>0</v>
      </c>
      <c r="P42" s="71">
        <v>0</v>
      </c>
      <c r="Q42" s="71">
        <v>0</v>
      </c>
      <c r="R42" s="71">
        <v>2</v>
      </c>
      <c r="S42" s="71">
        <v>2</v>
      </c>
      <c r="T42" s="71">
        <v>1</v>
      </c>
      <c r="U42" s="71">
        <v>1</v>
      </c>
      <c r="V42" s="71">
        <f>C42-O42</f>
        <v>0</v>
      </c>
      <c r="W42" s="71">
        <f t="shared" si="14"/>
        <v>0</v>
      </c>
      <c r="X42" s="71">
        <f t="shared" si="14"/>
        <v>0</v>
      </c>
      <c r="Y42" s="71">
        <f t="shared" si="14"/>
        <v>-2</v>
      </c>
      <c r="Z42" s="71">
        <f t="shared" si="14"/>
        <v>-2</v>
      </c>
      <c r="AA42" s="71">
        <f t="shared" si="14"/>
        <v>-1</v>
      </c>
      <c r="AB42" s="70">
        <f t="shared" si="14"/>
        <v>-1</v>
      </c>
    </row>
    <row r="43" spans="1:33" ht="15.75" thickBot="1" x14ac:dyDescent="0.3">
      <c r="A43" s="4"/>
      <c r="B43" s="37" t="s">
        <v>41</v>
      </c>
      <c r="C43" s="122">
        <f>SUM(C38:C42)</f>
        <v>6139</v>
      </c>
      <c r="D43" s="60">
        <f>SUM(D38:D42)</f>
        <v>5571</v>
      </c>
      <c r="E43" s="60">
        <f t="shared" ref="E43:AB43" si="15">SUM(E38:E42)</f>
        <v>5764</v>
      </c>
      <c r="F43" s="60">
        <f t="shared" si="15"/>
        <v>7309</v>
      </c>
      <c r="G43" s="60">
        <f t="shared" si="15"/>
        <v>8758</v>
      </c>
      <c r="H43" s="60">
        <f t="shared" si="15"/>
        <v>10459</v>
      </c>
      <c r="I43" s="60">
        <f t="shared" si="15"/>
        <v>10359</v>
      </c>
      <c r="J43" s="60">
        <f t="shared" si="15"/>
        <v>9967</v>
      </c>
      <c r="K43" s="60">
        <f t="shared" si="15"/>
        <v>9645</v>
      </c>
      <c r="L43" s="163">
        <f t="shared" si="15"/>
        <v>8576</v>
      </c>
      <c r="M43" s="60">
        <f t="shared" si="15"/>
        <v>7143</v>
      </c>
      <c r="N43" s="60">
        <f t="shared" si="15"/>
        <v>6113</v>
      </c>
      <c r="O43" s="60">
        <f t="shared" si="15"/>
        <v>6143</v>
      </c>
      <c r="P43" s="60">
        <f t="shared" si="15"/>
        <v>7517</v>
      </c>
      <c r="Q43" s="60">
        <f t="shared" si="15"/>
        <v>8582</v>
      </c>
      <c r="R43" s="60">
        <f t="shared" si="15"/>
        <v>8570</v>
      </c>
      <c r="S43" s="60">
        <f t="shared" si="15"/>
        <v>8625</v>
      </c>
      <c r="T43" s="60">
        <f t="shared" si="15"/>
        <v>10765</v>
      </c>
      <c r="U43" s="173">
        <f t="shared" si="15"/>
        <v>10926</v>
      </c>
      <c r="V43" s="60">
        <f t="shared" si="15"/>
        <v>507</v>
      </c>
      <c r="W43" s="60">
        <f t="shared" si="15"/>
        <v>-1946</v>
      </c>
      <c r="X43" s="60">
        <f t="shared" si="15"/>
        <v>-2818</v>
      </c>
      <c r="Y43" s="60">
        <f t="shared" si="15"/>
        <v>-1261</v>
      </c>
      <c r="Z43" s="60">
        <f t="shared" si="15"/>
        <v>133</v>
      </c>
      <c r="AA43" s="60">
        <f t="shared" si="15"/>
        <v>-306</v>
      </c>
      <c r="AB43" s="59">
        <f t="shared" si="15"/>
        <v>-567</v>
      </c>
    </row>
    <row r="44" spans="1:33" x14ac:dyDescent="0.25">
      <c r="A44" s="4">
        <f>+A37+1</f>
        <v>6</v>
      </c>
      <c r="B44" s="41" t="s">
        <v>29</v>
      </c>
      <c r="C44" s="154"/>
      <c r="D44" s="76"/>
      <c r="E44" s="76"/>
      <c r="F44" s="76"/>
      <c r="G44" s="76"/>
      <c r="H44" s="76"/>
      <c r="I44" s="76"/>
      <c r="J44" s="76"/>
      <c r="K44" s="76"/>
      <c r="L44" s="164"/>
      <c r="M44" s="76"/>
      <c r="N44" s="76"/>
      <c r="O44" s="76"/>
      <c r="P44" s="76"/>
      <c r="Q44" s="76"/>
      <c r="R44" s="76"/>
      <c r="S44" s="76"/>
      <c r="T44" s="76"/>
      <c r="U44" s="174"/>
      <c r="V44" s="76"/>
      <c r="W44" s="76"/>
      <c r="X44" s="76"/>
      <c r="Y44" s="76"/>
      <c r="Z44" s="76"/>
      <c r="AA44" s="76"/>
      <c r="AB44" s="75"/>
    </row>
    <row r="45" spans="1:33" x14ac:dyDescent="0.25">
      <c r="A45" s="4"/>
      <c r="B45" s="35" t="s">
        <v>36</v>
      </c>
      <c r="C45" s="108">
        <v>1821026</v>
      </c>
      <c r="D45" s="79">
        <v>1650998.76</v>
      </c>
      <c r="E45" s="79">
        <v>1176663.68</v>
      </c>
      <c r="F45" s="79">
        <v>669517.34</v>
      </c>
      <c r="G45" s="79">
        <v>380798</v>
      </c>
      <c r="H45" s="79">
        <v>295353.48</v>
      </c>
      <c r="I45" s="79">
        <v>256996.49</v>
      </c>
      <c r="J45" s="79">
        <v>252061.12</v>
      </c>
      <c r="K45" s="79">
        <v>280220.07</v>
      </c>
      <c r="L45" s="110">
        <v>637757.55000000005</v>
      </c>
      <c r="M45" s="79">
        <v>1216950.5900000001</v>
      </c>
      <c r="N45" s="79">
        <v>1662894.85</v>
      </c>
      <c r="O45" s="79">
        <v>1628760.39</v>
      </c>
      <c r="P45" s="79">
        <v>1498127.82</v>
      </c>
      <c r="Q45" s="79">
        <v>1326257.92</v>
      </c>
      <c r="R45" s="79">
        <v>968907.04</v>
      </c>
      <c r="S45" s="79">
        <v>392634.33</v>
      </c>
      <c r="T45" s="79">
        <v>321005.89</v>
      </c>
      <c r="U45" s="79">
        <v>331676.33</v>
      </c>
      <c r="V45" s="79">
        <f t="shared" ref="V45:Z49" si="16">C45-O45</f>
        <v>192265.6100000001</v>
      </c>
      <c r="W45" s="79">
        <f t="shared" si="16"/>
        <v>152870.93999999994</v>
      </c>
      <c r="X45" s="79">
        <f t="shared" si="16"/>
        <v>-149594.23999999999</v>
      </c>
      <c r="Y45" s="79">
        <f t="shared" si="16"/>
        <v>-299389.70000000007</v>
      </c>
      <c r="Z45" s="79">
        <f t="shared" si="16"/>
        <v>-11836.330000000016</v>
      </c>
      <c r="AA45" s="79" t="e">
        <f>#REF!-T45</f>
        <v>#REF!</v>
      </c>
      <c r="AB45" s="78">
        <f>I45-U45</f>
        <v>-74679.840000000026</v>
      </c>
      <c r="AD45" s="239">
        <v>43970</v>
      </c>
      <c r="AE45" s="239">
        <v>43971</v>
      </c>
    </row>
    <row r="46" spans="1:33" x14ac:dyDescent="0.25">
      <c r="A46" s="4"/>
      <c r="B46" s="35" t="s">
        <v>37</v>
      </c>
      <c r="C46" s="108">
        <v>590605.9</v>
      </c>
      <c r="D46" s="79">
        <v>500323.03</v>
      </c>
      <c r="E46" s="79">
        <v>333874.45</v>
      </c>
      <c r="F46" s="79">
        <v>211984.29</v>
      </c>
      <c r="G46" s="79">
        <v>150515.16</v>
      </c>
      <c r="H46" s="79">
        <v>117913.52</v>
      </c>
      <c r="I46" s="79">
        <v>112748.79</v>
      </c>
      <c r="J46" s="79">
        <v>117966.53</v>
      </c>
      <c r="K46" s="79">
        <v>129774.09</v>
      </c>
      <c r="L46" s="110">
        <v>268373.32</v>
      </c>
      <c r="M46" s="79">
        <v>394952.4</v>
      </c>
      <c r="N46" s="79">
        <v>414462.54</v>
      </c>
      <c r="O46" s="79">
        <v>365043.85</v>
      </c>
      <c r="P46" s="79">
        <v>405196.08</v>
      </c>
      <c r="Q46" s="79">
        <v>354244.1</v>
      </c>
      <c r="R46" s="79">
        <v>204185.13</v>
      </c>
      <c r="S46" s="79">
        <v>129915.89</v>
      </c>
      <c r="T46" s="79">
        <v>186838.2</v>
      </c>
      <c r="U46" s="79">
        <v>322511.13</v>
      </c>
      <c r="V46" s="79">
        <f t="shared" si="16"/>
        <v>225562.05000000005</v>
      </c>
      <c r="W46" s="79">
        <f t="shared" si="16"/>
        <v>95126.950000000012</v>
      </c>
      <c r="X46" s="79">
        <f t="shared" si="16"/>
        <v>-20369.649999999965</v>
      </c>
      <c r="Y46" s="79">
        <f t="shared" si="16"/>
        <v>7799.1600000000035</v>
      </c>
      <c r="Z46" s="79">
        <f t="shared" si="16"/>
        <v>20599.270000000004</v>
      </c>
      <c r="AA46" s="79" t="e">
        <f>#REF!-T46</f>
        <v>#REF!</v>
      </c>
      <c r="AB46" s="78">
        <f>I46-U46</f>
        <v>-209762.34000000003</v>
      </c>
      <c r="AC46" s="2" t="s">
        <v>49</v>
      </c>
      <c r="AD46" s="238">
        <f>SUM(E45+E46+E52+E53+E59+E60)</f>
        <v>4024345.31</v>
      </c>
      <c r="AE46" s="238">
        <f>SUM(Q45+Q46+Q52+Q53+Q59+Q60)</f>
        <v>5924166.9000000004</v>
      </c>
      <c r="AF46" s="238">
        <f>AE46-AD46</f>
        <v>1899821.5900000003</v>
      </c>
      <c r="AG46" s="2">
        <f>((AF46/AD46)/2)*100</f>
        <v>23.60410754612904</v>
      </c>
    </row>
    <row r="47" spans="1:33" x14ac:dyDescent="0.25">
      <c r="A47" s="4"/>
      <c r="B47" s="35" t="s">
        <v>38</v>
      </c>
      <c r="C47" s="108">
        <v>321241.65000000002</v>
      </c>
      <c r="D47" s="79">
        <v>140056.82</v>
      </c>
      <c r="E47" s="79">
        <v>88137.22</v>
      </c>
      <c r="F47" s="79">
        <v>49210.55</v>
      </c>
      <c r="G47" s="79">
        <v>26687.018</v>
      </c>
      <c r="H47" s="79">
        <v>22451.53</v>
      </c>
      <c r="I47" s="79">
        <v>21939.57</v>
      </c>
      <c r="J47" s="79">
        <v>17783.98</v>
      </c>
      <c r="K47" s="79">
        <v>22724.86</v>
      </c>
      <c r="L47" s="110">
        <v>42183.72</v>
      </c>
      <c r="M47" s="79">
        <v>112912.76</v>
      </c>
      <c r="N47" s="79">
        <v>216491.69</v>
      </c>
      <c r="O47" s="79">
        <v>161553.18</v>
      </c>
      <c r="P47" s="79">
        <v>209743.49</v>
      </c>
      <c r="Q47" s="79">
        <v>211740.41</v>
      </c>
      <c r="R47" s="79">
        <v>87297.72</v>
      </c>
      <c r="S47" s="79">
        <v>39719.300000000003</v>
      </c>
      <c r="T47" s="79">
        <v>187848.89</v>
      </c>
      <c r="U47" s="79">
        <v>21963.88</v>
      </c>
      <c r="V47" s="79">
        <f t="shared" si="16"/>
        <v>159688.47000000003</v>
      </c>
      <c r="W47" s="79">
        <f t="shared" si="16"/>
        <v>-69686.669999999984</v>
      </c>
      <c r="X47" s="79">
        <f t="shared" si="16"/>
        <v>-123603.19</v>
      </c>
      <c r="Y47" s="79">
        <f t="shared" si="16"/>
        <v>-38087.17</v>
      </c>
      <c r="Z47" s="79">
        <f t="shared" si="16"/>
        <v>-13032.282000000003</v>
      </c>
      <c r="AA47" s="79">
        <f>H47-T47</f>
        <v>-165397.36000000002</v>
      </c>
      <c r="AB47" s="78">
        <f>I47-U47</f>
        <v>-24.31000000000131</v>
      </c>
      <c r="AC47" s="2" t="s">
        <v>50</v>
      </c>
      <c r="AD47" s="238">
        <f>SUM(E47+E48+E49+E54+E55+E56+E61+E62+E63)</f>
        <v>335201.68000000005</v>
      </c>
      <c r="AE47" s="238">
        <f>SUM(Q47+Q48+Q49+Q54+Q55+Q56+Q61+Q62+Q63)</f>
        <v>1039671.3</v>
      </c>
      <c r="AF47" s="238">
        <f>AE47-AD47</f>
        <v>704469.62</v>
      </c>
      <c r="AG47" s="2">
        <f>((AF47/AD47)/2)*100</f>
        <v>105.08145722897331</v>
      </c>
    </row>
    <row r="48" spans="1:33" x14ac:dyDescent="0.25">
      <c r="A48" s="4"/>
      <c r="B48" s="35" t="s">
        <v>39</v>
      </c>
      <c r="C48" s="108">
        <v>179234.14</v>
      </c>
      <c r="D48" s="79">
        <v>165981.01999999999</v>
      </c>
      <c r="E48" s="79">
        <v>97080.67</v>
      </c>
      <c r="F48" s="79">
        <v>57623.64</v>
      </c>
      <c r="G48" s="79">
        <v>19071.689999999999</v>
      </c>
      <c r="H48" s="79">
        <v>21025.47</v>
      </c>
      <c r="I48" s="79">
        <v>17006.86</v>
      </c>
      <c r="J48" s="79">
        <v>10391.27</v>
      </c>
      <c r="K48" s="79">
        <v>25417.82</v>
      </c>
      <c r="L48" s="110">
        <v>46100.17</v>
      </c>
      <c r="M48" s="79">
        <v>100128.11</v>
      </c>
      <c r="N48" s="79">
        <v>181222.06</v>
      </c>
      <c r="O48" s="79">
        <v>172104.03</v>
      </c>
      <c r="P48" s="79">
        <v>256307.41</v>
      </c>
      <c r="Q48" s="79">
        <v>188086.67</v>
      </c>
      <c r="R48" s="79">
        <v>110525.82</v>
      </c>
      <c r="S48" s="79">
        <v>39665.9</v>
      </c>
      <c r="T48" s="79">
        <v>47009.46</v>
      </c>
      <c r="U48" s="79">
        <v>24178.51</v>
      </c>
      <c r="V48" s="79">
        <f t="shared" si="16"/>
        <v>7130.1100000000151</v>
      </c>
      <c r="W48" s="79">
        <f t="shared" si="16"/>
        <v>-90326.390000000014</v>
      </c>
      <c r="X48" s="79">
        <f t="shared" si="16"/>
        <v>-91006.000000000015</v>
      </c>
      <c r="Y48" s="79">
        <f t="shared" si="16"/>
        <v>-52902.180000000008</v>
      </c>
      <c r="Z48" s="79">
        <f t="shared" si="16"/>
        <v>-20594.210000000003</v>
      </c>
      <c r="AA48" s="79">
        <f>H48-T48</f>
        <v>-25983.989999999998</v>
      </c>
      <c r="AB48" s="78">
        <f>I48-U48</f>
        <v>-7171.6499999999978</v>
      </c>
    </row>
    <row r="49" spans="1:33" x14ac:dyDescent="0.25">
      <c r="A49" s="4"/>
      <c r="B49" s="35" t="s">
        <v>40</v>
      </c>
      <c r="C49" s="108">
        <v>0</v>
      </c>
      <c r="D49" s="79">
        <v>17568.169999999998</v>
      </c>
      <c r="E49" s="79">
        <v>15.32</v>
      </c>
      <c r="F49" s="79">
        <v>16898.810000000001</v>
      </c>
      <c r="G49" s="79">
        <v>46.51</v>
      </c>
      <c r="H49" s="79">
        <v>950.14</v>
      </c>
      <c r="I49" s="79">
        <v>927.58</v>
      </c>
      <c r="J49" s="79">
        <v>9.19</v>
      </c>
      <c r="K49" s="79">
        <v>1553.41</v>
      </c>
      <c r="L49" s="110">
        <v>197.31</v>
      </c>
      <c r="M49" s="79">
        <v>12384.7</v>
      </c>
      <c r="N49" s="79">
        <v>17376.810000000001</v>
      </c>
      <c r="O49" s="79">
        <v>0</v>
      </c>
      <c r="P49" s="79">
        <v>63980.44</v>
      </c>
      <c r="Q49" s="79">
        <v>136991.03</v>
      </c>
      <c r="R49" s="79">
        <v>42200.47</v>
      </c>
      <c r="S49" s="79">
        <v>31614.11</v>
      </c>
      <c r="T49" s="79">
        <v>25374.49</v>
      </c>
      <c r="U49" s="79">
        <v>8174.55</v>
      </c>
      <c r="V49" s="79">
        <f t="shared" si="16"/>
        <v>0</v>
      </c>
      <c r="W49" s="79">
        <f t="shared" si="16"/>
        <v>-46412.270000000004</v>
      </c>
      <c r="X49" s="79">
        <f t="shared" si="16"/>
        <v>-136975.71</v>
      </c>
      <c r="Y49" s="79">
        <f t="shared" si="16"/>
        <v>-25301.66</v>
      </c>
      <c r="Z49" s="79">
        <f t="shared" si="16"/>
        <v>-31567.600000000002</v>
      </c>
      <c r="AA49" s="79">
        <f>H49-T49</f>
        <v>-24424.350000000002</v>
      </c>
      <c r="AB49" s="78">
        <f>I49-U49</f>
        <v>-7246.97</v>
      </c>
      <c r="AD49" s="239">
        <v>44001</v>
      </c>
      <c r="AE49" s="239">
        <v>44002</v>
      </c>
    </row>
    <row r="50" spans="1:33" x14ac:dyDescent="0.25">
      <c r="A50" s="4"/>
      <c r="B50" s="35" t="s">
        <v>41</v>
      </c>
      <c r="C50" s="108">
        <f>SUM(C45:C49)</f>
        <v>2912107.69</v>
      </c>
      <c r="D50" s="79">
        <f>SUM(D45:D49)</f>
        <v>2474927.7999999998</v>
      </c>
      <c r="E50" s="79">
        <f t="shared" ref="E50:AB50" si="17">SUM(E45:E49)</f>
        <v>1695771.3399999999</v>
      </c>
      <c r="F50" s="79">
        <f t="shared" si="17"/>
        <v>1005234.6300000001</v>
      </c>
      <c r="G50" s="79">
        <f t="shared" si="17"/>
        <v>577118.37800000003</v>
      </c>
      <c r="H50" s="79">
        <f>SUM(H45:H49)</f>
        <v>457694.14</v>
      </c>
      <c r="I50" s="79">
        <f t="shared" si="17"/>
        <v>409619.29</v>
      </c>
      <c r="J50" s="79">
        <f t="shared" si="17"/>
        <v>398212.09</v>
      </c>
      <c r="K50" s="79">
        <f t="shared" si="17"/>
        <v>459690.25</v>
      </c>
      <c r="L50" s="110">
        <f t="shared" si="17"/>
        <v>994612.07000000018</v>
      </c>
      <c r="M50" s="79">
        <f t="shared" si="17"/>
        <v>1837328.5600000003</v>
      </c>
      <c r="N50" s="79">
        <f t="shared" si="17"/>
        <v>2492447.9500000002</v>
      </c>
      <c r="O50" s="79">
        <f t="shared" si="17"/>
        <v>2327461.4499999997</v>
      </c>
      <c r="P50" s="79">
        <f t="shared" si="17"/>
        <v>2433355.2400000002</v>
      </c>
      <c r="Q50" s="79">
        <f t="shared" si="17"/>
        <v>2217320.13</v>
      </c>
      <c r="R50" s="79">
        <f t="shared" si="17"/>
        <v>1413116.18</v>
      </c>
      <c r="S50" s="79">
        <f t="shared" si="17"/>
        <v>633549.53</v>
      </c>
      <c r="T50" s="79">
        <f t="shared" si="17"/>
        <v>768076.92999999993</v>
      </c>
      <c r="U50" s="175">
        <f t="shared" si="17"/>
        <v>708504.4</v>
      </c>
      <c r="V50" s="79">
        <f t="shared" si="17"/>
        <v>584646.24000000011</v>
      </c>
      <c r="W50" s="79">
        <f t="shared" si="17"/>
        <v>41572.559999999954</v>
      </c>
      <c r="X50" s="79">
        <f t="shared" si="17"/>
        <v>-521548.78999999992</v>
      </c>
      <c r="Y50" s="79">
        <f t="shared" si="17"/>
        <v>-407881.55</v>
      </c>
      <c r="Z50" s="79">
        <f t="shared" si="17"/>
        <v>-56431.152000000016</v>
      </c>
      <c r="AA50" s="79" t="e">
        <f t="shared" si="17"/>
        <v>#REF!</v>
      </c>
      <c r="AB50" s="78">
        <f t="shared" si="17"/>
        <v>-298885.11000000004</v>
      </c>
      <c r="AC50" s="2" t="s">
        <v>49</v>
      </c>
      <c r="AD50" s="238">
        <f>SUM(E45+E46+E52+E53+E59+E60)</f>
        <v>4024345.31</v>
      </c>
      <c r="AE50" s="238">
        <f>SUM(R45+R46+R52+R53+R59+R60)</f>
        <v>5183823.4800000004</v>
      </c>
      <c r="AF50" s="238">
        <f>AE50-AD50</f>
        <v>1159478.1700000004</v>
      </c>
      <c r="AG50" s="2">
        <f>((AF50/AD50)/2)*100</f>
        <v>14.405798716114651</v>
      </c>
    </row>
    <row r="51" spans="1:33" x14ac:dyDescent="0.25">
      <c r="A51" s="4">
        <f>+A44+1</f>
        <v>7</v>
      </c>
      <c r="B51" s="42" t="s">
        <v>30</v>
      </c>
      <c r="C51" s="108"/>
      <c r="D51" s="79"/>
      <c r="E51" s="79"/>
      <c r="F51" s="79"/>
      <c r="G51" s="79"/>
      <c r="H51" s="79"/>
      <c r="I51" s="79"/>
      <c r="J51" s="79"/>
      <c r="K51" s="79"/>
      <c r="L51" s="110"/>
      <c r="M51" s="79"/>
      <c r="N51" s="79"/>
      <c r="O51" s="79"/>
      <c r="P51" s="79"/>
      <c r="Q51" s="79"/>
      <c r="R51" s="79"/>
      <c r="S51" s="79"/>
      <c r="T51" s="79"/>
      <c r="U51" s="175"/>
      <c r="V51" s="79"/>
      <c r="W51" s="79"/>
      <c r="X51" s="79"/>
      <c r="Y51" s="79"/>
      <c r="Z51" s="79"/>
      <c r="AA51" s="79"/>
      <c r="AB51" s="78"/>
      <c r="AC51" s="2" t="s">
        <v>50</v>
      </c>
      <c r="AD51" s="238">
        <f>SUM(F47+F48+F49+F54+F55+F56+F61+F62+F63)</f>
        <v>280640.96000000002</v>
      </c>
      <c r="AE51" s="238">
        <f>SUM(R47+R48+R49+R54+R55+R56+R61+R62+R63)</f>
        <v>843577.2</v>
      </c>
      <c r="AF51" s="238">
        <f>AE51-AD51</f>
        <v>562936.24</v>
      </c>
      <c r="AG51" s="2">
        <f>((AF51/AD51)/2)*100</f>
        <v>100.29473958469926</v>
      </c>
    </row>
    <row r="52" spans="1:33" x14ac:dyDescent="0.25">
      <c r="A52" s="4"/>
      <c r="B52" s="35" t="s">
        <v>36</v>
      </c>
      <c r="C52" s="108">
        <v>565183.17000000004</v>
      </c>
      <c r="D52" s="79">
        <v>768273.07</v>
      </c>
      <c r="E52" s="79">
        <v>763312.6</v>
      </c>
      <c r="F52" s="79">
        <v>715276.34</v>
      </c>
      <c r="G52" s="79">
        <v>372135</v>
      </c>
      <c r="H52" s="204">
        <v>250136.21</v>
      </c>
      <c r="I52" s="79">
        <v>194954.51</v>
      </c>
      <c r="J52" s="79">
        <v>160335.88</v>
      </c>
      <c r="K52" s="79">
        <v>169676.32</v>
      </c>
      <c r="L52" s="110">
        <v>173297.3</v>
      </c>
      <c r="M52" s="79">
        <v>332931.3</v>
      </c>
      <c r="N52" s="79">
        <v>591048.44999999995</v>
      </c>
      <c r="O52" s="79">
        <v>901434.11</v>
      </c>
      <c r="P52" s="79">
        <v>977566.32</v>
      </c>
      <c r="Q52" s="79">
        <v>1003179.1</v>
      </c>
      <c r="R52" s="79">
        <v>905172.67</v>
      </c>
      <c r="S52" s="79">
        <v>670836.28</v>
      </c>
      <c r="T52" s="79">
        <v>288998.94</v>
      </c>
      <c r="U52" s="79">
        <v>234806.17</v>
      </c>
      <c r="V52" s="79">
        <f t="shared" ref="V52:Z56" si="18">C52-O52</f>
        <v>-336250.93999999994</v>
      </c>
      <c r="W52" s="79">
        <f t="shared" si="18"/>
        <v>-209293.25</v>
      </c>
      <c r="X52" s="79">
        <f t="shared" si="18"/>
        <v>-239866.5</v>
      </c>
      <c r="Y52" s="79">
        <f t="shared" si="18"/>
        <v>-189896.33000000007</v>
      </c>
      <c r="Z52" s="79">
        <f t="shared" si="18"/>
        <v>-298701.28000000003</v>
      </c>
      <c r="AA52" s="79">
        <f>H45-T52</f>
        <v>6354.539999999979</v>
      </c>
      <c r="AB52" s="78">
        <f>I52-U52</f>
        <v>-39851.660000000003</v>
      </c>
    </row>
    <row r="53" spans="1:33" x14ac:dyDescent="0.25">
      <c r="A53" s="4"/>
      <c r="B53" s="35" t="s">
        <v>37</v>
      </c>
      <c r="C53" s="108">
        <v>311636.96999999997</v>
      </c>
      <c r="D53" s="79">
        <v>362843</v>
      </c>
      <c r="E53" s="79">
        <v>295236.59000000003</v>
      </c>
      <c r="F53" s="79">
        <v>263094.82</v>
      </c>
      <c r="G53" s="79">
        <v>169028.75</v>
      </c>
      <c r="H53" s="204">
        <v>126438.23</v>
      </c>
      <c r="I53" s="79">
        <v>98609.39</v>
      </c>
      <c r="J53" s="79">
        <v>91376.68</v>
      </c>
      <c r="K53" s="79">
        <v>96553.15</v>
      </c>
      <c r="L53" s="110">
        <v>87987.87</v>
      </c>
      <c r="M53" s="79">
        <v>177203.05</v>
      </c>
      <c r="N53" s="79">
        <v>304470.94</v>
      </c>
      <c r="O53" s="79">
        <v>341119.79</v>
      </c>
      <c r="P53" s="79">
        <v>316785.14</v>
      </c>
      <c r="Q53" s="79">
        <v>311960.15999999997</v>
      </c>
      <c r="R53" s="79">
        <v>141613.45000000001</v>
      </c>
      <c r="S53" s="79">
        <v>132979.01</v>
      </c>
      <c r="T53" s="79">
        <v>109082.29</v>
      </c>
      <c r="U53" s="79">
        <v>170562.86</v>
      </c>
      <c r="V53" s="79">
        <f t="shared" si="18"/>
        <v>-29482.820000000007</v>
      </c>
      <c r="W53" s="79">
        <f t="shared" si="18"/>
        <v>46057.859999999986</v>
      </c>
      <c r="X53" s="79">
        <f t="shared" si="18"/>
        <v>-16723.569999999949</v>
      </c>
      <c r="Y53" s="79">
        <f t="shared" si="18"/>
        <v>121481.37</v>
      </c>
      <c r="Z53" s="79">
        <f t="shared" si="18"/>
        <v>36049.739999999991</v>
      </c>
      <c r="AA53" s="79">
        <f>H46-T53</f>
        <v>8831.2300000000105</v>
      </c>
      <c r="AB53" s="78">
        <f>I53-U53</f>
        <v>-71953.469999999987</v>
      </c>
      <c r="AD53" s="239">
        <v>44031</v>
      </c>
      <c r="AE53" s="239">
        <v>44032</v>
      </c>
    </row>
    <row r="54" spans="1:33" x14ac:dyDescent="0.25">
      <c r="A54" s="4"/>
      <c r="B54" s="35" t="s">
        <v>38</v>
      </c>
      <c r="C54" s="108">
        <v>22026.82</v>
      </c>
      <c r="D54" s="79">
        <v>39949.379999999997</v>
      </c>
      <c r="E54" s="79">
        <v>38481.879999999997</v>
      </c>
      <c r="F54" s="79">
        <v>34563.61</v>
      </c>
      <c r="G54" s="79">
        <v>17058.490000000002</v>
      </c>
      <c r="H54" s="79">
        <v>12137.06</v>
      </c>
      <c r="I54" s="79">
        <v>9229.06</v>
      </c>
      <c r="J54" s="79">
        <v>7415.67</v>
      </c>
      <c r="K54" s="79">
        <v>8722.85</v>
      </c>
      <c r="L54" s="110">
        <v>9783.5499999999993</v>
      </c>
      <c r="M54" s="79">
        <v>11083.03</v>
      </c>
      <c r="N54" s="79">
        <v>30654</v>
      </c>
      <c r="O54" s="79">
        <v>94776.79</v>
      </c>
      <c r="P54" s="79">
        <v>80308.47</v>
      </c>
      <c r="Q54" s="79">
        <v>106834.29</v>
      </c>
      <c r="R54" s="79">
        <v>67424.75</v>
      </c>
      <c r="S54" s="79">
        <v>47303.16</v>
      </c>
      <c r="T54" s="79">
        <v>27257.7</v>
      </c>
      <c r="U54" s="79">
        <v>9244.34</v>
      </c>
      <c r="V54" s="79">
        <f t="shared" si="18"/>
        <v>-72749.97</v>
      </c>
      <c r="W54" s="79">
        <f t="shared" si="18"/>
        <v>-40359.090000000004</v>
      </c>
      <c r="X54" s="79">
        <f t="shared" si="18"/>
        <v>-68352.41</v>
      </c>
      <c r="Y54" s="79">
        <f t="shared" si="18"/>
        <v>-32861.14</v>
      </c>
      <c r="Z54" s="79">
        <f t="shared" si="18"/>
        <v>-30244.670000000002</v>
      </c>
      <c r="AA54" s="79">
        <f>H54-T54</f>
        <v>-15120.640000000001</v>
      </c>
      <c r="AB54" s="78">
        <f>I54-U54</f>
        <v>-15.280000000000655</v>
      </c>
      <c r="AC54" s="2" t="s">
        <v>49</v>
      </c>
      <c r="AD54" s="238">
        <f>SUM(G45+G46+G52+G53+G59+G60)</f>
        <v>2972986.3000000003</v>
      </c>
      <c r="AE54" s="238">
        <f>SUM(S45+S46+S52+S53+S59+S60)</f>
        <v>4362843.4799999995</v>
      </c>
      <c r="AF54" s="238">
        <f>AE54-AD54</f>
        <v>1389857.1799999992</v>
      </c>
      <c r="AG54" s="2">
        <f>((AF54/AD54)/2)*100</f>
        <v>23.374765971844525</v>
      </c>
    </row>
    <row r="55" spans="1:33" x14ac:dyDescent="0.25">
      <c r="A55" s="4"/>
      <c r="B55" s="35" t="s">
        <v>39</v>
      </c>
      <c r="C55" s="108">
        <v>5534.49</v>
      </c>
      <c r="D55" s="79">
        <v>39453.089999999997</v>
      </c>
      <c r="E55" s="79">
        <v>33265</v>
      </c>
      <c r="F55" s="79">
        <v>28762.7</v>
      </c>
      <c r="G55" s="79">
        <v>10652.73</v>
      </c>
      <c r="H55" s="79">
        <v>3559.7</v>
      </c>
      <c r="I55" s="79">
        <v>3559.74</v>
      </c>
      <c r="J55" s="79">
        <v>2181.9</v>
      </c>
      <c r="K55" s="79">
        <v>5107.8999999999996</v>
      </c>
      <c r="L55" s="110">
        <v>4680.21</v>
      </c>
      <c r="M55" s="79">
        <v>11144.76</v>
      </c>
      <c r="N55" s="79">
        <v>24862.84</v>
      </c>
      <c r="O55" s="79">
        <v>40777.69</v>
      </c>
      <c r="P55" s="79">
        <v>112536.49</v>
      </c>
      <c r="Q55" s="79">
        <v>153401.39000000001</v>
      </c>
      <c r="R55" s="79">
        <v>85734.79</v>
      </c>
      <c r="S55" s="79">
        <v>56262.77</v>
      </c>
      <c r="T55" s="79">
        <v>22342.16</v>
      </c>
      <c r="U55" s="79">
        <v>10322.44</v>
      </c>
      <c r="V55" s="79">
        <f t="shared" si="18"/>
        <v>-35243.200000000004</v>
      </c>
      <c r="W55" s="79">
        <f t="shared" si="18"/>
        <v>-73083.400000000009</v>
      </c>
      <c r="X55" s="79">
        <f t="shared" si="18"/>
        <v>-120136.39000000001</v>
      </c>
      <c r="Y55" s="79">
        <f t="shared" si="18"/>
        <v>-56972.09</v>
      </c>
      <c r="Z55" s="79">
        <f t="shared" si="18"/>
        <v>-45610.039999999994</v>
      </c>
      <c r="AA55" s="79">
        <f>H55-T55</f>
        <v>-18782.46</v>
      </c>
      <c r="AB55" s="78">
        <f>I55-U55</f>
        <v>-6762.7000000000007</v>
      </c>
      <c r="AC55" s="2" t="s">
        <v>50</v>
      </c>
      <c r="AD55" s="238">
        <f>SUM(G47+G48+G49+G54+G55+G56+G61+G62+G63)</f>
        <v>155764.96799999999</v>
      </c>
      <c r="AE55" s="238">
        <f>SUM(S47+S48+S49+S54+S55+S56+S61+S62+S63)</f>
        <v>687616.20000000007</v>
      </c>
      <c r="AF55" s="238">
        <f>AE55-AD55</f>
        <v>531851.23200000008</v>
      </c>
      <c r="AG55" s="2">
        <f>((AF55/AD55)/2)*100</f>
        <v>170.72235138262928</v>
      </c>
    </row>
    <row r="56" spans="1:33" x14ac:dyDescent="0.25">
      <c r="A56" s="4"/>
      <c r="B56" s="35" t="s">
        <v>40</v>
      </c>
      <c r="C56" s="108">
        <v>0</v>
      </c>
      <c r="D56" s="79">
        <v>0</v>
      </c>
      <c r="E56" s="79">
        <v>0</v>
      </c>
      <c r="F56" s="79">
        <v>0</v>
      </c>
      <c r="G56" s="79">
        <v>0</v>
      </c>
      <c r="H56" s="79">
        <v>0</v>
      </c>
      <c r="I56" s="79">
        <v>19.53</v>
      </c>
      <c r="J56" s="79">
        <v>0</v>
      </c>
      <c r="K56" s="79">
        <v>9.19</v>
      </c>
      <c r="L56" s="110">
        <v>0</v>
      </c>
      <c r="M56" s="79">
        <v>2.19</v>
      </c>
      <c r="N56" s="79">
        <v>12384.7</v>
      </c>
      <c r="O56" s="79">
        <v>0</v>
      </c>
      <c r="P56" s="79">
        <v>0</v>
      </c>
      <c r="Q56" s="79">
        <v>43104.74</v>
      </c>
      <c r="R56" s="79">
        <v>117764.4</v>
      </c>
      <c r="S56" s="79">
        <v>918.5</v>
      </c>
      <c r="T56" s="79">
        <v>25110.5</v>
      </c>
      <c r="U56" s="79">
        <v>1252.43</v>
      </c>
      <c r="V56" s="79">
        <f t="shared" si="18"/>
        <v>0</v>
      </c>
      <c r="W56" s="79">
        <f t="shared" si="18"/>
        <v>0</v>
      </c>
      <c r="X56" s="79">
        <f t="shared" si="18"/>
        <v>-43104.74</v>
      </c>
      <c r="Y56" s="79">
        <f t="shared" si="18"/>
        <v>-117764.4</v>
      </c>
      <c r="Z56" s="79">
        <f t="shared" si="18"/>
        <v>-918.5</v>
      </c>
      <c r="AA56" s="79">
        <f>H56-T56</f>
        <v>-25110.5</v>
      </c>
      <c r="AB56" s="78">
        <f>I56-U56</f>
        <v>-1232.9000000000001</v>
      </c>
    </row>
    <row r="57" spans="1:33" x14ac:dyDescent="0.25">
      <c r="A57" s="4"/>
      <c r="B57" s="35" t="s">
        <v>41</v>
      </c>
      <c r="C57" s="108">
        <f>SUM(C52:C56)</f>
        <v>904381.45</v>
      </c>
      <c r="D57" s="79">
        <f>SUM(D52:D56)</f>
        <v>1210518.5399999998</v>
      </c>
      <c r="E57" s="79">
        <f t="shared" ref="E57:AB57" si="19">SUM(E52:E56)</f>
        <v>1130296.0699999998</v>
      </c>
      <c r="F57" s="79">
        <f t="shared" si="19"/>
        <v>1041697.4699999999</v>
      </c>
      <c r="G57" s="79">
        <f t="shared" si="19"/>
        <v>568874.97</v>
      </c>
      <c r="H57" s="79">
        <f>SUM(H45:H56)</f>
        <v>1307659.48</v>
      </c>
      <c r="I57" s="79">
        <f t="shared" si="19"/>
        <v>306372.23000000004</v>
      </c>
      <c r="J57" s="79">
        <f t="shared" si="19"/>
        <v>261310.13</v>
      </c>
      <c r="K57" s="79">
        <f t="shared" si="19"/>
        <v>280069.40999999997</v>
      </c>
      <c r="L57" s="110">
        <f t="shared" si="19"/>
        <v>275748.93</v>
      </c>
      <c r="M57" s="79">
        <f t="shared" si="19"/>
        <v>532364.32999999996</v>
      </c>
      <c r="N57" s="79">
        <f t="shared" si="19"/>
        <v>963420.92999999982</v>
      </c>
      <c r="O57" s="79">
        <f t="shared" si="19"/>
        <v>1378108.38</v>
      </c>
      <c r="P57" s="79">
        <f t="shared" si="19"/>
        <v>1487196.42</v>
      </c>
      <c r="Q57" s="79">
        <f t="shared" si="19"/>
        <v>1618479.68</v>
      </c>
      <c r="R57" s="79">
        <f t="shared" si="19"/>
        <v>1317710.06</v>
      </c>
      <c r="S57" s="79">
        <f t="shared" si="19"/>
        <v>908299.72000000009</v>
      </c>
      <c r="T57" s="79">
        <f t="shared" si="19"/>
        <v>472791.58999999997</v>
      </c>
      <c r="U57" s="175">
        <f t="shared" si="19"/>
        <v>426188.24000000005</v>
      </c>
      <c r="V57" s="79">
        <f t="shared" si="19"/>
        <v>-473726.93</v>
      </c>
      <c r="W57" s="79">
        <f t="shared" si="19"/>
        <v>-276677.88</v>
      </c>
      <c r="X57" s="79">
        <f t="shared" si="19"/>
        <v>-488183.61</v>
      </c>
      <c r="Y57" s="79">
        <f t="shared" si="19"/>
        <v>-276012.59000000008</v>
      </c>
      <c r="Z57" s="79">
        <f t="shared" si="19"/>
        <v>-339424.75</v>
      </c>
      <c r="AA57" s="79">
        <f t="shared" si="19"/>
        <v>-43827.830000000009</v>
      </c>
      <c r="AB57" s="78">
        <f t="shared" si="19"/>
        <v>-119816.00999999998</v>
      </c>
      <c r="AD57" s="239">
        <v>44062</v>
      </c>
      <c r="AE57" s="239">
        <v>44063</v>
      </c>
    </row>
    <row r="58" spans="1:33" x14ac:dyDescent="0.25">
      <c r="A58" s="4">
        <f>+A51+1</f>
        <v>8</v>
      </c>
      <c r="B58" s="42" t="s">
        <v>31</v>
      </c>
      <c r="C58" s="108"/>
      <c r="D58" s="79"/>
      <c r="E58" s="79"/>
      <c r="F58" s="79"/>
      <c r="G58" s="79"/>
      <c r="H58" s="79"/>
      <c r="I58" s="79"/>
      <c r="J58" s="79"/>
      <c r="K58" s="79"/>
      <c r="L58" s="110"/>
      <c r="M58" s="79"/>
      <c r="N58" s="79"/>
      <c r="O58" s="79"/>
      <c r="P58" s="79"/>
      <c r="Q58" s="79"/>
      <c r="R58" s="79"/>
      <c r="S58" s="79"/>
      <c r="T58" s="79"/>
      <c r="U58" s="175"/>
      <c r="V58" s="79"/>
      <c r="W58" s="79"/>
      <c r="X58" s="79"/>
      <c r="Y58" s="79"/>
      <c r="Z58" s="79"/>
      <c r="AA58" s="79"/>
      <c r="AB58" s="78"/>
      <c r="AC58" s="2" t="s">
        <v>49</v>
      </c>
      <c r="AD58" s="238">
        <f>SUM(H45+H52+H59+H46+H53+H60)</f>
        <v>2519413.98</v>
      </c>
      <c r="AE58" s="238">
        <f>SUM(T45+T46+T52+T59+T53+T60)</f>
        <v>4248674.7699999996</v>
      </c>
      <c r="AF58" s="238">
        <f>AE58-AD58</f>
        <v>1729260.7899999996</v>
      </c>
      <c r="AG58" s="2">
        <f>((AF58/AD58)/2)*100</f>
        <v>34.318710694778311</v>
      </c>
    </row>
    <row r="59" spans="1:33" x14ac:dyDescent="0.25">
      <c r="A59" s="4"/>
      <c r="B59" s="35" t="s">
        <v>36</v>
      </c>
      <c r="C59" s="108">
        <v>692742</v>
      </c>
      <c r="D59" s="79">
        <v>761355.51</v>
      </c>
      <c r="E59" s="79">
        <v>921170.16</v>
      </c>
      <c r="F59" s="79">
        <v>1091876.23</v>
      </c>
      <c r="G59" s="79">
        <v>1224051.96</v>
      </c>
      <c r="H59" s="79">
        <v>1079570.78</v>
      </c>
      <c r="I59" s="79">
        <v>880273.3</v>
      </c>
      <c r="J59" s="79">
        <v>745109.21</v>
      </c>
      <c r="K59" s="79">
        <v>687006.25</v>
      </c>
      <c r="L59" s="110">
        <v>660494.64</v>
      </c>
      <c r="M59" s="79">
        <v>594467.72</v>
      </c>
      <c r="N59" s="79">
        <v>625282.68000000005</v>
      </c>
      <c r="O59" s="79">
        <v>863217.86</v>
      </c>
      <c r="P59" s="79">
        <v>1315075.23</v>
      </c>
      <c r="Q59" s="79">
        <v>1829147.8</v>
      </c>
      <c r="R59" s="79">
        <v>2573409.9500000002</v>
      </c>
      <c r="S59" s="79">
        <v>2791178.75</v>
      </c>
      <c r="T59" s="79">
        <v>3010399.39</v>
      </c>
      <c r="U59" s="79">
        <v>2872721.99</v>
      </c>
      <c r="V59" s="79">
        <f t="shared" ref="V59:AB63" si="20">C59-O59</f>
        <v>-170475.86</v>
      </c>
      <c r="W59" s="79">
        <f t="shared" si="20"/>
        <v>-553719.72</v>
      </c>
      <c r="X59" s="79">
        <f t="shared" si="20"/>
        <v>-907977.64</v>
      </c>
      <c r="Y59" s="79">
        <f t="shared" si="20"/>
        <v>-1481533.7200000002</v>
      </c>
      <c r="Z59" s="79">
        <f t="shared" si="20"/>
        <v>-1567126.79</v>
      </c>
      <c r="AA59" s="79">
        <f t="shared" si="20"/>
        <v>-1930828.61</v>
      </c>
      <c r="AB59" s="78">
        <f t="shared" si="20"/>
        <v>-1992448.6900000002</v>
      </c>
      <c r="AC59" s="2" t="s">
        <v>50</v>
      </c>
      <c r="AD59" s="238">
        <f>SUM(H47+H48+H49+H54+H55+H56+H61+H62+H63)</f>
        <v>129406.85999999999</v>
      </c>
      <c r="AE59" s="238">
        <f>SUM(T47+T48+T49+T54+T55+T56+T61+T62+T63)</f>
        <v>731497.36</v>
      </c>
      <c r="AF59" s="238">
        <f>AE59-AD59</f>
        <v>602090.5</v>
      </c>
      <c r="AG59" s="2">
        <f>((AF59/AD59)/2)*100</f>
        <v>232.63469185482131</v>
      </c>
    </row>
    <row r="60" spans="1:33" x14ac:dyDescent="0.25">
      <c r="A60" s="4"/>
      <c r="B60" s="35" t="s">
        <v>37</v>
      </c>
      <c r="C60" s="108">
        <v>594995.82999999996</v>
      </c>
      <c r="D60" s="79">
        <v>606294.09</v>
      </c>
      <c r="E60" s="79">
        <v>534087.82999999996</v>
      </c>
      <c r="F60" s="79">
        <v>596637.91</v>
      </c>
      <c r="G60" s="79">
        <v>676457.43</v>
      </c>
      <c r="H60" s="79">
        <v>650001.76</v>
      </c>
      <c r="I60" s="79">
        <v>617001.74</v>
      </c>
      <c r="J60" s="79">
        <v>578274.38</v>
      </c>
      <c r="K60" s="79">
        <v>597781.9</v>
      </c>
      <c r="L60" s="110">
        <v>592014.32999999996</v>
      </c>
      <c r="M60" s="79">
        <v>537463.1</v>
      </c>
      <c r="N60" s="79">
        <v>626707.49</v>
      </c>
      <c r="O60" s="79">
        <v>771807.74</v>
      </c>
      <c r="P60" s="79">
        <v>995564.77</v>
      </c>
      <c r="Q60" s="79">
        <v>1099377.82</v>
      </c>
      <c r="R60" s="79">
        <v>390535.24</v>
      </c>
      <c r="S60" s="79">
        <v>245299.22</v>
      </c>
      <c r="T60" s="79">
        <v>332350.06</v>
      </c>
      <c r="U60" s="79">
        <v>474910.78</v>
      </c>
      <c r="V60" s="79">
        <f t="shared" si="20"/>
        <v>-176811.91000000003</v>
      </c>
      <c r="W60" s="79">
        <f t="shared" si="20"/>
        <v>-389270.68000000005</v>
      </c>
      <c r="X60" s="79">
        <f t="shared" si="20"/>
        <v>-565289.99000000011</v>
      </c>
      <c r="Y60" s="79">
        <f t="shared" si="20"/>
        <v>206102.67000000004</v>
      </c>
      <c r="Z60" s="79">
        <f t="shared" si="20"/>
        <v>431158.21000000008</v>
      </c>
      <c r="AA60" s="79">
        <f t="shared" si="20"/>
        <v>317651.7</v>
      </c>
      <c r="AB60" s="78">
        <f t="shared" si="20"/>
        <v>142090.95999999996</v>
      </c>
    </row>
    <row r="61" spans="1:33" x14ac:dyDescent="0.25">
      <c r="A61" s="4"/>
      <c r="B61" s="35" t="s">
        <v>38</v>
      </c>
      <c r="C61" s="108">
        <v>18671.939999999999</v>
      </c>
      <c r="D61" s="79">
        <v>23528.560000000001</v>
      </c>
      <c r="E61" s="79">
        <v>47485.83</v>
      </c>
      <c r="F61" s="79">
        <v>50287.82</v>
      </c>
      <c r="G61" s="79">
        <v>53176.01</v>
      </c>
      <c r="H61" s="79">
        <v>42734.400000000001</v>
      </c>
      <c r="I61" s="79">
        <v>35577.599999999999</v>
      </c>
      <c r="J61" s="79">
        <v>28656.83</v>
      </c>
      <c r="K61" s="79">
        <v>25016.720000000001</v>
      </c>
      <c r="L61" s="110">
        <v>17608.330000000002</v>
      </c>
      <c r="M61" s="79">
        <v>16247.36</v>
      </c>
      <c r="N61" s="79">
        <v>17230.52</v>
      </c>
      <c r="O61" s="79">
        <v>23840.560000000001</v>
      </c>
      <c r="P61" s="79">
        <v>50575.73</v>
      </c>
      <c r="Q61" s="79">
        <v>83775.23</v>
      </c>
      <c r="R61" s="79">
        <v>108921.66</v>
      </c>
      <c r="S61" s="79">
        <v>128317.57</v>
      </c>
      <c r="T61" s="79">
        <v>120448.86</v>
      </c>
      <c r="U61" s="79">
        <v>74143.47</v>
      </c>
      <c r="V61" s="79">
        <f t="shared" si="20"/>
        <v>-5168.6200000000026</v>
      </c>
      <c r="W61" s="79">
        <f t="shared" si="20"/>
        <v>-27047.170000000002</v>
      </c>
      <c r="X61" s="79">
        <f t="shared" si="20"/>
        <v>-36289.399999999994</v>
      </c>
      <c r="Y61" s="79">
        <f t="shared" si="20"/>
        <v>-58633.840000000004</v>
      </c>
      <c r="Z61" s="79">
        <f t="shared" si="20"/>
        <v>-75141.56</v>
      </c>
      <c r="AA61" s="79">
        <f t="shared" si="20"/>
        <v>-77714.459999999992</v>
      </c>
      <c r="AB61" s="78">
        <f t="shared" si="20"/>
        <v>-38565.870000000003</v>
      </c>
    </row>
    <row r="62" spans="1:33" x14ac:dyDescent="0.25">
      <c r="A62" s="4"/>
      <c r="B62" s="35" t="s">
        <v>39</v>
      </c>
      <c r="C62" s="108">
        <v>6436.51</v>
      </c>
      <c r="D62" s="79">
        <v>2351.38</v>
      </c>
      <c r="E62" s="79">
        <v>30735.759999999998</v>
      </c>
      <c r="F62" s="79">
        <v>43293.83</v>
      </c>
      <c r="G62" s="79">
        <v>29072.52</v>
      </c>
      <c r="H62" s="79">
        <v>26548.560000000001</v>
      </c>
      <c r="I62" s="79">
        <v>22905.73</v>
      </c>
      <c r="J62" s="79">
        <v>20243.080000000002</v>
      </c>
      <c r="K62" s="79">
        <v>14202.77</v>
      </c>
      <c r="L62" s="110">
        <v>11601.94</v>
      </c>
      <c r="M62" s="79">
        <v>4112.78</v>
      </c>
      <c r="N62" s="79">
        <v>7812.56</v>
      </c>
      <c r="O62" s="79">
        <v>18959.310000000001</v>
      </c>
      <c r="P62" s="79">
        <v>53415.67</v>
      </c>
      <c r="Q62" s="79">
        <v>115737.54</v>
      </c>
      <c r="R62" s="79">
        <v>198284.34</v>
      </c>
      <c r="S62" s="79">
        <v>231699.51</v>
      </c>
      <c r="T62" s="79">
        <v>239389.4</v>
      </c>
      <c r="U62" s="79">
        <v>136698.09</v>
      </c>
      <c r="V62" s="79">
        <f t="shared" si="20"/>
        <v>-12522.800000000001</v>
      </c>
      <c r="W62" s="79">
        <f t="shared" si="20"/>
        <v>-51064.29</v>
      </c>
      <c r="X62" s="79">
        <f t="shared" si="20"/>
        <v>-85001.78</v>
      </c>
      <c r="Y62" s="79">
        <f t="shared" si="20"/>
        <v>-154990.51</v>
      </c>
      <c r="Z62" s="79">
        <f t="shared" si="20"/>
        <v>-202626.99000000002</v>
      </c>
      <c r="AA62" s="79">
        <f t="shared" si="20"/>
        <v>-212840.84</v>
      </c>
      <c r="AB62" s="78">
        <f t="shared" si="20"/>
        <v>-113792.36</v>
      </c>
    </row>
    <row r="63" spans="1:33" x14ac:dyDescent="0.25">
      <c r="A63" s="4"/>
      <c r="B63" s="35" t="s">
        <v>40</v>
      </c>
      <c r="C63" s="108">
        <v>0</v>
      </c>
      <c r="D63" s="79">
        <v>0</v>
      </c>
      <c r="E63" s="79">
        <v>0</v>
      </c>
      <c r="F63" s="79">
        <v>0</v>
      </c>
      <c r="G63" s="79">
        <v>0</v>
      </c>
      <c r="H63" s="79">
        <v>0</v>
      </c>
      <c r="I63" s="79">
        <v>0</v>
      </c>
      <c r="J63" s="79">
        <v>0</v>
      </c>
      <c r="K63" s="79">
        <v>0</v>
      </c>
      <c r="L63" s="110">
        <v>44.71</v>
      </c>
      <c r="M63" s="79">
        <v>239.83</v>
      </c>
      <c r="N63" s="79">
        <v>242.02</v>
      </c>
      <c r="O63" s="79">
        <v>0</v>
      </c>
      <c r="P63" s="79">
        <v>0</v>
      </c>
      <c r="Q63" s="79">
        <v>0</v>
      </c>
      <c r="R63" s="79">
        <v>25423.25</v>
      </c>
      <c r="S63" s="79">
        <v>112115.38</v>
      </c>
      <c r="T63" s="79">
        <v>36715.9</v>
      </c>
      <c r="U63" s="79">
        <v>1972.37</v>
      </c>
      <c r="V63" s="79">
        <f t="shared" si="20"/>
        <v>0</v>
      </c>
      <c r="W63" s="79">
        <f t="shared" si="20"/>
        <v>0</v>
      </c>
      <c r="X63" s="79">
        <f t="shared" si="20"/>
        <v>0</v>
      </c>
      <c r="Y63" s="79">
        <f t="shared" si="20"/>
        <v>-25423.25</v>
      </c>
      <c r="Z63" s="79">
        <f t="shared" si="20"/>
        <v>-112115.38</v>
      </c>
      <c r="AA63" s="79">
        <f t="shared" si="20"/>
        <v>-36715.9</v>
      </c>
      <c r="AB63" s="78">
        <f t="shared" si="20"/>
        <v>-1972.37</v>
      </c>
    </row>
    <row r="64" spans="1:33" x14ac:dyDescent="0.25">
      <c r="A64" s="4"/>
      <c r="B64" s="35" t="s">
        <v>41</v>
      </c>
      <c r="C64" s="108">
        <f>SUM(C59:C63)</f>
        <v>1312846.28</v>
      </c>
      <c r="D64" s="79">
        <f>SUM(D59:D63)</f>
        <v>1393529.54</v>
      </c>
      <c r="E64" s="79">
        <f t="shared" ref="E64:AB64" si="21">SUM(E59:E63)</f>
        <v>1533479.58</v>
      </c>
      <c r="F64" s="79">
        <f t="shared" si="21"/>
        <v>1782095.7900000003</v>
      </c>
      <c r="G64" s="79">
        <f t="shared" si="21"/>
        <v>1982757.9200000002</v>
      </c>
      <c r="H64" s="79">
        <f t="shared" si="21"/>
        <v>1798855.5</v>
      </c>
      <c r="I64" s="79">
        <f t="shared" si="21"/>
        <v>1555758.37</v>
      </c>
      <c r="J64" s="79">
        <f t="shared" si="21"/>
        <v>1372283.5</v>
      </c>
      <c r="K64" s="79">
        <f t="shared" si="21"/>
        <v>1324007.6399999999</v>
      </c>
      <c r="L64" s="110">
        <f t="shared" si="21"/>
        <v>1281763.95</v>
      </c>
      <c r="M64" s="79">
        <f t="shared" si="21"/>
        <v>1152530.79</v>
      </c>
      <c r="N64" s="79">
        <f t="shared" si="21"/>
        <v>1277275.27</v>
      </c>
      <c r="O64" s="79">
        <f t="shared" si="21"/>
        <v>1677825.4700000002</v>
      </c>
      <c r="P64" s="79">
        <f t="shared" si="21"/>
        <v>2414631.4</v>
      </c>
      <c r="Q64" s="79">
        <f t="shared" si="21"/>
        <v>3128038.39</v>
      </c>
      <c r="R64" s="79">
        <f t="shared" si="21"/>
        <v>3296574.4400000004</v>
      </c>
      <c r="S64" s="79">
        <f t="shared" si="21"/>
        <v>3508610.4299999997</v>
      </c>
      <c r="T64" s="79">
        <f t="shared" si="21"/>
        <v>3739303.61</v>
      </c>
      <c r="U64" s="175">
        <f t="shared" si="21"/>
        <v>3560446.7000000007</v>
      </c>
      <c r="V64" s="79">
        <f t="shared" si="21"/>
        <v>-364979.19</v>
      </c>
      <c r="W64" s="79">
        <f t="shared" si="21"/>
        <v>-1021101.8600000001</v>
      </c>
      <c r="X64" s="79">
        <f t="shared" si="21"/>
        <v>-1594558.81</v>
      </c>
      <c r="Y64" s="79">
        <f t="shared" si="21"/>
        <v>-1514478.6500000004</v>
      </c>
      <c r="Z64" s="79">
        <f t="shared" si="21"/>
        <v>-1525852.5100000002</v>
      </c>
      <c r="AA64" s="79">
        <f t="shared" si="21"/>
        <v>-1940448.11</v>
      </c>
      <c r="AB64" s="78">
        <f t="shared" si="21"/>
        <v>-2004688.3300000005</v>
      </c>
    </row>
    <row r="65" spans="1:28" x14ac:dyDescent="0.25">
      <c r="A65" s="4">
        <f>+A58+1</f>
        <v>9</v>
      </c>
      <c r="B65" s="42" t="s">
        <v>42</v>
      </c>
      <c r="C65" s="108"/>
      <c r="D65" s="79"/>
      <c r="E65" s="79"/>
      <c r="F65" s="79"/>
      <c r="G65" s="79"/>
      <c r="H65" s="79"/>
      <c r="I65" s="79"/>
      <c r="J65" s="79"/>
      <c r="K65" s="79"/>
      <c r="L65" s="110"/>
      <c r="M65" s="79"/>
      <c r="N65" s="79"/>
      <c r="O65" s="79"/>
      <c r="P65" s="79"/>
      <c r="Q65" s="79"/>
      <c r="R65" s="79"/>
      <c r="S65" s="79"/>
      <c r="T65" s="79"/>
      <c r="U65" s="175"/>
      <c r="V65" s="79"/>
      <c r="W65" s="79"/>
      <c r="X65" s="79"/>
      <c r="Y65" s="79"/>
      <c r="Z65" s="79"/>
      <c r="AA65" s="79"/>
      <c r="AB65" s="78"/>
    </row>
    <row r="66" spans="1:28" x14ac:dyDescent="0.25">
      <c r="A66" s="4"/>
      <c r="B66" s="35" t="s">
        <v>36</v>
      </c>
      <c r="C66" s="108">
        <f>SUM(C45+C52+C59)</f>
        <v>3078951.17</v>
      </c>
      <c r="D66" s="77">
        <f>SUM(D45+D52+D59)</f>
        <v>3180627.34</v>
      </c>
      <c r="E66" s="77">
        <f>SUM(E45+E52+E59)</f>
        <v>2861146.44</v>
      </c>
      <c r="F66" s="77">
        <f t="shared" ref="F66:U66" si="22">SUM(F45+F52+F59)</f>
        <v>2476669.91</v>
      </c>
      <c r="G66" s="77">
        <f t="shared" si="22"/>
        <v>1976984.96</v>
      </c>
      <c r="H66" s="77">
        <f>SUM(H45+H59+H52)</f>
        <v>1625060.47</v>
      </c>
      <c r="I66" s="77">
        <f t="shared" si="22"/>
        <v>1332224.3</v>
      </c>
      <c r="J66" s="77">
        <f t="shared" si="22"/>
        <v>1157506.21</v>
      </c>
      <c r="K66" s="77">
        <f t="shared" si="22"/>
        <v>1136902.6400000001</v>
      </c>
      <c r="L66" s="78">
        <f t="shared" si="22"/>
        <v>1471549.4900000002</v>
      </c>
      <c r="M66" s="79">
        <f t="shared" si="22"/>
        <v>2144349.6100000003</v>
      </c>
      <c r="N66" s="79">
        <f t="shared" si="22"/>
        <v>2879225.98</v>
      </c>
      <c r="O66" s="79">
        <f t="shared" si="22"/>
        <v>3393412.36</v>
      </c>
      <c r="P66" s="79">
        <f t="shared" si="22"/>
        <v>3790769.37</v>
      </c>
      <c r="Q66" s="79">
        <f t="shared" si="22"/>
        <v>4158584.8200000003</v>
      </c>
      <c r="R66" s="79">
        <f t="shared" si="22"/>
        <v>4447489.66</v>
      </c>
      <c r="S66" s="79">
        <f t="shared" si="22"/>
        <v>3854649.3600000003</v>
      </c>
      <c r="T66" s="79">
        <f t="shared" si="22"/>
        <v>3620404.22</v>
      </c>
      <c r="U66" s="189">
        <f t="shared" si="22"/>
        <v>3439204.49</v>
      </c>
      <c r="V66" s="79">
        <f t="shared" ref="V66:AB70" si="23">C66-O66</f>
        <v>-314461.18999999994</v>
      </c>
      <c r="W66" s="79">
        <f t="shared" si="23"/>
        <v>-610142.03000000026</v>
      </c>
      <c r="X66" s="79">
        <f t="shared" si="23"/>
        <v>-1297438.3800000004</v>
      </c>
      <c r="Y66" s="79">
        <f t="shared" si="23"/>
        <v>-1970819.75</v>
      </c>
      <c r="Z66" s="79">
        <f t="shared" si="23"/>
        <v>-1877664.4000000004</v>
      </c>
      <c r="AA66" s="79">
        <f t="shared" si="23"/>
        <v>-1995343.7500000002</v>
      </c>
      <c r="AB66" s="78">
        <f t="shared" si="23"/>
        <v>-2106980.1900000004</v>
      </c>
    </row>
    <row r="67" spans="1:28" x14ac:dyDescent="0.25">
      <c r="A67" s="4"/>
      <c r="B67" s="35" t="s">
        <v>37</v>
      </c>
      <c r="C67" s="108">
        <f>SUM(C46+C53+C60)</f>
        <v>1497238.7</v>
      </c>
      <c r="D67" s="77">
        <f t="shared" ref="D67:U67" si="24">SUM(D46+D53+D60)</f>
        <v>1469460.12</v>
      </c>
      <c r="E67" s="77">
        <f t="shared" si="24"/>
        <v>1163198.8700000001</v>
      </c>
      <c r="F67" s="77">
        <f t="shared" si="24"/>
        <v>1071717.02</v>
      </c>
      <c r="G67" s="77">
        <f>SUM(G46+G53+G60)</f>
        <v>996001.34000000008</v>
      </c>
      <c r="H67" s="77">
        <f>SUM(H46+H53+H60)</f>
        <v>894353.51</v>
      </c>
      <c r="I67" s="77">
        <f t="shared" si="24"/>
        <v>828359.91999999993</v>
      </c>
      <c r="J67" s="77">
        <f t="shared" si="24"/>
        <v>787617.59</v>
      </c>
      <c r="K67" s="77">
        <f t="shared" si="24"/>
        <v>824109.14</v>
      </c>
      <c r="L67" s="109">
        <f t="shared" si="24"/>
        <v>948375.52</v>
      </c>
      <c r="M67" s="108">
        <f t="shared" si="24"/>
        <v>1109618.5499999998</v>
      </c>
      <c r="N67" s="77">
        <f t="shared" si="24"/>
        <v>1345640.97</v>
      </c>
      <c r="O67" s="77">
        <f t="shared" si="24"/>
        <v>1477971.38</v>
      </c>
      <c r="P67" s="77">
        <f t="shared" si="24"/>
        <v>1717545.99</v>
      </c>
      <c r="Q67" s="77">
        <f t="shared" si="24"/>
        <v>1765582.08</v>
      </c>
      <c r="R67" s="77">
        <f t="shared" si="24"/>
        <v>736333.82000000007</v>
      </c>
      <c r="S67" s="77">
        <f t="shared" si="24"/>
        <v>508194.12</v>
      </c>
      <c r="T67" s="77">
        <f t="shared" si="24"/>
        <v>628270.55000000005</v>
      </c>
      <c r="U67" s="189">
        <f t="shared" si="24"/>
        <v>967984.77</v>
      </c>
      <c r="V67" s="79">
        <f t="shared" si="23"/>
        <v>19267.320000000065</v>
      </c>
      <c r="W67" s="79">
        <f t="shared" si="23"/>
        <v>-248085.86999999988</v>
      </c>
      <c r="X67" s="79">
        <f t="shared" si="23"/>
        <v>-602383.21</v>
      </c>
      <c r="Y67" s="79">
        <f t="shared" si="23"/>
        <v>335383.19999999995</v>
      </c>
      <c r="Z67" s="79">
        <f t="shared" si="23"/>
        <v>487807.22000000009</v>
      </c>
      <c r="AA67" s="79">
        <f t="shared" si="23"/>
        <v>266082.95999999996</v>
      </c>
      <c r="AB67" s="78">
        <f t="shared" si="23"/>
        <v>-139624.85000000009</v>
      </c>
    </row>
    <row r="68" spans="1:28" x14ac:dyDescent="0.25">
      <c r="A68" s="4"/>
      <c r="B68" s="35" t="s">
        <v>38</v>
      </c>
      <c r="C68" s="108">
        <f>SUM(C47+C54+C61)</f>
        <v>361940.41000000003</v>
      </c>
      <c r="D68" s="77">
        <f t="shared" ref="D68:U68" si="25">SUM(D47+D54+D61)</f>
        <v>203534.76</v>
      </c>
      <c r="E68" s="77">
        <f t="shared" si="25"/>
        <v>174104.93</v>
      </c>
      <c r="F68" s="77">
        <f t="shared" si="25"/>
        <v>134061.98000000001</v>
      </c>
      <c r="G68" s="77">
        <f t="shared" si="25"/>
        <v>96921.518000000011</v>
      </c>
      <c r="H68" s="77">
        <f t="shared" si="25"/>
        <v>77322.989999999991</v>
      </c>
      <c r="I68" s="77">
        <f t="shared" si="25"/>
        <v>66746.23</v>
      </c>
      <c r="J68" s="77">
        <f t="shared" si="25"/>
        <v>53856.480000000003</v>
      </c>
      <c r="K68" s="77">
        <f t="shared" si="25"/>
        <v>56464.43</v>
      </c>
      <c r="L68" s="109">
        <f t="shared" si="25"/>
        <v>69575.600000000006</v>
      </c>
      <c r="M68" s="108">
        <f t="shared" si="25"/>
        <v>140243.15</v>
      </c>
      <c r="N68" s="77">
        <f t="shared" si="25"/>
        <v>264376.21000000002</v>
      </c>
      <c r="O68" s="77">
        <f t="shared" si="25"/>
        <v>280170.52999999997</v>
      </c>
      <c r="P68" s="77">
        <f t="shared" si="25"/>
        <v>340627.68999999994</v>
      </c>
      <c r="Q68" s="77">
        <f t="shared" si="25"/>
        <v>402349.93</v>
      </c>
      <c r="R68" s="77">
        <f t="shared" si="25"/>
        <v>263644.13</v>
      </c>
      <c r="S68" s="77">
        <f t="shared" si="25"/>
        <v>215340.03000000003</v>
      </c>
      <c r="T68" s="77">
        <f t="shared" si="25"/>
        <v>335555.45</v>
      </c>
      <c r="U68" s="189">
        <f t="shared" si="25"/>
        <v>105351.69</v>
      </c>
      <c r="V68" s="79">
        <f t="shared" si="23"/>
        <v>81769.880000000063</v>
      </c>
      <c r="W68" s="79">
        <f t="shared" si="23"/>
        <v>-137092.92999999993</v>
      </c>
      <c r="X68" s="79">
        <f t="shared" si="23"/>
        <v>-228245</v>
      </c>
      <c r="Y68" s="79">
        <f t="shared" si="23"/>
        <v>-129582.15</v>
      </c>
      <c r="Z68" s="79">
        <f t="shared" si="23"/>
        <v>-118418.51200000002</v>
      </c>
      <c r="AA68" s="79">
        <f t="shared" si="23"/>
        <v>-258232.46000000002</v>
      </c>
      <c r="AB68" s="78">
        <f t="shared" si="23"/>
        <v>-38605.460000000006</v>
      </c>
    </row>
    <row r="69" spans="1:28" x14ac:dyDescent="0.25">
      <c r="A69" s="4"/>
      <c r="B69" s="35" t="s">
        <v>39</v>
      </c>
      <c r="C69" s="108">
        <f>SUM(C48+C55+C62)</f>
        <v>191205.14</v>
      </c>
      <c r="D69" s="77">
        <f t="shared" ref="D69:U69" si="26">SUM(D48+D55+D62)</f>
        <v>207785.49</v>
      </c>
      <c r="E69" s="77">
        <f t="shared" si="26"/>
        <v>161081.43</v>
      </c>
      <c r="F69" s="77">
        <f t="shared" si="26"/>
        <v>129680.17</v>
      </c>
      <c r="G69" s="77">
        <f t="shared" si="26"/>
        <v>58796.94</v>
      </c>
      <c r="H69" s="77">
        <f t="shared" si="26"/>
        <v>51133.73</v>
      </c>
      <c r="I69" s="77">
        <f t="shared" si="26"/>
        <v>43472.33</v>
      </c>
      <c r="J69" s="77">
        <f t="shared" si="26"/>
        <v>32816.25</v>
      </c>
      <c r="K69" s="77">
        <f t="shared" si="26"/>
        <v>44728.490000000005</v>
      </c>
      <c r="L69" s="109">
        <f t="shared" si="26"/>
        <v>62382.32</v>
      </c>
      <c r="M69" s="108">
        <f t="shared" si="26"/>
        <v>115385.65</v>
      </c>
      <c r="N69" s="77">
        <f t="shared" si="26"/>
        <v>213897.46</v>
      </c>
      <c r="O69" s="77">
        <f t="shared" si="26"/>
        <v>231841.03</v>
      </c>
      <c r="P69" s="77">
        <f t="shared" si="26"/>
        <v>422259.57</v>
      </c>
      <c r="Q69" s="77">
        <f t="shared" si="26"/>
        <v>457225.60000000003</v>
      </c>
      <c r="R69" s="77">
        <f t="shared" si="26"/>
        <v>394544.94999999995</v>
      </c>
      <c r="S69" s="77">
        <f t="shared" si="26"/>
        <v>327628.18</v>
      </c>
      <c r="T69" s="77">
        <f t="shared" si="26"/>
        <v>308741.02</v>
      </c>
      <c r="U69" s="189">
        <f t="shared" si="26"/>
        <v>171199.03999999998</v>
      </c>
      <c r="V69" s="79">
        <f t="shared" si="23"/>
        <v>-40635.889999999985</v>
      </c>
      <c r="W69" s="79">
        <f t="shared" si="23"/>
        <v>-214474.08000000002</v>
      </c>
      <c r="X69" s="79">
        <f t="shared" si="23"/>
        <v>-296144.17000000004</v>
      </c>
      <c r="Y69" s="79">
        <f t="shared" si="23"/>
        <v>-264864.77999999997</v>
      </c>
      <c r="Z69" s="79">
        <f t="shared" si="23"/>
        <v>-268831.24</v>
      </c>
      <c r="AA69" s="79">
        <f t="shared" si="23"/>
        <v>-257607.29</v>
      </c>
      <c r="AB69" s="78">
        <f t="shared" si="23"/>
        <v>-127726.70999999998</v>
      </c>
    </row>
    <row r="70" spans="1:28" x14ac:dyDescent="0.25">
      <c r="A70" s="4"/>
      <c r="B70" s="35" t="s">
        <v>40</v>
      </c>
      <c r="C70" s="108">
        <f>SUM(C49+C56+C63)</f>
        <v>0</v>
      </c>
      <c r="D70" s="77">
        <f t="shared" ref="D70:T70" si="27">SUM(D49+D56+D63)</f>
        <v>17568.169999999998</v>
      </c>
      <c r="E70" s="77">
        <f t="shared" si="27"/>
        <v>15.32</v>
      </c>
      <c r="F70" s="77">
        <f t="shared" si="27"/>
        <v>16898.810000000001</v>
      </c>
      <c r="G70" s="77">
        <f t="shared" si="27"/>
        <v>46.51</v>
      </c>
      <c r="H70" s="77">
        <f t="shared" si="27"/>
        <v>950.14</v>
      </c>
      <c r="I70" s="77">
        <f t="shared" si="27"/>
        <v>947.11</v>
      </c>
      <c r="J70" s="77">
        <f t="shared" si="27"/>
        <v>9.19</v>
      </c>
      <c r="K70" s="77">
        <f t="shared" si="27"/>
        <v>1562.6000000000001</v>
      </c>
      <c r="L70" s="109">
        <f t="shared" si="27"/>
        <v>242.02</v>
      </c>
      <c r="M70" s="108">
        <f t="shared" si="27"/>
        <v>12626.720000000001</v>
      </c>
      <c r="N70" s="77">
        <f t="shared" si="27"/>
        <v>30003.530000000002</v>
      </c>
      <c r="O70" s="77">
        <f t="shared" si="27"/>
        <v>0</v>
      </c>
      <c r="P70" s="77">
        <f t="shared" si="27"/>
        <v>63980.44</v>
      </c>
      <c r="Q70" s="77">
        <f t="shared" si="27"/>
        <v>180095.77</v>
      </c>
      <c r="R70" s="77">
        <f t="shared" si="27"/>
        <v>185388.12</v>
      </c>
      <c r="S70" s="77">
        <f t="shared" si="27"/>
        <v>144647.99</v>
      </c>
      <c r="T70" s="77">
        <f t="shared" si="27"/>
        <v>87200.890000000014</v>
      </c>
      <c r="U70" s="189">
        <f>SUM(U49+U56+U63)</f>
        <v>11399.349999999999</v>
      </c>
      <c r="V70" s="79">
        <f t="shared" si="23"/>
        <v>0</v>
      </c>
      <c r="W70" s="79">
        <f t="shared" si="23"/>
        <v>-46412.270000000004</v>
      </c>
      <c r="X70" s="79">
        <f t="shared" si="23"/>
        <v>-180080.44999999998</v>
      </c>
      <c r="Y70" s="79">
        <f t="shared" si="23"/>
        <v>-168489.31</v>
      </c>
      <c r="Z70" s="79">
        <f t="shared" si="23"/>
        <v>-144601.47999999998</v>
      </c>
      <c r="AA70" s="79">
        <f t="shared" si="23"/>
        <v>-86250.750000000015</v>
      </c>
      <c r="AB70" s="78">
        <f t="shared" si="23"/>
        <v>-10452.239999999998</v>
      </c>
    </row>
    <row r="71" spans="1:28" ht="15.75" thickBot="1" x14ac:dyDescent="0.3">
      <c r="A71" s="4"/>
      <c r="B71" s="37" t="s">
        <v>41</v>
      </c>
      <c r="C71" s="100">
        <f>SUM(C66:C70)</f>
        <v>5129335.42</v>
      </c>
      <c r="D71" s="81">
        <f>SUM(D66:D70)</f>
        <v>5078975.88</v>
      </c>
      <c r="E71" s="81">
        <f t="shared" ref="E71:AB71" si="28">SUM(E66:E70)</f>
        <v>4359546.99</v>
      </c>
      <c r="F71" s="81">
        <f t="shared" si="28"/>
        <v>3829027.89</v>
      </c>
      <c r="G71" s="81">
        <f t="shared" si="28"/>
        <v>3128751.2679999997</v>
      </c>
      <c r="H71" s="81">
        <f t="shared" si="28"/>
        <v>2648820.84</v>
      </c>
      <c r="I71" s="81">
        <f t="shared" si="28"/>
        <v>2271749.8899999997</v>
      </c>
      <c r="J71" s="81">
        <f t="shared" si="28"/>
        <v>2031805.7199999997</v>
      </c>
      <c r="K71" s="81">
        <f t="shared" si="28"/>
        <v>2063767.3000000003</v>
      </c>
      <c r="L71" s="160">
        <f t="shared" si="28"/>
        <v>2552124.9500000002</v>
      </c>
      <c r="M71" s="81">
        <f t="shared" si="28"/>
        <v>3522223.68</v>
      </c>
      <c r="N71" s="81">
        <f t="shared" si="28"/>
        <v>4733144.1500000004</v>
      </c>
      <c r="O71" s="81">
        <f t="shared" si="28"/>
        <v>5383395.3000000007</v>
      </c>
      <c r="P71" s="81">
        <f t="shared" si="28"/>
        <v>6335183.0600000015</v>
      </c>
      <c r="Q71" s="81">
        <f t="shared" si="28"/>
        <v>6963838.1999999993</v>
      </c>
      <c r="R71" s="81">
        <f t="shared" si="28"/>
        <v>6027400.6800000006</v>
      </c>
      <c r="S71" s="81">
        <f t="shared" si="28"/>
        <v>5050459.6800000006</v>
      </c>
      <c r="T71" s="81">
        <f t="shared" si="28"/>
        <v>4980172.13</v>
      </c>
      <c r="U71" s="176">
        <f t="shared" si="28"/>
        <v>4695139.34</v>
      </c>
      <c r="V71" s="81">
        <f t="shared" si="28"/>
        <v>-254059.8799999998</v>
      </c>
      <c r="W71" s="81">
        <f t="shared" si="28"/>
        <v>-1256207.1800000002</v>
      </c>
      <c r="X71" s="81">
        <f t="shared" si="28"/>
        <v>-2604291.2100000004</v>
      </c>
      <c r="Y71" s="81">
        <f t="shared" si="28"/>
        <v>-2198372.79</v>
      </c>
      <c r="Z71" s="81">
        <f t="shared" si="28"/>
        <v>-1921708.4120000002</v>
      </c>
      <c r="AA71" s="81">
        <f t="shared" si="28"/>
        <v>-2331351.29</v>
      </c>
      <c r="AB71" s="80">
        <f t="shared" si="28"/>
        <v>-2423389.4500000007</v>
      </c>
    </row>
    <row r="72" spans="1:28" x14ac:dyDescent="0.25">
      <c r="A72" s="4">
        <f>+A65+1</f>
        <v>10</v>
      </c>
      <c r="B72" s="41" t="s">
        <v>33</v>
      </c>
      <c r="C72" s="155"/>
      <c r="D72" s="64"/>
      <c r="E72" s="64"/>
      <c r="F72" s="64"/>
      <c r="G72" s="64"/>
      <c r="H72" s="64"/>
      <c r="I72" s="64"/>
      <c r="J72" s="64"/>
      <c r="K72" s="64"/>
      <c r="L72" s="165"/>
      <c r="M72" s="64"/>
      <c r="N72" s="64"/>
      <c r="O72" s="64"/>
      <c r="P72" s="64"/>
      <c r="Q72" s="64"/>
      <c r="R72" s="64"/>
      <c r="S72" s="64"/>
      <c r="T72" s="64"/>
      <c r="U72" s="177"/>
      <c r="V72" s="64"/>
      <c r="W72" s="64"/>
      <c r="X72" s="64"/>
      <c r="Y72" s="64"/>
      <c r="Z72" s="64"/>
      <c r="AA72" s="64"/>
      <c r="AB72" s="63"/>
    </row>
    <row r="73" spans="1:28" x14ac:dyDescent="0.25">
      <c r="A73" s="4"/>
      <c r="B73" s="35" t="s">
        <v>36</v>
      </c>
      <c r="C73" s="156">
        <v>5366874</v>
      </c>
      <c r="D73" s="83">
        <v>3843919</v>
      </c>
      <c r="E73" s="83">
        <v>2029240</v>
      </c>
      <c r="F73" s="83">
        <v>1280398</v>
      </c>
      <c r="G73" s="83">
        <v>760851</v>
      </c>
      <c r="H73" s="83">
        <v>653524</v>
      </c>
      <c r="I73" s="83">
        <v>677153</v>
      </c>
      <c r="J73" s="83">
        <v>800554</v>
      </c>
      <c r="K73" s="83">
        <v>2207554</v>
      </c>
      <c r="L73" s="166">
        <v>4164660</v>
      </c>
      <c r="M73" s="83">
        <v>5561927</v>
      </c>
      <c r="N73" s="83">
        <v>4805071</v>
      </c>
      <c r="O73" s="83">
        <v>4322498</v>
      </c>
      <c r="P73" s="83">
        <f>27905+3084147+10169+359794+5524+16802</f>
        <v>3504341</v>
      </c>
      <c r="Q73" s="83">
        <f>26163+2581468+8610+282457+5653+14216</f>
        <v>2918567</v>
      </c>
      <c r="R73" s="83">
        <f>18437+1011410+6791+122311+2243+7157</f>
        <v>1168349</v>
      </c>
      <c r="S73" s="83">
        <f>14522+630257+5955+82322+1520+5076</f>
        <v>739652</v>
      </c>
      <c r="T73" s="83">
        <f>14719+626732+4899+59754+1576+5111</f>
        <v>712791</v>
      </c>
      <c r="U73" s="178">
        <f>14770+603454+4629+45781+1515+5168</f>
        <v>675317</v>
      </c>
      <c r="V73" s="83">
        <f t="shared" ref="V73:AB77" si="29">C73-O73</f>
        <v>1044376</v>
      </c>
      <c r="W73" s="83">
        <f t="shared" si="29"/>
        <v>339578</v>
      </c>
      <c r="X73" s="83">
        <f t="shared" si="29"/>
        <v>-889327</v>
      </c>
      <c r="Y73" s="83">
        <f t="shared" si="29"/>
        <v>112049</v>
      </c>
      <c r="Z73" s="83">
        <f t="shared" si="29"/>
        <v>21199</v>
      </c>
      <c r="AA73" s="83">
        <f t="shared" si="29"/>
        <v>-59267</v>
      </c>
      <c r="AB73" s="82">
        <f t="shared" si="29"/>
        <v>1836</v>
      </c>
    </row>
    <row r="74" spans="1:28" x14ac:dyDescent="0.25">
      <c r="A74" s="4"/>
      <c r="B74" s="35" t="s">
        <v>37</v>
      </c>
      <c r="C74" s="156">
        <v>1296596</v>
      </c>
      <c r="D74" s="83">
        <v>900416</v>
      </c>
      <c r="E74" s="83">
        <v>501599</v>
      </c>
      <c r="F74" s="83">
        <v>292243</v>
      </c>
      <c r="G74" s="83">
        <v>164728</v>
      </c>
      <c r="H74" s="83">
        <v>147819</v>
      </c>
      <c r="I74" s="83">
        <v>158035</v>
      </c>
      <c r="J74" s="83">
        <v>211099</v>
      </c>
      <c r="K74" s="83">
        <v>595112</v>
      </c>
      <c r="L74" s="166">
        <v>1032468</v>
      </c>
      <c r="M74" s="83">
        <v>1345041</v>
      </c>
      <c r="N74" s="83">
        <v>1128913</v>
      </c>
      <c r="O74" s="83">
        <v>1047081</v>
      </c>
      <c r="P74" s="83">
        <f>4526+546+839005+16115</f>
        <v>860192</v>
      </c>
      <c r="Q74" s="83">
        <f>4174+683194+679+13645</f>
        <v>701692</v>
      </c>
      <c r="R74" s="83">
        <f>2809+245005+459+5849</f>
        <v>254122</v>
      </c>
      <c r="S74" s="83">
        <f>2058+147576+449+3377</f>
        <v>153460</v>
      </c>
      <c r="T74" s="83">
        <f>2160+151558+395+3106</f>
        <v>157219</v>
      </c>
      <c r="U74" s="178">
        <f>2278+154941+398+2851</f>
        <v>160468</v>
      </c>
      <c r="V74" s="83">
        <f t="shared" si="29"/>
        <v>249515</v>
      </c>
      <c r="W74" s="83">
        <f t="shared" si="29"/>
        <v>40224</v>
      </c>
      <c r="X74" s="83">
        <f t="shared" si="29"/>
        <v>-200093</v>
      </c>
      <c r="Y74" s="83">
        <f t="shared" si="29"/>
        <v>38121</v>
      </c>
      <c r="Z74" s="83">
        <f t="shared" si="29"/>
        <v>11268</v>
      </c>
      <c r="AA74" s="83">
        <f t="shared" si="29"/>
        <v>-9400</v>
      </c>
      <c r="AB74" s="82">
        <f t="shared" si="29"/>
        <v>-2433</v>
      </c>
    </row>
    <row r="75" spans="1:28" x14ac:dyDescent="0.25">
      <c r="A75" s="4"/>
      <c r="B75" s="35" t="s">
        <v>38</v>
      </c>
      <c r="C75" s="156">
        <v>1160981</v>
      </c>
      <c r="D75" s="83">
        <v>753929</v>
      </c>
      <c r="E75" s="83">
        <v>392329</v>
      </c>
      <c r="F75" s="83">
        <v>254003</v>
      </c>
      <c r="G75" s="83">
        <v>139772</v>
      </c>
      <c r="H75" s="83">
        <v>109583</v>
      </c>
      <c r="I75" s="83">
        <v>130036</v>
      </c>
      <c r="J75" s="83">
        <v>168747</v>
      </c>
      <c r="K75" s="83">
        <v>419539</v>
      </c>
      <c r="L75" s="166">
        <v>864360</v>
      </c>
      <c r="M75" s="83">
        <v>1233580</v>
      </c>
      <c r="N75" s="83">
        <v>1032346</v>
      </c>
      <c r="O75" s="83">
        <v>904553</v>
      </c>
      <c r="P75" s="83">
        <f>401861+64454+106802+24532+56545+9762+4348+828</f>
        <v>669132</v>
      </c>
      <c r="Q75" s="83">
        <f>282626+62041+71264+18624+48890+10616+3196+706</f>
        <v>497963</v>
      </c>
      <c r="R75" s="83">
        <f>57728+46972+20450+16231+17215+7017+950+607</f>
        <v>167170</v>
      </c>
      <c r="S75" s="83">
        <f>38864+43892+3421+16447+10526+5695-1765+599</f>
        <v>117679</v>
      </c>
      <c r="T75" s="83">
        <f>42200+51761+4878+15179+9162+4927+359+531</f>
        <v>128997</v>
      </c>
      <c r="U75" s="178">
        <f>37174+59811+1227+14458+10559+4883+378+478</f>
        <v>128968</v>
      </c>
      <c r="V75" s="83">
        <f t="shared" si="29"/>
        <v>256428</v>
      </c>
      <c r="W75" s="83">
        <f t="shared" si="29"/>
        <v>84797</v>
      </c>
      <c r="X75" s="83">
        <f t="shared" si="29"/>
        <v>-105634</v>
      </c>
      <c r="Y75" s="83">
        <f t="shared" si="29"/>
        <v>86833</v>
      </c>
      <c r="Z75" s="83">
        <f t="shared" si="29"/>
        <v>22093</v>
      </c>
      <c r="AA75" s="83">
        <f t="shared" si="29"/>
        <v>-19414</v>
      </c>
      <c r="AB75" s="82">
        <f t="shared" si="29"/>
        <v>1068</v>
      </c>
    </row>
    <row r="76" spans="1:28" x14ac:dyDescent="0.25">
      <c r="A76" s="4"/>
      <c r="B76" s="35" t="s">
        <v>39</v>
      </c>
      <c r="C76" s="156">
        <v>1832559</v>
      </c>
      <c r="D76" s="83">
        <v>1593328</v>
      </c>
      <c r="E76" s="83">
        <v>1143305</v>
      </c>
      <c r="F76" s="83">
        <v>-120567</v>
      </c>
      <c r="G76" s="83">
        <v>277636</v>
      </c>
      <c r="H76" s="83">
        <v>250359</v>
      </c>
      <c r="I76" s="83">
        <v>301515</v>
      </c>
      <c r="J76" s="83">
        <v>366581</v>
      </c>
      <c r="K76" s="83">
        <v>858441</v>
      </c>
      <c r="L76" s="166">
        <v>1400961</v>
      </c>
      <c r="M76" s="83">
        <v>1954815</v>
      </c>
      <c r="N76" s="83">
        <v>1712295</v>
      </c>
      <c r="O76" s="83">
        <v>1525431</v>
      </c>
      <c r="P76" s="83">
        <f>412535+87917+94644+36379+445562+105674+34133+28998</f>
        <v>1245842</v>
      </c>
      <c r="Q76" s="83">
        <f>313581+85131+64725+27184+335997+24040+94896+22806</f>
        <v>968360</v>
      </c>
      <c r="R76" s="83">
        <f>99702+66636+21874+24555+88564+66860+8218+9668</f>
        <v>386077</v>
      </c>
      <c r="S76" s="83">
        <f>27482+67126+5539+25005+98687+50338+4292+7260</f>
        <v>285729</v>
      </c>
      <c r="T76" s="83">
        <f>31613+81235+3137+24944+65552+51929+3365+10038</f>
        <v>271813</v>
      </c>
      <c r="U76" s="178">
        <f>26057+83338-10335+21395+78295+90090+3914+10727</f>
        <v>303481</v>
      </c>
      <c r="V76" s="83">
        <f t="shared" si="29"/>
        <v>307128</v>
      </c>
      <c r="W76" s="83">
        <f t="shared" si="29"/>
        <v>347486</v>
      </c>
      <c r="X76" s="83">
        <f t="shared" si="29"/>
        <v>174945</v>
      </c>
      <c r="Y76" s="83">
        <f t="shared" si="29"/>
        <v>-506644</v>
      </c>
      <c r="Z76" s="83">
        <f t="shared" si="29"/>
        <v>-8093</v>
      </c>
      <c r="AA76" s="83">
        <f t="shared" si="29"/>
        <v>-21454</v>
      </c>
      <c r="AB76" s="82">
        <f t="shared" si="29"/>
        <v>-1966</v>
      </c>
    </row>
    <row r="77" spans="1:28" x14ac:dyDescent="0.25">
      <c r="A77" s="4"/>
      <c r="B77" s="35" t="s">
        <v>40</v>
      </c>
      <c r="C77" s="156">
        <v>780918</v>
      </c>
      <c r="D77" s="83">
        <v>485463</v>
      </c>
      <c r="E77" s="83">
        <v>444220</v>
      </c>
      <c r="F77" s="83">
        <v>381375</v>
      </c>
      <c r="G77" s="83">
        <v>376404</v>
      </c>
      <c r="H77" s="83">
        <v>404716</v>
      </c>
      <c r="I77" s="83">
        <v>327508</v>
      </c>
      <c r="J77" s="83">
        <v>457890</v>
      </c>
      <c r="K77" s="83">
        <v>614398</v>
      </c>
      <c r="L77" s="166">
        <v>694020</v>
      </c>
      <c r="M77" s="83">
        <v>735559</v>
      </c>
      <c r="N77" s="83">
        <v>650080</v>
      </c>
      <c r="O77" s="83">
        <v>648187</v>
      </c>
      <c r="P77" s="83">
        <f>201117+385175</f>
        <v>586292</v>
      </c>
      <c r="Q77" s="83">
        <f>7127+58981+60110+281408+38681</f>
        <v>446307</v>
      </c>
      <c r="R77" s="83">
        <f>770+151075+12887+316624+29747</f>
        <v>511103</v>
      </c>
      <c r="S77" s="83">
        <f>31+118052+5993+302767+23927</f>
        <v>450770</v>
      </c>
      <c r="T77" s="83">
        <f>2455+141387-17809+303878+23754</f>
        <v>453665</v>
      </c>
      <c r="U77" s="178">
        <f>110975-821+4674+346671+24275</f>
        <v>485774</v>
      </c>
      <c r="V77" s="83">
        <f t="shared" si="29"/>
        <v>132731</v>
      </c>
      <c r="W77" s="83">
        <f t="shared" si="29"/>
        <v>-100829</v>
      </c>
      <c r="X77" s="83">
        <f t="shared" si="29"/>
        <v>-2087</v>
      </c>
      <c r="Y77" s="83">
        <f t="shared" si="29"/>
        <v>-129728</v>
      </c>
      <c r="Z77" s="83">
        <f t="shared" si="29"/>
        <v>-74366</v>
      </c>
      <c r="AA77" s="83">
        <f t="shared" si="29"/>
        <v>-48949</v>
      </c>
      <c r="AB77" s="82">
        <f t="shared" si="29"/>
        <v>-158266</v>
      </c>
    </row>
    <row r="78" spans="1:28" x14ac:dyDescent="0.25">
      <c r="A78" s="4"/>
      <c r="B78" s="35" t="s">
        <v>41</v>
      </c>
      <c r="C78" s="156">
        <f>SUM(C73:C77)</f>
        <v>10437928</v>
      </c>
      <c r="D78" s="83">
        <f>SUM(D73:D77)</f>
        <v>7577055</v>
      </c>
      <c r="E78" s="83">
        <f t="shared" ref="E78:AB78" si="30">SUM(E73:E77)</f>
        <v>4510693</v>
      </c>
      <c r="F78" s="83">
        <f t="shared" si="30"/>
        <v>2087452</v>
      </c>
      <c r="G78" s="83">
        <f t="shared" si="30"/>
        <v>1719391</v>
      </c>
      <c r="H78" s="83">
        <f t="shared" si="30"/>
        <v>1566001</v>
      </c>
      <c r="I78" s="83">
        <f t="shared" si="30"/>
        <v>1594247</v>
      </c>
      <c r="J78" s="83">
        <f t="shared" si="30"/>
        <v>2004871</v>
      </c>
      <c r="K78" s="83">
        <f t="shared" si="30"/>
        <v>4695044</v>
      </c>
      <c r="L78" s="166">
        <f t="shared" si="30"/>
        <v>8156469</v>
      </c>
      <c r="M78" s="83">
        <f t="shared" si="30"/>
        <v>10830922</v>
      </c>
      <c r="N78" s="83">
        <f t="shared" si="30"/>
        <v>9328705</v>
      </c>
      <c r="O78" s="83">
        <f t="shared" si="30"/>
        <v>8447750</v>
      </c>
      <c r="P78" s="83">
        <f t="shared" si="30"/>
        <v>6865799</v>
      </c>
      <c r="Q78" s="83">
        <f t="shared" si="30"/>
        <v>5532889</v>
      </c>
      <c r="R78" s="83">
        <f t="shared" si="30"/>
        <v>2486821</v>
      </c>
      <c r="S78" s="83">
        <f t="shared" si="30"/>
        <v>1747290</v>
      </c>
      <c r="T78" s="83">
        <f t="shared" si="30"/>
        <v>1724485</v>
      </c>
      <c r="U78" s="178">
        <f t="shared" si="30"/>
        <v>1754008</v>
      </c>
      <c r="V78" s="83">
        <f t="shared" si="30"/>
        <v>1990178</v>
      </c>
      <c r="W78" s="83">
        <f t="shared" si="30"/>
        <v>711256</v>
      </c>
      <c r="X78" s="83">
        <f t="shared" si="30"/>
        <v>-1022196</v>
      </c>
      <c r="Y78" s="83">
        <f t="shared" si="30"/>
        <v>-399369</v>
      </c>
      <c r="Z78" s="83">
        <f t="shared" si="30"/>
        <v>-27899</v>
      </c>
      <c r="AA78" s="83">
        <f t="shared" si="30"/>
        <v>-158484</v>
      </c>
      <c r="AB78" s="82">
        <f t="shared" si="30"/>
        <v>-159761</v>
      </c>
    </row>
    <row r="79" spans="1:28" x14ac:dyDescent="0.25">
      <c r="A79" s="4">
        <f>+A72+1</f>
        <v>11</v>
      </c>
      <c r="B79" s="42" t="s">
        <v>34</v>
      </c>
      <c r="C79" s="157"/>
      <c r="D79" s="85"/>
      <c r="E79" s="85"/>
      <c r="F79" s="85"/>
      <c r="G79" s="85"/>
      <c r="H79" s="85"/>
      <c r="I79" s="85"/>
      <c r="J79" s="85"/>
      <c r="K79" s="85"/>
      <c r="L79" s="167"/>
      <c r="M79" s="85"/>
      <c r="N79" s="85"/>
      <c r="O79" s="85"/>
      <c r="P79" s="85"/>
      <c r="Q79" s="85"/>
      <c r="R79" s="85"/>
      <c r="S79" s="85"/>
      <c r="T79" s="85"/>
      <c r="U79" s="179"/>
      <c r="V79" s="85"/>
      <c r="W79" s="85"/>
      <c r="X79" s="85"/>
      <c r="Y79" s="85"/>
      <c r="Z79" s="85"/>
      <c r="AA79" s="85"/>
      <c r="AB79" s="84"/>
    </row>
    <row r="80" spans="1:28" x14ac:dyDescent="0.25">
      <c r="A80" s="4"/>
      <c r="B80" s="35" t="s">
        <v>36</v>
      </c>
      <c r="C80" s="97">
        <v>7320652</v>
      </c>
      <c r="D80" s="89">
        <v>5383472</v>
      </c>
      <c r="E80" s="89">
        <v>2835928</v>
      </c>
      <c r="F80" s="89">
        <v>1635234</v>
      </c>
      <c r="G80" s="89">
        <v>1190977</v>
      </c>
      <c r="H80" s="89">
        <v>1073742</v>
      </c>
      <c r="I80" s="89">
        <v>1093327</v>
      </c>
      <c r="J80" s="89">
        <v>1204853</v>
      </c>
      <c r="K80" s="89">
        <v>2832598</v>
      </c>
      <c r="L80" s="99">
        <v>6007193</v>
      </c>
      <c r="M80" s="89">
        <v>7862432</v>
      </c>
      <c r="N80" s="89">
        <v>6861669</v>
      </c>
      <c r="O80" s="89">
        <v>6223104</v>
      </c>
      <c r="P80" s="89">
        <f>80207+5036727+4831+14829</f>
        <v>5136594</v>
      </c>
      <c r="Q80" s="89">
        <f>71392+3880725+4955+12980</f>
        <v>3970052</v>
      </c>
      <c r="R80" s="89">
        <f>54505+1517335+2383+7644</f>
        <v>1581867</v>
      </c>
      <c r="S80" s="89">
        <f>49697+1137411+1828+6045</f>
        <v>1194981</v>
      </c>
      <c r="T80" s="89">
        <f>48710+1110162+1871+6023</f>
        <v>1166766</v>
      </c>
      <c r="U80" s="79">
        <v>1163542.1200000001</v>
      </c>
      <c r="V80" s="79">
        <f t="shared" ref="V80:AA84" si="31">C80-O80</f>
        <v>1097548</v>
      </c>
      <c r="W80" s="79">
        <f t="shared" si="31"/>
        <v>246878</v>
      </c>
      <c r="X80" s="79">
        <f t="shared" si="31"/>
        <v>-1134124</v>
      </c>
      <c r="Y80" s="79">
        <f t="shared" si="31"/>
        <v>53367</v>
      </c>
      <c r="Z80" s="79">
        <f t="shared" si="31"/>
        <v>-4004</v>
      </c>
      <c r="AA80" s="79">
        <f t="shared" si="31"/>
        <v>-93024</v>
      </c>
      <c r="AB80" s="78" t="e">
        <f>I80-#REF!</f>
        <v>#REF!</v>
      </c>
    </row>
    <row r="81" spans="1:28" x14ac:dyDescent="0.25">
      <c r="A81" s="4"/>
      <c r="B81" s="35" t="s">
        <v>37</v>
      </c>
      <c r="C81" s="97">
        <v>1333487</v>
      </c>
      <c r="D81" s="89">
        <v>958085</v>
      </c>
      <c r="E81" s="89">
        <v>508395</v>
      </c>
      <c r="F81" s="89">
        <v>288279</v>
      </c>
      <c r="G81" s="89">
        <v>199067</v>
      </c>
      <c r="H81" s="89">
        <v>185727</v>
      </c>
      <c r="I81" s="89">
        <v>191423</v>
      </c>
      <c r="J81" s="89">
        <v>225239</v>
      </c>
      <c r="K81" s="89">
        <v>582954</v>
      </c>
      <c r="L81" s="99">
        <v>1116062</v>
      </c>
      <c r="M81" s="89">
        <v>1429370</v>
      </c>
      <c r="N81" s="89">
        <v>1214330</v>
      </c>
      <c r="O81" s="89">
        <v>1133263</v>
      </c>
      <c r="P81" s="89">
        <f>8015+941488</f>
        <v>949503</v>
      </c>
      <c r="Q81" s="89">
        <f>7334+683105</f>
        <v>690439</v>
      </c>
      <c r="R81" s="89">
        <f>5430+262146</f>
        <v>267576</v>
      </c>
      <c r="S81" s="89">
        <f>4639+186405</f>
        <v>191044</v>
      </c>
      <c r="T81" s="89">
        <f>4777+191744</f>
        <v>196521</v>
      </c>
      <c r="U81" s="79">
        <v>195920.27</v>
      </c>
      <c r="V81" s="79">
        <f t="shared" si="31"/>
        <v>200224</v>
      </c>
      <c r="W81" s="79">
        <f t="shared" si="31"/>
        <v>8582</v>
      </c>
      <c r="X81" s="79">
        <f t="shared" si="31"/>
        <v>-182044</v>
      </c>
      <c r="Y81" s="79">
        <f t="shared" si="31"/>
        <v>20703</v>
      </c>
      <c r="Z81" s="79">
        <f t="shared" si="31"/>
        <v>8023</v>
      </c>
      <c r="AA81" s="79">
        <f t="shared" si="31"/>
        <v>-10794</v>
      </c>
      <c r="AB81" s="78" t="e">
        <f>I81-#REF!</f>
        <v>#REF!</v>
      </c>
    </row>
    <row r="82" spans="1:28" x14ac:dyDescent="0.25">
      <c r="A82" s="4"/>
      <c r="B82" s="35" t="s">
        <v>38</v>
      </c>
      <c r="C82" s="97">
        <v>1375645</v>
      </c>
      <c r="D82" s="89">
        <v>923452</v>
      </c>
      <c r="E82" s="89">
        <v>464298</v>
      </c>
      <c r="F82" s="89">
        <v>262485</v>
      </c>
      <c r="G82" s="89">
        <v>183929</v>
      </c>
      <c r="H82" s="89">
        <v>161920</v>
      </c>
      <c r="I82" s="89">
        <v>174763</v>
      </c>
      <c r="J82" s="89">
        <v>203931</v>
      </c>
      <c r="K82" s="89">
        <v>442864</v>
      </c>
      <c r="L82" s="99">
        <v>1061728</v>
      </c>
      <c r="M82" s="89">
        <v>1471763</v>
      </c>
      <c r="N82" s="89">
        <v>1247966</v>
      </c>
      <c r="O82" s="89">
        <v>1100675</v>
      </c>
      <c r="P82" s="89">
        <f>682855+110187+41988+6360</f>
        <v>841390</v>
      </c>
      <c r="Q82" s="89">
        <f>434178+85533+34438+6329</f>
        <v>560478</v>
      </c>
      <c r="R82" s="89">
        <f>125956+51392+14156+4263</f>
        <v>195767</v>
      </c>
      <c r="S82" s="89">
        <f>107355+50009+9295+3687</f>
        <v>170346</v>
      </c>
      <c r="T82" s="89">
        <f>111049+53746+9623+3277</f>
        <v>177695</v>
      </c>
      <c r="U82" s="79">
        <v>144707.44</v>
      </c>
      <c r="V82" s="79">
        <f t="shared" si="31"/>
        <v>274970</v>
      </c>
      <c r="W82" s="79">
        <f t="shared" si="31"/>
        <v>82062</v>
      </c>
      <c r="X82" s="79">
        <f t="shared" si="31"/>
        <v>-96180</v>
      </c>
      <c r="Y82" s="79">
        <f t="shared" si="31"/>
        <v>66718</v>
      </c>
      <c r="Z82" s="79">
        <f t="shared" si="31"/>
        <v>13583</v>
      </c>
      <c r="AA82" s="79">
        <f t="shared" si="31"/>
        <v>-15775</v>
      </c>
      <c r="AB82" s="78" t="e">
        <f>I82-#REF!</f>
        <v>#REF!</v>
      </c>
    </row>
    <row r="83" spans="1:28" x14ac:dyDescent="0.25">
      <c r="A83" s="4"/>
      <c r="B83" s="35" t="s">
        <v>39</v>
      </c>
      <c r="C83" s="97">
        <v>1666953</v>
      </c>
      <c r="D83" s="89">
        <v>1501755</v>
      </c>
      <c r="E83" s="89">
        <v>726742</v>
      </c>
      <c r="F83" s="89">
        <v>-52742</v>
      </c>
      <c r="G83" s="89">
        <v>186325</v>
      </c>
      <c r="H83" s="89">
        <v>169635</v>
      </c>
      <c r="I83" s="89">
        <v>207469</v>
      </c>
      <c r="J83" s="89">
        <v>242404</v>
      </c>
      <c r="K83" s="89">
        <v>626174</v>
      </c>
      <c r="L83" s="99">
        <v>1231489</v>
      </c>
      <c r="M83" s="89">
        <v>1713085</v>
      </c>
      <c r="N83" s="89">
        <v>1512733</v>
      </c>
      <c r="O83" s="89">
        <v>1355241</v>
      </c>
      <c r="P83" s="89">
        <f>597439+143085+288361+76303</f>
        <v>1105188</v>
      </c>
      <c r="Q83" s="89">
        <f>385529+104745+208367+63659</f>
        <v>762300</v>
      </c>
      <c r="R83" s="89">
        <f>92999+61289+56147+38909</f>
        <v>249344</v>
      </c>
      <c r="S83" s="89">
        <f>31184+62380+62201+29845</f>
        <v>185610</v>
      </c>
      <c r="T83" s="89">
        <f>32927+71177+43916+31766</f>
        <v>179786</v>
      </c>
      <c r="U83" s="79">
        <v>130804.54</v>
      </c>
      <c r="V83" s="79">
        <f t="shared" si="31"/>
        <v>311712</v>
      </c>
      <c r="W83" s="79">
        <f t="shared" si="31"/>
        <v>396567</v>
      </c>
      <c r="X83" s="79">
        <f t="shared" si="31"/>
        <v>-35558</v>
      </c>
      <c r="Y83" s="79">
        <f t="shared" si="31"/>
        <v>-302086</v>
      </c>
      <c r="Z83" s="79">
        <f t="shared" si="31"/>
        <v>715</v>
      </c>
      <c r="AA83" s="79">
        <f t="shared" si="31"/>
        <v>-10151</v>
      </c>
      <c r="AB83" s="78" t="e">
        <f>I83-#REF!</f>
        <v>#REF!</v>
      </c>
    </row>
    <row r="84" spans="1:28" x14ac:dyDescent="0.25">
      <c r="A84" s="4"/>
      <c r="B84" s="35" t="s">
        <v>40</v>
      </c>
      <c r="C84" s="97">
        <v>409398</v>
      </c>
      <c r="D84" s="89">
        <v>272619</v>
      </c>
      <c r="E84" s="89">
        <v>206669</v>
      </c>
      <c r="F84" s="89">
        <v>170691</v>
      </c>
      <c r="G84" s="89">
        <v>184866</v>
      </c>
      <c r="H84" s="89">
        <v>165594</v>
      </c>
      <c r="I84" s="89">
        <v>138728</v>
      </c>
      <c r="J84" s="89">
        <v>186073</v>
      </c>
      <c r="K84" s="89">
        <v>250238</v>
      </c>
      <c r="L84" s="99">
        <v>315212</v>
      </c>
      <c r="M84" s="89">
        <v>332792</v>
      </c>
      <c r="N84" s="89">
        <v>267787</v>
      </c>
      <c r="O84" s="89">
        <v>289423</v>
      </c>
      <c r="P84" s="89">
        <f>41169+117515+28457+136309</f>
        <v>323450</v>
      </c>
      <c r="Q84" s="89">
        <f>7547+33835+16815+130936</f>
        <v>189133</v>
      </c>
      <c r="R84" s="89">
        <f>2279+57537+8449+113397</f>
        <v>181662</v>
      </c>
      <c r="S84" s="89">
        <f>1855+43977+6207+127758</f>
        <v>179797</v>
      </c>
      <c r="T84" s="89">
        <f>4565+51519-3774+123637</f>
        <v>175947</v>
      </c>
      <c r="U84" s="79">
        <v>191095.52</v>
      </c>
      <c r="V84" s="79">
        <f t="shared" si="31"/>
        <v>119975</v>
      </c>
      <c r="W84" s="79">
        <f t="shared" si="31"/>
        <v>-50831</v>
      </c>
      <c r="X84" s="79">
        <f t="shared" si="31"/>
        <v>17536</v>
      </c>
      <c r="Y84" s="79">
        <f t="shared" si="31"/>
        <v>-10971</v>
      </c>
      <c r="Z84" s="79">
        <f t="shared" si="31"/>
        <v>5069</v>
      </c>
      <c r="AA84" s="79">
        <f t="shared" si="31"/>
        <v>-10353</v>
      </c>
      <c r="AB84" s="78" t="e">
        <f>I84-#REF!</f>
        <v>#REF!</v>
      </c>
    </row>
    <row r="85" spans="1:28" x14ac:dyDescent="0.25">
      <c r="A85" s="4"/>
      <c r="B85" s="35" t="s">
        <v>41</v>
      </c>
      <c r="C85" s="97">
        <f>SUM(C80:C84)</f>
        <v>12106135</v>
      </c>
      <c r="D85" s="89">
        <f>SUM(D80:D84)</f>
        <v>9039383</v>
      </c>
      <c r="E85" s="89">
        <f t="shared" ref="E85:AB85" si="32">SUM(E80:E84)</f>
        <v>4742032</v>
      </c>
      <c r="F85" s="89">
        <f t="shared" si="32"/>
        <v>2303947</v>
      </c>
      <c r="G85" s="89">
        <f t="shared" si="32"/>
        <v>1945164</v>
      </c>
      <c r="H85" s="89">
        <f t="shared" si="32"/>
        <v>1756618</v>
      </c>
      <c r="I85" s="89">
        <f t="shared" si="32"/>
        <v>1805710</v>
      </c>
      <c r="J85" s="89">
        <f t="shared" si="32"/>
        <v>2062500</v>
      </c>
      <c r="K85" s="89">
        <f t="shared" si="32"/>
        <v>4734828</v>
      </c>
      <c r="L85" s="99">
        <f t="shared" si="32"/>
        <v>9731684</v>
      </c>
      <c r="M85" s="89">
        <f t="shared" si="32"/>
        <v>12809442</v>
      </c>
      <c r="N85" s="89">
        <f t="shared" si="32"/>
        <v>11104485</v>
      </c>
      <c r="O85" s="89">
        <f t="shared" si="32"/>
        <v>10101706</v>
      </c>
      <c r="P85" s="89">
        <f t="shared" si="32"/>
        <v>8356125</v>
      </c>
      <c r="Q85" s="89">
        <f t="shared" si="32"/>
        <v>6172402</v>
      </c>
      <c r="R85" s="89">
        <f t="shared" si="32"/>
        <v>2476216</v>
      </c>
      <c r="S85" s="89">
        <f t="shared" si="32"/>
        <v>1921778</v>
      </c>
      <c r="T85" s="89">
        <f t="shared" si="32"/>
        <v>1896715</v>
      </c>
      <c r="U85" s="180">
        <f>SUM(U80:U84)</f>
        <v>1826069.8900000001</v>
      </c>
      <c r="V85" s="89">
        <f t="shared" si="32"/>
        <v>2004429</v>
      </c>
      <c r="W85" s="89">
        <f t="shared" si="32"/>
        <v>683258</v>
      </c>
      <c r="X85" s="89">
        <f t="shared" si="32"/>
        <v>-1430370</v>
      </c>
      <c r="Y85" s="89">
        <f t="shared" si="32"/>
        <v>-172269</v>
      </c>
      <c r="Z85" s="89">
        <f t="shared" si="32"/>
        <v>23386</v>
      </c>
      <c r="AA85" s="89">
        <f t="shared" si="32"/>
        <v>-140097</v>
      </c>
      <c r="AB85" s="88" t="e">
        <f t="shared" si="32"/>
        <v>#REF!</v>
      </c>
    </row>
    <row r="86" spans="1:28" x14ac:dyDescent="0.25">
      <c r="A86" s="4">
        <f>+A79+1</f>
        <v>12</v>
      </c>
      <c r="B86" s="42" t="s">
        <v>45</v>
      </c>
      <c r="C86" s="158"/>
      <c r="D86" s="93"/>
      <c r="E86" s="93"/>
      <c r="F86" s="93"/>
      <c r="G86" s="93"/>
      <c r="H86" s="93"/>
      <c r="I86" s="93"/>
      <c r="J86" s="93"/>
      <c r="K86" s="93"/>
      <c r="L86" s="168"/>
      <c r="M86" s="93"/>
      <c r="N86" s="93"/>
      <c r="O86" s="93"/>
      <c r="P86" s="93"/>
      <c r="Q86" s="93"/>
      <c r="R86" s="93"/>
      <c r="S86" s="93"/>
      <c r="T86" s="93"/>
      <c r="U86" s="181"/>
      <c r="V86" s="93"/>
      <c r="W86" s="93"/>
      <c r="X86" s="93"/>
      <c r="Y86" s="93"/>
      <c r="Z86" s="93"/>
      <c r="AA86" s="93"/>
      <c r="AB86" s="92"/>
    </row>
    <row r="87" spans="1:28" x14ac:dyDescent="0.25">
      <c r="A87" s="4"/>
      <c r="B87" s="35" t="s">
        <v>36</v>
      </c>
      <c r="C87" s="190"/>
      <c r="D87" s="191"/>
      <c r="E87" s="191"/>
      <c r="F87" s="191"/>
      <c r="G87" s="191"/>
      <c r="H87" s="191"/>
      <c r="I87" s="191"/>
      <c r="J87" s="191"/>
      <c r="K87" s="191"/>
      <c r="L87" s="192"/>
      <c r="M87" s="191"/>
      <c r="N87" s="191"/>
      <c r="O87" s="191"/>
      <c r="P87" s="191"/>
      <c r="Q87" s="191"/>
      <c r="R87" s="191"/>
      <c r="S87" s="191"/>
      <c r="T87" s="191"/>
      <c r="U87" s="193"/>
      <c r="V87" s="83">
        <f t="shared" ref="V87:AB91" si="33">C87-O87</f>
        <v>0</v>
      </c>
      <c r="W87" s="83">
        <f t="shared" si="33"/>
        <v>0</v>
      </c>
      <c r="X87" s="83">
        <f t="shared" si="33"/>
        <v>0</v>
      </c>
      <c r="Y87" s="83">
        <f t="shared" si="33"/>
        <v>0</v>
      </c>
      <c r="Z87" s="83">
        <f t="shared" si="33"/>
        <v>0</v>
      </c>
      <c r="AA87" s="83">
        <f t="shared" si="33"/>
        <v>0</v>
      </c>
      <c r="AB87" s="82">
        <f t="shared" si="33"/>
        <v>0</v>
      </c>
    </row>
    <row r="88" spans="1:28" x14ac:dyDescent="0.25">
      <c r="A88" s="4"/>
      <c r="B88" s="35" t="s">
        <v>37</v>
      </c>
      <c r="C88" s="190"/>
      <c r="D88" s="191"/>
      <c r="E88" s="191"/>
      <c r="F88" s="191"/>
      <c r="G88" s="191"/>
      <c r="H88" s="191"/>
      <c r="I88" s="191"/>
      <c r="J88" s="191"/>
      <c r="K88" s="191"/>
      <c r="L88" s="192"/>
      <c r="M88" s="191"/>
      <c r="N88" s="191"/>
      <c r="O88" s="191"/>
      <c r="P88" s="191"/>
      <c r="Q88" s="191"/>
      <c r="R88" s="191"/>
      <c r="S88" s="191"/>
      <c r="T88" s="191"/>
      <c r="U88" s="193"/>
      <c r="V88" s="83">
        <f t="shared" si="33"/>
        <v>0</v>
      </c>
      <c r="W88" s="83">
        <f t="shared" si="33"/>
        <v>0</v>
      </c>
      <c r="X88" s="83">
        <f t="shared" si="33"/>
        <v>0</v>
      </c>
      <c r="Y88" s="83">
        <f t="shared" si="33"/>
        <v>0</v>
      </c>
      <c r="Z88" s="83">
        <f t="shared" si="33"/>
        <v>0</v>
      </c>
      <c r="AA88" s="83">
        <f t="shared" si="33"/>
        <v>0</v>
      </c>
      <c r="AB88" s="82">
        <f t="shared" si="33"/>
        <v>0</v>
      </c>
    </row>
    <row r="89" spans="1:28" x14ac:dyDescent="0.25">
      <c r="A89" s="4"/>
      <c r="B89" s="35" t="s">
        <v>38</v>
      </c>
      <c r="C89" s="190"/>
      <c r="D89" s="191"/>
      <c r="E89" s="191"/>
      <c r="F89" s="191"/>
      <c r="G89" s="191"/>
      <c r="H89" s="191"/>
      <c r="I89" s="191"/>
      <c r="J89" s="191"/>
      <c r="K89" s="191"/>
      <c r="L89" s="192"/>
      <c r="M89" s="191"/>
      <c r="N89" s="191"/>
      <c r="O89" s="191"/>
      <c r="P89" s="191"/>
      <c r="Q89" s="191"/>
      <c r="R89" s="191"/>
      <c r="S89" s="191"/>
      <c r="T89" s="191"/>
      <c r="U89" s="193"/>
      <c r="V89" s="83">
        <f t="shared" si="33"/>
        <v>0</v>
      </c>
      <c r="W89" s="83">
        <f t="shared" si="33"/>
        <v>0</v>
      </c>
      <c r="X89" s="83">
        <f t="shared" si="33"/>
        <v>0</v>
      </c>
      <c r="Y89" s="83">
        <f t="shared" si="33"/>
        <v>0</v>
      </c>
      <c r="Z89" s="83">
        <f t="shared" si="33"/>
        <v>0</v>
      </c>
      <c r="AA89" s="83">
        <f t="shared" si="33"/>
        <v>0</v>
      </c>
      <c r="AB89" s="82">
        <f t="shared" si="33"/>
        <v>0</v>
      </c>
    </row>
    <row r="90" spans="1:28" x14ac:dyDescent="0.25">
      <c r="A90" s="4"/>
      <c r="B90" s="35" t="s">
        <v>39</v>
      </c>
      <c r="C90" s="190"/>
      <c r="D90" s="191"/>
      <c r="E90" s="191"/>
      <c r="F90" s="191"/>
      <c r="G90" s="191"/>
      <c r="H90" s="191"/>
      <c r="I90" s="191"/>
      <c r="J90" s="191"/>
      <c r="K90" s="191"/>
      <c r="L90" s="192"/>
      <c r="M90" s="191"/>
      <c r="N90" s="191"/>
      <c r="O90" s="191"/>
      <c r="P90" s="191"/>
      <c r="Q90" s="191"/>
      <c r="R90" s="191"/>
      <c r="S90" s="191"/>
      <c r="T90" s="191"/>
      <c r="U90" s="193"/>
      <c r="V90" s="83">
        <f t="shared" si="33"/>
        <v>0</v>
      </c>
      <c r="W90" s="83">
        <f t="shared" si="33"/>
        <v>0</v>
      </c>
      <c r="X90" s="83">
        <f t="shared" si="33"/>
        <v>0</v>
      </c>
      <c r="Y90" s="83">
        <f t="shared" si="33"/>
        <v>0</v>
      </c>
      <c r="Z90" s="83">
        <f t="shared" si="33"/>
        <v>0</v>
      </c>
      <c r="AA90" s="83">
        <f t="shared" si="33"/>
        <v>0</v>
      </c>
      <c r="AB90" s="82">
        <f t="shared" si="33"/>
        <v>0</v>
      </c>
    </row>
    <row r="91" spans="1:28" x14ac:dyDescent="0.25">
      <c r="A91" s="4"/>
      <c r="B91" s="35" t="s">
        <v>40</v>
      </c>
      <c r="C91" s="190"/>
      <c r="D91" s="191"/>
      <c r="E91" s="191"/>
      <c r="F91" s="191"/>
      <c r="G91" s="191"/>
      <c r="H91" s="191"/>
      <c r="I91" s="191"/>
      <c r="J91" s="191"/>
      <c r="K91" s="191"/>
      <c r="L91" s="192"/>
      <c r="M91" s="191"/>
      <c r="N91" s="191"/>
      <c r="O91" s="191"/>
      <c r="P91" s="191"/>
      <c r="Q91" s="191"/>
      <c r="R91" s="191"/>
      <c r="S91" s="191"/>
      <c r="T91" s="191"/>
      <c r="U91" s="193"/>
      <c r="V91" s="83">
        <f t="shared" si="33"/>
        <v>0</v>
      </c>
      <c r="W91" s="83">
        <f t="shared" si="33"/>
        <v>0</v>
      </c>
      <c r="X91" s="83">
        <f t="shared" si="33"/>
        <v>0</v>
      </c>
      <c r="Y91" s="83">
        <f t="shared" si="33"/>
        <v>0</v>
      </c>
      <c r="Z91" s="83">
        <f t="shared" si="33"/>
        <v>0</v>
      </c>
      <c r="AA91" s="83">
        <f t="shared" si="33"/>
        <v>0</v>
      </c>
      <c r="AB91" s="82">
        <f t="shared" si="33"/>
        <v>0</v>
      </c>
    </row>
    <row r="92" spans="1:28" x14ac:dyDescent="0.25">
      <c r="A92" s="4"/>
      <c r="B92" s="35" t="s">
        <v>41</v>
      </c>
      <c r="C92" s="156">
        <f>SUM(C87:C91)</f>
        <v>0</v>
      </c>
      <c r="D92" s="191">
        <f>SUM(D87:D91)</f>
        <v>0</v>
      </c>
      <c r="E92" s="191">
        <f t="shared" ref="E92:AB92" si="34">SUM(E87:E91)</f>
        <v>0</v>
      </c>
      <c r="F92" s="191">
        <f t="shared" si="34"/>
        <v>0</v>
      </c>
      <c r="G92" s="191">
        <f t="shared" si="34"/>
        <v>0</v>
      </c>
      <c r="H92" s="191">
        <f t="shared" si="34"/>
        <v>0</v>
      </c>
      <c r="I92" s="191">
        <f t="shared" si="34"/>
        <v>0</v>
      </c>
      <c r="J92" s="191">
        <f t="shared" si="34"/>
        <v>0</v>
      </c>
      <c r="K92" s="191">
        <f t="shared" si="34"/>
        <v>0</v>
      </c>
      <c r="L92" s="192">
        <f t="shared" si="34"/>
        <v>0</v>
      </c>
      <c r="M92" s="191">
        <f t="shared" si="34"/>
        <v>0</v>
      </c>
      <c r="N92" s="191">
        <f t="shared" si="34"/>
        <v>0</v>
      </c>
      <c r="O92" s="191">
        <f t="shared" si="34"/>
        <v>0</v>
      </c>
      <c r="P92" s="191">
        <f t="shared" si="34"/>
        <v>0</v>
      </c>
      <c r="Q92" s="191">
        <f t="shared" si="34"/>
        <v>0</v>
      </c>
      <c r="R92" s="191">
        <f t="shared" si="34"/>
        <v>0</v>
      </c>
      <c r="S92" s="191">
        <f t="shared" si="34"/>
        <v>0</v>
      </c>
      <c r="T92" s="191">
        <f t="shared" si="34"/>
        <v>0</v>
      </c>
      <c r="U92" s="193">
        <f t="shared" si="34"/>
        <v>0</v>
      </c>
      <c r="V92" s="191">
        <f t="shared" si="34"/>
        <v>0</v>
      </c>
      <c r="W92" s="191">
        <f t="shared" si="34"/>
        <v>0</v>
      </c>
      <c r="X92" s="191">
        <f t="shared" si="34"/>
        <v>0</v>
      </c>
      <c r="Y92" s="191">
        <f t="shared" si="34"/>
        <v>0</v>
      </c>
      <c r="Z92" s="191">
        <f t="shared" si="34"/>
        <v>0</v>
      </c>
      <c r="AA92" s="191">
        <f t="shared" si="34"/>
        <v>0</v>
      </c>
      <c r="AB92" s="194">
        <f t="shared" si="34"/>
        <v>0</v>
      </c>
    </row>
    <row r="93" spans="1:28" x14ac:dyDescent="0.25">
      <c r="A93" s="4">
        <f>+A86+1</f>
        <v>13</v>
      </c>
      <c r="B93" s="43" t="s">
        <v>43</v>
      </c>
      <c r="C93" s="90"/>
      <c r="D93" s="91"/>
      <c r="E93" s="91"/>
      <c r="F93" s="91"/>
      <c r="G93" s="91"/>
      <c r="H93" s="91"/>
      <c r="I93" s="91"/>
      <c r="J93" s="91"/>
      <c r="K93" s="91"/>
      <c r="L93" s="92"/>
      <c r="M93" s="93"/>
      <c r="N93" s="91"/>
      <c r="O93" s="93"/>
      <c r="P93" s="91"/>
      <c r="Q93" s="91"/>
      <c r="R93" s="91"/>
      <c r="S93" s="91"/>
      <c r="T93" s="91"/>
      <c r="U93" s="182"/>
      <c r="V93" s="85"/>
      <c r="W93" s="94"/>
      <c r="X93" s="95"/>
      <c r="Y93" s="95"/>
      <c r="Z93" s="95"/>
      <c r="AA93" s="95"/>
      <c r="AB93" s="96"/>
    </row>
    <row r="94" spans="1:28" x14ac:dyDescent="0.25">
      <c r="A94" s="4"/>
      <c r="B94" s="35" t="s">
        <v>36</v>
      </c>
      <c r="C94" s="97">
        <f>C80+C87</f>
        <v>7320652</v>
      </c>
      <c r="D94" s="98">
        <f t="shared" ref="D94:U98" si="35">D80+D87</f>
        <v>5383472</v>
      </c>
      <c r="E94" s="98">
        <f t="shared" si="35"/>
        <v>2835928</v>
      </c>
      <c r="F94" s="98">
        <f t="shared" si="35"/>
        <v>1635234</v>
      </c>
      <c r="G94" s="98">
        <f t="shared" si="35"/>
        <v>1190977</v>
      </c>
      <c r="H94" s="98">
        <f t="shared" si="35"/>
        <v>1073742</v>
      </c>
      <c r="I94" s="98">
        <f t="shared" si="35"/>
        <v>1093327</v>
      </c>
      <c r="J94" s="98">
        <f t="shared" si="35"/>
        <v>1204853</v>
      </c>
      <c r="K94" s="98">
        <f t="shared" si="35"/>
        <v>2832598</v>
      </c>
      <c r="L94" s="99">
        <f t="shared" si="35"/>
        <v>6007193</v>
      </c>
      <c r="M94" s="98">
        <f t="shared" si="35"/>
        <v>7862432</v>
      </c>
      <c r="N94" s="89">
        <f t="shared" si="35"/>
        <v>6861669</v>
      </c>
      <c r="O94" s="98">
        <f t="shared" si="35"/>
        <v>6223104</v>
      </c>
      <c r="P94" s="98">
        <f t="shared" si="35"/>
        <v>5136594</v>
      </c>
      <c r="Q94" s="98">
        <f t="shared" si="35"/>
        <v>3970052</v>
      </c>
      <c r="R94" s="98">
        <f t="shared" si="35"/>
        <v>1581867</v>
      </c>
      <c r="S94" s="98">
        <f t="shared" si="35"/>
        <v>1194981</v>
      </c>
      <c r="T94" s="98">
        <f t="shared" si="35"/>
        <v>1166766</v>
      </c>
      <c r="U94" s="98">
        <f t="shared" si="35"/>
        <v>1163542.1200000001</v>
      </c>
      <c r="V94" s="89">
        <f>C94-O94</f>
        <v>1097548</v>
      </c>
      <c r="W94" s="89">
        <f>D94-P94</f>
        <v>246878</v>
      </c>
      <c r="X94" s="89">
        <f t="shared" ref="X94:AB98" si="36">E94-Q94</f>
        <v>-1134124</v>
      </c>
      <c r="Y94" s="89">
        <f t="shared" si="36"/>
        <v>53367</v>
      </c>
      <c r="Z94" s="89">
        <f t="shared" si="36"/>
        <v>-4004</v>
      </c>
      <c r="AA94" s="89">
        <f t="shared" si="36"/>
        <v>-93024</v>
      </c>
      <c r="AB94" s="88">
        <f t="shared" si="36"/>
        <v>-70215.120000000112</v>
      </c>
    </row>
    <row r="95" spans="1:28" x14ac:dyDescent="0.25">
      <c r="A95" s="4"/>
      <c r="B95" s="35" t="s">
        <v>37</v>
      </c>
      <c r="C95" s="97">
        <f>C81+C88</f>
        <v>1333487</v>
      </c>
      <c r="D95" s="98">
        <f t="shared" ref="D95:R95" si="37">D81+D88</f>
        <v>958085</v>
      </c>
      <c r="E95" s="98">
        <f t="shared" si="37"/>
        <v>508395</v>
      </c>
      <c r="F95" s="98">
        <f t="shared" si="37"/>
        <v>288279</v>
      </c>
      <c r="G95" s="98">
        <f t="shared" si="37"/>
        <v>199067</v>
      </c>
      <c r="H95" s="98">
        <f t="shared" si="37"/>
        <v>185727</v>
      </c>
      <c r="I95" s="98">
        <f t="shared" si="37"/>
        <v>191423</v>
      </c>
      <c r="J95" s="98">
        <f t="shared" si="37"/>
        <v>225239</v>
      </c>
      <c r="K95" s="98">
        <f t="shared" si="37"/>
        <v>582954</v>
      </c>
      <c r="L95" s="99">
        <f t="shared" si="37"/>
        <v>1116062</v>
      </c>
      <c r="M95" s="98">
        <f t="shared" si="37"/>
        <v>1429370</v>
      </c>
      <c r="N95" s="89">
        <f t="shared" si="37"/>
        <v>1214330</v>
      </c>
      <c r="O95" s="98">
        <f t="shared" si="37"/>
        <v>1133263</v>
      </c>
      <c r="P95" s="98">
        <f t="shared" si="37"/>
        <v>949503</v>
      </c>
      <c r="Q95" s="98">
        <f t="shared" si="37"/>
        <v>690439</v>
      </c>
      <c r="R95" s="98">
        <f t="shared" si="37"/>
        <v>267576</v>
      </c>
      <c r="S95" s="98">
        <f t="shared" si="35"/>
        <v>191044</v>
      </c>
      <c r="T95" s="98">
        <f t="shared" si="35"/>
        <v>196521</v>
      </c>
      <c r="U95" s="98">
        <f t="shared" ref="U95" si="38">U81+U88</f>
        <v>195920.27</v>
      </c>
      <c r="V95" s="89">
        <f t="shared" ref="V95:W98" si="39">C95-O95</f>
        <v>200224</v>
      </c>
      <c r="W95" s="89">
        <f t="shared" si="39"/>
        <v>8582</v>
      </c>
      <c r="X95" s="89">
        <f t="shared" si="36"/>
        <v>-182044</v>
      </c>
      <c r="Y95" s="89">
        <f t="shared" si="36"/>
        <v>20703</v>
      </c>
      <c r="Z95" s="89">
        <f t="shared" si="36"/>
        <v>8023</v>
      </c>
      <c r="AA95" s="89">
        <f t="shared" si="36"/>
        <v>-10794</v>
      </c>
      <c r="AB95" s="88">
        <f t="shared" si="36"/>
        <v>-4497.2699999999895</v>
      </c>
    </row>
    <row r="96" spans="1:28" x14ac:dyDescent="0.25">
      <c r="A96" s="4"/>
      <c r="B96" s="35" t="s">
        <v>38</v>
      </c>
      <c r="C96" s="97">
        <f>C82+C89</f>
        <v>1375645</v>
      </c>
      <c r="D96" s="98">
        <f t="shared" si="35"/>
        <v>923452</v>
      </c>
      <c r="E96" s="98">
        <f t="shared" si="35"/>
        <v>464298</v>
      </c>
      <c r="F96" s="98">
        <f t="shared" si="35"/>
        <v>262485</v>
      </c>
      <c r="G96" s="98">
        <f t="shared" si="35"/>
        <v>183929</v>
      </c>
      <c r="H96" s="98">
        <f t="shared" si="35"/>
        <v>161920</v>
      </c>
      <c r="I96" s="98">
        <f t="shared" si="35"/>
        <v>174763</v>
      </c>
      <c r="J96" s="98">
        <f t="shared" si="35"/>
        <v>203931</v>
      </c>
      <c r="K96" s="98">
        <f t="shared" si="35"/>
        <v>442864</v>
      </c>
      <c r="L96" s="99">
        <f t="shared" si="35"/>
        <v>1061728</v>
      </c>
      <c r="M96" s="98">
        <f t="shared" si="35"/>
        <v>1471763</v>
      </c>
      <c r="N96" s="89">
        <f t="shared" si="35"/>
        <v>1247966</v>
      </c>
      <c r="O96" s="98">
        <f t="shared" si="35"/>
        <v>1100675</v>
      </c>
      <c r="P96" s="98">
        <f t="shared" si="35"/>
        <v>841390</v>
      </c>
      <c r="Q96" s="98">
        <f t="shared" si="35"/>
        <v>560478</v>
      </c>
      <c r="R96" s="98">
        <f t="shared" si="35"/>
        <v>195767</v>
      </c>
      <c r="S96" s="98">
        <f t="shared" si="35"/>
        <v>170346</v>
      </c>
      <c r="T96" s="98">
        <f t="shared" si="35"/>
        <v>177695</v>
      </c>
      <c r="U96" s="98">
        <f t="shared" ref="U96" si="40">U82+U89</f>
        <v>144707.44</v>
      </c>
      <c r="V96" s="89">
        <f t="shared" si="39"/>
        <v>274970</v>
      </c>
      <c r="W96" s="89">
        <f t="shared" si="39"/>
        <v>82062</v>
      </c>
      <c r="X96" s="89">
        <f t="shared" si="36"/>
        <v>-96180</v>
      </c>
      <c r="Y96" s="89">
        <f t="shared" si="36"/>
        <v>66718</v>
      </c>
      <c r="Z96" s="89">
        <f t="shared" si="36"/>
        <v>13583</v>
      </c>
      <c r="AA96" s="89">
        <f t="shared" si="36"/>
        <v>-15775</v>
      </c>
      <c r="AB96" s="88">
        <f t="shared" si="36"/>
        <v>30055.559999999998</v>
      </c>
    </row>
    <row r="97" spans="1:28" x14ac:dyDescent="0.25">
      <c r="A97" s="4"/>
      <c r="B97" s="35" t="s">
        <v>39</v>
      </c>
      <c r="C97" s="97">
        <f>C83+C90</f>
        <v>1666953</v>
      </c>
      <c r="D97" s="98">
        <f t="shared" si="35"/>
        <v>1501755</v>
      </c>
      <c r="E97" s="98">
        <f t="shared" si="35"/>
        <v>726742</v>
      </c>
      <c r="F97" s="98">
        <f t="shared" si="35"/>
        <v>-52742</v>
      </c>
      <c r="G97" s="98">
        <f t="shared" si="35"/>
        <v>186325</v>
      </c>
      <c r="H97" s="98">
        <f t="shared" si="35"/>
        <v>169635</v>
      </c>
      <c r="I97" s="98">
        <f t="shared" si="35"/>
        <v>207469</v>
      </c>
      <c r="J97" s="98">
        <f t="shared" si="35"/>
        <v>242404</v>
      </c>
      <c r="K97" s="98">
        <f t="shared" si="35"/>
        <v>626174</v>
      </c>
      <c r="L97" s="99">
        <f t="shared" si="35"/>
        <v>1231489</v>
      </c>
      <c r="M97" s="98">
        <f t="shared" si="35"/>
        <v>1713085</v>
      </c>
      <c r="N97" s="89">
        <f t="shared" si="35"/>
        <v>1512733</v>
      </c>
      <c r="O97" s="98">
        <f t="shared" si="35"/>
        <v>1355241</v>
      </c>
      <c r="P97" s="98">
        <f t="shared" si="35"/>
        <v>1105188</v>
      </c>
      <c r="Q97" s="98">
        <f t="shared" si="35"/>
        <v>762300</v>
      </c>
      <c r="R97" s="98">
        <f t="shared" si="35"/>
        <v>249344</v>
      </c>
      <c r="S97" s="98">
        <f t="shared" si="35"/>
        <v>185610</v>
      </c>
      <c r="T97" s="98">
        <f t="shared" si="35"/>
        <v>179786</v>
      </c>
      <c r="U97" s="98">
        <f t="shared" ref="U97" si="41">U83+U90</f>
        <v>130804.54</v>
      </c>
      <c r="V97" s="89">
        <f t="shared" si="39"/>
        <v>311712</v>
      </c>
      <c r="W97" s="89">
        <f t="shared" si="39"/>
        <v>396567</v>
      </c>
      <c r="X97" s="89">
        <f t="shared" si="36"/>
        <v>-35558</v>
      </c>
      <c r="Y97" s="89">
        <f t="shared" si="36"/>
        <v>-302086</v>
      </c>
      <c r="Z97" s="89">
        <f t="shared" si="36"/>
        <v>715</v>
      </c>
      <c r="AA97" s="89">
        <f t="shared" si="36"/>
        <v>-10151</v>
      </c>
      <c r="AB97" s="88">
        <f t="shared" si="36"/>
        <v>76664.460000000006</v>
      </c>
    </row>
    <row r="98" spans="1:28" x14ac:dyDescent="0.25">
      <c r="A98" s="4"/>
      <c r="B98" s="35" t="s">
        <v>40</v>
      </c>
      <c r="C98" s="97">
        <f>C84+C91</f>
        <v>409398</v>
      </c>
      <c r="D98" s="98">
        <f t="shared" si="35"/>
        <v>272619</v>
      </c>
      <c r="E98" s="98">
        <f t="shared" si="35"/>
        <v>206669</v>
      </c>
      <c r="F98" s="98">
        <f t="shared" si="35"/>
        <v>170691</v>
      </c>
      <c r="G98" s="98">
        <f t="shared" si="35"/>
        <v>184866</v>
      </c>
      <c r="H98" s="98">
        <f t="shared" si="35"/>
        <v>165594</v>
      </c>
      <c r="I98" s="98">
        <f t="shared" si="35"/>
        <v>138728</v>
      </c>
      <c r="J98" s="98">
        <f t="shared" si="35"/>
        <v>186073</v>
      </c>
      <c r="K98" s="98">
        <f t="shared" si="35"/>
        <v>250238</v>
      </c>
      <c r="L98" s="99">
        <f t="shared" si="35"/>
        <v>315212</v>
      </c>
      <c r="M98" s="98">
        <f t="shared" si="35"/>
        <v>332792</v>
      </c>
      <c r="N98" s="89">
        <f t="shared" si="35"/>
        <v>267787</v>
      </c>
      <c r="O98" s="98">
        <f t="shared" si="35"/>
        <v>289423</v>
      </c>
      <c r="P98" s="98">
        <f t="shared" si="35"/>
        <v>323450</v>
      </c>
      <c r="Q98" s="98">
        <f t="shared" si="35"/>
        <v>189133</v>
      </c>
      <c r="R98" s="98">
        <f t="shared" si="35"/>
        <v>181662</v>
      </c>
      <c r="S98" s="98">
        <f t="shared" si="35"/>
        <v>179797</v>
      </c>
      <c r="T98" s="98">
        <f t="shared" si="35"/>
        <v>175947</v>
      </c>
      <c r="U98" s="98">
        <f t="shared" ref="U98" si="42">U84+U91</f>
        <v>191095.52</v>
      </c>
      <c r="V98" s="89">
        <f t="shared" si="39"/>
        <v>119975</v>
      </c>
      <c r="W98" s="89">
        <f t="shared" si="39"/>
        <v>-50831</v>
      </c>
      <c r="X98" s="89">
        <f t="shared" si="36"/>
        <v>17536</v>
      </c>
      <c r="Y98" s="89">
        <f t="shared" si="36"/>
        <v>-10971</v>
      </c>
      <c r="Z98" s="89">
        <f t="shared" si="36"/>
        <v>5069</v>
      </c>
      <c r="AA98" s="89">
        <f t="shared" si="36"/>
        <v>-10353</v>
      </c>
      <c r="AB98" s="88">
        <f t="shared" si="36"/>
        <v>-52367.51999999999</v>
      </c>
    </row>
    <row r="99" spans="1:28" ht="15.75" thickBot="1" x14ac:dyDescent="0.3">
      <c r="A99" s="4"/>
      <c r="B99" s="37" t="s">
        <v>41</v>
      </c>
      <c r="C99" s="100">
        <f>SUM(C94:C98)</f>
        <v>12106135</v>
      </c>
      <c r="D99" s="159">
        <f t="shared" ref="D99:U99" si="43">SUM(D94:D98)</f>
        <v>9039383</v>
      </c>
      <c r="E99" s="159">
        <f t="shared" si="43"/>
        <v>4742032</v>
      </c>
      <c r="F99" s="159">
        <f t="shared" si="43"/>
        <v>2303947</v>
      </c>
      <c r="G99" s="159">
        <f t="shared" si="43"/>
        <v>1945164</v>
      </c>
      <c r="H99" s="159">
        <f t="shared" si="43"/>
        <v>1756618</v>
      </c>
      <c r="I99" s="159">
        <f t="shared" si="43"/>
        <v>1805710</v>
      </c>
      <c r="J99" s="159">
        <f t="shared" si="43"/>
        <v>2062500</v>
      </c>
      <c r="K99" s="159">
        <f t="shared" si="43"/>
        <v>4734828</v>
      </c>
      <c r="L99" s="160">
        <f t="shared" si="43"/>
        <v>9731684</v>
      </c>
      <c r="M99" s="159">
        <f t="shared" si="43"/>
        <v>12809442</v>
      </c>
      <c r="N99" s="81">
        <f t="shared" si="43"/>
        <v>11104485</v>
      </c>
      <c r="O99" s="159">
        <f t="shared" si="43"/>
        <v>10101706</v>
      </c>
      <c r="P99" s="159">
        <f t="shared" si="43"/>
        <v>8356125</v>
      </c>
      <c r="Q99" s="159">
        <f t="shared" si="43"/>
        <v>6172402</v>
      </c>
      <c r="R99" s="159">
        <f t="shared" si="43"/>
        <v>2476216</v>
      </c>
      <c r="S99" s="159">
        <f t="shared" si="43"/>
        <v>1921778</v>
      </c>
      <c r="T99" s="101">
        <f t="shared" si="43"/>
        <v>1896715</v>
      </c>
      <c r="U99" s="101">
        <f t="shared" si="43"/>
        <v>1826069.8900000001</v>
      </c>
      <c r="V99" s="81">
        <f t="shared" ref="V99:AB99" si="44">SUM(V94:V98)</f>
        <v>2004429</v>
      </c>
      <c r="W99" s="81">
        <f t="shared" si="44"/>
        <v>683258</v>
      </c>
      <c r="X99" s="81">
        <f t="shared" si="44"/>
        <v>-1430370</v>
      </c>
      <c r="Y99" s="81">
        <f t="shared" si="44"/>
        <v>-172269</v>
      </c>
      <c r="Z99" s="81">
        <f t="shared" si="44"/>
        <v>23386</v>
      </c>
      <c r="AA99" s="81">
        <f t="shared" si="44"/>
        <v>-140097</v>
      </c>
      <c r="AB99" s="80">
        <f t="shared" si="44"/>
        <v>-20359.890000000087</v>
      </c>
    </row>
    <row r="100" spans="1:28" x14ac:dyDescent="0.25">
      <c r="A100" s="4">
        <f>+A93+1</f>
        <v>14</v>
      </c>
      <c r="B100" s="44" t="s">
        <v>35</v>
      </c>
      <c r="C100" s="102"/>
      <c r="D100" s="103"/>
      <c r="E100" s="103"/>
      <c r="F100" s="103"/>
      <c r="G100" s="103"/>
      <c r="H100" s="103"/>
      <c r="I100" s="103"/>
      <c r="J100" s="103"/>
      <c r="K100" s="103"/>
      <c r="L100" s="104"/>
      <c r="M100" s="161"/>
      <c r="N100" s="103"/>
      <c r="O100" s="161"/>
      <c r="P100" s="103"/>
      <c r="Q100" s="103"/>
      <c r="R100" s="103"/>
      <c r="S100" s="103"/>
      <c r="T100" s="103"/>
      <c r="U100" s="183"/>
      <c r="V100" s="169"/>
      <c r="W100" s="105"/>
      <c r="X100" s="106"/>
      <c r="Y100" s="106"/>
      <c r="Z100" s="106"/>
      <c r="AA100" s="106"/>
      <c r="AB100" s="107"/>
    </row>
    <row r="101" spans="1:28" x14ac:dyDescent="0.25">
      <c r="A101" s="4"/>
      <c r="B101" s="35" t="s">
        <v>36</v>
      </c>
      <c r="C101" s="86">
        <v>6224696.2800000003</v>
      </c>
      <c r="D101" s="87">
        <v>5966497.21</v>
      </c>
      <c r="E101" s="87">
        <v>4109908.97</v>
      </c>
      <c r="F101" s="89">
        <v>2389317.29</v>
      </c>
      <c r="G101" s="87">
        <v>1869752.79</v>
      </c>
      <c r="H101" s="87">
        <v>1382025.56</v>
      </c>
      <c r="I101" s="87">
        <v>1280183.56</v>
      </c>
      <c r="J101" s="87">
        <v>1381879.3</v>
      </c>
      <c r="K101" s="87">
        <v>1370910.83</v>
      </c>
      <c r="L101" s="88">
        <v>3476734.93</v>
      </c>
      <c r="M101" s="89">
        <v>5089419.13</v>
      </c>
      <c r="N101" s="87">
        <v>6093875.9000000004</v>
      </c>
      <c r="O101" s="89">
        <v>6288096.2400000002</v>
      </c>
      <c r="P101" s="87">
        <v>5142196.13</v>
      </c>
      <c r="Q101" s="87">
        <v>4068503.46</v>
      </c>
      <c r="R101" s="87">
        <v>3756883.99</v>
      </c>
      <c r="S101" s="87">
        <v>1873972.34</v>
      </c>
      <c r="T101" s="87">
        <v>1460567.9</v>
      </c>
      <c r="U101" s="184">
        <v>1376164.47</v>
      </c>
      <c r="V101" s="89">
        <f>C101-O101</f>
        <v>-63399.959999999963</v>
      </c>
      <c r="W101" s="89">
        <f t="shared" ref="W101:AB105" si="45">D101-P101</f>
        <v>824301.08000000007</v>
      </c>
      <c r="X101" s="89">
        <f t="shared" si="45"/>
        <v>41405.510000000242</v>
      </c>
      <c r="Y101" s="89">
        <f t="shared" si="45"/>
        <v>-1367566.7000000002</v>
      </c>
      <c r="Z101" s="89">
        <f t="shared" si="45"/>
        <v>-4219.5500000000466</v>
      </c>
      <c r="AA101" s="89">
        <f t="shared" si="45"/>
        <v>-78542.339999999851</v>
      </c>
      <c r="AB101" s="88">
        <f t="shared" si="45"/>
        <v>-95980.909999999916</v>
      </c>
    </row>
    <row r="102" spans="1:28" x14ac:dyDescent="0.25">
      <c r="A102" s="4"/>
      <c r="B102" s="35" t="s">
        <v>37</v>
      </c>
      <c r="C102" s="86">
        <v>1152704.6599999999</v>
      </c>
      <c r="D102" s="87">
        <v>1205346.18</v>
      </c>
      <c r="E102" s="87">
        <v>1113240.8999999999</v>
      </c>
      <c r="F102" s="89">
        <v>334407.42</v>
      </c>
      <c r="G102" s="87">
        <v>243720.66</v>
      </c>
      <c r="H102" s="87">
        <v>206173.58</v>
      </c>
      <c r="I102" s="87">
        <v>178229.8</v>
      </c>
      <c r="J102" s="87">
        <v>188945.35</v>
      </c>
      <c r="K102" s="87">
        <v>288079.65000000002</v>
      </c>
      <c r="L102" s="88">
        <v>538926.78</v>
      </c>
      <c r="M102" s="89">
        <v>1370380.67</v>
      </c>
      <c r="N102" s="87">
        <v>1174618.57</v>
      </c>
      <c r="O102" s="89">
        <v>1223880.3400000001</v>
      </c>
      <c r="P102" s="87">
        <v>572923.34</v>
      </c>
      <c r="Q102" s="87">
        <v>790662.2</v>
      </c>
      <c r="R102" s="87">
        <v>540631.37</v>
      </c>
      <c r="S102" s="87">
        <v>322995.63</v>
      </c>
      <c r="T102" s="87">
        <v>163410.35999999999</v>
      </c>
      <c r="U102" s="184">
        <v>144194.82</v>
      </c>
      <c r="V102" s="89">
        <f>C102-O102</f>
        <v>-71175.680000000168</v>
      </c>
      <c r="W102" s="89">
        <f t="shared" si="45"/>
        <v>632422.84</v>
      </c>
      <c r="X102" s="89">
        <f t="shared" si="45"/>
        <v>322578.69999999995</v>
      </c>
      <c r="Y102" s="89">
        <f t="shared" si="45"/>
        <v>-206223.95</v>
      </c>
      <c r="Z102" s="89">
        <f t="shared" si="45"/>
        <v>-79274.97</v>
      </c>
      <c r="AA102" s="89">
        <f t="shared" si="45"/>
        <v>42763.22</v>
      </c>
      <c r="AB102" s="88">
        <f t="shared" si="45"/>
        <v>34034.979999999981</v>
      </c>
    </row>
    <row r="103" spans="1:28" x14ac:dyDescent="0.25">
      <c r="A103" s="4"/>
      <c r="B103" s="35" t="s">
        <v>38</v>
      </c>
      <c r="C103" s="86">
        <v>1338903.8600000001</v>
      </c>
      <c r="D103" s="87">
        <v>1253267.72</v>
      </c>
      <c r="E103" s="87">
        <v>736421.66</v>
      </c>
      <c r="F103" s="89">
        <v>389481.37</v>
      </c>
      <c r="G103" s="87">
        <v>249568.06</v>
      </c>
      <c r="H103" s="87">
        <v>181985.06</v>
      </c>
      <c r="I103" s="87">
        <v>171141.23</v>
      </c>
      <c r="J103" s="87">
        <v>207768.59</v>
      </c>
      <c r="K103" s="87">
        <v>220879.42</v>
      </c>
      <c r="L103" s="88">
        <v>642369.98</v>
      </c>
      <c r="M103" s="89">
        <v>926205.67</v>
      </c>
      <c r="N103" s="87">
        <v>1284933.42</v>
      </c>
      <c r="O103" s="89">
        <v>1338234.06</v>
      </c>
      <c r="P103" s="87">
        <v>944649.84</v>
      </c>
      <c r="Q103" s="87">
        <v>686592.76</v>
      </c>
      <c r="R103" s="87">
        <v>662227.56999999995</v>
      </c>
      <c r="S103" s="87">
        <v>269127.25</v>
      </c>
      <c r="T103" s="87">
        <v>226509.85</v>
      </c>
      <c r="U103" s="184">
        <v>230746.62</v>
      </c>
      <c r="V103" s="89">
        <f>C103-O103</f>
        <v>669.80000000004657</v>
      </c>
      <c r="W103" s="89">
        <f t="shared" si="45"/>
        <v>308617.88</v>
      </c>
      <c r="X103" s="89">
        <f t="shared" si="45"/>
        <v>49828.900000000023</v>
      </c>
      <c r="Y103" s="89">
        <f t="shared" si="45"/>
        <v>-272746.19999999995</v>
      </c>
      <c r="Z103" s="89">
        <f t="shared" si="45"/>
        <v>-19559.190000000002</v>
      </c>
      <c r="AA103" s="89">
        <f t="shared" si="45"/>
        <v>-44524.790000000008</v>
      </c>
      <c r="AB103" s="78">
        <f t="shared" si="45"/>
        <v>-59605.389999999985</v>
      </c>
    </row>
    <row r="104" spans="1:28" x14ac:dyDescent="0.25">
      <c r="A104" s="4"/>
      <c r="B104" s="35" t="s">
        <v>39</v>
      </c>
      <c r="C104" s="86">
        <v>1928917.59</v>
      </c>
      <c r="D104" s="87">
        <v>1689842.93</v>
      </c>
      <c r="E104" s="87">
        <v>1068180.8799999999</v>
      </c>
      <c r="F104" s="89">
        <v>587471.06000000006</v>
      </c>
      <c r="G104" s="87">
        <v>373450.97</v>
      </c>
      <c r="H104" s="87">
        <v>208150.33</v>
      </c>
      <c r="I104" s="87">
        <v>185953.29</v>
      </c>
      <c r="J104" s="87">
        <v>232630.14</v>
      </c>
      <c r="K104" s="87">
        <v>252697.01699999999</v>
      </c>
      <c r="L104" s="88">
        <v>809851.28</v>
      </c>
      <c r="M104" s="89">
        <v>1112456.3500000001</v>
      </c>
      <c r="N104" s="87">
        <v>1544069.19</v>
      </c>
      <c r="O104" s="89">
        <v>1676548.89</v>
      </c>
      <c r="P104" s="87">
        <v>1123779.1599999999</v>
      </c>
      <c r="Q104" s="87">
        <v>850744.08</v>
      </c>
      <c r="R104" s="87">
        <v>841788.72</v>
      </c>
      <c r="S104" s="87">
        <v>321609.38</v>
      </c>
      <c r="T104" s="87">
        <v>222264.56</v>
      </c>
      <c r="U104" s="184">
        <v>231548.13</v>
      </c>
      <c r="V104" s="89">
        <f>C104-O104</f>
        <v>252368.70000000019</v>
      </c>
      <c r="W104" s="89">
        <f t="shared" si="45"/>
        <v>566063.77</v>
      </c>
      <c r="X104" s="89">
        <f t="shared" si="45"/>
        <v>217436.79999999993</v>
      </c>
      <c r="Y104" s="89">
        <f t="shared" si="45"/>
        <v>-254317.65999999992</v>
      </c>
      <c r="Z104" s="89">
        <f t="shared" si="45"/>
        <v>51841.589999999967</v>
      </c>
      <c r="AA104" s="89">
        <f t="shared" si="45"/>
        <v>-14114.23000000001</v>
      </c>
      <c r="AB104" s="99">
        <f t="shared" si="45"/>
        <v>-45594.84</v>
      </c>
    </row>
    <row r="105" spans="1:28" x14ac:dyDescent="0.25">
      <c r="A105" s="4"/>
      <c r="B105" s="35" t="s">
        <v>40</v>
      </c>
      <c r="C105" s="86">
        <v>542865.93000000005</v>
      </c>
      <c r="D105" s="87">
        <v>690944.67</v>
      </c>
      <c r="E105" s="87">
        <v>201634.94</v>
      </c>
      <c r="F105" s="89">
        <v>582547</v>
      </c>
      <c r="G105" s="87">
        <v>395762.86</v>
      </c>
      <c r="H105" s="87">
        <v>355310.46</v>
      </c>
      <c r="I105" s="87">
        <v>341466.93</v>
      </c>
      <c r="J105" s="87">
        <v>278171.59999999998</v>
      </c>
      <c r="K105" s="87">
        <v>347851.2</v>
      </c>
      <c r="L105" s="88">
        <v>416494.79</v>
      </c>
      <c r="M105" s="89">
        <v>470839.95</v>
      </c>
      <c r="N105" s="87">
        <v>468482.97</v>
      </c>
      <c r="O105" s="89">
        <v>470029.83</v>
      </c>
      <c r="P105" s="87">
        <v>349206.2</v>
      </c>
      <c r="Q105" s="87">
        <v>376956.64</v>
      </c>
      <c r="R105" s="87">
        <v>528877.03</v>
      </c>
      <c r="S105" s="87">
        <v>353511.97</v>
      </c>
      <c r="T105" s="87">
        <v>420958.27</v>
      </c>
      <c r="U105" s="184">
        <v>337894.28</v>
      </c>
      <c r="V105" s="89">
        <f>C105-O105</f>
        <v>72836.100000000035</v>
      </c>
      <c r="W105" s="89">
        <f t="shared" si="45"/>
        <v>341738.47000000003</v>
      </c>
      <c r="X105" s="89">
        <f t="shared" si="45"/>
        <v>-175321.7</v>
      </c>
      <c r="Y105" s="89">
        <f t="shared" si="45"/>
        <v>53669.969999999972</v>
      </c>
      <c r="Z105" s="89">
        <f t="shared" si="45"/>
        <v>42250.890000000014</v>
      </c>
      <c r="AA105" s="89">
        <f t="shared" si="45"/>
        <v>-65647.81</v>
      </c>
      <c r="AB105" s="99">
        <f t="shared" si="45"/>
        <v>3572.6499999999651</v>
      </c>
    </row>
    <row r="106" spans="1:28" x14ac:dyDescent="0.25">
      <c r="A106" s="4"/>
      <c r="B106" s="35" t="s">
        <v>41</v>
      </c>
      <c r="C106" s="108">
        <f>SUM(C101:C105)</f>
        <v>11188088.32</v>
      </c>
      <c r="D106" s="79">
        <f>SUM(D101:D105)</f>
        <v>10805898.709999999</v>
      </c>
      <c r="E106" s="109">
        <f t="shared" ref="E106:AB106" si="46">SUM(E101:E105)</f>
        <v>7229387.3500000006</v>
      </c>
      <c r="F106" s="109">
        <f t="shared" si="46"/>
        <v>4283224.1400000006</v>
      </c>
      <c r="G106" s="79">
        <f t="shared" si="46"/>
        <v>3132255.3400000003</v>
      </c>
      <c r="H106" s="109">
        <f t="shared" si="46"/>
        <v>2333644.9900000002</v>
      </c>
      <c r="I106" s="109">
        <f t="shared" si="46"/>
        <v>2156974.81</v>
      </c>
      <c r="J106" s="109">
        <f t="shared" si="46"/>
        <v>2289394.9800000004</v>
      </c>
      <c r="K106" s="109">
        <f t="shared" si="46"/>
        <v>2480418.1170000001</v>
      </c>
      <c r="L106" s="110">
        <f t="shared" si="46"/>
        <v>5884377.7599999998</v>
      </c>
      <c r="M106" s="79">
        <f t="shared" si="46"/>
        <v>8969301.7699999996</v>
      </c>
      <c r="N106" s="89">
        <f t="shared" si="46"/>
        <v>10565980.050000001</v>
      </c>
      <c r="O106" s="109">
        <f t="shared" si="46"/>
        <v>10996789.360000001</v>
      </c>
      <c r="P106" s="98">
        <f t="shared" si="46"/>
        <v>8132754.6699999999</v>
      </c>
      <c r="Q106" s="109">
        <f t="shared" si="46"/>
        <v>6773459.1399999997</v>
      </c>
      <c r="R106" s="98">
        <f t="shared" si="46"/>
        <v>6330408.6800000006</v>
      </c>
      <c r="S106" s="109">
        <f t="shared" si="46"/>
        <v>3141216.5700000003</v>
      </c>
      <c r="T106" s="79">
        <f t="shared" si="46"/>
        <v>2493710.94</v>
      </c>
      <c r="U106" s="180">
        <f t="shared" si="46"/>
        <v>2320548.3200000003</v>
      </c>
      <c r="V106" s="109">
        <f t="shared" si="46"/>
        <v>191298.96000000014</v>
      </c>
      <c r="W106" s="79">
        <f t="shared" si="46"/>
        <v>2673144.04</v>
      </c>
      <c r="X106" s="77">
        <f t="shared" si="46"/>
        <v>455928.21000000014</v>
      </c>
      <c r="Y106" s="77">
        <f t="shared" si="46"/>
        <v>-2047184.5399999998</v>
      </c>
      <c r="Z106" s="77">
        <f t="shared" si="46"/>
        <v>-8961.2300000000687</v>
      </c>
      <c r="AA106" s="109">
        <f t="shared" si="46"/>
        <v>-160065.94999999987</v>
      </c>
      <c r="AB106" s="110">
        <f t="shared" si="46"/>
        <v>-163573.50999999995</v>
      </c>
    </row>
    <row r="107" spans="1:28" x14ac:dyDescent="0.25">
      <c r="A107" s="4">
        <f>+A100+1</f>
        <v>15</v>
      </c>
      <c r="B107" s="43" t="s">
        <v>32</v>
      </c>
      <c r="C107" s="111"/>
      <c r="D107" s="112"/>
      <c r="E107" s="112"/>
      <c r="F107" s="113"/>
      <c r="G107" s="112"/>
      <c r="H107" s="112"/>
      <c r="I107" s="112"/>
      <c r="J107" s="112"/>
      <c r="K107" s="112"/>
      <c r="L107" s="114"/>
      <c r="M107" s="113"/>
      <c r="N107" s="112"/>
      <c r="O107" s="113"/>
      <c r="P107" s="112"/>
      <c r="Q107" s="112"/>
      <c r="R107" s="112"/>
      <c r="S107" s="112"/>
      <c r="T107" s="112"/>
      <c r="U107" s="185"/>
      <c r="V107" s="113"/>
      <c r="W107" s="115"/>
      <c r="X107" s="116"/>
      <c r="Y107" s="116"/>
      <c r="Z107" s="116"/>
      <c r="AA107" s="116"/>
      <c r="AB107" s="117"/>
    </row>
    <row r="108" spans="1:28" x14ac:dyDescent="0.25">
      <c r="A108" s="4"/>
      <c r="B108" s="35" t="s">
        <v>36</v>
      </c>
      <c r="C108" s="118">
        <v>31838</v>
      </c>
      <c r="D108" s="119">
        <v>33081</v>
      </c>
      <c r="E108" s="119">
        <v>31193</v>
      </c>
      <c r="F108" s="120">
        <v>28141</v>
      </c>
      <c r="G108" s="119">
        <v>31124</v>
      </c>
      <c r="H108" s="119">
        <v>28268</v>
      </c>
      <c r="I108" s="119">
        <v>28195</v>
      </c>
      <c r="J108" s="119">
        <v>31279</v>
      </c>
      <c r="K108" s="119">
        <v>24640</v>
      </c>
      <c r="L108" s="121">
        <v>33868</v>
      </c>
      <c r="M108" s="120">
        <v>30933</v>
      </c>
      <c r="N108" s="119">
        <v>32879</v>
      </c>
      <c r="O108" s="120">
        <v>36883</v>
      </c>
      <c r="P108" s="119">
        <v>33330</v>
      </c>
      <c r="Q108" s="119">
        <v>29310</v>
      </c>
      <c r="R108" s="119">
        <v>38391</v>
      </c>
      <c r="S108" s="119">
        <v>31047</v>
      </c>
      <c r="T108" s="119">
        <v>29739</v>
      </c>
      <c r="U108" s="186">
        <v>30126</v>
      </c>
      <c r="V108" s="120">
        <f>C108-O108</f>
        <v>-5045</v>
      </c>
      <c r="W108" s="120">
        <f>D108-P108</f>
        <v>-249</v>
      </c>
      <c r="X108" s="120">
        <f t="shared" ref="X108:AB112" si="47">E108-Q108</f>
        <v>1883</v>
      </c>
      <c r="Y108" s="120">
        <f t="shared" si="47"/>
        <v>-10250</v>
      </c>
      <c r="Z108" s="120">
        <f t="shared" si="47"/>
        <v>77</v>
      </c>
      <c r="AA108" s="120">
        <f t="shared" si="47"/>
        <v>-1471</v>
      </c>
      <c r="AB108" s="121">
        <f t="shared" si="47"/>
        <v>-1931</v>
      </c>
    </row>
    <row r="109" spans="1:28" x14ac:dyDescent="0.25">
      <c r="A109" s="4"/>
      <c r="B109" s="35" t="s">
        <v>37</v>
      </c>
      <c r="C109" s="118">
        <v>6771</v>
      </c>
      <c r="D109" s="119">
        <v>7575</v>
      </c>
      <c r="E109" s="119">
        <v>9731</v>
      </c>
      <c r="F109" s="120">
        <v>5421</v>
      </c>
      <c r="G109" s="119">
        <v>3682</v>
      </c>
      <c r="H109" s="119">
        <v>3839</v>
      </c>
      <c r="I109" s="119">
        <v>3977</v>
      </c>
      <c r="J109" s="119">
        <v>4349</v>
      </c>
      <c r="K109" s="119">
        <v>4452</v>
      </c>
      <c r="L109" s="121">
        <v>5266</v>
      </c>
      <c r="M109" s="120">
        <v>9600</v>
      </c>
      <c r="N109" s="119">
        <v>7934</v>
      </c>
      <c r="O109" s="120">
        <v>9447</v>
      </c>
      <c r="P109" s="119">
        <v>4771</v>
      </c>
      <c r="Q109" s="119">
        <v>8029</v>
      </c>
      <c r="R109" s="119">
        <v>8259</v>
      </c>
      <c r="S109" s="119">
        <v>3985</v>
      </c>
      <c r="T109" s="119">
        <v>3239</v>
      </c>
      <c r="U109" s="186">
        <v>3654</v>
      </c>
      <c r="V109" s="120">
        <f t="shared" ref="V109:W112" si="48">C109-O109</f>
        <v>-2676</v>
      </c>
      <c r="W109" s="120">
        <f t="shared" si="48"/>
        <v>2804</v>
      </c>
      <c r="X109" s="120">
        <f t="shared" si="47"/>
        <v>1702</v>
      </c>
      <c r="Y109" s="120">
        <f t="shared" si="47"/>
        <v>-2838</v>
      </c>
      <c r="Z109" s="120">
        <f t="shared" si="47"/>
        <v>-303</v>
      </c>
      <c r="AA109" s="120">
        <f t="shared" si="47"/>
        <v>600</v>
      </c>
      <c r="AB109" s="121">
        <f t="shared" si="47"/>
        <v>323</v>
      </c>
    </row>
    <row r="110" spans="1:28" x14ac:dyDescent="0.25">
      <c r="A110" s="4"/>
      <c r="B110" s="35" t="s">
        <v>38</v>
      </c>
      <c r="C110" s="118">
        <v>3168</v>
      </c>
      <c r="D110" s="119">
        <v>3289</v>
      </c>
      <c r="E110" s="119">
        <v>2956</v>
      </c>
      <c r="F110" s="120">
        <v>2949</v>
      </c>
      <c r="G110" s="119">
        <v>3102</v>
      </c>
      <c r="H110" s="119">
        <v>2928</v>
      </c>
      <c r="I110" s="119">
        <v>2930</v>
      </c>
      <c r="J110" s="119">
        <v>3201</v>
      </c>
      <c r="K110" s="119">
        <v>2573</v>
      </c>
      <c r="L110" s="121">
        <v>3455</v>
      </c>
      <c r="M110" s="120">
        <v>2837</v>
      </c>
      <c r="N110" s="119">
        <v>3239</v>
      </c>
      <c r="O110" s="120">
        <v>3787</v>
      </c>
      <c r="P110" s="119">
        <v>2883</v>
      </c>
      <c r="Q110" s="119">
        <v>2709</v>
      </c>
      <c r="R110" s="119">
        <v>3920</v>
      </c>
      <c r="S110" s="119">
        <v>3094</v>
      </c>
      <c r="T110" s="119">
        <v>3053</v>
      </c>
      <c r="U110" s="186">
        <v>3107</v>
      </c>
      <c r="V110" s="120">
        <f t="shared" si="48"/>
        <v>-619</v>
      </c>
      <c r="W110" s="120">
        <f t="shared" si="48"/>
        <v>406</v>
      </c>
      <c r="X110" s="120">
        <f t="shared" si="47"/>
        <v>247</v>
      </c>
      <c r="Y110" s="120">
        <f t="shared" si="47"/>
        <v>-971</v>
      </c>
      <c r="Z110" s="120">
        <f t="shared" si="47"/>
        <v>8</v>
      </c>
      <c r="AA110" s="120">
        <f t="shared" si="47"/>
        <v>-125</v>
      </c>
      <c r="AB110" s="121">
        <f t="shared" si="47"/>
        <v>-177</v>
      </c>
    </row>
    <row r="111" spans="1:28" x14ac:dyDescent="0.25">
      <c r="A111" s="4"/>
      <c r="B111" s="35" t="s">
        <v>39</v>
      </c>
      <c r="C111" s="118">
        <v>549</v>
      </c>
      <c r="D111" s="119">
        <v>568</v>
      </c>
      <c r="E111" s="119">
        <v>486</v>
      </c>
      <c r="F111" s="120">
        <v>478</v>
      </c>
      <c r="G111" s="119">
        <v>558</v>
      </c>
      <c r="H111" s="119">
        <v>489</v>
      </c>
      <c r="I111" s="119">
        <v>471</v>
      </c>
      <c r="J111" s="119">
        <v>537</v>
      </c>
      <c r="K111" s="119">
        <v>406</v>
      </c>
      <c r="L111" s="121">
        <v>562</v>
      </c>
      <c r="M111" s="120">
        <v>454</v>
      </c>
      <c r="N111" s="119">
        <v>483</v>
      </c>
      <c r="O111" s="120">
        <v>598</v>
      </c>
      <c r="P111" s="119">
        <v>444</v>
      </c>
      <c r="Q111" s="119">
        <v>402</v>
      </c>
      <c r="R111" s="119">
        <v>608</v>
      </c>
      <c r="S111" s="119">
        <v>506</v>
      </c>
      <c r="T111" s="119">
        <v>470</v>
      </c>
      <c r="U111" s="186">
        <v>497</v>
      </c>
      <c r="V111" s="120">
        <f t="shared" si="48"/>
        <v>-49</v>
      </c>
      <c r="W111" s="120">
        <f t="shared" si="48"/>
        <v>124</v>
      </c>
      <c r="X111" s="120">
        <f t="shared" si="47"/>
        <v>84</v>
      </c>
      <c r="Y111" s="120">
        <f t="shared" si="47"/>
        <v>-130</v>
      </c>
      <c r="Z111" s="120">
        <f t="shared" si="47"/>
        <v>52</v>
      </c>
      <c r="AA111" s="120">
        <f t="shared" si="47"/>
        <v>19</v>
      </c>
      <c r="AB111" s="121">
        <f t="shared" si="47"/>
        <v>-26</v>
      </c>
    </row>
    <row r="112" spans="1:28" x14ac:dyDescent="0.25">
      <c r="A112" s="4"/>
      <c r="B112" s="35" t="s">
        <v>40</v>
      </c>
      <c r="C112" s="118">
        <v>27</v>
      </c>
      <c r="D112" s="119">
        <v>34</v>
      </c>
      <c r="E112" s="119">
        <v>11</v>
      </c>
      <c r="F112" s="120">
        <v>28</v>
      </c>
      <c r="G112" s="119">
        <v>34</v>
      </c>
      <c r="H112" s="119">
        <v>30</v>
      </c>
      <c r="I112" s="119">
        <v>35</v>
      </c>
      <c r="J112" s="119">
        <v>20</v>
      </c>
      <c r="K112" s="119">
        <v>26</v>
      </c>
      <c r="L112" s="121">
        <v>32</v>
      </c>
      <c r="M112" s="120">
        <v>25</v>
      </c>
      <c r="N112" s="119">
        <v>26</v>
      </c>
      <c r="O112" s="120">
        <v>27</v>
      </c>
      <c r="P112" s="119">
        <v>21</v>
      </c>
      <c r="Q112" s="119">
        <v>18</v>
      </c>
      <c r="R112" s="119">
        <v>36</v>
      </c>
      <c r="S112" s="119">
        <v>32</v>
      </c>
      <c r="T112" s="119">
        <v>29</v>
      </c>
      <c r="U112" s="186">
        <v>28</v>
      </c>
      <c r="V112" s="120">
        <f t="shared" si="48"/>
        <v>0</v>
      </c>
      <c r="W112" s="120">
        <f t="shared" si="48"/>
        <v>13</v>
      </c>
      <c r="X112" s="120">
        <f t="shared" si="47"/>
        <v>-7</v>
      </c>
      <c r="Y112" s="120">
        <f t="shared" si="47"/>
        <v>-8</v>
      </c>
      <c r="Z112" s="120">
        <f t="shared" si="47"/>
        <v>2</v>
      </c>
      <c r="AA112" s="120">
        <f t="shared" si="47"/>
        <v>1</v>
      </c>
      <c r="AB112" s="121">
        <f t="shared" si="47"/>
        <v>7</v>
      </c>
    </row>
    <row r="113" spans="1:28" ht="15.75" thickBot="1" x14ac:dyDescent="0.3">
      <c r="A113" s="4"/>
      <c r="B113" s="37" t="s">
        <v>41</v>
      </c>
      <c r="C113" s="122">
        <f>SUM(C108:C112)</f>
        <v>42353</v>
      </c>
      <c r="D113" s="60">
        <f>SUM(D108:D112)</f>
        <v>44547</v>
      </c>
      <c r="E113" s="60">
        <f t="shared" ref="E113:AB113" si="49">SUM(E108:E112)</f>
        <v>44377</v>
      </c>
      <c r="F113" s="60">
        <f t="shared" si="49"/>
        <v>37017</v>
      </c>
      <c r="G113" s="60">
        <f t="shared" si="49"/>
        <v>38500</v>
      </c>
      <c r="H113" s="60">
        <f t="shared" si="49"/>
        <v>35554</v>
      </c>
      <c r="I113" s="60">
        <f t="shared" si="49"/>
        <v>35608</v>
      </c>
      <c r="J113" s="60">
        <f t="shared" si="49"/>
        <v>39386</v>
      </c>
      <c r="K113" s="60">
        <f t="shared" si="49"/>
        <v>32097</v>
      </c>
      <c r="L113" s="163">
        <f t="shared" si="49"/>
        <v>43183</v>
      </c>
      <c r="M113" s="60">
        <f t="shared" si="49"/>
        <v>43849</v>
      </c>
      <c r="N113" s="60">
        <f t="shared" si="49"/>
        <v>44561</v>
      </c>
      <c r="O113" s="60">
        <f t="shared" si="49"/>
        <v>50742</v>
      </c>
      <c r="P113" s="60">
        <f t="shared" si="49"/>
        <v>41449</v>
      </c>
      <c r="Q113" s="60">
        <f t="shared" si="49"/>
        <v>40468</v>
      </c>
      <c r="R113" s="60">
        <f t="shared" si="49"/>
        <v>51214</v>
      </c>
      <c r="S113" s="60">
        <f t="shared" si="49"/>
        <v>38664</v>
      </c>
      <c r="T113" s="60">
        <f t="shared" si="49"/>
        <v>36530</v>
      </c>
      <c r="U113" s="187">
        <f t="shared" si="49"/>
        <v>37412</v>
      </c>
      <c r="V113" s="60">
        <f t="shared" si="49"/>
        <v>-8389</v>
      </c>
      <c r="W113" s="60">
        <f t="shared" si="49"/>
        <v>3098</v>
      </c>
      <c r="X113" s="60">
        <f t="shared" si="49"/>
        <v>3909</v>
      </c>
      <c r="Y113" s="60">
        <f t="shared" si="49"/>
        <v>-14197</v>
      </c>
      <c r="Z113" s="60">
        <f t="shared" si="49"/>
        <v>-164</v>
      </c>
      <c r="AA113" s="60">
        <f t="shared" si="49"/>
        <v>-976</v>
      </c>
      <c r="AB113" s="59">
        <f t="shared" si="49"/>
        <v>-1804</v>
      </c>
    </row>
    <row r="114" spans="1:28" x14ac:dyDescent="0.25">
      <c r="A114" s="4">
        <f>+A107+1</f>
        <v>16</v>
      </c>
      <c r="B114" s="45" t="s">
        <v>44</v>
      </c>
      <c r="C114" s="123"/>
      <c r="D114" s="124"/>
      <c r="E114" s="124"/>
      <c r="F114" s="125"/>
      <c r="G114" s="124"/>
      <c r="H114" s="124"/>
      <c r="I114" s="124"/>
      <c r="J114" s="124"/>
      <c r="K114" s="124"/>
      <c r="L114" s="126"/>
      <c r="M114" s="125"/>
      <c r="N114" s="124"/>
      <c r="O114" s="125"/>
      <c r="P114" s="124"/>
      <c r="Q114" s="124"/>
      <c r="R114" s="124"/>
      <c r="S114" s="124"/>
      <c r="T114" s="124"/>
      <c r="U114" s="188"/>
      <c r="V114" s="125"/>
      <c r="W114" s="127"/>
      <c r="X114" s="128"/>
      <c r="Y114" s="128"/>
      <c r="Z114" s="128"/>
      <c r="AA114" s="128"/>
      <c r="AB114" s="129"/>
    </row>
    <row r="115" spans="1:28" x14ac:dyDescent="0.25">
      <c r="A115" s="4"/>
      <c r="B115" s="35" t="s">
        <v>36</v>
      </c>
      <c r="C115" s="97">
        <f>C94-C101</f>
        <v>1095955.7199999997</v>
      </c>
      <c r="D115" s="89">
        <f>D94-D101</f>
        <v>-583025.21</v>
      </c>
      <c r="E115" s="89">
        <f t="shared" ref="E115:U115" si="50">E94-E101</f>
        <v>-1273980.9700000002</v>
      </c>
      <c r="F115" s="89">
        <f t="shared" si="50"/>
        <v>-754083.29</v>
      </c>
      <c r="G115" s="89">
        <f t="shared" si="50"/>
        <v>-678775.79</v>
      </c>
      <c r="H115" s="89">
        <f t="shared" si="50"/>
        <v>-308283.56000000006</v>
      </c>
      <c r="I115" s="89">
        <f t="shared" si="50"/>
        <v>-186856.56000000006</v>
      </c>
      <c r="J115" s="89">
        <f t="shared" si="50"/>
        <v>-177026.30000000005</v>
      </c>
      <c r="K115" s="89">
        <f t="shared" si="50"/>
        <v>1461687.17</v>
      </c>
      <c r="L115" s="99">
        <f t="shared" si="50"/>
        <v>2530458.0699999998</v>
      </c>
      <c r="M115" s="89">
        <f t="shared" si="50"/>
        <v>2773012.87</v>
      </c>
      <c r="N115" s="87">
        <f>N94-N101</f>
        <v>767793.09999999963</v>
      </c>
      <c r="O115" s="89">
        <f t="shared" si="50"/>
        <v>-64992.240000000224</v>
      </c>
      <c r="P115" s="89">
        <f t="shared" si="50"/>
        <v>-5602.1299999998882</v>
      </c>
      <c r="Q115" s="89">
        <f t="shared" si="50"/>
        <v>-98451.459999999963</v>
      </c>
      <c r="R115" s="89">
        <f t="shared" si="50"/>
        <v>-2175016.9900000002</v>
      </c>
      <c r="S115" s="89">
        <f t="shared" si="50"/>
        <v>-678991.34000000008</v>
      </c>
      <c r="T115" s="89">
        <f t="shared" si="50"/>
        <v>-293801.89999999991</v>
      </c>
      <c r="U115" s="189">
        <f t="shared" si="50"/>
        <v>-212622.34999999986</v>
      </c>
      <c r="V115" s="89">
        <f t="shared" ref="V115:AB119" si="51">C115-O115</f>
        <v>1160947.96</v>
      </c>
      <c r="W115" s="89">
        <f t="shared" si="51"/>
        <v>-577423.08000000007</v>
      </c>
      <c r="X115" s="89">
        <f t="shared" si="51"/>
        <v>-1175529.5100000002</v>
      </c>
      <c r="Y115" s="89">
        <f t="shared" si="51"/>
        <v>1420933.7000000002</v>
      </c>
      <c r="Z115" s="89">
        <f t="shared" si="51"/>
        <v>215.55000000004657</v>
      </c>
      <c r="AA115" s="89">
        <f t="shared" si="51"/>
        <v>-14481.660000000149</v>
      </c>
      <c r="AB115" s="88">
        <f t="shared" si="51"/>
        <v>25765.789999999804</v>
      </c>
    </row>
    <row r="116" spans="1:28" x14ac:dyDescent="0.25">
      <c r="A116" s="4"/>
      <c r="B116" s="35" t="s">
        <v>37</v>
      </c>
      <c r="C116" s="97">
        <f t="shared" ref="C116:D119" si="52">C95-C102</f>
        <v>180782.34000000008</v>
      </c>
      <c r="D116" s="89">
        <f t="shared" si="52"/>
        <v>-247261.17999999993</v>
      </c>
      <c r="E116" s="89">
        <f t="shared" ref="E116:U116" si="53">E95-E102</f>
        <v>-604845.89999999991</v>
      </c>
      <c r="F116" s="89">
        <f t="shared" si="53"/>
        <v>-46128.419999999984</v>
      </c>
      <c r="G116" s="89">
        <f t="shared" si="53"/>
        <v>-44653.66</v>
      </c>
      <c r="H116" s="89">
        <f t="shared" si="53"/>
        <v>-20446.579999999987</v>
      </c>
      <c r="I116" s="89">
        <f t="shared" si="53"/>
        <v>13193.200000000012</v>
      </c>
      <c r="J116" s="89">
        <f t="shared" si="53"/>
        <v>36293.649999999994</v>
      </c>
      <c r="K116" s="89">
        <f t="shared" si="53"/>
        <v>294874.34999999998</v>
      </c>
      <c r="L116" s="99">
        <f t="shared" si="53"/>
        <v>577135.22</v>
      </c>
      <c r="M116" s="89">
        <f t="shared" si="53"/>
        <v>58989.330000000075</v>
      </c>
      <c r="N116" s="87">
        <f t="shared" si="53"/>
        <v>39711.429999999935</v>
      </c>
      <c r="O116" s="89">
        <f t="shared" si="53"/>
        <v>-90617.340000000084</v>
      </c>
      <c r="P116" s="89">
        <f t="shared" si="53"/>
        <v>376579.66000000003</v>
      </c>
      <c r="Q116" s="89">
        <f t="shared" si="53"/>
        <v>-100223.19999999995</v>
      </c>
      <c r="R116" s="89">
        <f t="shared" si="53"/>
        <v>-273055.37</v>
      </c>
      <c r="S116" s="89">
        <f t="shared" si="53"/>
        <v>-131951.63</v>
      </c>
      <c r="T116" s="89">
        <f t="shared" si="53"/>
        <v>33110.640000000014</v>
      </c>
      <c r="U116" s="88">
        <f t="shared" si="53"/>
        <v>51725.449999999983</v>
      </c>
      <c r="V116" s="89">
        <f t="shared" si="51"/>
        <v>271399.68000000017</v>
      </c>
      <c r="W116" s="89">
        <f t="shared" si="51"/>
        <v>-623840.84</v>
      </c>
      <c r="X116" s="89">
        <f t="shared" si="51"/>
        <v>-504622.69999999995</v>
      </c>
      <c r="Y116" s="89">
        <f t="shared" si="51"/>
        <v>226926.95</v>
      </c>
      <c r="Z116" s="89">
        <f t="shared" si="51"/>
        <v>87297.97</v>
      </c>
      <c r="AA116" s="89">
        <f t="shared" si="51"/>
        <v>-53557.22</v>
      </c>
      <c r="AB116" s="88">
        <f t="shared" si="51"/>
        <v>-38532.249999999971</v>
      </c>
    </row>
    <row r="117" spans="1:28" x14ac:dyDescent="0.25">
      <c r="A117" s="4"/>
      <c r="B117" s="35" t="s">
        <v>38</v>
      </c>
      <c r="C117" s="97">
        <f t="shared" si="52"/>
        <v>36741.139999999898</v>
      </c>
      <c r="D117" s="89">
        <f t="shared" si="52"/>
        <v>-329815.71999999997</v>
      </c>
      <c r="E117" s="89">
        <f t="shared" ref="E117:U117" si="54">E96-E103</f>
        <v>-272123.66000000003</v>
      </c>
      <c r="F117" s="89">
        <f t="shared" si="54"/>
        <v>-126996.37</v>
      </c>
      <c r="G117" s="89">
        <f t="shared" si="54"/>
        <v>-65639.06</v>
      </c>
      <c r="H117" s="89">
        <f t="shared" si="54"/>
        <v>-20065.059999999998</v>
      </c>
      <c r="I117" s="89">
        <f t="shared" si="54"/>
        <v>3621.7699999999895</v>
      </c>
      <c r="J117" s="89">
        <f t="shared" si="54"/>
        <v>-3837.5899999999965</v>
      </c>
      <c r="K117" s="89">
        <f t="shared" si="54"/>
        <v>221984.58</v>
      </c>
      <c r="L117" s="99">
        <f t="shared" si="54"/>
        <v>419358.02</v>
      </c>
      <c r="M117" s="89">
        <f t="shared" si="54"/>
        <v>545557.32999999996</v>
      </c>
      <c r="N117" s="87">
        <f t="shared" si="54"/>
        <v>-36967.419999999925</v>
      </c>
      <c r="O117" s="89">
        <f t="shared" si="54"/>
        <v>-237559.06000000006</v>
      </c>
      <c r="P117" s="89">
        <f t="shared" si="54"/>
        <v>-103259.83999999997</v>
      </c>
      <c r="Q117" s="89">
        <f t="shared" si="54"/>
        <v>-126114.76000000001</v>
      </c>
      <c r="R117" s="89">
        <f t="shared" si="54"/>
        <v>-466460.56999999995</v>
      </c>
      <c r="S117" s="89">
        <f>S96-S103</f>
        <v>-98781.25</v>
      </c>
      <c r="T117" s="89">
        <f t="shared" si="54"/>
        <v>-48814.850000000006</v>
      </c>
      <c r="U117" s="88">
        <f t="shared" si="54"/>
        <v>-86039.18</v>
      </c>
      <c r="V117" s="89">
        <f t="shared" si="51"/>
        <v>274300.19999999995</v>
      </c>
      <c r="W117" s="89">
        <f t="shared" si="51"/>
        <v>-226555.88</v>
      </c>
      <c r="X117" s="89">
        <f t="shared" si="51"/>
        <v>-146008.90000000002</v>
      </c>
      <c r="Y117" s="89">
        <f t="shared" si="51"/>
        <v>339464.19999999995</v>
      </c>
      <c r="Z117" s="89">
        <f t="shared" si="51"/>
        <v>33142.19</v>
      </c>
      <c r="AA117" s="89">
        <f t="shared" si="51"/>
        <v>28749.790000000008</v>
      </c>
      <c r="AB117" s="88">
        <f t="shared" si="51"/>
        <v>89660.949999999983</v>
      </c>
    </row>
    <row r="118" spans="1:28" x14ac:dyDescent="0.25">
      <c r="A118" s="4"/>
      <c r="B118" s="35" t="s">
        <v>39</v>
      </c>
      <c r="C118" s="97">
        <f t="shared" si="52"/>
        <v>-261964.59000000008</v>
      </c>
      <c r="D118" s="89">
        <f t="shared" si="52"/>
        <v>-188087.92999999993</v>
      </c>
      <c r="E118" s="89">
        <f t="shared" ref="E118:U118" si="55">E97-E104</f>
        <v>-341438.87999999989</v>
      </c>
      <c r="F118" s="89">
        <f t="shared" si="55"/>
        <v>-640213.06000000006</v>
      </c>
      <c r="G118" s="89">
        <f t="shared" si="55"/>
        <v>-187125.96999999997</v>
      </c>
      <c r="H118" s="89">
        <f t="shared" si="55"/>
        <v>-38515.329999999987</v>
      </c>
      <c r="I118" s="89">
        <f t="shared" si="55"/>
        <v>21515.709999999992</v>
      </c>
      <c r="J118" s="89">
        <f t="shared" si="55"/>
        <v>9773.859999999986</v>
      </c>
      <c r="K118" s="89">
        <f t="shared" si="55"/>
        <v>373476.98300000001</v>
      </c>
      <c r="L118" s="99">
        <f t="shared" si="55"/>
        <v>421637.72</v>
      </c>
      <c r="M118" s="89">
        <f t="shared" si="55"/>
        <v>600628.64999999991</v>
      </c>
      <c r="N118" s="87">
        <f t="shared" si="55"/>
        <v>-31336.189999999944</v>
      </c>
      <c r="O118" s="89">
        <f t="shared" si="55"/>
        <v>-321307.8899999999</v>
      </c>
      <c r="P118" s="89">
        <f t="shared" si="55"/>
        <v>-18591.159999999916</v>
      </c>
      <c r="Q118" s="89">
        <f t="shared" si="55"/>
        <v>-88444.079999999958</v>
      </c>
      <c r="R118" s="89">
        <f t="shared" si="55"/>
        <v>-592444.72</v>
      </c>
      <c r="S118" s="89">
        <f t="shared" si="55"/>
        <v>-135999.38</v>
      </c>
      <c r="T118" s="89">
        <f t="shared" si="55"/>
        <v>-42478.559999999998</v>
      </c>
      <c r="U118" s="88">
        <f t="shared" si="55"/>
        <v>-100743.59000000001</v>
      </c>
      <c r="V118" s="89">
        <f t="shared" si="51"/>
        <v>59343.299999999814</v>
      </c>
      <c r="W118" s="89">
        <f t="shared" si="51"/>
        <v>-169496.77000000002</v>
      </c>
      <c r="X118" s="89">
        <f t="shared" si="51"/>
        <v>-252994.79999999993</v>
      </c>
      <c r="Y118" s="89">
        <f t="shared" si="51"/>
        <v>-47768.340000000084</v>
      </c>
      <c r="Z118" s="89">
        <f t="shared" si="51"/>
        <v>-51126.589999999967</v>
      </c>
      <c r="AA118" s="89">
        <f t="shared" si="51"/>
        <v>3963.2300000000105</v>
      </c>
      <c r="AB118" s="88">
        <f t="shared" si="51"/>
        <v>122259.3</v>
      </c>
    </row>
    <row r="119" spans="1:28" x14ac:dyDescent="0.25">
      <c r="A119" s="4"/>
      <c r="B119" s="35" t="s">
        <v>40</v>
      </c>
      <c r="C119" s="97">
        <f t="shared" si="52"/>
        <v>-133467.93000000005</v>
      </c>
      <c r="D119" s="89">
        <f t="shared" si="52"/>
        <v>-418325.67000000004</v>
      </c>
      <c r="E119" s="89">
        <f t="shared" ref="E119:U119" si="56">E98-E105</f>
        <v>5034.0599999999977</v>
      </c>
      <c r="F119" s="89">
        <f t="shared" si="56"/>
        <v>-411856</v>
      </c>
      <c r="G119" s="89">
        <f t="shared" si="56"/>
        <v>-210896.86</v>
      </c>
      <c r="H119" s="89">
        <f t="shared" si="56"/>
        <v>-189716.46000000002</v>
      </c>
      <c r="I119" s="89">
        <f t="shared" si="56"/>
        <v>-202738.93</v>
      </c>
      <c r="J119" s="89">
        <f t="shared" si="56"/>
        <v>-92098.599999999977</v>
      </c>
      <c r="K119" s="89">
        <f t="shared" si="56"/>
        <v>-97613.200000000012</v>
      </c>
      <c r="L119" s="99">
        <f t="shared" si="56"/>
        <v>-101282.78999999998</v>
      </c>
      <c r="M119" s="89">
        <f t="shared" si="56"/>
        <v>-138047.95000000001</v>
      </c>
      <c r="N119" s="87">
        <f t="shared" si="56"/>
        <v>-200695.96999999997</v>
      </c>
      <c r="O119" s="89">
        <f t="shared" si="56"/>
        <v>-180606.83000000002</v>
      </c>
      <c r="P119" s="89">
        <f t="shared" si="56"/>
        <v>-25756.200000000012</v>
      </c>
      <c r="Q119" s="89">
        <f t="shared" si="56"/>
        <v>-187823.64</v>
      </c>
      <c r="R119" s="89">
        <f t="shared" si="56"/>
        <v>-347215.03</v>
      </c>
      <c r="S119" s="89">
        <f t="shared" si="56"/>
        <v>-173714.96999999997</v>
      </c>
      <c r="T119" s="89">
        <f t="shared" si="56"/>
        <v>-245011.27000000002</v>
      </c>
      <c r="U119" s="88">
        <f t="shared" si="56"/>
        <v>-146798.76000000004</v>
      </c>
      <c r="V119" s="89">
        <f t="shared" si="51"/>
        <v>47138.899999999965</v>
      </c>
      <c r="W119" s="89">
        <f t="shared" si="51"/>
        <v>-392569.47000000003</v>
      </c>
      <c r="X119" s="89">
        <f t="shared" si="51"/>
        <v>192857.7</v>
      </c>
      <c r="Y119" s="89">
        <f t="shared" si="51"/>
        <v>-64640.969999999972</v>
      </c>
      <c r="Z119" s="89">
        <f t="shared" si="51"/>
        <v>-37181.890000000014</v>
      </c>
      <c r="AA119" s="89">
        <f t="shared" si="51"/>
        <v>55294.81</v>
      </c>
      <c r="AB119" s="88">
        <f t="shared" si="51"/>
        <v>-55940.169999999955</v>
      </c>
    </row>
    <row r="120" spans="1:28" ht="15.75" thickBot="1" x14ac:dyDescent="0.3">
      <c r="A120" s="4"/>
      <c r="B120" s="37" t="s">
        <v>41</v>
      </c>
      <c r="C120" s="100">
        <f>SUM(C115:C119)</f>
        <v>918046.67999999959</v>
      </c>
      <c r="D120" s="81">
        <f>SUM(D115:D119)</f>
        <v>-1766515.71</v>
      </c>
      <c r="E120" s="81">
        <f t="shared" ref="E120:U120" si="57">SUM(E115:E119)</f>
        <v>-2487355.35</v>
      </c>
      <c r="F120" s="81">
        <f t="shared" si="57"/>
        <v>-1979277.1400000001</v>
      </c>
      <c r="G120" s="81">
        <f t="shared" si="57"/>
        <v>-1187091.3399999999</v>
      </c>
      <c r="H120" s="81">
        <f t="shared" si="57"/>
        <v>-577026.99</v>
      </c>
      <c r="I120" s="81">
        <f t="shared" si="57"/>
        <v>-351264.81000000006</v>
      </c>
      <c r="J120" s="81">
        <f t="shared" si="57"/>
        <v>-226894.98000000004</v>
      </c>
      <c r="K120" s="81">
        <f t="shared" si="57"/>
        <v>2254409.8829999999</v>
      </c>
      <c r="L120" s="160">
        <f t="shared" si="57"/>
        <v>3847306.24</v>
      </c>
      <c r="M120" s="81">
        <f t="shared" si="57"/>
        <v>3840140.23</v>
      </c>
      <c r="N120" s="200">
        <f t="shared" si="57"/>
        <v>538504.94999999972</v>
      </c>
      <c r="O120" s="81">
        <f t="shared" si="57"/>
        <v>-895083.36000000034</v>
      </c>
      <c r="P120" s="81">
        <f t="shared" si="57"/>
        <v>223370.33000000025</v>
      </c>
      <c r="Q120" s="81">
        <f t="shared" si="57"/>
        <v>-601057.1399999999</v>
      </c>
      <c r="R120" s="81">
        <f t="shared" si="57"/>
        <v>-3854192.6800000006</v>
      </c>
      <c r="S120" s="81">
        <f>SUM(S115:S119)</f>
        <v>-1219438.57</v>
      </c>
      <c r="T120" s="81">
        <f t="shared" si="57"/>
        <v>-596995.93999999994</v>
      </c>
      <c r="U120" s="80">
        <f t="shared" si="57"/>
        <v>-494478.42999999993</v>
      </c>
      <c r="V120" s="81">
        <f>SUM(V115:V119)</f>
        <v>1813130.0399999998</v>
      </c>
      <c r="W120" s="81">
        <f t="shared" ref="W120:AB120" si="58">SUM(W115:W119)</f>
        <v>-1989886.0399999998</v>
      </c>
      <c r="X120" s="81">
        <f t="shared" si="58"/>
        <v>-1886298.2100000002</v>
      </c>
      <c r="Y120" s="81">
        <f t="shared" si="58"/>
        <v>1874915.54</v>
      </c>
      <c r="Z120" s="81">
        <f t="shared" si="58"/>
        <v>32347.230000000069</v>
      </c>
      <c r="AA120" s="81">
        <f t="shared" si="58"/>
        <v>19968.949999999866</v>
      </c>
      <c r="AB120" s="80">
        <f t="shared" si="58"/>
        <v>143213.61999999985</v>
      </c>
    </row>
    <row r="121" spans="1:28" x14ac:dyDescent="0.25">
      <c r="A121" s="4">
        <f>+A114+1</f>
        <v>17</v>
      </c>
      <c r="B121" s="45" t="s">
        <v>20</v>
      </c>
      <c r="C121" s="61"/>
      <c r="D121" s="62"/>
      <c r="E121" s="62"/>
      <c r="F121" s="64"/>
      <c r="G121" s="62"/>
      <c r="H121" s="62"/>
      <c r="I121" s="62"/>
      <c r="J121" s="62"/>
      <c r="K121" s="62"/>
      <c r="L121" s="63"/>
      <c r="M121" s="64"/>
      <c r="N121" s="62"/>
      <c r="O121" s="64"/>
      <c r="P121" s="62"/>
      <c r="Q121" s="62"/>
      <c r="R121" s="62"/>
      <c r="S121" s="62"/>
      <c r="T121" s="62"/>
      <c r="U121" s="63"/>
      <c r="V121" s="64"/>
      <c r="W121" s="65"/>
      <c r="X121" s="66"/>
      <c r="Y121" s="66"/>
      <c r="Z121" s="66"/>
      <c r="AA121" s="66"/>
      <c r="AB121" s="67"/>
    </row>
    <row r="122" spans="1:28" x14ac:dyDescent="0.25">
      <c r="A122" s="4"/>
      <c r="B122" s="35" t="s">
        <v>36</v>
      </c>
      <c r="C122" s="55">
        <v>0</v>
      </c>
      <c r="D122" s="56">
        <v>0</v>
      </c>
      <c r="E122" s="56">
        <v>0</v>
      </c>
      <c r="F122" s="58">
        <v>0</v>
      </c>
      <c r="G122" s="56">
        <v>0</v>
      </c>
      <c r="H122" s="58">
        <v>0</v>
      </c>
      <c r="I122" s="56">
        <v>0</v>
      </c>
      <c r="J122" s="58">
        <v>1</v>
      </c>
      <c r="K122" s="56">
        <v>2</v>
      </c>
      <c r="L122" s="130">
        <v>3</v>
      </c>
      <c r="M122" s="58">
        <v>4</v>
      </c>
      <c r="N122" s="58">
        <v>4</v>
      </c>
      <c r="O122" s="58">
        <v>5</v>
      </c>
      <c r="P122" s="58">
        <v>7</v>
      </c>
      <c r="Q122" s="56">
        <v>10</v>
      </c>
      <c r="R122" s="58">
        <v>20</v>
      </c>
      <c r="S122" s="56">
        <v>16</v>
      </c>
      <c r="T122" s="58">
        <v>16</v>
      </c>
      <c r="U122" s="58">
        <v>16</v>
      </c>
      <c r="V122" s="58">
        <f>C122-O122</f>
        <v>-5</v>
      </c>
      <c r="W122" s="58">
        <f>D122-P122</f>
        <v>-7</v>
      </c>
      <c r="X122" s="58">
        <f t="shared" ref="X122:AB126" si="59">E122-Q122</f>
        <v>-10</v>
      </c>
      <c r="Y122" s="58">
        <f t="shared" si="59"/>
        <v>-20</v>
      </c>
      <c r="Z122" s="58">
        <f t="shared" si="59"/>
        <v>-16</v>
      </c>
      <c r="AA122" s="58">
        <f t="shared" si="59"/>
        <v>-16</v>
      </c>
      <c r="AB122" s="70">
        <f t="shared" si="59"/>
        <v>-16</v>
      </c>
    </row>
    <row r="123" spans="1:28" x14ac:dyDescent="0.25">
      <c r="A123" s="4"/>
      <c r="B123" s="35" t="s">
        <v>37</v>
      </c>
      <c r="C123" s="55">
        <v>97</v>
      </c>
      <c r="D123" s="56">
        <v>113</v>
      </c>
      <c r="E123" s="56">
        <v>132</v>
      </c>
      <c r="F123" s="58">
        <v>139</v>
      </c>
      <c r="G123" s="56">
        <v>117</v>
      </c>
      <c r="H123" s="58">
        <v>119</v>
      </c>
      <c r="I123" s="56">
        <v>106</v>
      </c>
      <c r="J123" s="58">
        <v>109</v>
      </c>
      <c r="K123" s="56">
        <v>93</v>
      </c>
      <c r="L123" s="130">
        <v>77</v>
      </c>
      <c r="M123" s="58">
        <v>69</v>
      </c>
      <c r="N123" s="58">
        <v>57</v>
      </c>
      <c r="O123" s="58">
        <v>58</v>
      </c>
      <c r="P123" s="58">
        <v>77</v>
      </c>
      <c r="Q123" s="56">
        <v>76</v>
      </c>
      <c r="R123" s="58">
        <v>798</v>
      </c>
      <c r="S123" s="56">
        <v>1253</v>
      </c>
      <c r="T123" s="58">
        <v>1050</v>
      </c>
      <c r="U123" s="58">
        <v>681</v>
      </c>
      <c r="V123" s="58">
        <f t="shared" ref="V123:W126" si="60">C123-O123</f>
        <v>39</v>
      </c>
      <c r="W123" s="58">
        <f t="shared" si="60"/>
        <v>36</v>
      </c>
      <c r="X123" s="58">
        <f t="shared" si="59"/>
        <v>56</v>
      </c>
      <c r="Y123" s="58">
        <f t="shared" si="59"/>
        <v>-659</v>
      </c>
      <c r="Z123" s="58">
        <f t="shared" si="59"/>
        <v>-1136</v>
      </c>
      <c r="AA123" s="58">
        <f t="shared" si="59"/>
        <v>-931</v>
      </c>
      <c r="AB123" s="57">
        <f t="shared" si="59"/>
        <v>-575</v>
      </c>
    </row>
    <row r="124" spans="1:28" x14ac:dyDescent="0.25">
      <c r="A124" s="4"/>
      <c r="B124" s="35" t="s">
        <v>38</v>
      </c>
      <c r="C124" s="55">
        <v>0</v>
      </c>
      <c r="D124" s="56">
        <v>0</v>
      </c>
      <c r="E124" s="56">
        <v>0</v>
      </c>
      <c r="F124" s="56">
        <v>0</v>
      </c>
      <c r="G124" s="56">
        <v>0</v>
      </c>
      <c r="H124" s="56">
        <v>0</v>
      </c>
      <c r="I124" s="56">
        <v>0</v>
      </c>
      <c r="J124" s="56">
        <v>0</v>
      </c>
      <c r="K124" s="56">
        <v>0</v>
      </c>
      <c r="L124" s="56">
        <v>0</v>
      </c>
      <c r="M124" s="58">
        <v>0</v>
      </c>
      <c r="N124" s="58">
        <v>0</v>
      </c>
      <c r="O124" s="58">
        <v>0</v>
      </c>
      <c r="P124" s="58">
        <v>0</v>
      </c>
      <c r="Q124" s="56">
        <v>0</v>
      </c>
      <c r="R124" s="58">
        <v>0</v>
      </c>
      <c r="S124" s="56">
        <v>0</v>
      </c>
      <c r="T124" s="58">
        <v>0</v>
      </c>
      <c r="U124" s="58">
        <v>0</v>
      </c>
      <c r="V124" s="58">
        <f t="shared" si="60"/>
        <v>0</v>
      </c>
      <c r="W124" s="58">
        <f t="shared" si="60"/>
        <v>0</v>
      </c>
      <c r="X124" s="58">
        <f t="shared" si="59"/>
        <v>0</v>
      </c>
      <c r="Y124" s="58">
        <f t="shared" si="59"/>
        <v>0</v>
      </c>
      <c r="Z124" s="58">
        <f t="shared" si="59"/>
        <v>0</v>
      </c>
      <c r="AA124" s="58">
        <f t="shared" si="59"/>
        <v>0</v>
      </c>
      <c r="AB124" s="57">
        <f t="shared" si="59"/>
        <v>0</v>
      </c>
    </row>
    <row r="125" spans="1:28" x14ac:dyDescent="0.25">
      <c r="A125" s="4"/>
      <c r="B125" s="35" t="s">
        <v>39</v>
      </c>
      <c r="C125" s="55">
        <v>0</v>
      </c>
      <c r="D125" s="56">
        <v>0</v>
      </c>
      <c r="E125" s="56">
        <v>0</v>
      </c>
      <c r="F125" s="56">
        <v>0</v>
      </c>
      <c r="G125" s="56">
        <v>0</v>
      </c>
      <c r="H125" s="56">
        <v>0</v>
      </c>
      <c r="I125" s="56">
        <v>0</v>
      </c>
      <c r="J125" s="56">
        <v>0</v>
      </c>
      <c r="K125" s="56">
        <v>0</v>
      </c>
      <c r="L125" s="56">
        <v>0</v>
      </c>
      <c r="M125" s="58">
        <v>0</v>
      </c>
      <c r="N125" s="58">
        <v>0</v>
      </c>
      <c r="O125" s="58">
        <v>0</v>
      </c>
      <c r="P125" s="58">
        <v>0</v>
      </c>
      <c r="Q125" s="56">
        <v>0</v>
      </c>
      <c r="R125" s="58">
        <v>0</v>
      </c>
      <c r="S125" s="56">
        <v>0</v>
      </c>
      <c r="T125" s="58">
        <v>0</v>
      </c>
      <c r="U125" s="58">
        <v>0</v>
      </c>
      <c r="V125" s="58">
        <f t="shared" si="60"/>
        <v>0</v>
      </c>
      <c r="W125" s="58">
        <f t="shared" si="60"/>
        <v>0</v>
      </c>
      <c r="X125" s="58">
        <f t="shared" si="59"/>
        <v>0</v>
      </c>
      <c r="Y125" s="58">
        <f t="shared" si="59"/>
        <v>0</v>
      </c>
      <c r="Z125" s="58">
        <f t="shared" si="59"/>
        <v>0</v>
      </c>
      <c r="AA125" s="58">
        <f t="shared" si="59"/>
        <v>0</v>
      </c>
      <c r="AB125" s="57">
        <f t="shared" si="59"/>
        <v>0</v>
      </c>
    </row>
    <row r="126" spans="1:28" x14ac:dyDescent="0.25">
      <c r="A126" s="4"/>
      <c r="B126" s="35" t="s">
        <v>40</v>
      </c>
      <c r="C126" s="55">
        <v>0</v>
      </c>
      <c r="D126" s="56">
        <v>0</v>
      </c>
      <c r="E126" s="56">
        <v>0</v>
      </c>
      <c r="F126" s="56">
        <v>0</v>
      </c>
      <c r="G126" s="56">
        <v>0</v>
      </c>
      <c r="H126" s="56">
        <v>0</v>
      </c>
      <c r="I126" s="56">
        <v>0</v>
      </c>
      <c r="J126" s="56">
        <v>0</v>
      </c>
      <c r="K126" s="56">
        <v>0</v>
      </c>
      <c r="L126" s="56">
        <v>0</v>
      </c>
      <c r="M126" s="58">
        <v>0</v>
      </c>
      <c r="N126" s="58">
        <v>0</v>
      </c>
      <c r="O126" s="58">
        <v>0</v>
      </c>
      <c r="P126" s="58">
        <v>0</v>
      </c>
      <c r="Q126" s="56">
        <v>0</v>
      </c>
      <c r="R126" s="58">
        <v>0</v>
      </c>
      <c r="S126" s="56">
        <v>0</v>
      </c>
      <c r="T126" s="58">
        <v>0</v>
      </c>
      <c r="U126" s="58">
        <v>0</v>
      </c>
      <c r="V126" s="58">
        <f t="shared" si="60"/>
        <v>0</v>
      </c>
      <c r="W126" s="58">
        <f t="shared" si="60"/>
        <v>0</v>
      </c>
      <c r="X126" s="58">
        <f t="shared" si="59"/>
        <v>0</v>
      </c>
      <c r="Y126" s="58">
        <f t="shared" si="59"/>
        <v>0</v>
      </c>
      <c r="Z126" s="58">
        <f t="shared" si="59"/>
        <v>0</v>
      </c>
      <c r="AA126" s="58">
        <f t="shared" si="59"/>
        <v>0</v>
      </c>
      <c r="AB126" s="57">
        <f t="shared" si="59"/>
        <v>0</v>
      </c>
    </row>
    <row r="127" spans="1:28" x14ac:dyDescent="0.25">
      <c r="A127" s="4"/>
      <c r="B127" s="35" t="s">
        <v>41</v>
      </c>
      <c r="C127" s="131">
        <f t="shared" ref="C127:AB127" si="61">SUM(C122:C126)</f>
        <v>97</v>
      </c>
      <c r="D127" s="58">
        <f t="shared" si="61"/>
        <v>113</v>
      </c>
      <c r="E127" s="58">
        <f t="shared" si="61"/>
        <v>132</v>
      </c>
      <c r="F127" s="58">
        <f t="shared" si="61"/>
        <v>139</v>
      </c>
      <c r="G127" s="58">
        <f t="shared" si="61"/>
        <v>117</v>
      </c>
      <c r="H127" s="58">
        <f t="shared" si="61"/>
        <v>119</v>
      </c>
      <c r="I127" s="58">
        <f t="shared" si="61"/>
        <v>106</v>
      </c>
      <c r="J127" s="58">
        <f t="shared" si="61"/>
        <v>110</v>
      </c>
      <c r="K127" s="58">
        <f t="shared" si="61"/>
        <v>95</v>
      </c>
      <c r="L127" s="130">
        <f t="shared" si="61"/>
        <v>80</v>
      </c>
      <c r="M127" s="58">
        <f t="shared" si="61"/>
        <v>73</v>
      </c>
      <c r="N127" s="58">
        <f t="shared" si="61"/>
        <v>61</v>
      </c>
      <c r="O127" s="58">
        <f t="shared" si="61"/>
        <v>63</v>
      </c>
      <c r="P127" s="58">
        <f t="shared" si="61"/>
        <v>84</v>
      </c>
      <c r="Q127" s="58">
        <f t="shared" si="61"/>
        <v>86</v>
      </c>
      <c r="R127" s="58">
        <f t="shared" si="61"/>
        <v>818</v>
      </c>
      <c r="S127" s="58">
        <f t="shared" si="61"/>
        <v>1269</v>
      </c>
      <c r="T127" s="58">
        <f t="shared" si="61"/>
        <v>1066</v>
      </c>
      <c r="U127" s="70">
        <f t="shared" si="61"/>
        <v>697</v>
      </c>
      <c r="V127" s="58">
        <f t="shared" si="61"/>
        <v>34</v>
      </c>
      <c r="W127" s="58">
        <f t="shared" si="61"/>
        <v>29</v>
      </c>
      <c r="X127" s="58">
        <f t="shared" si="61"/>
        <v>46</v>
      </c>
      <c r="Y127" s="58">
        <f t="shared" si="61"/>
        <v>-679</v>
      </c>
      <c r="Z127" s="58">
        <f t="shared" si="61"/>
        <v>-1152</v>
      </c>
      <c r="AA127" s="58">
        <f t="shared" si="61"/>
        <v>-947</v>
      </c>
      <c r="AB127" s="57">
        <f t="shared" si="61"/>
        <v>-591</v>
      </c>
    </row>
    <row r="128" spans="1:28" x14ac:dyDescent="0.25">
      <c r="A128" s="4">
        <f>+A121+1</f>
        <v>18</v>
      </c>
      <c r="B128" s="46" t="s">
        <v>25</v>
      </c>
      <c r="C128" s="132"/>
      <c r="D128" s="66"/>
      <c r="E128" s="66"/>
      <c r="F128" s="66"/>
      <c r="G128" s="66"/>
      <c r="H128" s="133"/>
      <c r="I128" s="66"/>
      <c r="J128" s="133"/>
      <c r="K128" s="66"/>
      <c r="L128" s="134"/>
      <c r="M128" s="133"/>
      <c r="N128" s="133"/>
      <c r="O128" s="133"/>
      <c r="P128" s="133"/>
      <c r="Q128" s="66"/>
      <c r="R128" s="133"/>
      <c r="S128" s="66"/>
      <c r="T128" s="133"/>
      <c r="U128" s="134"/>
      <c r="V128" s="132"/>
      <c r="W128" s="133"/>
      <c r="X128" s="66"/>
      <c r="Y128" s="133"/>
      <c r="Z128" s="66"/>
      <c r="AA128" s="133"/>
      <c r="AB128" s="134"/>
    </row>
    <row r="129" spans="1:39" x14ac:dyDescent="0.25">
      <c r="A129" s="4"/>
      <c r="B129" s="35" t="s">
        <v>36</v>
      </c>
      <c r="C129" s="135">
        <v>21</v>
      </c>
      <c r="D129" s="136">
        <v>584</v>
      </c>
      <c r="E129" s="136">
        <v>657</v>
      </c>
      <c r="F129" s="136">
        <v>312</v>
      </c>
      <c r="G129" s="136">
        <v>164</v>
      </c>
      <c r="H129" s="137">
        <v>342</v>
      </c>
      <c r="I129" s="136">
        <v>213</v>
      </c>
      <c r="J129" s="137">
        <v>171</v>
      </c>
      <c r="K129" s="136">
        <v>39</v>
      </c>
      <c r="L129" s="138">
        <v>8</v>
      </c>
      <c r="M129" s="137">
        <v>4</v>
      </c>
      <c r="N129" s="137">
        <v>4</v>
      </c>
      <c r="O129" s="137">
        <v>1</v>
      </c>
      <c r="P129" s="137">
        <v>0</v>
      </c>
      <c r="Q129" s="136">
        <v>0</v>
      </c>
      <c r="R129" s="137">
        <v>0</v>
      </c>
      <c r="S129" s="136">
        <v>0</v>
      </c>
      <c r="T129" s="137">
        <v>0</v>
      </c>
      <c r="U129" s="138">
        <v>0</v>
      </c>
      <c r="V129" s="139">
        <f>C129-O129</f>
        <v>20</v>
      </c>
      <c r="W129" s="137">
        <f>D129-P129</f>
        <v>584</v>
      </c>
      <c r="X129" s="137">
        <f t="shared" ref="X129:AB133" si="62">E129-Q129</f>
        <v>657</v>
      </c>
      <c r="Y129" s="137">
        <f t="shared" si="62"/>
        <v>312</v>
      </c>
      <c r="Z129" s="137">
        <f t="shared" si="62"/>
        <v>164</v>
      </c>
      <c r="AA129" s="137">
        <f t="shared" si="62"/>
        <v>342</v>
      </c>
      <c r="AB129" s="137">
        <f t="shared" si="62"/>
        <v>213</v>
      </c>
    </row>
    <row r="130" spans="1:39" x14ac:dyDescent="0.25">
      <c r="A130" s="4"/>
      <c r="B130" s="35" t="s">
        <v>37</v>
      </c>
      <c r="C130" s="135">
        <v>0</v>
      </c>
      <c r="D130" s="136">
        <v>0</v>
      </c>
      <c r="E130" s="136">
        <v>84</v>
      </c>
      <c r="F130" s="136">
        <v>83</v>
      </c>
      <c r="G130" s="136">
        <v>66</v>
      </c>
      <c r="H130" s="137">
        <v>125</v>
      </c>
      <c r="I130" s="136">
        <v>114</v>
      </c>
      <c r="J130" s="137">
        <v>80</v>
      </c>
      <c r="K130" s="136">
        <v>22</v>
      </c>
      <c r="L130" s="230">
        <v>0</v>
      </c>
      <c r="M130" s="233">
        <v>0</v>
      </c>
      <c r="N130" s="234">
        <v>0</v>
      </c>
      <c r="O130" s="234">
        <v>0</v>
      </c>
      <c r="P130" s="234">
        <v>0</v>
      </c>
      <c r="Q130" s="73">
        <v>0</v>
      </c>
      <c r="R130" s="73">
        <v>0</v>
      </c>
      <c r="S130" s="73">
        <v>0</v>
      </c>
      <c r="T130" s="73">
        <v>0</v>
      </c>
      <c r="U130" s="74">
        <v>0</v>
      </c>
      <c r="V130" s="140">
        <f t="shared" ref="V130:W133" si="63">C130-O130</f>
        <v>0</v>
      </c>
      <c r="W130" s="137">
        <f t="shared" si="63"/>
        <v>0</v>
      </c>
      <c r="X130" s="137">
        <f t="shared" si="62"/>
        <v>84</v>
      </c>
      <c r="Y130" s="137">
        <f t="shared" si="62"/>
        <v>83</v>
      </c>
      <c r="Z130" s="137">
        <f t="shared" si="62"/>
        <v>66</v>
      </c>
      <c r="AA130" s="137">
        <f t="shared" si="62"/>
        <v>125</v>
      </c>
      <c r="AB130" s="141">
        <f t="shared" si="62"/>
        <v>114</v>
      </c>
    </row>
    <row r="131" spans="1:39" x14ac:dyDescent="0.25">
      <c r="A131" s="4"/>
      <c r="B131" s="35" t="s">
        <v>38</v>
      </c>
      <c r="C131" s="135">
        <v>19</v>
      </c>
      <c r="D131" s="136">
        <v>28</v>
      </c>
      <c r="E131" s="136">
        <v>22</v>
      </c>
      <c r="F131" s="136">
        <v>18</v>
      </c>
      <c r="G131" s="136">
        <v>5</v>
      </c>
      <c r="H131" s="137">
        <v>5</v>
      </c>
      <c r="I131" s="136">
        <v>4</v>
      </c>
      <c r="J131" s="137">
        <v>5</v>
      </c>
      <c r="K131" s="136">
        <v>0</v>
      </c>
      <c r="L131" s="230">
        <v>0</v>
      </c>
      <c r="M131" s="73">
        <v>3</v>
      </c>
      <c r="N131" s="73">
        <v>10</v>
      </c>
      <c r="O131" s="73">
        <v>5</v>
      </c>
      <c r="P131" s="73">
        <v>0</v>
      </c>
      <c r="Q131" s="73">
        <v>0</v>
      </c>
      <c r="R131" s="73">
        <v>0</v>
      </c>
      <c r="S131" s="73">
        <v>0</v>
      </c>
      <c r="T131" s="73">
        <v>0</v>
      </c>
      <c r="U131" s="74">
        <v>40</v>
      </c>
      <c r="V131" s="140">
        <f t="shared" si="63"/>
        <v>14</v>
      </c>
      <c r="W131" s="137">
        <f t="shared" si="63"/>
        <v>28</v>
      </c>
      <c r="X131" s="137">
        <f t="shared" si="62"/>
        <v>22</v>
      </c>
      <c r="Y131" s="137">
        <f t="shared" si="62"/>
        <v>18</v>
      </c>
      <c r="Z131" s="137">
        <f t="shared" si="62"/>
        <v>5</v>
      </c>
      <c r="AA131" s="137">
        <f t="shared" si="62"/>
        <v>5</v>
      </c>
      <c r="AB131" s="141">
        <f t="shared" si="62"/>
        <v>-36</v>
      </c>
    </row>
    <row r="132" spans="1:39" x14ac:dyDescent="0.25">
      <c r="A132" s="4"/>
      <c r="B132" s="35" t="s">
        <v>39</v>
      </c>
      <c r="C132" s="135"/>
      <c r="D132" s="136"/>
      <c r="E132" s="136"/>
      <c r="F132" s="136"/>
      <c r="G132" s="136"/>
      <c r="H132" s="137"/>
      <c r="I132" s="136"/>
      <c r="J132" s="137"/>
      <c r="K132" s="136"/>
      <c r="L132" s="230"/>
      <c r="M132" s="73">
        <v>0</v>
      </c>
      <c r="N132" s="73">
        <v>0</v>
      </c>
      <c r="O132" s="73">
        <v>0</v>
      </c>
      <c r="P132" s="73">
        <v>0</v>
      </c>
      <c r="Q132" s="73">
        <v>0</v>
      </c>
      <c r="R132" s="73">
        <v>0</v>
      </c>
      <c r="S132" s="73">
        <v>0</v>
      </c>
      <c r="T132" s="73">
        <v>0</v>
      </c>
      <c r="U132" s="74">
        <v>3</v>
      </c>
      <c r="V132" s="140">
        <f t="shared" si="63"/>
        <v>0</v>
      </c>
      <c r="W132" s="137">
        <f t="shared" si="63"/>
        <v>0</v>
      </c>
      <c r="X132" s="137">
        <f t="shared" si="62"/>
        <v>0</v>
      </c>
      <c r="Y132" s="137">
        <f t="shared" si="62"/>
        <v>0</v>
      </c>
      <c r="Z132" s="137">
        <f t="shared" si="62"/>
        <v>0</v>
      </c>
      <c r="AA132" s="137">
        <f t="shared" si="62"/>
        <v>0</v>
      </c>
      <c r="AB132" s="141">
        <f t="shared" si="62"/>
        <v>-3</v>
      </c>
    </row>
    <row r="133" spans="1:39" x14ac:dyDescent="0.25">
      <c r="A133" s="4"/>
      <c r="B133" s="35" t="s">
        <v>40</v>
      </c>
      <c r="C133" s="135"/>
      <c r="D133" s="136"/>
      <c r="E133" s="136"/>
      <c r="F133" s="136"/>
      <c r="G133" s="136"/>
      <c r="H133" s="137"/>
      <c r="I133" s="136"/>
      <c r="J133" s="137"/>
      <c r="K133" s="136"/>
      <c r="L133" s="230"/>
      <c r="M133" s="73">
        <v>0</v>
      </c>
      <c r="N133" s="73">
        <v>0</v>
      </c>
      <c r="O133" s="73">
        <v>0</v>
      </c>
      <c r="P133" s="73">
        <v>0</v>
      </c>
      <c r="Q133" s="73">
        <v>0</v>
      </c>
      <c r="R133" s="73">
        <v>0</v>
      </c>
      <c r="S133" s="73">
        <v>0</v>
      </c>
      <c r="T133" s="73">
        <v>0</v>
      </c>
      <c r="U133" s="74">
        <v>1</v>
      </c>
      <c r="V133" s="140">
        <f t="shared" si="63"/>
        <v>0</v>
      </c>
      <c r="W133" s="137">
        <f t="shared" si="63"/>
        <v>0</v>
      </c>
      <c r="X133" s="137">
        <f t="shared" si="62"/>
        <v>0</v>
      </c>
      <c r="Y133" s="137">
        <f t="shared" si="62"/>
        <v>0</v>
      </c>
      <c r="Z133" s="137">
        <f t="shared" si="62"/>
        <v>0</v>
      </c>
      <c r="AA133" s="137">
        <f t="shared" si="62"/>
        <v>0</v>
      </c>
      <c r="AB133" s="141">
        <f t="shared" si="62"/>
        <v>-1</v>
      </c>
    </row>
    <row r="134" spans="1:39" x14ac:dyDescent="0.25">
      <c r="A134" s="4"/>
      <c r="B134" s="35" t="s">
        <v>41</v>
      </c>
      <c r="C134" s="140">
        <f>SUM(C129:C133)</f>
        <v>40</v>
      </c>
      <c r="D134" s="137">
        <f>SUM(D129:D133)</f>
        <v>612</v>
      </c>
      <c r="E134" s="137">
        <f t="shared" ref="E134:U134" si="64">SUM(E129:E133)</f>
        <v>763</v>
      </c>
      <c r="F134" s="137">
        <f t="shared" si="64"/>
        <v>413</v>
      </c>
      <c r="G134" s="137">
        <f t="shared" si="64"/>
        <v>235</v>
      </c>
      <c r="H134" s="137">
        <f t="shared" si="64"/>
        <v>472</v>
      </c>
      <c r="I134" s="137">
        <f t="shared" si="64"/>
        <v>331</v>
      </c>
      <c r="J134" s="137">
        <f t="shared" si="64"/>
        <v>256</v>
      </c>
      <c r="K134" s="137">
        <f t="shared" si="64"/>
        <v>61</v>
      </c>
      <c r="L134" s="230">
        <f t="shared" si="64"/>
        <v>8</v>
      </c>
      <c r="M134" s="73">
        <f t="shared" si="64"/>
        <v>7</v>
      </c>
      <c r="N134" s="73">
        <f t="shared" si="64"/>
        <v>14</v>
      </c>
      <c r="O134" s="73">
        <f t="shared" si="64"/>
        <v>6</v>
      </c>
      <c r="P134" s="73">
        <f t="shared" si="64"/>
        <v>0</v>
      </c>
      <c r="Q134" s="73">
        <f t="shared" si="64"/>
        <v>0</v>
      </c>
      <c r="R134" s="73">
        <f t="shared" si="64"/>
        <v>0</v>
      </c>
      <c r="S134" s="73">
        <f t="shared" si="64"/>
        <v>0</v>
      </c>
      <c r="T134" s="73">
        <f t="shared" si="64"/>
        <v>0</v>
      </c>
      <c r="U134" s="74">
        <f t="shared" si="64"/>
        <v>44</v>
      </c>
      <c r="V134" s="140">
        <f t="shared" ref="V134:AB134" si="65">SUM(V129:V133)</f>
        <v>34</v>
      </c>
      <c r="W134" s="137">
        <f t="shared" si="65"/>
        <v>612</v>
      </c>
      <c r="X134" s="137">
        <f t="shared" si="65"/>
        <v>763</v>
      </c>
      <c r="Y134" s="137">
        <f t="shared" si="65"/>
        <v>413</v>
      </c>
      <c r="Z134" s="137">
        <f t="shared" si="65"/>
        <v>235</v>
      </c>
      <c r="AA134" s="137">
        <f t="shared" si="65"/>
        <v>472</v>
      </c>
      <c r="AB134" s="141">
        <f t="shared" si="65"/>
        <v>287</v>
      </c>
    </row>
    <row r="135" spans="1:39" x14ac:dyDescent="0.25">
      <c r="A135" s="4">
        <f>+A128+1</f>
        <v>19</v>
      </c>
      <c r="B135" s="47" t="s">
        <v>24</v>
      </c>
      <c r="C135" s="142"/>
      <c r="D135" s="128"/>
      <c r="E135" s="128"/>
      <c r="F135" s="128"/>
      <c r="G135" s="128"/>
      <c r="H135" s="142"/>
      <c r="I135" s="128"/>
      <c r="J135" s="142"/>
      <c r="K135" s="128"/>
      <c r="L135" s="231"/>
      <c r="M135" s="212"/>
      <c r="N135" s="212"/>
      <c r="O135" s="212"/>
      <c r="P135" s="212"/>
      <c r="Q135" s="212"/>
      <c r="R135" s="212"/>
      <c r="S135" s="212"/>
      <c r="T135" s="212"/>
      <c r="U135" s="224"/>
      <c r="V135" s="144"/>
      <c r="W135" s="142"/>
      <c r="X135" s="128"/>
      <c r="Y135" s="142"/>
      <c r="Z135" s="128"/>
      <c r="AA135" s="142"/>
      <c r="AB135" s="145"/>
    </row>
    <row r="136" spans="1:39" x14ac:dyDescent="0.25">
      <c r="A136" s="4"/>
      <c r="B136" s="35" t="s">
        <v>36</v>
      </c>
      <c r="C136" s="146">
        <v>534</v>
      </c>
      <c r="D136" s="147">
        <v>728</v>
      </c>
      <c r="E136" s="147">
        <v>827</v>
      </c>
      <c r="F136" s="147">
        <v>787</v>
      </c>
      <c r="G136" s="147">
        <v>598</v>
      </c>
      <c r="H136" s="148">
        <v>434</v>
      </c>
      <c r="I136" s="147">
        <v>270</v>
      </c>
      <c r="J136" s="148">
        <v>212</v>
      </c>
      <c r="K136" s="147">
        <v>194</v>
      </c>
      <c r="L136" s="232">
        <v>106</v>
      </c>
      <c r="M136" s="213">
        <v>166</v>
      </c>
      <c r="N136" s="213">
        <v>352</v>
      </c>
      <c r="O136" s="213">
        <v>338</v>
      </c>
      <c r="P136" s="213">
        <v>135</v>
      </c>
      <c r="Q136" s="213">
        <v>117</v>
      </c>
      <c r="R136" s="213">
        <v>154</v>
      </c>
      <c r="S136" s="213">
        <v>102</v>
      </c>
      <c r="T136" s="213">
        <v>101</v>
      </c>
      <c r="U136" s="148">
        <v>78</v>
      </c>
      <c r="V136" s="149">
        <f>C136-O136</f>
        <v>196</v>
      </c>
      <c r="W136" s="148">
        <f>D136-P136</f>
        <v>593</v>
      </c>
      <c r="X136" s="148">
        <f t="shared" ref="X136:AB140" si="66">E136-Q136</f>
        <v>710</v>
      </c>
      <c r="Y136" s="148">
        <f t="shared" si="66"/>
        <v>633</v>
      </c>
      <c r="Z136" s="148">
        <f t="shared" si="66"/>
        <v>496</v>
      </c>
      <c r="AA136" s="148">
        <f t="shared" si="66"/>
        <v>333</v>
      </c>
      <c r="AB136" s="150">
        <f t="shared" si="66"/>
        <v>192</v>
      </c>
    </row>
    <row r="137" spans="1:39" x14ac:dyDescent="0.25">
      <c r="A137" s="4"/>
      <c r="B137" s="35" t="s">
        <v>37</v>
      </c>
      <c r="C137" s="146">
        <v>108</v>
      </c>
      <c r="D137" s="147">
        <v>228</v>
      </c>
      <c r="E137" s="147">
        <v>352</v>
      </c>
      <c r="F137" s="147">
        <v>349</v>
      </c>
      <c r="G137" s="147">
        <v>301</v>
      </c>
      <c r="H137" s="148">
        <v>289</v>
      </c>
      <c r="I137" s="147">
        <v>261</v>
      </c>
      <c r="J137" s="148">
        <v>192</v>
      </c>
      <c r="K137" s="147">
        <v>161</v>
      </c>
      <c r="L137" s="232">
        <v>63</v>
      </c>
      <c r="M137" s="213">
        <v>29</v>
      </c>
      <c r="N137" s="213">
        <v>25</v>
      </c>
      <c r="O137" s="213">
        <v>26</v>
      </c>
      <c r="P137" s="213">
        <v>17</v>
      </c>
      <c r="Q137" s="213">
        <v>14</v>
      </c>
      <c r="R137" s="213">
        <v>8</v>
      </c>
      <c r="S137" s="213">
        <v>10</v>
      </c>
      <c r="T137" s="213">
        <v>11</v>
      </c>
      <c r="U137" s="148">
        <v>10</v>
      </c>
      <c r="V137" s="149">
        <f t="shared" ref="V137:W140" si="67">C137-O137</f>
        <v>82</v>
      </c>
      <c r="W137" s="148">
        <f t="shared" si="67"/>
        <v>211</v>
      </c>
      <c r="X137" s="148">
        <f t="shared" si="66"/>
        <v>338</v>
      </c>
      <c r="Y137" s="148">
        <f t="shared" si="66"/>
        <v>341</v>
      </c>
      <c r="Z137" s="148">
        <f t="shared" si="66"/>
        <v>291</v>
      </c>
      <c r="AA137" s="148">
        <f t="shared" si="66"/>
        <v>278</v>
      </c>
      <c r="AB137" s="150">
        <f t="shared" si="66"/>
        <v>251</v>
      </c>
    </row>
    <row r="138" spans="1:39" x14ac:dyDescent="0.25">
      <c r="A138" s="4"/>
      <c r="B138" s="35" t="s">
        <v>38</v>
      </c>
      <c r="C138" s="146">
        <v>2</v>
      </c>
      <c r="D138" s="147">
        <v>2</v>
      </c>
      <c r="E138" s="147">
        <v>1</v>
      </c>
      <c r="F138" s="147">
        <v>0</v>
      </c>
      <c r="G138" s="147">
        <v>0</v>
      </c>
      <c r="H138" s="148">
        <v>0</v>
      </c>
      <c r="I138" s="147">
        <v>0</v>
      </c>
      <c r="J138" s="148">
        <v>0</v>
      </c>
      <c r="K138" s="147">
        <v>0</v>
      </c>
      <c r="L138" s="232">
        <v>0</v>
      </c>
      <c r="M138" s="213">
        <v>0</v>
      </c>
      <c r="N138" s="213">
        <v>0</v>
      </c>
      <c r="O138" s="213">
        <v>1</v>
      </c>
      <c r="P138" s="213">
        <v>2</v>
      </c>
      <c r="Q138" s="213">
        <v>3</v>
      </c>
      <c r="R138" s="213">
        <v>2</v>
      </c>
      <c r="S138" s="213">
        <v>2</v>
      </c>
      <c r="T138" s="213">
        <v>5</v>
      </c>
      <c r="U138" s="148">
        <v>10</v>
      </c>
      <c r="V138" s="149">
        <f t="shared" si="67"/>
        <v>1</v>
      </c>
      <c r="W138" s="148">
        <f t="shared" si="67"/>
        <v>0</v>
      </c>
      <c r="X138" s="148">
        <f t="shared" si="66"/>
        <v>-2</v>
      </c>
      <c r="Y138" s="148">
        <f t="shared" si="66"/>
        <v>-2</v>
      </c>
      <c r="Z138" s="148">
        <f t="shared" si="66"/>
        <v>-2</v>
      </c>
      <c r="AA138" s="148">
        <f t="shared" si="66"/>
        <v>-5</v>
      </c>
      <c r="AB138" s="150">
        <f t="shared" si="66"/>
        <v>-10</v>
      </c>
    </row>
    <row r="139" spans="1:39" x14ac:dyDescent="0.25">
      <c r="A139" s="4"/>
      <c r="B139" s="35" t="s">
        <v>39</v>
      </c>
      <c r="C139" s="146">
        <v>0</v>
      </c>
      <c r="D139" s="147">
        <v>0</v>
      </c>
      <c r="E139" s="147">
        <v>0</v>
      </c>
      <c r="F139" s="147">
        <v>0</v>
      </c>
      <c r="G139" s="147">
        <v>0</v>
      </c>
      <c r="H139" s="148">
        <v>0</v>
      </c>
      <c r="I139" s="147">
        <v>0</v>
      </c>
      <c r="J139" s="148">
        <v>0</v>
      </c>
      <c r="K139" s="147">
        <v>0</v>
      </c>
      <c r="L139" s="232">
        <v>0</v>
      </c>
      <c r="M139" s="237">
        <v>0</v>
      </c>
      <c r="N139" s="237">
        <v>0</v>
      </c>
      <c r="O139" s="237">
        <v>0</v>
      </c>
      <c r="P139" s="237">
        <v>0</v>
      </c>
      <c r="Q139" s="213">
        <v>0</v>
      </c>
      <c r="R139" s="213">
        <v>0</v>
      </c>
      <c r="S139" s="213">
        <v>0</v>
      </c>
      <c r="T139" s="213">
        <v>0</v>
      </c>
      <c r="U139" s="148">
        <v>2</v>
      </c>
      <c r="V139" s="149">
        <f t="shared" si="67"/>
        <v>0</v>
      </c>
      <c r="W139" s="148">
        <f t="shared" si="67"/>
        <v>0</v>
      </c>
      <c r="X139" s="148">
        <f t="shared" si="66"/>
        <v>0</v>
      </c>
      <c r="Y139" s="148">
        <f t="shared" si="66"/>
        <v>0</v>
      </c>
      <c r="Z139" s="148">
        <f t="shared" si="66"/>
        <v>0</v>
      </c>
      <c r="AA139" s="148">
        <f t="shared" si="66"/>
        <v>0</v>
      </c>
      <c r="AB139" s="150">
        <f t="shared" si="66"/>
        <v>-2</v>
      </c>
    </row>
    <row r="140" spans="1:39" x14ac:dyDescent="0.25">
      <c r="A140" s="4"/>
      <c r="B140" s="35" t="s">
        <v>40</v>
      </c>
      <c r="C140" s="146">
        <v>0</v>
      </c>
      <c r="D140" s="147">
        <v>0</v>
      </c>
      <c r="E140" s="147">
        <v>0</v>
      </c>
      <c r="F140" s="147">
        <v>0</v>
      </c>
      <c r="G140" s="147">
        <v>0</v>
      </c>
      <c r="H140" s="148">
        <v>0</v>
      </c>
      <c r="I140" s="147">
        <v>0</v>
      </c>
      <c r="J140" s="148">
        <v>0</v>
      </c>
      <c r="K140" s="147">
        <v>0</v>
      </c>
      <c r="L140" s="232">
        <v>0</v>
      </c>
      <c r="M140" s="235">
        <v>0</v>
      </c>
      <c r="N140" s="236">
        <v>0</v>
      </c>
      <c r="O140" s="236">
        <v>0</v>
      </c>
      <c r="P140" s="236">
        <v>0</v>
      </c>
      <c r="Q140" s="237">
        <v>0</v>
      </c>
      <c r="R140" s="237">
        <v>0</v>
      </c>
      <c r="S140" s="237">
        <v>0</v>
      </c>
      <c r="T140" s="237">
        <v>0</v>
      </c>
      <c r="U140" s="148">
        <v>0</v>
      </c>
      <c r="V140" s="149">
        <f t="shared" si="67"/>
        <v>0</v>
      </c>
      <c r="W140" s="148">
        <f t="shared" si="67"/>
        <v>0</v>
      </c>
      <c r="X140" s="148">
        <f t="shared" si="66"/>
        <v>0</v>
      </c>
      <c r="Y140" s="148">
        <f t="shared" si="66"/>
        <v>0</v>
      </c>
      <c r="Z140" s="148">
        <f t="shared" si="66"/>
        <v>0</v>
      </c>
      <c r="AA140" s="148">
        <f t="shared" si="66"/>
        <v>0</v>
      </c>
      <c r="AB140" s="150">
        <f t="shared" si="66"/>
        <v>0</v>
      </c>
    </row>
    <row r="141" spans="1:39" ht="15.75" thickBot="1" x14ac:dyDescent="0.3">
      <c r="A141" s="4"/>
      <c r="B141" s="36" t="s">
        <v>41</v>
      </c>
      <c r="C141" s="151">
        <f>SUM(C136:C140)</f>
        <v>644</v>
      </c>
      <c r="D141" s="152">
        <f>SUM(D136:D140)</f>
        <v>958</v>
      </c>
      <c r="E141" s="152">
        <f t="shared" ref="E141:V141" si="68">SUM(E136:E140)</f>
        <v>1180</v>
      </c>
      <c r="F141" s="152">
        <f t="shared" si="68"/>
        <v>1136</v>
      </c>
      <c r="G141" s="152">
        <f t="shared" si="68"/>
        <v>899</v>
      </c>
      <c r="H141" s="152">
        <f t="shared" si="68"/>
        <v>723</v>
      </c>
      <c r="I141" s="152">
        <f t="shared" si="68"/>
        <v>531</v>
      </c>
      <c r="J141" s="152">
        <f t="shared" si="68"/>
        <v>404</v>
      </c>
      <c r="K141" s="152">
        <f t="shared" si="68"/>
        <v>355</v>
      </c>
      <c r="L141" s="197">
        <f t="shared" si="68"/>
        <v>169</v>
      </c>
      <c r="M141" s="152">
        <f t="shared" si="68"/>
        <v>195</v>
      </c>
      <c r="N141" s="201">
        <f t="shared" si="68"/>
        <v>377</v>
      </c>
      <c r="O141" s="152">
        <f t="shared" si="68"/>
        <v>365</v>
      </c>
      <c r="P141" s="152">
        <f t="shared" si="68"/>
        <v>154</v>
      </c>
      <c r="Q141" s="152">
        <f t="shared" si="68"/>
        <v>134</v>
      </c>
      <c r="R141" s="152">
        <f t="shared" si="68"/>
        <v>164</v>
      </c>
      <c r="S141" s="152">
        <f t="shared" si="68"/>
        <v>114</v>
      </c>
      <c r="T141" s="152">
        <f t="shared" si="68"/>
        <v>117</v>
      </c>
      <c r="U141" s="153">
        <f t="shared" si="68"/>
        <v>100</v>
      </c>
      <c r="V141" s="152">
        <f t="shared" si="68"/>
        <v>279</v>
      </c>
      <c r="W141" s="152">
        <f t="shared" ref="W141:AB141" si="69">SUM(W136:W140)</f>
        <v>804</v>
      </c>
      <c r="X141" s="152">
        <f t="shared" si="69"/>
        <v>1046</v>
      </c>
      <c r="Y141" s="152">
        <f t="shared" si="69"/>
        <v>972</v>
      </c>
      <c r="Z141" s="152">
        <f t="shared" si="69"/>
        <v>785</v>
      </c>
      <c r="AA141" s="152">
        <f t="shared" si="69"/>
        <v>606</v>
      </c>
      <c r="AB141" s="153">
        <f t="shared" si="69"/>
        <v>431</v>
      </c>
      <c r="AC141" s="244">
        <f>R141-F141</f>
        <v>-972</v>
      </c>
      <c r="AD141" s="245">
        <f>(AC141/F141)*100</f>
        <v>-85.563380281690144</v>
      </c>
    </row>
    <row r="142" spans="1:39" ht="15.75" thickTop="1" x14ac:dyDescent="0.25">
      <c r="A142" s="4"/>
    </row>
    <row r="143" spans="1:39" x14ac:dyDescent="0.25">
      <c r="B143" s="1" t="s">
        <v>27</v>
      </c>
    </row>
    <row r="144" spans="1:39" ht="191.25" customHeight="1" x14ac:dyDescent="0.25">
      <c r="B144" s="240" t="s">
        <v>51</v>
      </c>
      <c r="C144" s="258" t="s">
        <v>53</v>
      </c>
      <c r="D144" s="258"/>
      <c r="E144" s="258"/>
      <c r="F144" s="258"/>
      <c r="G144" s="258"/>
      <c r="H144" s="258"/>
      <c r="I144" s="258"/>
      <c r="J144" s="258"/>
      <c r="K144" s="258"/>
      <c r="L144" s="258"/>
      <c r="N144" s="259" t="s">
        <v>52</v>
      </c>
      <c r="O144" s="259"/>
      <c r="P144" s="259"/>
      <c r="Q144" s="259"/>
      <c r="R144" s="259"/>
      <c r="S144" s="243"/>
      <c r="T144" s="260" t="s">
        <v>54</v>
      </c>
      <c r="U144" s="260"/>
      <c r="V144" s="260"/>
      <c r="W144" s="260"/>
      <c r="X144" s="260"/>
      <c r="Y144" s="260"/>
      <c r="AA144" s="260" t="s">
        <v>55</v>
      </c>
      <c r="AB144" s="260"/>
      <c r="AC144" s="260"/>
      <c r="AD144" s="260"/>
      <c r="AE144" s="260"/>
      <c r="AF144" s="260"/>
      <c r="AH144" s="260" t="s">
        <v>57</v>
      </c>
      <c r="AI144" s="260"/>
      <c r="AJ144" s="260"/>
      <c r="AK144" s="260"/>
      <c r="AL144" s="260"/>
      <c r="AM144" s="260"/>
    </row>
    <row r="147" spans="2:12" x14ac:dyDescent="0.25">
      <c r="B147" s="34" t="s">
        <v>26</v>
      </c>
    </row>
    <row r="148" spans="2:12" ht="97.5" customHeight="1" x14ac:dyDescent="0.25">
      <c r="B148" s="229"/>
      <c r="C148" s="257"/>
      <c r="D148" s="257"/>
      <c r="E148" s="257"/>
      <c r="F148" s="257"/>
      <c r="G148" s="257"/>
      <c r="H148" s="257"/>
      <c r="I148" s="257"/>
      <c r="J148" s="257"/>
      <c r="K148" s="257"/>
      <c r="L148" s="257"/>
    </row>
    <row r="149" spans="2:12" ht="52.5" customHeight="1" x14ac:dyDescent="0.25">
      <c r="B149" s="229"/>
      <c r="C149" s="257"/>
      <c r="D149" s="257"/>
      <c r="E149" s="257"/>
      <c r="F149" s="257"/>
      <c r="G149" s="257"/>
      <c r="H149" s="257"/>
      <c r="I149" s="257"/>
      <c r="J149" s="257"/>
      <c r="K149" s="257"/>
      <c r="L149" s="257"/>
    </row>
    <row r="150" spans="2:12" ht="37.5" customHeight="1" x14ac:dyDescent="0.25">
      <c r="B150" s="229"/>
      <c r="C150" s="257"/>
      <c r="D150" s="257"/>
      <c r="E150" s="257"/>
      <c r="F150" s="257"/>
      <c r="G150" s="257"/>
      <c r="H150" s="257"/>
      <c r="I150" s="257"/>
      <c r="J150" s="257"/>
      <c r="K150" s="257"/>
      <c r="L150" s="257"/>
    </row>
    <row r="151" spans="2:12" ht="63.75" customHeight="1" x14ac:dyDescent="0.25">
      <c r="B151" s="229"/>
      <c r="C151" s="257"/>
      <c r="D151" s="257"/>
      <c r="E151" s="257"/>
      <c r="F151" s="257"/>
      <c r="G151" s="257"/>
      <c r="H151" s="257"/>
      <c r="I151" s="257"/>
      <c r="J151" s="257"/>
      <c r="K151" s="257"/>
      <c r="L151" s="257"/>
    </row>
  </sheetData>
  <mergeCells count="16">
    <mergeCell ref="AH144:AM144"/>
    <mergeCell ref="AA144:AF144"/>
    <mergeCell ref="C149:L149"/>
    <mergeCell ref="C150:L150"/>
    <mergeCell ref="C151:L151"/>
    <mergeCell ref="B1:W1"/>
    <mergeCell ref="C2:I2"/>
    <mergeCell ref="C3:I3"/>
    <mergeCell ref="C4:I4"/>
    <mergeCell ref="C148:L148"/>
    <mergeCell ref="M2:S2"/>
    <mergeCell ref="M3:S3"/>
    <mergeCell ref="M4:S4"/>
    <mergeCell ref="C144:L144"/>
    <mergeCell ref="N144:R144"/>
    <mergeCell ref="T144:Y144"/>
  </mergeCells>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44"/>
  <sheetViews>
    <sheetView workbookViewId="0">
      <pane xSplit="2" ySplit="8" topLeftCell="C117" activePane="bottomRight" state="frozen"/>
      <selection pane="topRight" activeCell="C1" sqref="C1"/>
      <selection pane="bottomLeft" activeCell="A9" sqref="A9"/>
      <selection pane="bottomRight" activeCell="C2" sqref="C2:I2"/>
    </sheetView>
  </sheetViews>
  <sheetFormatPr defaultColWidth="9.140625" defaultRowHeight="15" x14ac:dyDescent="0.25"/>
  <cols>
    <col min="1" max="1" width="5.85546875" style="2" customWidth="1"/>
    <col min="2" max="2" width="63" style="2" customWidth="1"/>
    <col min="3" max="3" width="13.5703125" style="2" bestFit="1" customWidth="1"/>
    <col min="4" max="12" width="10.85546875" style="2" bestFit="1" customWidth="1"/>
    <col min="13" max="15" width="11.85546875" style="2" bestFit="1" customWidth="1"/>
    <col min="16" max="28" width="10.85546875" style="2" bestFit="1" customWidth="1"/>
    <col min="29" max="16384" width="9.140625" style="2"/>
  </cols>
  <sheetData>
    <row r="1" spans="1:28" ht="16.5" thickTop="1" thickBot="1" x14ac:dyDescent="0.3">
      <c r="B1" s="251" t="s">
        <v>19</v>
      </c>
      <c r="C1" s="252"/>
      <c r="D1" s="252"/>
      <c r="E1" s="252"/>
      <c r="F1" s="252"/>
      <c r="G1" s="252"/>
      <c r="H1" s="252"/>
      <c r="I1" s="252"/>
      <c r="J1" s="252"/>
      <c r="K1" s="252"/>
      <c r="L1" s="252"/>
      <c r="M1" s="252"/>
      <c r="N1" s="252"/>
      <c r="O1" s="252"/>
      <c r="P1" s="252"/>
      <c r="Q1" s="252"/>
      <c r="R1" s="252"/>
      <c r="S1" s="252"/>
      <c r="T1" s="252"/>
      <c r="U1" s="252"/>
      <c r="V1" s="252"/>
      <c r="W1" s="252"/>
      <c r="X1" s="38"/>
      <c r="Y1" s="38"/>
      <c r="Z1" s="38"/>
      <c r="AA1" s="38"/>
      <c r="AB1" s="39"/>
    </row>
    <row r="2" spans="1:28" ht="27.6" customHeight="1" thickTop="1" thickBot="1" x14ac:dyDescent="0.3">
      <c r="B2" s="5" t="s">
        <v>0</v>
      </c>
      <c r="C2" s="253" t="s">
        <v>56</v>
      </c>
      <c r="D2" s="254"/>
      <c r="E2" s="254"/>
      <c r="F2" s="254"/>
      <c r="G2" s="254"/>
      <c r="H2" s="254"/>
      <c r="I2" s="254"/>
      <c r="J2" s="6"/>
      <c r="K2" s="7"/>
      <c r="L2" s="7"/>
      <c r="M2" s="7"/>
      <c r="N2" s="7"/>
      <c r="O2" s="7"/>
      <c r="P2" s="7"/>
      <c r="Q2" s="7"/>
      <c r="R2" s="7"/>
      <c r="S2" s="7"/>
      <c r="T2" s="7"/>
      <c r="U2" s="7"/>
      <c r="V2" s="7"/>
      <c r="W2" s="8"/>
    </row>
    <row r="3" spans="1:28" ht="27.6" customHeight="1" thickTop="1" thickBot="1" x14ac:dyDescent="0.3">
      <c r="B3" s="5" t="s">
        <v>1</v>
      </c>
      <c r="C3" s="253" t="s">
        <v>48</v>
      </c>
      <c r="D3" s="254"/>
      <c r="E3" s="254"/>
      <c r="F3" s="254"/>
      <c r="G3" s="254"/>
      <c r="H3" s="254"/>
      <c r="I3" s="254"/>
      <c r="J3" s="6"/>
      <c r="K3" s="9"/>
      <c r="L3" s="9"/>
      <c r="M3" s="9"/>
      <c r="N3" s="9"/>
      <c r="O3" s="9"/>
      <c r="P3" s="9"/>
      <c r="Q3" s="9"/>
      <c r="R3" s="9"/>
      <c r="S3" s="9"/>
      <c r="T3" s="9"/>
      <c r="U3" s="9"/>
      <c r="V3" s="9"/>
      <c r="W3" s="10"/>
    </row>
    <row r="4" spans="1:28" ht="27.6" customHeight="1" thickTop="1" thickBot="1" x14ac:dyDescent="0.3">
      <c r="B4" s="5" t="s">
        <v>2</v>
      </c>
      <c r="C4" s="255">
        <v>44112</v>
      </c>
      <c r="D4" s="256"/>
      <c r="E4" s="256"/>
      <c r="F4" s="256"/>
      <c r="G4" s="256"/>
      <c r="H4" s="256"/>
      <c r="I4" s="256"/>
      <c r="J4" s="6"/>
      <c r="K4" s="9"/>
      <c r="L4" s="9"/>
      <c r="M4" s="9"/>
      <c r="N4" s="9"/>
      <c r="O4" s="9"/>
      <c r="P4" s="9"/>
      <c r="Q4" s="9"/>
      <c r="R4" s="9"/>
      <c r="S4" s="9"/>
      <c r="T4" s="9"/>
      <c r="U4" s="9"/>
      <c r="V4" s="9"/>
      <c r="W4" s="11"/>
    </row>
    <row r="5" spans="1:28" ht="15.75" thickTop="1" x14ac:dyDescent="0.25">
      <c r="B5" s="5"/>
      <c r="C5" s="12"/>
      <c r="D5" s="12"/>
      <c r="E5" s="12"/>
      <c r="F5" s="6"/>
      <c r="G5" s="7"/>
      <c r="H5" s="6"/>
      <c r="I5" s="7"/>
      <c r="J5" s="6"/>
      <c r="K5" s="9"/>
      <c r="L5" s="9"/>
      <c r="M5" s="9"/>
      <c r="N5" s="9"/>
      <c r="O5" s="9"/>
      <c r="P5" s="9"/>
      <c r="Q5" s="9"/>
      <c r="R5" s="9"/>
      <c r="S5" s="9"/>
      <c r="T5" s="9"/>
      <c r="U5" s="9"/>
      <c r="V5" s="9"/>
      <c r="W5" s="11"/>
    </row>
    <row r="6" spans="1:28" ht="15.75" thickBot="1" x14ac:dyDescent="0.3">
      <c r="B6" s="13"/>
      <c r="C6" s="14"/>
      <c r="D6" s="15"/>
      <c r="E6" s="15"/>
      <c r="F6" s="16"/>
      <c r="G6" s="17"/>
      <c r="H6" s="18"/>
      <c r="I6" s="17"/>
      <c r="J6" s="19"/>
      <c r="K6" s="18"/>
      <c r="L6" s="18"/>
      <c r="M6" s="18"/>
      <c r="N6" s="18"/>
      <c r="O6" s="18"/>
      <c r="P6" s="18"/>
      <c r="Q6" s="18"/>
      <c r="R6" s="18"/>
      <c r="S6" s="18"/>
      <c r="T6" s="18"/>
      <c r="U6" s="18"/>
      <c r="V6" s="18"/>
      <c r="W6" s="20"/>
    </row>
    <row r="7" spans="1:28" s="3" customFormat="1" ht="15.75" thickBot="1" x14ac:dyDescent="0.3">
      <c r="B7" s="21"/>
      <c r="C7" s="22"/>
      <c r="D7" s="23"/>
      <c r="E7" s="23"/>
      <c r="F7" s="23"/>
      <c r="G7" s="23"/>
      <c r="H7" s="23"/>
      <c r="I7" s="23"/>
      <c r="J7" s="23"/>
      <c r="K7" s="23"/>
      <c r="L7" s="195"/>
      <c r="M7" s="202"/>
      <c r="N7" s="202"/>
      <c r="O7" s="25"/>
      <c r="P7" s="23"/>
      <c r="Q7" s="23"/>
      <c r="R7" s="23"/>
      <c r="S7" s="23"/>
      <c r="T7" s="23"/>
      <c r="U7" s="26"/>
      <c r="V7" s="22"/>
      <c r="W7" s="23"/>
      <c r="X7" s="23"/>
      <c r="Y7" s="23"/>
      <c r="Z7" s="23"/>
      <c r="AA7" s="23"/>
      <c r="AB7" s="24"/>
    </row>
    <row r="8" spans="1:28" ht="15.75" thickBot="1" x14ac:dyDescent="0.3">
      <c r="B8" s="27"/>
      <c r="C8" s="205">
        <v>43937</v>
      </c>
      <c r="D8" s="206">
        <v>43944</v>
      </c>
      <c r="E8" s="206">
        <v>43951</v>
      </c>
      <c r="F8" s="206">
        <v>43958</v>
      </c>
      <c r="G8" s="206">
        <v>43965</v>
      </c>
      <c r="H8" s="206">
        <v>43972</v>
      </c>
      <c r="I8" s="206">
        <v>43979</v>
      </c>
      <c r="J8" s="206">
        <v>43986</v>
      </c>
      <c r="K8" s="206">
        <v>43993</v>
      </c>
      <c r="L8" s="207">
        <v>44000</v>
      </c>
      <c r="M8" s="208">
        <v>44007</v>
      </c>
      <c r="N8" s="209">
        <v>44014</v>
      </c>
      <c r="O8" s="208">
        <v>44021</v>
      </c>
      <c r="P8" s="206">
        <v>44028</v>
      </c>
      <c r="Q8" s="206">
        <v>44035</v>
      </c>
      <c r="R8" s="206">
        <v>44042</v>
      </c>
      <c r="S8" s="206">
        <v>44049</v>
      </c>
      <c r="T8" s="206">
        <v>44056</v>
      </c>
      <c r="U8" s="210">
        <v>44063</v>
      </c>
      <c r="V8" s="205">
        <v>44070</v>
      </c>
      <c r="W8" s="246">
        <v>44077</v>
      </c>
      <c r="X8" s="246">
        <v>44084</v>
      </c>
      <c r="Y8" s="246">
        <v>44091</v>
      </c>
      <c r="Z8" s="246">
        <v>44098</v>
      </c>
      <c r="AA8" s="246">
        <v>44105</v>
      </c>
      <c r="AB8" s="250">
        <v>44112</v>
      </c>
    </row>
    <row r="9" spans="1:28" x14ac:dyDescent="0.25">
      <c r="A9" s="4">
        <v>1</v>
      </c>
      <c r="B9" s="41" t="s">
        <v>18</v>
      </c>
      <c r="C9" s="61"/>
      <c r="D9" s="62"/>
      <c r="E9" s="62"/>
      <c r="F9" s="62"/>
      <c r="G9" s="62"/>
      <c r="H9" s="62"/>
      <c r="I9" s="62"/>
      <c r="J9" s="62"/>
      <c r="K9" s="62"/>
      <c r="L9" s="63"/>
      <c r="M9" s="64"/>
      <c r="N9" s="62"/>
      <c r="O9" s="64"/>
      <c r="P9" s="62"/>
      <c r="Q9" s="62"/>
      <c r="R9" s="62"/>
      <c r="S9" s="62"/>
      <c r="T9" s="62"/>
      <c r="U9" s="170"/>
      <c r="V9" s="64"/>
      <c r="W9" s="65"/>
      <c r="X9" s="66"/>
      <c r="Y9" s="66"/>
      <c r="Z9" s="66"/>
      <c r="AA9" s="66"/>
      <c r="AB9" s="67"/>
    </row>
    <row r="10" spans="1:28" x14ac:dyDescent="0.25">
      <c r="A10" s="4"/>
      <c r="B10" s="35" t="s">
        <v>36</v>
      </c>
      <c r="C10" s="131">
        <f>SUM(C17+C24+C31-3812)</f>
        <v>21103</v>
      </c>
      <c r="D10" s="69">
        <f>SUM(D17+D24+D31-3853)</f>
        <v>20741</v>
      </c>
      <c r="E10" s="69">
        <f>SUM(E17+E24+E31-4594)</f>
        <v>20643</v>
      </c>
      <c r="F10" s="69">
        <f>SUM(F17+F24+F31-4454)</f>
        <v>20017</v>
      </c>
      <c r="G10" s="69">
        <f>SUM(G17+G24+G31-4544)</f>
        <v>20164</v>
      </c>
      <c r="H10" s="69">
        <f>SUM(H17+H24+H31-4863)</f>
        <v>20508</v>
      </c>
      <c r="I10" s="69">
        <f>SUM(I17+I24+I31-4950)</f>
        <v>21093</v>
      </c>
      <c r="J10" s="69">
        <f>SUM(J17+J24+J31-5089)</f>
        <v>20385</v>
      </c>
      <c r="K10" s="69">
        <f>SUM(K17+K24+K31-4443)</f>
        <v>20041</v>
      </c>
      <c r="L10" s="242">
        <f>SUM(L17+L24+L31-5227)</f>
        <v>21065</v>
      </c>
      <c r="M10" s="68">
        <f>SUM(M17+M24+M31-5440)</f>
        <v>21333</v>
      </c>
      <c r="N10" s="68">
        <f>SUM(N17+N24+N31-6386)</f>
        <v>22040</v>
      </c>
      <c r="O10" s="68">
        <f>SUM(O17+O24+O31-5787)</f>
        <v>21898</v>
      </c>
      <c r="P10" s="68">
        <f>SUM(P17+P24+P31-5922)</f>
        <v>22201</v>
      </c>
      <c r="Q10" s="68">
        <f>SUM(Q17+Q24+Q31-6303)</f>
        <v>21695</v>
      </c>
      <c r="R10" s="68">
        <f>SUM(R17+R24+R31-6821)</f>
        <v>21851</v>
      </c>
      <c r="S10" s="68">
        <f>SUM(S17+S24+S31-6252)</f>
        <v>20863</v>
      </c>
      <c r="T10" s="68">
        <f>SUM(T17+T24+T31-6444)</f>
        <v>21269</v>
      </c>
      <c r="U10" s="68">
        <f>SUM(U17+U24+U31-6541)</f>
        <v>21099</v>
      </c>
      <c r="V10" s="68">
        <f>SUM(V17+V24+V31-6125)</f>
        <v>20996</v>
      </c>
      <c r="W10" s="68">
        <f>SUM(W17+W24+W31-5941)</f>
        <v>19757</v>
      </c>
      <c r="X10" s="68">
        <f>SUM(X17+X24+X31-7164)</f>
        <v>22228</v>
      </c>
      <c r="Y10" s="68">
        <f>SUM(Y17+Y24+Y31-5839)</f>
        <v>21044</v>
      </c>
      <c r="Z10" s="68">
        <f>SUM(Z17+Z24+Z31-5891)</f>
        <v>21404</v>
      </c>
      <c r="AA10" s="68">
        <f>SUM(AA17+AA24+AA31-7083)</f>
        <v>21173</v>
      </c>
      <c r="AB10" s="68">
        <f>SUM(AB17+AB24+AB31-6266)</f>
        <v>20674</v>
      </c>
    </row>
    <row r="11" spans="1:28" x14ac:dyDescent="0.25">
      <c r="A11" s="4"/>
      <c r="B11" s="35" t="s">
        <v>37</v>
      </c>
      <c r="C11" s="131">
        <f>SUM(C18+C25+C32-2001)</f>
        <v>6204</v>
      </c>
      <c r="D11" s="69">
        <f>SUM(D18+D25+D32-1817)</f>
        <v>5915</v>
      </c>
      <c r="E11" s="69">
        <f>SUM(E18+E25+E32-2213)</f>
        <v>6840</v>
      </c>
      <c r="F11" s="69">
        <f>SUM(F18+F25+F32-2081)</f>
        <v>6369</v>
      </c>
      <c r="G11" s="69">
        <f>SUM(G18+G25+G32-1906)</f>
        <v>6084</v>
      </c>
      <c r="H11" s="69">
        <f>SUM(H18+H25+H32-1952)</f>
        <v>6264</v>
      </c>
      <c r="I11" s="69">
        <f>SUM(I18+I25+I32-1968)</f>
        <v>6646</v>
      </c>
      <c r="J11" s="69">
        <f>SUM(J18+J25+J32-2076)</f>
        <v>6394</v>
      </c>
      <c r="K11" s="69">
        <f>SUM(K18+K25+K32-1611)</f>
        <v>5946</v>
      </c>
      <c r="L11" s="242">
        <f>SUM(L18+L25+L32-1438)</f>
        <v>5940</v>
      </c>
      <c r="M11" s="68">
        <f>SUM(M18+M25+M32-1035)</f>
        <v>5689</v>
      </c>
      <c r="N11" s="68">
        <f>SUM(N18+N25+N32-1051)</f>
        <v>5658</v>
      </c>
      <c r="O11" s="68">
        <f>SUM(O18+O25+O32-819)</f>
        <v>5173</v>
      </c>
      <c r="P11" s="68">
        <f>SUM(P18+P25+P32-850)</f>
        <v>5656</v>
      </c>
      <c r="Q11" s="68">
        <f>SUM(Q18+Q25+Q32-1226)</f>
        <v>7001</v>
      </c>
      <c r="R11" s="68">
        <f>SUM(R18+R25+R32-1100)</f>
        <v>7256</v>
      </c>
      <c r="S11" s="68">
        <f>SUM(S18+S25+S32-992)</f>
        <v>6891</v>
      </c>
      <c r="T11" s="68">
        <f>SUM(T18+T25+T32-1338)</f>
        <v>6761</v>
      </c>
      <c r="U11" s="68">
        <f>SUM(U18+U25+U32-1719)</f>
        <v>7070</v>
      </c>
      <c r="V11" s="68">
        <f>SUM(V18+V25+V32-1964)</f>
        <v>7302</v>
      </c>
      <c r="W11" s="68">
        <f>SUM(W18+W25+W32-1941)</f>
        <v>7118</v>
      </c>
      <c r="X11" s="68">
        <f>SUM(X18+X25+X32-2743)</f>
        <v>7988</v>
      </c>
      <c r="Y11" s="68">
        <f>SUM(Y18+Y25+Y32-2283)</f>
        <v>7810</v>
      </c>
      <c r="Z11" s="68">
        <f>SUM(Z18+Z25+Z32-2363)</f>
        <v>8228</v>
      </c>
      <c r="AA11" s="68">
        <f>SUM(AA18+AA25+AA32-3028)</f>
        <v>8577</v>
      </c>
      <c r="AB11" s="68">
        <f>SUM(AB18+AB25+AB32-2872)</f>
        <v>8380</v>
      </c>
    </row>
    <row r="12" spans="1:28" x14ac:dyDescent="0.25">
      <c r="A12" s="4"/>
      <c r="B12" s="35" t="s">
        <v>38</v>
      </c>
      <c r="C12" s="131">
        <f>SUM(C19+C26+C33-130)</f>
        <v>1116</v>
      </c>
      <c r="D12" s="69">
        <f>SUM(D19+D26+D33-125)</f>
        <v>1146</v>
      </c>
      <c r="E12" s="69">
        <f>SUM(E19+E26+E33-160)</f>
        <v>1201</v>
      </c>
      <c r="F12" s="69">
        <f>SUM(F19+F26+F33-161)</f>
        <v>1174</v>
      </c>
      <c r="G12" s="69">
        <f>SUM(G19+G26+G33-186)</f>
        <v>1281</v>
      </c>
      <c r="H12" s="69">
        <f>SUM(H19+H26+H33-197)</f>
        <v>1263</v>
      </c>
      <c r="I12" s="69">
        <f>SUM(I19+I26+I33-208)</f>
        <v>1425</v>
      </c>
      <c r="J12" s="69">
        <f>SUM(J19+J26+J33-209)</f>
        <v>1283</v>
      </c>
      <c r="K12" s="69">
        <f>SUM(K19+K26+K33-181)</f>
        <v>1203</v>
      </c>
      <c r="L12" s="242">
        <f>SUM(L19+L26+L33-244)</f>
        <v>1252</v>
      </c>
      <c r="M12" s="68">
        <f>SUM(M19+M26+M33-249)</f>
        <v>1117</v>
      </c>
      <c r="N12" s="68">
        <f>SUM(N19+N26+N33-237)</f>
        <v>1084</v>
      </c>
      <c r="O12" s="68">
        <f>SUM(O19+O26+O33-206)</f>
        <v>1070</v>
      </c>
      <c r="P12" s="68">
        <f>SUM(P19+P26+P33-244)</f>
        <v>1103</v>
      </c>
      <c r="Q12" s="68">
        <f>SUM(Q19+Q26+Q33-241)</f>
        <v>1140</v>
      </c>
      <c r="R12" s="68">
        <f>SUM(R19+R26+R33-259)</f>
        <v>1010</v>
      </c>
      <c r="S12" s="68">
        <f>SUM(S19+S26+S33-220)</f>
        <v>902</v>
      </c>
      <c r="T12" s="68">
        <f>SUM(T19+T26+T33-234)</f>
        <v>1073</v>
      </c>
      <c r="U12" s="68">
        <f>SUM(U19+U26+U33-228)</f>
        <v>1013</v>
      </c>
      <c r="V12" s="68">
        <f>SUM(V19+V26+V33-215)</f>
        <v>976</v>
      </c>
      <c r="W12" s="68">
        <f>SUM(W19+W26+W33-194)</f>
        <v>807</v>
      </c>
      <c r="X12" s="68">
        <f>SUM(X19+X26+X33-217)</f>
        <v>1023</v>
      </c>
      <c r="Y12" s="68">
        <f>SUM(Y19+Y26+Y33-173)</f>
        <v>938</v>
      </c>
      <c r="Z12" s="68">
        <f>SUM(Z19+Z26+Z33-183)</f>
        <v>983</v>
      </c>
      <c r="AA12" s="68">
        <f>SUM(AA19+AA26+AA33-196)</f>
        <v>873</v>
      </c>
      <c r="AB12" s="68">
        <f>SUM(AB19+AB26+AB33-169)</f>
        <v>834</v>
      </c>
    </row>
    <row r="13" spans="1:28" x14ac:dyDescent="0.25">
      <c r="A13" s="4"/>
      <c r="B13" s="35" t="s">
        <v>39</v>
      </c>
      <c r="C13" s="131">
        <f>SUM(C20+C27+C34-6)</f>
        <v>140</v>
      </c>
      <c r="D13" s="69">
        <f>SUM(D20+D27+D34-7)</f>
        <v>145</v>
      </c>
      <c r="E13" s="69">
        <f>SUM(E20+E27+E34-17)</f>
        <v>158</v>
      </c>
      <c r="F13" s="69">
        <f>SUM(F20+F27+F34-23)</f>
        <v>149</v>
      </c>
      <c r="G13" s="69">
        <f>SUM(G20+G27+G34-21)</f>
        <v>150</v>
      </c>
      <c r="H13" s="69">
        <f>SUM(H20+H27+H34-19)</f>
        <v>138</v>
      </c>
      <c r="I13" s="69">
        <f>SUM(I20+I27+I34-25)</f>
        <v>163</v>
      </c>
      <c r="J13" s="69">
        <f>SUM(J20+J27+J34-26)</f>
        <v>163</v>
      </c>
      <c r="K13" s="69">
        <f>SUM(K20+K27+K34-22)</f>
        <v>149</v>
      </c>
      <c r="L13" s="242">
        <f>SUM(L20+L27+L34-33)</f>
        <v>162</v>
      </c>
      <c r="M13" s="68">
        <f>SUM(M20+M27+M34-23)</f>
        <v>141</v>
      </c>
      <c r="N13" s="68">
        <f>SUM(N20+N27+N34-29)</f>
        <v>154</v>
      </c>
      <c r="O13" s="68">
        <f>SUM(O20+O27+O34-22)</f>
        <v>137</v>
      </c>
      <c r="P13" s="68">
        <f>SUM(P20+P27+P34-28)</f>
        <v>155</v>
      </c>
      <c r="Q13" s="68">
        <f>SUM(Q20+Q27+Q34-28)</f>
        <v>190</v>
      </c>
      <c r="R13" s="68">
        <f>SUM(R20+R27+R34-32)</f>
        <v>148</v>
      </c>
      <c r="S13" s="68">
        <f>SUM(S20+S27+S34-28)</f>
        <v>121</v>
      </c>
      <c r="T13" s="68">
        <f>SUM(T20+T27+T34-30)</f>
        <v>132</v>
      </c>
      <c r="U13" s="68">
        <f>SUM(U20+U27+U34-31)</f>
        <v>136</v>
      </c>
      <c r="V13" s="68">
        <f>SUM(V20+V27+V34-23)</f>
        <v>126</v>
      </c>
      <c r="W13" s="68">
        <f>SUM(W20+W27+W34-21)</f>
        <v>99</v>
      </c>
      <c r="X13" s="68">
        <f>SUM(X20+X27+X34-26)</f>
        <v>137</v>
      </c>
      <c r="Y13" s="68">
        <f>SUM(Y20+Y27+Y34-22)</f>
        <v>122</v>
      </c>
      <c r="Z13" s="68">
        <f>SUM(Z20+Z27+Z34-23)</f>
        <v>128</v>
      </c>
      <c r="AA13" s="68">
        <f>SUM(AA20+AA27+AA34-30)</f>
        <v>101</v>
      </c>
      <c r="AB13" s="68">
        <f>SUM(AB20+AB27+AB34-24)</f>
        <v>109</v>
      </c>
    </row>
    <row r="14" spans="1:28" x14ac:dyDescent="0.25">
      <c r="A14" s="4"/>
      <c r="B14" s="35" t="s">
        <v>40</v>
      </c>
      <c r="C14" s="131">
        <f t="shared" ref="C14:I14" si="0">SUM(C21+C28+C35-0)</f>
        <v>7</v>
      </c>
      <c r="D14" s="69">
        <f t="shared" si="0"/>
        <v>4</v>
      </c>
      <c r="E14" s="69">
        <f t="shared" si="0"/>
        <v>4</v>
      </c>
      <c r="F14" s="69">
        <f t="shared" si="0"/>
        <v>7</v>
      </c>
      <c r="G14" s="69">
        <f t="shared" si="0"/>
        <v>8</v>
      </c>
      <c r="H14" s="69">
        <f t="shared" si="0"/>
        <v>8</v>
      </c>
      <c r="I14" s="69">
        <f t="shared" si="0"/>
        <v>9</v>
      </c>
      <c r="J14" s="69">
        <f>SUM(J21+J28+J35-2)</f>
        <v>10</v>
      </c>
      <c r="K14" s="69">
        <f>SUM(K21+K28+K35-1)</f>
        <v>10</v>
      </c>
      <c r="L14" s="242">
        <f>SUM(L21+L28+L35-1)</f>
        <v>12</v>
      </c>
      <c r="M14" s="68">
        <f>SUM(M21+M28+M35-2)</f>
        <v>10</v>
      </c>
      <c r="N14" s="68">
        <f>SUM(N21+N28+N35-2)</f>
        <v>12</v>
      </c>
      <c r="O14" s="68">
        <f>SUM(O21+O28+O35-1)</f>
        <v>9</v>
      </c>
      <c r="P14" s="68">
        <f>SUM(P21+P28+P35-1)</f>
        <v>7</v>
      </c>
      <c r="Q14" s="68">
        <f>SUM(Q21+Q28+Q35-1)</f>
        <v>7</v>
      </c>
      <c r="R14" s="68">
        <f>SUM(R21+R28+R35-2)</f>
        <v>5</v>
      </c>
      <c r="S14" s="68">
        <f t="shared" ref="S14:X14" si="1">SUM(S21+S28+S35-1)</f>
        <v>7</v>
      </c>
      <c r="T14" s="68">
        <f t="shared" si="1"/>
        <v>8</v>
      </c>
      <c r="U14" s="68">
        <f t="shared" si="1"/>
        <v>7</v>
      </c>
      <c r="V14" s="68">
        <f t="shared" si="1"/>
        <v>7</v>
      </c>
      <c r="W14" s="68">
        <f t="shared" si="1"/>
        <v>3</v>
      </c>
      <c r="X14" s="68">
        <f t="shared" si="1"/>
        <v>5</v>
      </c>
      <c r="Y14" s="68">
        <f>SUM(Y21+Y28+Y35-1)</f>
        <v>4</v>
      </c>
      <c r="Z14" s="68">
        <f>SUM(Z21+Z28+Z35-1)</f>
        <v>5</v>
      </c>
      <c r="AA14" s="68">
        <f>SUM(AA21+AA28+AA35-1)</f>
        <v>5</v>
      </c>
      <c r="AB14" s="68">
        <f>SUM(AB21+AB28+AB35-1)</f>
        <v>7</v>
      </c>
    </row>
    <row r="15" spans="1:28" x14ac:dyDescent="0.25">
      <c r="B15" s="35" t="s">
        <v>41</v>
      </c>
      <c r="C15" s="131">
        <f>SUM(C10:C14)</f>
        <v>28570</v>
      </c>
      <c r="D15" s="71">
        <f>SUM(D10:D14)</f>
        <v>27951</v>
      </c>
      <c r="E15" s="71">
        <f t="shared" ref="E15:AB15" si="2">SUM(E10:E14)</f>
        <v>28846</v>
      </c>
      <c r="F15" s="71">
        <f t="shared" si="2"/>
        <v>27716</v>
      </c>
      <c r="G15" s="71">
        <f t="shared" si="2"/>
        <v>27687</v>
      </c>
      <c r="H15" s="71">
        <f t="shared" si="2"/>
        <v>28181</v>
      </c>
      <c r="I15" s="71">
        <f t="shared" si="2"/>
        <v>29336</v>
      </c>
      <c r="J15" s="71">
        <f t="shared" si="2"/>
        <v>28235</v>
      </c>
      <c r="K15" s="71">
        <f t="shared" si="2"/>
        <v>27349</v>
      </c>
      <c r="L15" s="162">
        <f t="shared" si="2"/>
        <v>28431</v>
      </c>
      <c r="M15" s="71">
        <f t="shared" si="2"/>
        <v>28290</v>
      </c>
      <c r="N15" s="69">
        <f t="shared" si="2"/>
        <v>28948</v>
      </c>
      <c r="O15" s="71">
        <f t="shared" si="2"/>
        <v>28287</v>
      </c>
      <c r="P15" s="71">
        <f t="shared" si="2"/>
        <v>29122</v>
      </c>
      <c r="Q15" s="71">
        <f t="shared" si="2"/>
        <v>30033</v>
      </c>
      <c r="R15" s="71">
        <f t="shared" si="2"/>
        <v>30270</v>
      </c>
      <c r="S15" s="71">
        <f>SUM(S10:S14)</f>
        <v>28784</v>
      </c>
      <c r="T15" s="71">
        <f t="shared" si="2"/>
        <v>29243</v>
      </c>
      <c r="U15" s="171">
        <f t="shared" si="2"/>
        <v>29325</v>
      </c>
      <c r="V15" s="171">
        <f t="shared" si="2"/>
        <v>29407</v>
      </c>
      <c r="W15" s="171">
        <f t="shared" si="2"/>
        <v>27784</v>
      </c>
      <c r="X15" s="171">
        <f t="shared" si="2"/>
        <v>31381</v>
      </c>
      <c r="Y15" s="171">
        <f t="shared" si="2"/>
        <v>29918</v>
      </c>
      <c r="Z15" s="171">
        <f t="shared" si="2"/>
        <v>30748</v>
      </c>
      <c r="AA15" s="171">
        <f t="shared" si="2"/>
        <v>30729</v>
      </c>
      <c r="AB15" s="171">
        <f t="shared" si="2"/>
        <v>30004</v>
      </c>
    </row>
    <row r="16" spans="1:28" x14ac:dyDescent="0.25">
      <c r="A16" s="4">
        <f>+A9+1</f>
        <v>2</v>
      </c>
      <c r="B16" s="42" t="s">
        <v>21</v>
      </c>
      <c r="C16" s="68"/>
      <c r="D16" s="69"/>
      <c r="E16" s="69"/>
      <c r="F16" s="69"/>
      <c r="G16" s="69"/>
      <c r="H16" s="69"/>
      <c r="I16" s="69"/>
      <c r="J16" s="69"/>
      <c r="K16" s="69"/>
      <c r="L16" s="70"/>
      <c r="M16" s="71"/>
      <c r="N16" s="69"/>
      <c r="O16" s="71"/>
      <c r="P16" s="69"/>
      <c r="Q16" s="69"/>
      <c r="R16" s="69"/>
      <c r="S16" s="69"/>
      <c r="T16" s="69"/>
      <c r="U16" s="171"/>
      <c r="V16" s="71"/>
      <c r="W16" s="72"/>
      <c r="X16" s="73"/>
      <c r="Y16" s="73"/>
      <c r="Z16" s="73"/>
      <c r="AA16" s="73"/>
      <c r="AB16" s="74"/>
    </row>
    <row r="17" spans="1:28" x14ac:dyDescent="0.25">
      <c r="B17" s="35" t="s">
        <v>36</v>
      </c>
      <c r="C17" s="68">
        <v>12191</v>
      </c>
      <c r="D17" s="69">
        <v>11582</v>
      </c>
      <c r="E17" s="69">
        <v>12227</v>
      </c>
      <c r="F17" s="69">
        <v>11393</v>
      </c>
      <c r="G17" s="69">
        <v>11739</v>
      </c>
      <c r="H17" s="69">
        <v>11194</v>
      </c>
      <c r="I17" s="69">
        <v>11843</v>
      </c>
      <c r="J17" s="69">
        <v>11440</v>
      </c>
      <c r="K17" s="69">
        <v>9729</v>
      </c>
      <c r="L17" s="70">
        <v>11095</v>
      </c>
      <c r="M17" s="71">
        <v>10716</v>
      </c>
      <c r="N17" s="69">
        <v>12548</v>
      </c>
      <c r="O17" s="71">
        <v>12315</v>
      </c>
      <c r="P17" s="69">
        <v>11739</v>
      </c>
      <c r="Q17" s="69">
        <v>12174</v>
      </c>
      <c r="R17" s="69">
        <v>12184</v>
      </c>
      <c r="S17" s="69">
        <v>10786</v>
      </c>
      <c r="T17" s="69">
        <v>11271</v>
      </c>
      <c r="U17" s="171">
        <v>11121</v>
      </c>
      <c r="V17" s="71">
        <v>10273</v>
      </c>
      <c r="W17" s="71">
        <v>9450</v>
      </c>
      <c r="X17" s="71">
        <v>12593</v>
      </c>
      <c r="Y17" s="71">
        <v>10618</v>
      </c>
      <c r="Z17" s="71">
        <v>11374</v>
      </c>
      <c r="AA17" s="71">
        <v>11817</v>
      </c>
      <c r="AB17" s="70">
        <v>11073</v>
      </c>
    </row>
    <row r="18" spans="1:28" x14ac:dyDescent="0.25">
      <c r="B18" s="35" t="s">
        <v>37</v>
      </c>
      <c r="C18" s="68">
        <v>3287</v>
      </c>
      <c r="D18" s="69">
        <v>2963</v>
      </c>
      <c r="E18" s="69">
        <v>3908</v>
      </c>
      <c r="F18" s="69">
        <v>3479</v>
      </c>
      <c r="G18" s="69">
        <v>3344</v>
      </c>
      <c r="H18" s="69">
        <v>3190</v>
      </c>
      <c r="I18" s="69">
        <v>3491</v>
      </c>
      <c r="J18" s="69">
        <v>3478</v>
      </c>
      <c r="K18" s="69">
        <v>2807</v>
      </c>
      <c r="L18" s="70">
        <v>3221</v>
      </c>
      <c r="M18" s="71">
        <v>3310</v>
      </c>
      <c r="N18" s="69">
        <v>4013</v>
      </c>
      <c r="O18" s="71">
        <v>3669</v>
      </c>
      <c r="P18" s="69">
        <v>3492</v>
      </c>
      <c r="Q18" s="69">
        <v>4080</v>
      </c>
      <c r="R18" s="69">
        <v>4022</v>
      </c>
      <c r="S18" s="69">
        <v>3678</v>
      </c>
      <c r="T18" s="69">
        <v>3604</v>
      </c>
      <c r="U18" s="171">
        <v>3670</v>
      </c>
      <c r="V18" s="71">
        <v>3440</v>
      </c>
      <c r="W18" s="71">
        <v>3335</v>
      </c>
      <c r="X18" s="71">
        <v>4523</v>
      </c>
      <c r="Y18" s="71">
        <v>3964</v>
      </c>
      <c r="Z18" s="71">
        <v>4438</v>
      </c>
      <c r="AA18" s="71">
        <v>4712</v>
      </c>
      <c r="AB18" s="70">
        <v>4493</v>
      </c>
    </row>
    <row r="19" spans="1:28" x14ac:dyDescent="0.25">
      <c r="B19" s="35" t="s">
        <v>38</v>
      </c>
      <c r="C19" s="131">
        <v>763</v>
      </c>
      <c r="D19" s="69">
        <v>737</v>
      </c>
      <c r="E19" s="69">
        <v>812</v>
      </c>
      <c r="F19" s="69">
        <v>746</v>
      </c>
      <c r="G19" s="69">
        <v>833</v>
      </c>
      <c r="H19" s="69">
        <v>791</v>
      </c>
      <c r="I19" s="69">
        <v>887</v>
      </c>
      <c r="J19" s="69">
        <v>823</v>
      </c>
      <c r="K19" s="69">
        <v>620</v>
      </c>
      <c r="L19" s="70">
        <v>724</v>
      </c>
      <c r="M19" s="71">
        <v>621</v>
      </c>
      <c r="N19" s="69">
        <v>665</v>
      </c>
      <c r="O19" s="71">
        <v>669</v>
      </c>
      <c r="P19" s="69">
        <v>682</v>
      </c>
      <c r="Q19" s="69">
        <v>737</v>
      </c>
      <c r="R19" s="69">
        <v>617</v>
      </c>
      <c r="S19" s="69">
        <v>480</v>
      </c>
      <c r="T19" s="69">
        <v>646</v>
      </c>
      <c r="U19" s="171">
        <v>623</v>
      </c>
      <c r="V19" s="71">
        <v>568</v>
      </c>
      <c r="W19" s="71">
        <v>444</v>
      </c>
      <c r="X19" s="71">
        <v>664</v>
      </c>
      <c r="Y19" s="71">
        <v>554</v>
      </c>
      <c r="Z19" s="71">
        <v>629</v>
      </c>
      <c r="AA19" s="71">
        <v>560</v>
      </c>
      <c r="AB19" s="70">
        <v>506</v>
      </c>
    </row>
    <row r="20" spans="1:28" x14ac:dyDescent="0.25">
      <c r="B20" s="35" t="s">
        <v>39</v>
      </c>
      <c r="C20" s="131">
        <v>101</v>
      </c>
      <c r="D20" s="69">
        <v>102</v>
      </c>
      <c r="E20" s="69">
        <v>110</v>
      </c>
      <c r="F20" s="69">
        <v>103</v>
      </c>
      <c r="G20" s="69">
        <v>97</v>
      </c>
      <c r="H20" s="69">
        <v>92</v>
      </c>
      <c r="I20" s="69">
        <v>110</v>
      </c>
      <c r="J20" s="69">
        <v>111</v>
      </c>
      <c r="K20" s="69">
        <v>87</v>
      </c>
      <c r="L20" s="70">
        <v>111</v>
      </c>
      <c r="M20" s="71">
        <v>83</v>
      </c>
      <c r="N20" s="69">
        <v>99</v>
      </c>
      <c r="O20" s="71">
        <v>86</v>
      </c>
      <c r="P20" s="69">
        <v>100</v>
      </c>
      <c r="Q20" s="69">
        <v>129</v>
      </c>
      <c r="R20" s="69">
        <v>96</v>
      </c>
      <c r="S20" s="69">
        <v>68</v>
      </c>
      <c r="T20" s="69">
        <v>79</v>
      </c>
      <c r="U20" s="171">
        <v>81</v>
      </c>
      <c r="V20" s="71">
        <v>67</v>
      </c>
      <c r="W20" s="71">
        <v>50</v>
      </c>
      <c r="X20" s="71">
        <v>92</v>
      </c>
      <c r="Y20" s="71">
        <v>70</v>
      </c>
      <c r="Z20" s="71">
        <v>86</v>
      </c>
      <c r="AA20" s="71">
        <v>63</v>
      </c>
      <c r="AB20" s="70">
        <v>71</v>
      </c>
    </row>
    <row r="21" spans="1:28" x14ac:dyDescent="0.25">
      <c r="B21" s="35" t="s">
        <v>40</v>
      </c>
      <c r="C21" s="68">
        <v>7</v>
      </c>
      <c r="D21" s="69">
        <v>4</v>
      </c>
      <c r="E21" s="69">
        <v>4</v>
      </c>
      <c r="F21" s="69">
        <v>5</v>
      </c>
      <c r="G21" s="69">
        <v>6</v>
      </c>
      <c r="H21" s="69">
        <v>5</v>
      </c>
      <c r="I21" s="69">
        <v>6</v>
      </c>
      <c r="J21" s="69">
        <v>8</v>
      </c>
      <c r="K21" s="69">
        <v>6</v>
      </c>
      <c r="L21" s="70">
        <v>8</v>
      </c>
      <c r="M21" s="71">
        <v>7</v>
      </c>
      <c r="N21" s="69">
        <v>7</v>
      </c>
      <c r="O21" s="71">
        <v>6</v>
      </c>
      <c r="P21" s="69">
        <v>5</v>
      </c>
      <c r="Q21" s="69">
        <v>5</v>
      </c>
      <c r="R21" s="69">
        <v>3</v>
      </c>
      <c r="S21" s="69">
        <v>4</v>
      </c>
      <c r="T21" s="69">
        <v>5</v>
      </c>
      <c r="U21" s="171">
        <v>4</v>
      </c>
      <c r="V21" s="71">
        <v>4</v>
      </c>
      <c r="W21" s="71">
        <v>2</v>
      </c>
      <c r="X21" s="71">
        <v>4</v>
      </c>
      <c r="Y21" s="71">
        <v>3</v>
      </c>
      <c r="Z21" s="71">
        <v>4</v>
      </c>
      <c r="AA21" s="71">
        <v>4</v>
      </c>
      <c r="AB21" s="70">
        <v>6</v>
      </c>
    </row>
    <row r="22" spans="1:28" x14ac:dyDescent="0.25">
      <c r="B22" s="35" t="s">
        <v>41</v>
      </c>
      <c r="C22" s="131">
        <f>SUM(C17:C21)</f>
        <v>16349</v>
      </c>
      <c r="D22" s="71">
        <f>SUM(D17:D21)</f>
        <v>15388</v>
      </c>
      <c r="E22" s="71">
        <f t="shared" ref="E22:V22" si="3">SUM(E17:E21)</f>
        <v>17061</v>
      </c>
      <c r="F22" s="71">
        <f t="shared" si="3"/>
        <v>15726</v>
      </c>
      <c r="G22" s="71">
        <f t="shared" si="3"/>
        <v>16019</v>
      </c>
      <c r="H22" s="71">
        <f t="shared" si="3"/>
        <v>15272</v>
      </c>
      <c r="I22" s="71">
        <f t="shared" si="3"/>
        <v>16337</v>
      </c>
      <c r="J22" s="71">
        <f t="shared" si="3"/>
        <v>15860</v>
      </c>
      <c r="K22" s="71">
        <f t="shared" si="3"/>
        <v>13249</v>
      </c>
      <c r="L22" s="162">
        <f t="shared" si="3"/>
        <v>15159</v>
      </c>
      <c r="M22" s="71">
        <f t="shared" si="3"/>
        <v>14737</v>
      </c>
      <c r="N22" s="71">
        <f t="shared" si="3"/>
        <v>17332</v>
      </c>
      <c r="O22" s="71">
        <f t="shared" si="3"/>
        <v>16745</v>
      </c>
      <c r="P22" s="71">
        <f t="shared" si="3"/>
        <v>16018</v>
      </c>
      <c r="Q22" s="71">
        <f t="shared" si="3"/>
        <v>17125</v>
      </c>
      <c r="R22" s="71">
        <f t="shared" si="3"/>
        <v>16922</v>
      </c>
      <c r="S22" s="71">
        <f t="shared" si="3"/>
        <v>15016</v>
      </c>
      <c r="T22" s="71">
        <f t="shared" si="3"/>
        <v>15605</v>
      </c>
      <c r="U22" s="172">
        <f t="shared" si="3"/>
        <v>15499</v>
      </c>
      <c r="V22" s="172">
        <f t="shared" si="3"/>
        <v>14352</v>
      </c>
      <c r="W22" s="172">
        <f>SUM(W17:W21)</f>
        <v>13281</v>
      </c>
      <c r="X22" s="172">
        <f t="shared" ref="X22:AB22" si="4">SUM(X17:X21)</f>
        <v>17876</v>
      </c>
      <c r="Y22" s="172">
        <f t="shared" si="4"/>
        <v>15209</v>
      </c>
      <c r="Z22" s="172">
        <f t="shared" si="4"/>
        <v>16531</v>
      </c>
      <c r="AA22" s="172">
        <f t="shared" si="4"/>
        <v>17156</v>
      </c>
      <c r="AB22" s="172">
        <f t="shared" si="4"/>
        <v>16149</v>
      </c>
    </row>
    <row r="23" spans="1:28" x14ac:dyDescent="0.25">
      <c r="A23" s="4">
        <f>+A16+1</f>
        <v>3</v>
      </c>
      <c r="B23" s="42" t="s">
        <v>22</v>
      </c>
      <c r="C23" s="131"/>
      <c r="D23" s="71"/>
      <c r="E23" s="71"/>
      <c r="F23" s="71"/>
      <c r="G23" s="71"/>
      <c r="H23" s="71"/>
      <c r="I23" s="71"/>
      <c r="J23" s="71"/>
      <c r="K23" s="71"/>
      <c r="L23" s="162"/>
      <c r="M23" s="71"/>
      <c r="N23" s="71"/>
      <c r="O23" s="71"/>
      <c r="P23" s="71"/>
      <c r="Q23" s="71"/>
      <c r="R23" s="71"/>
      <c r="S23" s="71"/>
      <c r="T23" s="71"/>
      <c r="U23" s="172"/>
      <c r="V23" s="71"/>
      <c r="W23" s="71"/>
      <c r="X23" s="71"/>
      <c r="Y23" s="71"/>
      <c r="Z23" s="71"/>
      <c r="AA23" s="71"/>
      <c r="AB23" s="70"/>
    </row>
    <row r="24" spans="1:28" x14ac:dyDescent="0.25">
      <c r="A24" s="4"/>
      <c r="B24" s="35" t="s">
        <v>36</v>
      </c>
      <c r="C24" s="225">
        <v>8123</v>
      </c>
      <c r="D24" s="71">
        <v>8012</v>
      </c>
      <c r="E24" s="71">
        <v>7955</v>
      </c>
      <c r="F24" s="71">
        <v>7991</v>
      </c>
      <c r="G24" s="71">
        <v>7436</v>
      </c>
      <c r="H24" s="71">
        <v>8409</v>
      </c>
      <c r="I24" s="71">
        <v>8156</v>
      </c>
      <c r="J24" s="71">
        <v>7996</v>
      </c>
      <c r="K24" s="71">
        <v>8436</v>
      </c>
      <c r="L24" s="162">
        <v>8519</v>
      </c>
      <c r="M24" s="71">
        <v>9042</v>
      </c>
      <c r="N24" s="71">
        <v>8753</v>
      </c>
      <c r="O24" s="71">
        <v>8011</v>
      </c>
      <c r="P24" s="71">
        <v>8918</v>
      </c>
      <c r="Q24" s="71">
        <v>8682</v>
      </c>
      <c r="R24" s="71">
        <v>9222</v>
      </c>
      <c r="S24" s="71">
        <v>8985</v>
      </c>
      <c r="T24" s="71">
        <v>9024</v>
      </c>
      <c r="U24" s="172">
        <v>8941</v>
      </c>
      <c r="V24" s="71">
        <v>9031</v>
      </c>
      <c r="W24" s="71">
        <v>8654</v>
      </c>
      <c r="X24" s="71">
        <v>9011</v>
      </c>
      <c r="Y24" s="71">
        <v>8436</v>
      </c>
      <c r="Z24" s="71">
        <v>7971</v>
      </c>
      <c r="AA24" s="71">
        <v>8837</v>
      </c>
      <c r="AB24" s="70">
        <v>8187</v>
      </c>
    </row>
    <row r="25" spans="1:28" x14ac:dyDescent="0.25">
      <c r="A25" s="4"/>
      <c r="B25" s="35" t="s">
        <v>37</v>
      </c>
      <c r="C25" s="225">
        <v>2695</v>
      </c>
      <c r="D25" s="71">
        <v>2574</v>
      </c>
      <c r="E25" s="71">
        <v>2820</v>
      </c>
      <c r="F25" s="71">
        <v>2727</v>
      </c>
      <c r="G25" s="71">
        <v>2432</v>
      </c>
      <c r="H25" s="71">
        <v>2766</v>
      </c>
      <c r="I25" s="71">
        <v>2726</v>
      </c>
      <c r="J25" s="71">
        <v>2731</v>
      </c>
      <c r="K25" s="71">
        <v>2615</v>
      </c>
      <c r="L25" s="162">
        <v>2303</v>
      </c>
      <c r="M25" s="71">
        <v>1942</v>
      </c>
      <c r="N25" s="71">
        <v>1560</v>
      </c>
      <c r="O25" s="71">
        <v>1332</v>
      </c>
      <c r="P25" s="71">
        <v>1969</v>
      </c>
      <c r="Q25" s="71">
        <v>2809</v>
      </c>
      <c r="R25" s="71">
        <v>3175</v>
      </c>
      <c r="S25" s="71">
        <v>3036</v>
      </c>
      <c r="T25" s="71">
        <v>3024</v>
      </c>
      <c r="U25" s="172">
        <v>3095</v>
      </c>
      <c r="V25" s="71">
        <v>3255</v>
      </c>
      <c r="W25" s="71">
        <v>3187</v>
      </c>
      <c r="X25" s="71">
        <v>3410</v>
      </c>
      <c r="Y25" s="71">
        <v>3270</v>
      </c>
      <c r="Z25" s="71">
        <v>3135</v>
      </c>
      <c r="AA25" s="71">
        <v>3818</v>
      </c>
      <c r="AB25" s="70">
        <v>3685</v>
      </c>
    </row>
    <row r="26" spans="1:28" x14ac:dyDescent="0.25">
      <c r="A26" s="4"/>
      <c r="B26" s="35" t="s">
        <v>38</v>
      </c>
      <c r="C26" s="225">
        <v>323</v>
      </c>
      <c r="D26" s="71">
        <v>365</v>
      </c>
      <c r="E26" s="71">
        <v>367</v>
      </c>
      <c r="F26" s="71">
        <v>396</v>
      </c>
      <c r="G26" s="71">
        <v>405</v>
      </c>
      <c r="H26" s="71">
        <v>430</v>
      </c>
      <c r="I26" s="71">
        <v>487</v>
      </c>
      <c r="J26" s="71">
        <v>408</v>
      </c>
      <c r="K26" s="71">
        <v>474</v>
      </c>
      <c r="L26" s="162">
        <v>466</v>
      </c>
      <c r="M26" s="71">
        <v>430</v>
      </c>
      <c r="N26" s="71">
        <v>379</v>
      </c>
      <c r="O26" s="71">
        <v>311</v>
      </c>
      <c r="P26" s="71">
        <v>361</v>
      </c>
      <c r="Q26" s="71">
        <v>359</v>
      </c>
      <c r="R26" s="71">
        <v>370</v>
      </c>
      <c r="S26" s="71">
        <v>362</v>
      </c>
      <c r="T26" s="71">
        <v>376</v>
      </c>
      <c r="U26" s="172">
        <v>353</v>
      </c>
      <c r="V26" s="71">
        <v>358</v>
      </c>
      <c r="W26" s="71">
        <v>315</v>
      </c>
      <c r="X26" s="71">
        <v>333</v>
      </c>
      <c r="Y26" s="71">
        <v>313</v>
      </c>
      <c r="Z26" s="71">
        <v>303</v>
      </c>
      <c r="AA26" s="71">
        <v>292</v>
      </c>
      <c r="AB26" s="70">
        <v>258</v>
      </c>
    </row>
    <row r="27" spans="1:28" x14ac:dyDescent="0.25">
      <c r="A27" s="4"/>
      <c r="B27" s="35" t="s">
        <v>39</v>
      </c>
      <c r="C27" s="225">
        <v>39</v>
      </c>
      <c r="D27" s="71">
        <v>39</v>
      </c>
      <c r="E27" s="71">
        <v>49</v>
      </c>
      <c r="F27" s="71">
        <v>46</v>
      </c>
      <c r="G27" s="71">
        <v>49</v>
      </c>
      <c r="H27" s="71">
        <v>46</v>
      </c>
      <c r="I27" s="71">
        <v>48</v>
      </c>
      <c r="J27" s="71">
        <v>46</v>
      </c>
      <c r="K27" s="71">
        <v>49</v>
      </c>
      <c r="L27" s="162">
        <v>50</v>
      </c>
      <c r="M27" s="71">
        <v>46</v>
      </c>
      <c r="N27" s="71">
        <v>50</v>
      </c>
      <c r="O27" s="71">
        <v>42</v>
      </c>
      <c r="P27" s="71">
        <v>51</v>
      </c>
      <c r="Q27" s="71">
        <v>55</v>
      </c>
      <c r="R27" s="71">
        <v>47</v>
      </c>
      <c r="S27" s="71">
        <v>44</v>
      </c>
      <c r="T27" s="71">
        <v>46</v>
      </c>
      <c r="U27" s="172">
        <v>49</v>
      </c>
      <c r="V27" s="71">
        <v>48</v>
      </c>
      <c r="W27" s="71">
        <v>39</v>
      </c>
      <c r="X27" s="71">
        <v>38</v>
      </c>
      <c r="Y27" s="71">
        <v>40</v>
      </c>
      <c r="Z27" s="71">
        <v>32</v>
      </c>
      <c r="AA27" s="71">
        <v>37</v>
      </c>
      <c r="AB27" s="70">
        <v>31</v>
      </c>
    </row>
    <row r="28" spans="1:28" x14ac:dyDescent="0.25">
      <c r="A28" s="4"/>
      <c r="B28" s="35" t="s">
        <v>40</v>
      </c>
      <c r="C28" s="225">
        <v>0</v>
      </c>
      <c r="D28" s="71">
        <v>0</v>
      </c>
      <c r="E28" s="71">
        <v>0</v>
      </c>
      <c r="F28" s="71">
        <v>2</v>
      </c>
      <c r="G28" s="71">
        <v>2</v>
      </c>
      <c r="H28" s="71">
        <v>3</v>
      </c>
      <c r="I28" s="71">
        <v>3</v>
      </c>
      <c r="J28" s="71">
        <v>2</v>
      </c>
      <c r="K28" s="71">
        <v>3</v>
      </c>
      <c r="L28" s="162">
        <v>3</v>
      </c>
      <c r="M28" s="71">
        <v>3</v>
      </c>
      <c r="N28" s="71">
        <v>5</v>
      </c>
      <c r="O28" s="71">
        <v>3</v>
      </c>
      <c r="P28" s="71">
        <v>2</v>
      </c>
      <c r="Q28" s="71">
        <v>2</v>
      </c>
      <c r="R28" s="71">
        <v>2</v>
      </c>
      <c r="S28" s="71">
        <v>2</v>
      </c>
      <c r="T28" s="71">
        <v>3</v>
      </c>
      <c r="U28" s="172">
        <v>3</v>
      </c>
      <c r="V28" s="71">
        <v>3</v>
      </c>
      <c r="W28" s="71">
        <v>1</v>
      </c>
      <c r="X28" s="71">
        <v>1</v>
      </c>
      <c r="Y28" s="71">
        <v>1</v>
      </c>
      <c r="Z28" s="71">
        <v>1</v>
      </c>
      <c r="AA28" s="71">
        <v>1</v>
      </c>
      <c r="AB28" s="70">
        <v>1</v>
      </c>
    </row>
    <row r="29" spans="1:28" x14ac:dyDescent="0.25">
      <c r="A29" s="4"/>
      <c r="B29" s="35" t="s">
        <v>41</v>
      </c>
      <c r="C29" s="131">
        <f>SUM(C24:C28)</f>
        <v>11180</v>
      </c>
      <c r="D29" s="71">
        <f>SUM(D24:D28)</f>
        <v>10990</v>
      </c>
      <c r="E29" s="71">
        <f t="shared" ref="E29:AB29" si="5">SUM(E24:E28)</f>
        <v>11191</v>
      </c>
      <c r="F29" s="71">
        <f t="shared" si="5"/>
        <v>11162</v>
      </c>
      <c r="G29" s="71">
        <f t="shared" si="5"/>
        <v>10324</v>
      </c>
      <c r="H29" s="71">
        <f t="shared" si="5"/>
        <v>11654</v>
      </c>
      <c r="I29" s="71">
        <f t="shared" si="5"/>
        <v>11420</v>
      </c>
      <c r="J29" s="71">
        <f t="shared" si="5"/>
        <v>11183</v>
      </c>
      <c r="K29" s="71">
        <f t="shared" si="5"/>
        <v>11577</v>
      </c>
      <c r="L29" s="162">
        <f t="shared" si="5"/>
        <v>11341</v>
      </c>
      <c r="M29" s="71">
        <f t="shared" si="5"/>
        <v>11463</v>
      </c>
      <c r="N29" s="71">
        <f t="shared" si="5"/>
        <v>10747</v>
      </c>
      <c r="O29" s="71">
        <f t="shared" si="5"/>
        <v>9699</v>
      </c>
      <c r="P29" s="71">
        <f t="shared" si="5"/>
        <v>11301</v>
      </c>
      <c r="Q29" s="71">
        <f t="shared" si="5"/>
        <v>11907</v>
      </c>
      <c r="R29" s="71">
        <f t="shared" si="5"/>
        <v>12816</v>
      </c>
      <c r="S29" s="71">
        <f t="shared" si="5"/>
        <v>12429</v>
      </c>
      <c r="T29" s="71">
        <f t="shared" si="5"/>
        <v>12473</v>
      </c>
      <c r="U29" s="172">
        <f t="shared" si="5"/>
        <v>12441</v>
      </c>
      <c r="V29" s="172">
        <f t="shared" si="5"/>
        <v>12695</v>
      </c>
      <c r="W29" s="172">
        <f t="shared" si="5"/>
        <v>12196</v>
      </c>
      <c r="X29" s="172">
        <f t="shared" si="5"/>
        <v>12793</v>
      </c>
      <c r="Y29" s="172">
        <f t="shared" si="5"/>
        <v>12060</v>
      </c>
      <c r="Z29" s="172">
        <f t="shared" si="5"/>
        <v>11442</v>
      </c>
      <c r="AA29" s="172">
        <f t="shared" si="5"/>
        <v>12985</v>
      </c>
      <c r="AB29" s="172">
        <f t="shared" si="5"/>
        <v>12162</v>
      </c>
    </row>
    <row r="30" spans="1:28" x14ac:dyDescent="0.25">
      <c r="A30" s="4">
        <f>+A23+1</f>
        <v>4</v>
      </c>
      <c r="B30" s="42" t="s">
        <v>23</v>
      </c>
      <c r="C30" s="131"/>
      <c r="D30" s="71"/>
      <c r="E30" s="71"/>
      <c r="F30" s="71"/>
      <c r="G30" s="71"/>
      <c r="H30" s="71"/>
      <c r="I30" s="71"/>
      <c r="J30" s="71"/>
      <c r="K30" s="71"/>
      <c r="L30" s="162"/>
      <c r="M30" s="71"/>
      <c r="N30" s="71"/>
      <c r="O30" s="71"/>
      <c r="P30" s="71"/>
      <c r="Q30" s="71"/>
      <c r="R30" s="71"/>
      <c r="S30" s="71"/>
      <c r="T30" s="71"/>
      <c r="U30" s="172"/>
      <c r="V30" s="71"/>
      <c r="W30" s="71"/>
      <c r="X30" s="71"/>
      <c r="Y30" s="71"/>
      <c r="Z30" s="71"/>
      <c r="AA30" s="71"/>
      <c r="AB30" s="70"/>
    </row>
    <row r="31" spans="1:28" x14ac:dyDescent="0.25">
      <c r="A31" s="4"/>
      <c r="B31" s="35" t="s">
        <v>36</v>
      </c>
      <c r="C31" s="223">
        <v>4601</v>
      </c>
      <c r="D31" s="71">
        <v>5000</v>
      </c>
      <c r="E31" s="71">
        <v>5055</v>
      </c>
      <c r="F31" s="71">
        <v>5087</v>
      </c>
      <c r="G31" s="71">
        <v>5533</v>
      </c>
      <c r="H31" s="71">
        <v>5768</v>
      </c>
      <c r="I31" s="71">
        <v>6044</v>
      </c>
      <c r="J31" s="71">
        <v>6038</v>
      </c>
      <c r="K31" s="71">
        <v>6319</v>
      </c>
      <c r="L31" s="162">
        <v>6678</v>
      </c>
      <c r="M31" s="71">
        <v>7015</v>
      </c>
      <c r="N31" s="71">
        <v>7125</v>
      </c>
      <c r="O31" s="71">
        <v>7359</v>
      </c>
      <c r="P31" s="71">
        <v>7466</v>
      </c>
      <c r="Q31" s="71">
        <v>7142</v>
      </c>
      <c r="R31" s="71">
        <v>7266</v>
      </c>
      <c r="S31" s="71">
        <v>7344</v>
      </c>
      <c r="T31" s="71">
        <v>7418</v>
      </c>
      <c r="U31" s="172">
        <v>7578</v>
      </c>
      <c r="V31" s="71">
        <v>7817</v>
      </c>
      <c r="W31" s="71">
        <v>7594</v>
      </c>
      <c r="X31" s="71">
        <v>7788</v>
      </c>
      <c r="Y31" s="71">
        <v>7829</v>
      </c>
      <c r="Z31" s="71">
        <v>7950</v>
      </c>
      <c r="AA31" s="71">
        <v>7602</v>
      </c>
      <c r="AB31" s="70">
        <v>7680</v>
      </c>
    </row>
    <row r="32" spans="1:28" x14ac:dyDescent="0.25">
      <c r="A32" s="4"/>
      <c r="B32" s="35" t="s">
        <v>37</v>
      </c>
      <c r="C32" s="223">
        <v>2223</v>
      </c>
      <c r="D32" s="71">
        <v>2195</v>
      </c>
      <c r="E32" s="71">
        <v>2325</v>
      </c>
      <c r="F32" s="71">
        <v>2244</v>
      </c>
      <c r="G32" s="71">
        <v>2214</v>
      </c>
      <c r="H32" s="71">
        <v>2260</v>
      </c>
      <c r="I32" s="71">
        <v>2397</v>
      </c>
      <c r="J32" s="71">
        <v>2261</v>
      </c>
      <c r="K32" s="71">
        <v>2135</v>
      </c>
      <c r="L32" s="162">
        <v>1854</v>
      </c>
      <c r="M32" s="71">
        <v>1472</v>
      </c>
      <c r="N32" s="71">
        <v>1136</v>
      </c>
      <c r="O32" s="71">
        <v>991</v>
      </c>
      <c r="P32" s="71">
        <v>1045</v>
      </c>
      <c r="Q32" s="71">
        <v>1338</v>
      </c>
      <c r="R32" s="71">
        <v>1159</v>
      </c>
      <c r="S32" s="71">
        <v>1169</v>
      </c>
      <c r="T32" s="71">
        <v>1471</v>
      </c>
      <c r="U32" s="172">
        <v>2024</v>
      </c>
      <c r="V32" s="71">
        <v>2571</v>
      </c>
      <c r="W32" s="71">
        <v>2537</v>
      </c>
      <c r="X32" s="71">
        <v>2798</v>
      </c>
      <c r="Y32" s="71">
        <v>2859</v>
      </c>
      <c r="Z32" s="71">
        <v>3018</v>
      </c>
      <c r="AA32" s="71">
        <v>3075</v>
      </c>
      <c r="AB32" s="70">
        <v>3074</v>
      </c>
    </row>
    <row r="33" spans="1:28" x14ac:dyDescent="0.25">
      <c r="A33" s="4"/>
      <c r="B33" s="35" t="s">
        <v>38</v>
      </c>
      <c r="C33" s="226">
        <v>160</v>
      </c>
      <c r="D33" s="71">
        <v>169</v>
      </c>
      <c r="E33" s="71">
        <v>182</v>
      </c>
      <c r="F33" s="71">
        <v>193</v>
      </c>
      <c r="G33" s="71">
        <v>229</v>
      </c>
      <c r="H33" s="71">
        <v>239</v>
      </c>
      <c r="I33" s="71">
        <v>259</v>
      </c>
      <c r="J33" s="71">
        <v>261</v>
      </c>
      <c r="K33" s="71">
        <v>290</v>
      </c>
      <c r="L33" s="162">
        <v>306</v>
      </c>
      <c r="M33" s="71">
        <v>315</v>
      </c>
      <c r="N33" s="71">
        <v>277</v>
      </c>
      <c r="O33" s="71">
        <v>296</v>
      </c>
      <c r="P33" s="71">
        <v>304</v>
      </c>
      <c r="Q33" s="71">
        <v>285</v>
      </c>
      <c r="R33" s="71">
        <v>282</v>
      </c>
      <c r="S33" s="71">
        <v>280</v>
      </c>
      <c r="T33" s="71">
        <v>285</v>
      </c>
      <c r="U33" s="172">
        <v>265</v>
      </c>
      <c r="V33" s="71">
        <v>265</v>
      </c>
      <c r="W33" s="71">
        <v>242</v>
      </c>
      <c r="X33" s="71">
        <v>243</v>
      </c>
      <c r="Y33" s="71">
        <v>244</v>
      </c>
      <c r="Z33" s="71">
        <v>234</v>
      </c>
      <c r="AA33" s="71">
        <v>217</v>
      </c>
      <c r="AB33" s="70">
        <v>239</v>
      </c>
    </row>
    <row r="34" spans="1:28" x14ac:dyDescent="0.25">
      <c r="A34" s="4"/>
      <c r="B34" s="35" t="s">
        <v>39</v>
      </c>
      <c r="C34" s="226">
        <v>6</v>
      </c>
      <c r="D34" s="71">
        <v>11</v>
      </c>
      <c r="E34" s="71">
        <v>16</v>
      </c>
      <c r="F34" s="71">
        <v>23</v>
      </c>
      <c r="G34" s="71">
        <v>25</v>
      </c>
      <c r="H34" s="71">
        <v>19</v>
      </c>
      <c r="I34" s="71">
        <v>30</v>
      </c>
      <c r="J34" s="71">
        <v>32</v>
      </c>
      <c r="K34" s="71">
        <v>35</v>
      </c>
      <c r="L34" s="162">
        <v>34</v>
      </c>
      <c r="M34" s="71">
        <v>35</v>
      </c>
      <c r="N34" s="71">
        <v>34</v>
      </c>
      <c r="O34" s="71">
        <v>31</v>
      </c>
      <c r="P34" s="71">
        <v>32</v>
      </c>
      <c r="Q34" s="71">
        <v>34</v>
      </c>
      <c r="R34" s="71">
        <v>37</v>
      </c>
      <c r="S34" s="71">
        <v>37</v>
      </c>
      <c r="T34" s="71">
        <v>37</v>
      </c>
      <c r="U34" s="172">
        <v>37</v>
      </c>
      <c r="V34" s="71">
        <v>34</v>
      </c>
      <c r="W34" s="71">
        <v>31</v>
      </c>
      <c r="X34" s="71">
        <v>33</v>
      </c>
      <c r="Y34" s="71">
        <v>34</v>
      </c>
      <c r="Z34" s="71">
        <v>33</v>
      </c>
      <c r="AA34" s="71">
        <v>31</v>
      </c>
      <c r="AB34" s="70">
        <v>31</v>
      </c>
    </row>
    <row r="35" spans="1:28" x14ac:dyDescent="0.25">
      <c r="A35" s="4"/>
      <c r="B35" s="35" t="s">
        <v>40</v>
      </c>
      <c r="C35" s="131">
        <v>0</v>
      </c>
      <c r="D35" s="71">
        <v>0</v>
      </c>
      <c r="E35" s="71">
        <v>0</v>
      </c>
      <c r="F35" s="71">
        <v>0</v>
      </c>
      <c r="G35" s="71">
        <v>0</v>
      </c>
      <c r="H35" s="71">
        <v>0</v>
      </c>
      <c r="I35" s="71">
        <v>0</v>
      </c>
      <c r="J35" s="71">
        <v>2</v>
      </c>
      <c r="K35" s="71">
        <v>2</v>
      </c>
      <c r="L35" s="162">
        <v>2</v>
      </c>
      <c r="M35" s="71">
        <v>2</v>
      </c>
      <c r="N35" s="71">
        <v>2</v>
      </c>
      <c r="O35" s="71">
        <v>1</v>
      </c>
      <c r="P35" s="71">
        <v>1</v>
      </c>
      <c r="Q35" s="71">
        <v>1</v>
      </c>
      <c r="R35" s="71">
        <v>2</v>
      </c>
      <c r="S35" s="71">
        <v>2</v>
      </c>
      <c r="T35" s="71">
        <v>1</v>
      </c>
      <c r="U35" s="172">
        <v>1</v>
      </c>
      <c r="V35" s="71">
        <v>1</v>
      </c>
      <c r="W35" s="71">
        <v>1</v>
      </c>
      <c r="X35" s="71">
        <v>1</v>
      </c>
      <c r="Y35" s="71">
        <v>1</v>
      </c>
      <c r="Z35" s="71">
        <v>1</v>
      </c>
      <c r="AA35" s="71">
        <v>1</v>
      </c>
      <c r="AB35" s="70">
        <v>1</v>
      </c>
    </row>
    <row r="36" spans="1:28" ht="15.75" thickBot="1" x14ac:dyDescent="0.3">
      <c r="A36" s="4"/>
      <c r="B36" s="37" t="s">
        <v>41</v>
      </c>
      <c r="C36" s="122">
        <f>SUM(C31:C35)</f>
        <v>6990</v>
      </c>
      <c r="D36" s="60">
        <f>SUM(D31:D35)</f>
        <v>7375</v>
      </c>
      <c r="E36" s="60">
        <f t="shared" ref="E36:V36" si="6">SUM(E31:E35)</f>
        <v>7578</v>
      </c>
      <c r="F36" s="60">
        <f t="shared" si="6"/>
        <v>7547</v>
      </c>
      <c r="G36" s="60">
        <f t="shared" si="6"/>
        <v>8001</v>
      </c>
      <c r="H36" s="60">
        <f t="shared" si="6"/>
        <v>8286</v>
      </c>
      <c r="I36" s="60">
        <f t="shared" si="6"/>
        <v>8730</v>
      </c>
      <c r="J36" s="60">
        <f t="shared" si="6"/>
        <v>8594</v>
      </c>
      <c r="K36" s="60">
        <f t="shared" si="6"/>
        <v>8781</v>
      </c>
      <c r="L36" s="163">
        <f t="shared" si="6"/>
        <v>8874</v>
      </c>
      <c r="M36" s="60">
        <f t="shared" si="6"/>
        <v>8839</v>
      </c>
      <c r="N36" s="60">
        <f t="shared" si="6"/>
        <v>8574</v>
      </c>
      <c r="O36" s="60">
        <f t="shared" si="6"/>
        <v>8678</v>
      </c>
      <c r="P36" s="60">
        <f t="shared" si="6"/>
        <v>8848</v>
      </c>
      <c r="Q36" s="60">
        <f t="shared" si="6"/>
        <v>8800</v>
      </c>
      <c r="R36" s="60">
        <f t="shared" si="6"/>
        <v>8746</v>
      </c>
      <c r="S36" s="60">
        <f t="shared" si="6"/>
        <v>8832</v>
      </c>
      <c r="T36" s="60">
        <f t="shared" si="6"/>
        <v>9212</v>
      </c>
      <c r="U36" s="173">
        <f t="shared" si="6"/>
        <v>9905</v>
      </c>
      <c r="V36" s="173">
        <f t="shared" si="6"/>
        <v>10688</v>
      </c>
      <c r="W36" s="173">
        <f>SUM(W31:W35)</f>
        <v>10405</v>
      </c>
      <c r="X36" s="173">
        <f t="shared" ref="X36:AB36" si="7">SUM(X31:X35)</f>
        <v>10863</v>
      </c>
      <c r="Y36" s="173">
        <f t="shared" si="7"/>
        <v>10967</v>
      </c>
      <c r="Z36" s="173">
        <f t="shared" si="7"/>
        <v>11236</v>
      </c>
      <c r="AA36" s="173">
        <f t="shared" si="7"/>
        <v>10926</v>
      </c>
      <c r="AB36" s="173">
        <f t="shared" si="7"/>
        <v>11025</v>
      </c>
    </row>
    <row r="37" spans="1:28" x14ac:dyDescent="0.25">
      <c r="A37" s="4">
        <f>+A30+1</f>
        <v>5</v>
      </c>
      <c r="B37" s="41" t="s">
        <v>29</v>
      </c>
      <c r="C37" s="154"/>
      <c r="D37" s="76"/>
      <c r="E37" s="76"/>
      <c r="F37" s="76"/>
      <c r="G37" s="76"/>
      <c r="H37" s="76"/>
      <c r="I37" s="76"/>
      <c r="J37" s="76"/>
      <c r="K37" s="76"/>
      <c r="L37" s="164"/>
      <c r="M37" s="76"/>
      <c r="N37" s="76"/>
      <c r="O37" s="76"/>
      <c r="P37" s="76"/>
      <c r="Q37" s="76"/>
      <c r="R37" s="76"/>
      <c r="S37" s="76"/>
      <c r="T37" s="76"/>
      <c r="U37" s="174"/>
      <c r="V37" s="76"/>
      <c r="W37" s="76"/>
      <c r="X37" s="76"/>
      <c r="Y37" s="76"/>
      <c r="Z37" s="76"/>
      <c r="AA37" s="76"/>
      <c r="AB37" s="75"/>
    </row>
    <row r="38" spans="1:28" x14ac:dyDescent="0.25">
      <c r="A38" s="4"/>
      <c r="B38" s="35" t="s">
        <v>36</v>
      </c>
      <c r="C38" s="131">
        <v>1611860.27</v>
      </c>
      <c r="D38" s="79">
        <v>1516859.36</v>
      </c>
      <c r="E38" s="79">
        <v>1522754.8</v>
      </c>
      <c r="F38" s="79">
        <v>1406396.53</v>
      </c>
      <c r="G38" s="79">
        <v>1372619.96</v>
      </c>
      <c r="H38" s="79">
        <v>1248740.6100000001</v>
      </c>
      <c r="I38" s="79">
        <v>1271040.31</v>
      </c>
      <c r="J38" s="79">
        <v>1197900.2</v>
      </c>
      <c r="K38" s="79">
        <v>1049221.44</v>
      </c>
      <c r="L38" s="110">
        <v>1064630.75</v>
      </c>
      <c r="M38" s="79">
        <v>923012.99</v>
      </c>
      <c r="N38" s="79">
        <v>951293.58</v>
      </c>
      <c r="O38" s="79">
        <v>814969.7</v>
      </c>
      <c r="P38" s="79">
        <v>605116.37</v>
      </c>
      <c r="Q38" s="79">
        <v>491164.25</v>
      </c>
      <c r="R38" s="79">
        <v>409776.83</v>
      </c>
      <c r="S38" s="79">
        <v>339512.48</v>
      </c>
      <c r="T38" s="79">
        <v>343851.6</v>
      </c>
      <c r="U38" s="175">
        <v>319329.67</v>
      </c>
      <c r="V38" s="79">
        <v>285119.12</v>
      </c>
      <c r="W38" s="79">
        <v>261664.09</v>
      </c>
      <c r="X38" s="79">
        <v>346431.19</v>
      </c>
      <c r="Y38" s="79">
        <v>293274.99</v>
      </c>
      <c r="Z38" s="79">
        <v>314352.05</v>
      </c>
      <c r="AA38" s="79">
        <v>331676.33</v>
      </c>
      <c r="AB38" s="78">
        <v>308846.19</v>
      </c>
    </row>
    <row r="39" spans="1:28" x14ac:dyDescent="0.25">
      <c r="A39" s="4"/>
      <c r="B39" s="35" t="s">
        <v>37</v>
      </c>
      <c r="C39" s="131">
        <v>362552.51</v>
      </c>
      <c r="D39" s="79">
        <v>321538.31</v>
      </c>
      <c r="E39" s="79">
        <v>409134.98</v>
      </c>
      <c r="F39" s="79">
        <v>369022.87</v>
      </c>
      <c r="G39" s="79">
        <v>339242.71</v>
      </c>
      <c r="H39" s="79">
        <v>304582.09999999998</v>
      </c>
      <c r="I39" s="79">
        <v>317725.31</v>
      </c>
      <c r="J39" s="79">
        <v>314045.73</v>
      </c>
      <c r="K39" s="79">
        <v>249306.99</v>
      </c>
      <c r="L39" s="110">
        <v>229852.14</v>
      </c>
      <c r="M39" s="79">
        <v>187463.21</v>
      </c>
      <c r="N39" s="79">
        <v>196070.52</v>
      </c>
      <c r="O39" s="79">
        <v>168163.93</v>
      </c>
      <c r="P39" s="79">
        <v>139474.56</v>
      </c>
      <c r="Q39" s="79">
        <v>149677.04999999999</v>
      </c>
      <c r="R39" s="79">
        <v>133605.1</v>
      </c>
      <c r="S39" s="79">
        <v>126140.2</v>
      </c>
      <c r="T39" s="79">
        <v>127497.17</v>
      </c>
      <c r="U39" s="175">
        <v>135934.09</v>
      </c>
      <c r="V39" s="79">
        <v>136444.66</v>
      </c>
      <c r="W39" s="79">
        <v>133591.29</v>
      </c>
      <c r="X39" s="79">
        <v>219739.04</v>
      </c>
      <c r="Y39" s="79">
        <v>195443.85</v>
      </c>
      <c r="Z39" s="79">
        <v>264581.27</v>
      </c>
      <c r="AA39" s="79">
        <v>322511.13</v>
      </c>
      <c r="AB39" s="78">
        <v>305824.45</v>
      </c>
    </row>
    <row r="40" spans="1:28" x14ac:dyDescent="0.25">
      <c r="A40" s="4"/>
      <c r="B40" s="35" t="s">
        <v>38</v>
      </c>
      <c r="C40" s="131">
        <v>270115.65000000002</v>
      </c>
      <c r="D40" s="79">
        <v>285785.62</v>
      </c>
      <c r="E40" s="79">
        <v>214778.96</v>
      </c>
      <c r="F40" s="79">
        <v>180082.04</v>
      </c>
      <c r="G40" s="79">
        <v>194050.83</v>
      </c>
      <c r="H40" s="79">
        <v>169500.07</v>
      </c>
      <c r="I40" s="79">
        <v>210136.37</v>
      </c>
      <c r="J40" s="79">
        <v>177317.68</v>
      </c>
      <c r="K40" s="79">
        <v>123454.27</v>
      </c>
      <c r="L40" s="110">
        <v>116384.83</v>
      </c>
      <c r="M40" s="79">
        <v>93422.48</v>
      </c>
      <c r="N40" s="79">
        <v>85455.32</v>
      </c>
      <c r="O40" s="79">
        <v>71613.009999999995</v>
      </c>
      <c r="P40" s="79">
        <v>53755.87</v>
      </c>
      <c r="Q40" s="79">
        <v>53326.5</v>
      </c>
      <c r="R40" s="79">
        <v>42266.63</v>
      </c>
      <c r="S40" s="79">
        <v>27669.96</v>
      </c>
      <c r="T40" s="79">
        <v>41466.19</v>
      </c>
      <c r="U40" s="175">
        <v>35639.449999999997</v>
      </c>
      <c r="V40" s="79">
        <v>188739.93</v>
      </c>
      <c r="W40" s="79">
        <v>176662.46</v>
      </c>
      <c r="X40" s="79">
        <v>195351.99</v>
      </c>
      <c r="Y40" s="79">
        <v>190913.47</v>
      </c>
      <c r="Z40" s="79">
        <v>27830.91</v>
      </c>
      <c r="AA40" s="79">
        <v>21963.88</v>
      </c>
      <c r="AB40" s="78">
        <v>19009.259999999998</v>
      </c>
    </row>
    <row r="41" spans="1:28" x14ac:dyDescent="0.25">
      <c r="A41" s="4"/>
      <c r="B41" s="35" t="s">
        <v>39</v>
      </c>
      <c r="C41" s="131">
        <v>253120.11</v>
      </c>
      <c r="D41" s="79">
        <v>259925.89</v>
      </c>
      <c r="E41" s="79">
        <v>259819.83</v>
      </c>
      <c r="F41" s="79">
        <v>224482.96</v>
      </c>
      <c r="G41" s="79">
        <v>174238.17</v>
      </c>
      <c r="H41" s="79">
        <v>156308.46</v>
      </c>
      <c r="I41" s="79">
        <v>180917.88</v>
      </c>
      <c r="J41" s="79">
        <v>189528.12</v>
      </c>
      <c r="K41" s="79">
        <v>151210.73000000001</v>
      </c>
      <c r="L41" s="110">
        <v>178813.53</v>
      </c>
      <c r="M41" s="79">
        <v>115371.99</v>
      </c>
      <c r="N41" s="79">
        <v>113059.81</v>
      </c>
      <c r="O41" s="79">
        <v>94376.62</v>
      </c>
      <c r="P41" s="79">
        <v>73206.42</v>
      </c>
      <c r="Q41" s="79">
        <v>76397.53</v>
      </c>
      <c r="R41" s="79">
        <v>45480.85</v>
      </c>
      <c r="S41" s="79">
        <v>24453.84</v>
      </c>
      <c r="T41" s="79">
        <v>30725.19</v>
      </c>
      <c r="U41" s="175">
        <v>56517.74</v>
      </c>
      <c r="V41" s="79">
        <v>46754.080000000002</v>
      </c>
      <c r="W41" s="79">
        <v>38286.639999999999</v>
      </c>
      <c r="X41" s="79">
        <v>55113.38</v>
      </c>
      <c r="Y41" s="79">
        <v>22810.9</v>
      </c>
      <c r="Z41" s="79">
        <v>35009.980000000003</v>
      </c>
      <c r="AA41" s="79">
        <v>24178.51</v>
      </c>
      <c r="AB41" s="78">
        <v>28760.400000000001</v>
      </c>
    </row>
    <row r="42" spans="1:28" x14ac:dyDescent="0.25">
      <c r="A42" s="4"/>
      <c r="B42" s="35" t="s">
        <v>40</v>
      </c>
      <c r="C42" s="131">
        <v>88361.5</v>
      </c>
      <c r="D42" s="79">
        <v>63980.44</v>
      </c>
      <c r="E42" s="79">
        <v>63980.44</v>
      </c>
      <c r="F42" s="79">
        <v>62433.09</v>
      </c>
      <c r="G42" s="79">
        <v>82909.649999999994</v>
      </c>
      <c r="H42" s="79">
        <v>59619.18</v>
      </c>
      <c r="I42" s="79">
        <v>136991.03</v>
      </c>
      <c r="J42" s="79">
        <v>166945.76</v>
      </c>
      <c r="K42" s="79">
        <v>141523.79999999999</v>
      </c>
      <c r="L42" s="110">
        <v>130754.83</v>
      </c>
      <c r="M42" s="79">
        <v>127252.35</v>
      </c>
      <c r="N42" s="79">
        <v>37544.11</v>
      </c>
      <c r="O42" s="79">
        <v>41741.49</v>
      </c>
      <c r="P42" s="79">
        <v>32728.78</v>
      </c>
      <c r="Q42" s="79">
        <v>32728.78</v>
      </c>
      <c r="R42" s="79">
        <v>31614.11</v>
      </c>
      <c r="S42" s="79">
        <v>48660.69</v>
      </c>
      <c r="T42" s="79">
        <v>67321.3</v>
      </c>
      <c r="U42" s="175">
        <v>25374.49</v>
      </c>
      <c r="V42" s="79">
        <v>25374.49</v>
      </c>
      <c r="W42" s="79">
        <v>2170.9299999999998</v>
      </c>
      <c r="X42" s="79">
        <v>29180.39</v>
      </c>
      <c r="Y42" s="79">
        <v>24081.56</v>
      </c>
      <c r="Z42" s="79">
        <v>8174.55</v>
      </c>
      <c r="AA42" s="79">
        <v>8174.55</v>
      </c>
      <c r="AB42" s="78">
        <v>44083.75</v>
      </c>
    </row>
    <row r="43" spans="1:28" x14ac:dyDescent="0.25">
      <c r="A43" s="4"/>
      <c r="B43" s="35" t="s">
        <v>41</v>
      </c>
      <c r="C43" s="108">
        <f>SUM(C38:C42)</f>
        <v>2586010.04</v>
      </c>
      <c r="D43" s="79">
        <f>SUM(D38:D42)</f>
        <v>2448089.62</v>
      </c>
      <c r="E43" s="79">
        <f t="shared" ref="E43:AB43" si="8">SUM(E38:E42)</f>
        <v>2470469.0100000002</v>
      </c>
      <c r="F43" s="79">
        <f t="shared" si="8"/>
        <v>2242417.4899999998</v>
      </c>
      <c r="G43" s="79">
        <f t="shared" si="8"/>
        <v>2163061.3199999998</v>
      </c>
      <c r="H43" s="79">
        <f>SUM(H38:H42)</f>
        <v>1938750.42</v>
      </c>
      <c r="I43" s="79">
        <f t="shared" si="8"/>
        <v>2116810.9</v>
      </c>
      <c r="J43" s="79">
        <f t="shared" si="8"/>
        <v>2045737.49</v>
      </c>
      <c r="K43" s="79">
        <f t="shared" si="8"/>
        <v>1714717.23</v>
      </c>
      <c r="L43" s="110">
        <f t="shared" si="8"/>
        <v>1720436.0800000003</v>
      </c>
      <c r="M43" s="79">
        <f t="shared" si="8"/>
        <v>1446523.02</v>
      </c>
      <c r="N43" s="79">
        <f t="shared" si="8"/>
        <v>1383423.34</v>
      </c>
      <c r="O43" s="79">
        <f t="shared" si="8"/>
        <v>1190864.7499999998</v>
      </c>
      <c r="P43" s="79">
        <f t="shared" si="8"/>
        <v>904282</v>
      </c>
      <c r="Q43" s="79">
        <f t="shared" si="8"/>
        <v>803294.1100000001</v>
      </c>
      <c r="R43" s="79">
        <f t="shared" si="8"/>
        <v>662743.52</v>
      </c>
      <c r="S43" s="79">
        <f t="shared" si="8"/>
        <v>566437.17000000004</v>
      </c>
      <c r="T43" s="79">
        <f t="shared" si="8"/>
        <v>610861.44999999995</v>
      </c>
      <c r="U43" s="175">
        <f t="shared" si="8"/>
        <v>572795.44000000006</v>
      </c>
      <c r="V43" s="175">
        <f t="shared" si="8"/>
        <v>682432.27999999991</v>
      </c>
      <c r="W43" s="175">
        <f t="shared" si="8"/>
        <v>612375.41</v>
      </c>
      <c r="X43" s="175">
        <f t="shared" si="8"/>
        <v>845815.99</v>
      </c>
      <c r="Y43" s="175">
        <f t="shared" si="8"/>
        <v>726524.77</v>
      </c>
      <c r="Z43" s="175">
        <f t="shared" si="8"/>
        <v>649948.76000000013</v>
      </c>
      <c r="AA43" s="175">
        <f t="shared" si="8"/>
        <v>708504.4</v>
      </c>
      <c r="AB43" s="175">
        <f t="shared" si="8"/>
        <v>706524.05</v>
      </c>
    </row>
    <row r="44" spans="1:28" x14ac:dyDescent="0.25">
      <c r="A44" s="4">
        <f>+A37+1</f>
        <v>6</v>
      </c>
      <c r="B44" s="42" t="s">
        <v>30</v>
      </c>
      <c r="C44" s="108"/>
      <c r="D44" s="79"/>
      <c r="E44" s="79"/>
      <c r="F44" s="79"/>
      <c r="G44" s="79"/>
      <c r="H44" s="79"/>
      <c r="I44" s="79"/>
      <c r="J44" s="79"/>
      <c r="K44" s="79"/>
      <c r="L44" s="110"/>
      <c r="M44" s="79"/>
      <c r="N44" s="79"/>
      <c r="O44" s="79"/>
      <c r="P44" s="79"/>
      <c r="Q44" s="79"/>
      <c r="R44" s="79"/>
      <c r="S44" s="79"/>
      <c r="T44" s="79"/>
      <c r="U44" s="175"/>
      <c r="V44" s="79"/>
      <c r="W44" s="79"/>
      <c r="X44" s="79"/>
      <c r="Y44" s="79"/>
      <c r="Z44" s="79"/>
      <c r="AA44" s="79"/>
      <c r="AB44" s="78"/>
    </row>
    <row r="45" spans="1:28" x14ac:dyDescent="0.25">
      <c r="A45" s="4"/>
      <c r="B45" s="35" t="s">
        <v>36</v>
      </c>
      <c r="C45" s="131">
        <v>1132551.3799999999</v>
      </c>
      <c r="D45" s="79">
        <v>1039423.66</v>
      </c>
      <c r="E45" s="79">
        <v>989293.42</v>
      </c>
      <c r="F45" s="79">
        <v>1030862.36</v>
      </c>
      <c r="G45" s="79">
        <v>910316.4</v>
      </c>
      <c r="H45" s="204">
        <v>1039949.1</v>
      </c>
      <c r="I45" s="79">
        <v>977380.83</v>
      </c>
      <c r="J45" s="79">
        <v>941460.33</v>
      </c>
      <c r="K45" s="79">
        <v>944220.77</v>
      </c>
      <c r="L45" s="110">
        <v>911163.91</v>
      </c>
      <c r="M45" s="79">
        <v>922788.31</v>
      </c>
      <c r="N45" s="79">
        <v>885680.45</v>
      </c>
      <c r="O45" s="79">
        <v>822865.99</v>
      </c>
      <c r="P45" s="79">
        <v>836816.64</v>
      </c>
      <c r="Q45" s="79">
        <v>742437.88</v>
      </c>
      <c r="R45" s="79">
        <v>705583.72</v>
      </c>
      <c r="S45" s="79">
        <v>598753.69999999995</v>
      </c>
      <c r="T45" s="79">
        <v>538603.51</v>
      </c>
      <c r="U45" s="175">
        <v>389242.03</v>
      </c>
      <c r="V45" s="79">
        <v>312772.58</v>
      </c>
      <c r="W45" s="79">
        <v>299857.76</v>
      </c>
      <c r="X45" s="79">
        <v>265633.25</v>
      </c>
      <c r="Y45" s="79">
        <v>243107.33</v>
      </c>
      <c r="Z45" s="79">
        <v>214906.7</v>
      </c>
      <c r="AA45" s="79">
        <v>234806.17</v>
      </c>
      <c r="AB45" s="78">
        <v>221645.47</v>
      </c>
    </row>
    <row r="46" spans="1:28" x14ac:dyDescent="0.25">
      <c r="A46" s="4"/>
      <c r="B46" s="35" t="s">
        <v>37</v>
      </c>
      <c r="C46" s="131">
        <v>360035.5</v>
      </c>
      <c r="D46" s="79">
        <v>307306.95</v>
      </c>
      <c r="E46" s="79">
        <v>318770.88</v>
      </c>
      <c r="F46" s="79">
        <v>314762.88</v>
      </c>
      <c r="G46" s="79">
        <v>275659.24</v>
      </c>
      <c r="H46" s="204">
        <v>313264.96000000002</v>
      </c>
      <c r="I46" s="79">
        <v>296496.71000000002</v>
      </c>
      <c r="J46" s="79">
        <v>297540.07</v>
      </c>
      <c r="K46" s="79">
        <v>270706.51</v>
      </c>
      <c r="L46" s="110">
        <v>223280.77</v>
      </c>
      <c r="M46" s="79">
        <v>171758.95</v>
      </c>
      <c r="N46" s="79">
        <v>131934.23000000001</v>
      </c>
      <c r="O46" s="79">
        <v>104540.17</v>
      </c>
      <c r="P46" s="79">
        <v>122198.36</v>
      </c>
      <c r="Q46" s="79">
        <v>154784.99</v>
      </c>
      <c r="R46" s="79">
        <v>139295.09</v>
      </c>
      <c r="S46" s="79">
        <v>125214.91</v>
      </c>
      <c r="T46" s="79">
        <v>121123.68</v>
      </c>
      <c r="U46" s="175">
        <v>109480.78</v>
      </c>
      <c r="V46" s="79">
        <v>111652.03</v>
      </c>
      <c r="W46" s="79">
        <v>109577.29</v>
      </c>
      <c r="X46" s="79">
        <v>126574.91</v>
      </c>
      <c r="Y46" s="79">
        <v>123654.87</v>
      </c>
      <c r="Z46" s="79">
        <v>129754.05</v>
      </c>
      <c r="AA46" s="79">
        <v>170562.86</v>
      </c>
      <c r="AB46" s="78">
        <v>176255.41</v>
      </c>
    </row>
    <row r="47" spans="1:28" x14ac:dyDescent="0.25">
      <c r="A47" s="4"/>
      <c r="B47" s="35" t="s">
        <v>38</v>
      </c>
      <c r="C47" s="108">
        <v>208221.35</v>
      </c>
      <c r="D47" s="79">
        <v>217167.7</v>
      </c>
      <c r="E47" s="79">
        <v>82357.87</v>
      </c>
      <c r="F47" s="79">
        <v>88016.21</v>
      </c>
      <c r="G47" s="79">
        <v>91456.29</v>
      </c>
      <c r="H47" s="79">
        <v>103572.17</v>
      </c>
      <c r="I47" s="79">
        <v>105761.72</v>
      </c>
      <c r="J47" s="79">
        <v>87974.91</v>
      </c>
      <c r="K47" s="79">
        <v>95977.06</v>
      </c>
      <c r="L47" s="110">
        <v>86931.42</v>
      </c>
      <c r="M47" s="79">
        <v>72595.710000000006</v>
      </c>
      <c r="N47" s="79">
        <v>65646.7</v>
      </c>
      <c r="O47" s="79">
        <v>58782.36</v>
      </c>
      <c r="P47" s="79">
        <v>60714.97</v>
      </c>
      <c r="Q47" s="79">
        <v>56214.879999999997</v>
      </c>
      <c r="R47" s="79">
        <v>50930.04</v>
      </c>
      <c r="S47" s="79">
        <v>39508.42</v>
      </c>
      <c r="T47" s="79">
        <v>33820.21</v>
      </c>
      <c r="U47" s="175">
        <v>28793.87</v>
      </c>
      <c r="V47" s="79">
        <v>29368.06</v>
      </c>
      <c r="W47" s="79">
        <v>20169.060000000001</v>
      </c>
      <c r="X47" s="79">
        <v>15907.11</v>
      </c>
      <c r="Y47" s="79">
        <v>13914.95</v>
      </c>
      <c r="Z47" s="79">
        <v>9583.4599999999991</v>
      </c>
      <c r="AA47" s="79">
        <v>9244.34</v>
      </c>
      <c r="AB47" s="78">
        <v>8722.1</v>
      </c>
    </row>
    <row r="48" spans="1:28" x14ac:dyDescent="0.25">
      <c r="A48" s="4"/>
      <c r="B48" s="35" t="s">
        <v>39</v>
      </c>
      <c r="C48" s="108">
        <v>83217.52</v>
      </c>
      <c r="D48" s="79">
        <v>88227.07</v>
      </c>
      <c r="E48" s="79">
        <v>112555.53</v>
      </c>
      <c r="F48" s="79">
        <v>118076.86</v>
      </c>
      <c r="G48" s="79">
        <v>163428.26</v>
      </c>
      <c r="H48" s="79">
        <v>138415.23000000001</v>
      </c>
      <c r="I48" s="79">
        <v>149956.54999999999</v>
      </c>
      <c r="J48" s="79">
        <v>143243.21</v>
      </c>
      <c r="K48" s="79">
        <v>93216.52</v>
      </c>
      <c r="L48" s="110">
        <v>94330.43</v>
      </c>
      <c r="M48" s="79">
        <v>85784.82</v>
      </c>
      <c r="N48" s="79">
        <v>88456.93</v>
      </c>
      <c r="O48" s="79">
        <v>63275.67</v>
      </c>
      <c r="P48" s="79">
        <v>80199.14</v>
      </c>
      <c r="Q48" s="79">
        <v>86925.11</v>
      </c>
      <c r="R48" s="79">
        <v>62551.8</v>
      </c>
      <c r="S48" s="79">
        <v>63189.9</v>
      </c>
      <c r="T48" s="79">
        <v>60875.95</v>
      </c>
      <c r="U48" s="175">
        <v>33410.69</v>
      </c>
      <c r="V48" s="79">
        <v>28251.09</v>
      </c>
      <c r="W48" s="79">
        <v>22236.46</v>
      </c>
      <c r="X48" s="79">
        <v>8601.2900000000009</v>
      </c>
      <c r="Y48" s="79">
        <v>20964.73</v>
      </c>
      <c r="Z48" s="79">
        <v>7783.12</v>
      </c>
      <c r="AA48" s="79">
        <v>10322.44</v>
      </c>
      <c r="AB48" s="78">
        <v>10835.55</v>
      </c>
    </row>
    <row r="49" spans="1:28" x14ac:dyDescent="0.25">
      <c r="A49" s="4"/>
      <c r="B49" s="35" t="s">
        <v>40</v>
      </c>
      <c r="C49" s="108">
        <v>0</v>
      </c>
      <c r="D49" s="79">
        <v>0</v>
      </c>
      <c r="E49" s="79">
        <v>0</v>
      </c>
      <c r="F49" s="79">
        <v>27655.37</v>
      </c>
      <c r="G49" s="79">
        <v>33519.269999999997</v>
      </c>
      <c r="H49" s="79">
        <v>43104.74</v>
      </c>
      <c r="I49" s="79">
        <v>43104.74</v>
      </c>
      <c r="J49" s="79">
        <v>19915.990000000002</v>
      </c>
      <c r="K49" s="79">
        <v>40392.550000000003</v>
      </c>
      <c r="L49" s="110">
        <v>40392.550000000003</v>
      </c>
      <c r="M49" s="79">
        <v>40392.550000000003</v>
      </c>
      <c r="N49" s="79">
        <v>115948.89</v>
      </c>
      <c r="O49" s="79">
        <v>90526.93</v>
      </c>
      <c r="P49" s="79">
        <v>83965.39</v>
      </c>
      <c r="Q49" s="79">
        <v>83965.39</v>
      </c>
      <c r="R49" s="79">
        <v>6593.54</v>
      </c>
      <c r="S49" s="79">
        <v>27071.16</v>
      </c>
      <c r="T49" s="79">
        <v>27082.87</v>
      </c>
      <c r="U49" s="175">
        <v>27082.87</v>
      </c>
      <c r="V49" s="79">
        <v>27082.87</v>
      </c>
      <c r="W49" s="79">
        <v>1972.37</v>
      </c>
      <c r="X49" s="79">
        <v>1252.43</v>
      </c>
      <c r="Y49" s="79">
        <v>1252.43</v>
      </c>
      <c r="Z49" s="79">
        <v>1252.43</v>
      </c>
      <c r="AA49" s="79">
        <v>1252.43</v>
      </c>
      <c r="AB49" s="78">
        <v>918.5</v>
      </c>
    </row>
    <row r="50" spans="1:28" x14ac:dyDescent="0.25">
      <c r="A50" s="4"/>
      <c r="B50" s="35" t="s">
        <v>41</v>
      </c>
      <c r="C50" s="108">
        <f>SUM(C45:C49)</f>
        <v>1784025.75</v>
      </c>
      <c r="D50" s="79">
        <f>SUM(D45:D49)</f>
        <v>1652125.3800000001</v>
      </c>
      <c r="E50" s="79">
        <f t="shared" ref="E50:AB50" si="9">SUM(E45:E49)</f>
        <v>1502977.7</v>
      </c>
      <c r="F50" s="79">
        <f t="shared" si="9"/>
        <v>1579373.6800000002</v>
      </c>
      <c r="G50" s="79">
        <f t="shared" si="9"/>
        <v>1474379.4600000002</v>
      </c>
      <c r="H50" s="79">
        <f>SUM(H45:H49)</f>
        <v>1638306.2</v>
      </c>
      <c r="I50" s="79">
        <f>SUM(I45:I49)</f>
        <v>1572700.55</v>
      </c>
      <c r="J50" s="79">
        <f t="shared" si="9"/>
        <v>1490134.5099999998</v>
      </c>
      <c r="K50" s="79">
        <f t="shared" si="9"/>
        <v>1444513.4100000001</v>
      </c>
      <c r="L50" s="110">
        <f t="shared" si="9"/>
        <v>1356099.0799999998</v>
      </c>
      <c r="M50" s="79">
        <f t="shared" si="9"/>
        <v>1293320.3400000001</v>
      </c>
      <c r="N50" s="79">
        <f t="shared" si="9"/>
        <v>1287667.1999999997</v>
      </c>
      <c r="O50" s="79">
        <f t="shared" si="9"/>
        <v>1139991.1199999999</v>
      </c>
      <c r="P50" s="79">
        <f t="shared" si="9"/>
        <v>1183894.4999999998</v>
      </c>
      <c r="Q50" s="79">
        <f t="shared" si="9"/>
        <v>1124328.25</v>
      </c>
      <c r="R50" s="79">
        <f t="shared" si="9"/>
        <v>964954.19000000006</v>
      </c>
      <c r="S50" s="79">
        <f t="shared" si="9"/>
        <v>853738.09000000008</v>
      </c>
      <c r="T50" s="79">
        <f t="shared" si="9"/>
        <v>781506.21999999986</v>
      </c>
      <c r="U50" s="175">
        <f t="shared" si="9"/>
        <v>588010.24000000011</v>
      </c>
      <c r="V50" s="175">
        <f t="shared" si="9"/>
        <v>509126.63</v>
      </c>
      <c r="W50" s="175">
        <f t="shared" si="9"/>
        <v>453812.94</v>
      </c>
      <c r="X50" s="175">
        <f t="shared" si="9"/>
        <v>417968.99</v>
      </c>
      <c r="Y50" s="175">
        <f t="shared" si="9"/>
        <v>402894.30999999994</v>
      </c>
      <c r="Z50" s="175">
        <f t="shared" si="9"/>
        <v>363279.76</v>
      </c>
      <c r="AA50" s="175">
        <f t="shared" si="9"/>
        <v>426188.24000000005</v>
      </c>
      <c r="AB50" s="175">
        <f t="shared" si="9"/>
        <v>418377.02999999997</v>
      </c>
    </row>
    <row r="51" spans="1:28" x14ac:dyDescent="0.25">
      <c r="A51" s="4">
        <f>+A44+1</f>
        <v>7</v>
      </c>
      <c r="B51" s="42" t="s">
        <v>31</v>
      </c>
      <c r="C51" s="108"/>
      <c r="D51" s="79"/>
      <c r="E51" s="79"/>
      <c r="F51" s="79"/>
      <c r="G51" s="79"/>
      <c r="H51" s="79"/>
      <c r="I51" s="79"/>
      <c r="J51" s="79"/>
      <c r="K51" s="79"/>
      <c r="L51" s="110"/>
      <c r="M51" s="79"/>
      <c r="N51" s="79"/>
      <c r="O51" s="79"/>
      <c r="P51" s="79"/>
      <c r="Q51" s="79"/>
      <c r="R51" s="79"/>
      <c r="S51" s="79"/>
      <c r="T51" s="79"/>
      <c r="U51" s="175"/>
      <c r="V51" s="79"/>
      <c r="W51" s="79"/>
      <c r="X51" s="79"/>
      <c r="Y51" s="79"/>
      <c r="Z51" s="79"/>
      <c r="AA51" s="79"/>
      <c r="AB51" s="78"/>
    </row>
    <row r="52" spans="1:28" x14ac:dyDescent="0.25">
      <c r="A52" s="4"/>
      <c r="B52" s="35" t="s">
        <v>36</v>
      </c>
      <c r="C52" s="108">
        <v>1082284</v>
      </c>
      <c r="D52" s="79">
        <v>1262388.57</v>
      </c>
      <c r="E52" s="79">
        <v>1326205.2</v>
      </c>
      <c r="F52" s="79">
        <v>1369246.3</v>
      </c>
      <c r="G52" s="79">
        <v>1540186.93</v>
      </c>
      <c r="H52" s="79">
        <v>1645475.62</v>
      </c>
      <c r="I52" s="79">
        <v>1816716.09</v>
      </c>
      <c r="J52" s="79">
        <v>1875483.76</v>
      </c>
      <c r="K52" s="79">
        <v>2020821.87</v>
      </c>
      <c r="L52" s="110">
        <v>2251287.39</v>
      </c>
      <c r="M52" s="79">
        <v>2490411.98</v>
      </c>
      <c r="N52" s="79">
        <v>2602674.2400000002</v>
      </c>
      <c r="O52" s="79">
        <v>2733380.94</v>
      </c>
      <c r="P52" s="79">
        <v>2851215.39</v>
      </c>
      <c r="Q52" s="79">
        <v>2732784.04</v>
      </c>
      <c r="R52" s="79">
        <v>2822634.85</v>
      </c>
      <c r="S52" s="79">
        <v>2856098.02</v>
      </c>
      <c r="T52" s="79">
        <v>2891316.73</v>
      </c>
      <c r="U52" s="175">
        <v>2958087.23</v>
      </c>
      <c r="V52" s="79">
        <v>3028938.68</v>
      </c>
      <c r="W52" s="79">
        <v>2957469.16</v>
      </c>
      <c r="X52" s="79">
        <v>2990093.38</v>
      </c>
      <c r="Y52" s="79">
        <v>2986680.77</v>
      </c>
      <c r="Z52" s="79">
        <v>3000106.84</v>
      </c>
      <c r="AA52" s="79">
        <v>2872721.99</v>
      </c>
      <c r="AB52" s="78">
        <v>2862379.26</v>
      </c>
    </row>
    <row r="53" spans="1:28" x14ac:dyDescent="0.25">
      <c r="A53" s="4"/>
      <c r="B53" s="35" t="s">
        <v>37</v>
      </c>
      <c r="C53" s="108">
        <v>844979.1</v>
      </c>
      <c r="D53" s="79">
        <v>902660.83</v>
      </c>
      <c r="E53" s="79">
        <v>1001070.26</v>
      </c>
      <c r="F53" s="79">
        <v>981257.81</v>
      </c>
      <c r="G53" s="79">
        <v>997309.32</v>
      </c>
      <c r="H53" s="79">
        <v>1057133.9099999999</v>
      </c>
      <c r="I53" s="79">
        <v>1144773.19</v>
      </c>
      <c r="J53" s="79">
        <v>1087885.1599999999</v>
      </c>
      <c r="K53" s="79">
        <v>1032705.12</v>
      </c>
      <c r="L53" s="110">
        <v>845230.98</v>
      </c>
      <c r="M53" s="79">
        <v>548834.11</v>
      </c>
      <c r="N53" s="79">
        <v>330799.94</v>
      </c>
      <c r="O53" s="79">
        <v>205126.39999999999</v>
      </c>
      <c r="P53" s="79">
        <v>219325.1</v>
      </c>
      <c r="Q53" s="79">
        <v>360133.5</v>
      </c>
      <c r="R53" s="79">
        <v>246757.85</v>
      </c>
      <c r="S53" s="79">
        <v>238807.23</v>
      </c>
      <c r="T53" s="79">
        <v>252642.65</v>
      </c>
      <c r="U53" s="175">
        <v>283543.67999999999</v>
      </c>
      <c r="V53" s="79">
        <v>322989.94</v>
      </c>
      <c r="W53" s="79">
        <v>320680.34000000003</v>
      </c>
      <c r="X53" s="79">
        <v>369921.71</v>
      </c>
      <c r="Y53" s="79">
        <v>396730.76</v>
      </c>
      <c r="Z53" s="79">
        <v>439111.62</v>
      </c>
      <c r="AA53" s="79">
        <v>474910.78</v>
      </c>
      <c r="AB53" s="78">
        <v>481017.77</v>
      </c>
    </row>
    <row r="54" spans="1:28" x14ac:dyDescent="0.25">
      <c r="A54" s="4"/>
      <c r="B54" s="35" t="s">
        <v>38</v>
      </c>
      <c r="C54" s="108">
        <v>35970.269999999997</v>
      </c>
      <c r="D54" s="79">
        <v>45481.67</v>
      </c>
      <c r="E54" s="79">
        <v>80691.31</v>
      </c>
      <c r="F54" s="79">
        <v>55447.95</v>
      </c>
      <c r="G54" s="79">
        <v>69219.63</v>
      </c>
      <c r="H54" s="79">
        <v>74191.460000000006</v>
      </c>
      <c r="I54" s="79">
        <v>86212.37</v>
      </c>
      <c r="J54" s="79">
        <v>85945.54</v>
      </c>
      <c r="K54" s="79">
        <v>99680.65</v>
      </c>
      <c r="L54" s="110">
        <v>109676.6</v>
      </c>
      <c r="M54" s="79">
        <v>117090.25</v>
      </c>
      <c r="N54" s="79">
        <v>110011.06</v>
      </c>
      <c r="O54" s="79">
        <v>128264.7</v>
      </c>
      <c r="P54" s="79">
        <v>131939.20000000001</v>
      </c>
      <c r="Q54" s="79">
        <v>131333.75</v>
      </c>
      <c r="R54" s="79">
        <v>131134.82999999999</v>
      </c>
      <c r="S54" s="79">
        <v>142729.28</v>
      </c>
      <c r="T54" s="79">
        <v>135974.9</v>
      </c>
      <c r="U54" s="175">
        <v>131043.13</v>
      </c>
      <c r="V54" s="79">
        <v>125063.85</v>
      </c>
      <c r="W54" s="79">
        <v>114039.78</v>
      </c>
      <c r="X54" s="79">
        <v>103638.61</v>
      </c>
      <c r="Y54" s="79">
        <v>103823.4</v>
      </c>
      <c r="Z54" s="79">
        <v>94283.08</v>
      </c>
      <c r="AA54" s="79">
        <v>74143.47</v>
      </c>
      <c r="AB54" s="78">
        <v>69299.66</v>
      </c>
    </row>
    <row r="55" spans="1:28" x14ac:dyDescent="0.25">
      <c r="A55" s="4"/>
      <c r="B55" s="35" t="s">
        <v>39</v>
      </c>
      <c r="C55" s="108">
        <v>33722.620000000003</v>
      </c>
      <c r="D55" s="79">
        <v>44657.7</v>
      </c>
      <c r="E55" s="79">
        <v>53415.67</v>
      </c>
      <c r="F55" s="79">
        <v>60588.66</v>
      </c>
      <c r="G55" s="79">
        <v>74751.62</v>
      </c>
      <c r="H55" s="79">
        <v>84528.77</v>
      </c>
      <c r="I55" s="79">
        <v>120360.44</v>
      </c>
      <c r="J55" s="79">
        <v>122294.29</v>
      </c>
      <c r="K55" s="79">
        <v>182833.79</v>
      </c>
      <c r="L55" s="110">
        <v>176273.88</v>
      </c>
      <c r="M55" s="79">
        <v>206592.15</v>
      </c>
      <c r="N55" s="79">
        <v>198284.34</v>
      </c>
      <c r="O55" s="79">
        <v>198621.9</v>
      </c>
      <c r="P55" s="79">
        <v>213298.58</v>
      </c>
      <c r="Q55" s="79">
        <v>215200.86</v>
      </c>
      <c r="R55" s="79">
        <v>234373.47</v>
      </c>
      <c r="S55" s="79">
        <v>234236.45</v>
      </c>
      <c r="T55" s="79">
        <v>235363.56</v>
      </c>
      <c r="U55" s="175">
        <v>252850.92</v>
      </c>
      <c r="V55" s="79">
        <v>263402.08</v>
      </c>
      <c r="W55" s="79">
        <v>234234.54</v>
      </c>
      <c r="X55" s="79">
        <v>162599.22</v>
      </c>
      <c r="Y55" s="79">
        <v>157119.57999999999</v>
      </c>
      <c r="Z55" s="79">
        <v>153242.54999999999</v>
      </c>
      <c r="AA55" s="79">
        <v>136698.09</v>
      </c>
      <c r="AB55" s="78">
        <v>136246.13</v>
      </c>
    </row>
    <row r="56" spans="1:28" x14ac:dyDescent="0.25">
      <c r="A56" s="4"/>
      <c r="B56" s="35" t="s">
        <v>40</v>
      </c>
      <c r="C56" s="108">
        <v>0</v>
      </c>
      <c r="D56" s="79">
        <v>0</v>
      </c>
      <c r="E56" s="79">
        <v>0</v>
      </c>
      <c r="F56" s="79">
        <v>0</v>
      </c>
      <c r="G56" s="79">
        <v>0</v>
      </c>
      <c r="H56" s="79">
        <v>0</v>
      </c>
      <c r="I56" s="79">
        <v>0</v>
      </c>
      <c r="J56" s="79">
        <v>27655.37</v>
      </c>
      <c r="K56" s="79">
        <v>33519.269999999997</v>
      </c>
      <c r="L56" s="110">
        <v>33519.269999999997</v>
      </c>
      <c r="M56" s="79">
        <v>33519.269999999997</v>
      </c>
      <c r="N56" s="79">
        <v>39475.339999999997</v>
      </c>
      <c r="O56" s="79">
        <v>29068.49</v>
      </c>
      <c r="P56" s="79">
        <v>29068.49</v>
      </c>
      <c r="Q56" s="79">
        <v>29068.49</v>
      </c>
      <c r="R56" s="79">
        <v>106440.34</v>
      </c>
      <c r="S56" s="79">
        <v>113033.88</v>
      </c>
      <c r="T56" s="79">
        <v>34743.53</v>
      </c>
      <c r="U56" s="175">
        <v>34743.53</v>
      </c>
      <c r="V56" s="79">
        <v>34743.53</v>
      </c>
      <c r="W56" s="79">
        <v>34743.53</v>
      </c>
      <c r="X56" s="79">
        <v>36715.9</v>
      </c>
      <c r="Y56" s="79">
        <v>26715.9</v>
      </c>
      <c r="Z56" s="79">
        <v>36715.9</v>
      </c>
      <c r="AA56" s="79">
        <v>1972.37</v>
      </c>
      <c r="AB56" s="78">
        <v>3224.8</v>
      </c>
    </row>
    <row r="57" spans="1:28" x14ac:dyDescent="0.25">
      <c r="A57" s="4"/>
      <c r="B57" s="35" t="s">
        <v>41</v>
      </c>
      <c r="C57" s="108">
        <f>SUM(C52:C56)</f>
        <v>1996955.9900000002</v>
      </c>
      <c r="D57" s="79">
        <f>SUM(D52:D56)</f>
        <v>2255188.77</v>
      </c>
      <c r="E57" s="79">
        <f t="shared" ref="E57:AB57" si="10">SUM(E52:E56)</f>
        <v>2461382.44</v>
      </c>
      <c r="F57" s="79">
        <f t="shared" si="10"/>
        <v>2466540.7200000007</v>
      </c>
      <c r="G57" s="79">
        <f t="shared" si="10"/>
        <v>2681467.5</v>
      </c>
      <c r="H57" s="79">
        <f t="shared" si="10"/>
        <v>2861329.7600000002</v>
      </c>
      <c r="I57" s="79">
        <f t="shared" si="10"/>
        <v>3168062.0900000003</v>
      </c>
      <c r="J57" s="79">
        <f t="shared" si="10"/>
        <v>3199264.12</v>
      </c>
      <c r="K57" s="79">
        <f t="shared" si="10"/>
        <v>3369560.7</v>
      </c>
      <c r="L57" s="110">
        <f t="shared" si="10"/>
        <v>3415988.12</v>
      </c>
      <c r="M57" s="79">
        <f t="shared" si="10"/>
        <v>3396447.76</v>
      </c>
      <c r="N57" s="79">
        <f t="shared" si="10"/>
        <v>3281244.92</v>
      </c>
      <c r="O57" s="79">
        <f t="shared" si="10"/>
        <v>3294462.43</v>
      </c>
      <c r="P57" s="79">
        <f t="shared" si="10"/>
        <v>3444846.7600000007</v>
      </c>
      <c r="Q57" s="79">
        <f t="shared" si="10"/>
        <v>3468520.64</v>
      </c>
      <c r="R57" s="79">
        <f t="shared" si="10"/>
        <v>3541341.3400000003</v>
      </c>
      <c r="S57" s="79">
        <f t="shared" si="10"/>
        <v>3584904.86</v>
      </c>
      <c r="T57" s="79">
        <f t="shared" si="10"/>
        <v>3550041.3699999996</v>
      </c>
      <c r="U57" s="175">
        <f t="shared" si="10"/>
        <v>3660268.4899999998</v>
      </c>
      <c r="V57" s="175">
        <f t="shared" si="10"/>
        <v>3775138.08</v>
      </c>
      <c r="W57" s="175">
        <f t="shared" si="10"/>
        <v>3661167.3499999996</v>
      </c>
      <c r="X57" s="175">
        <f t="shared" si="10"/>
        <v>3662968.82</v>
      </c>
      <c r="Y57" s="175">
        <f t="shared" si="10"/>
        <v>3671070.41</v>
      </c>
      <c r="Z57" s="175">
        <f t="shared" si="10"/>
        <v>3723459.9899999998</v>
      </c>
      <c r="AA57" s="175">
        <f t="shared" si="10"/>
        <v>3560446.7000000007</v>
      </c>
      <c r="AB57" s="175">
        <f t="shared" si="10"/>
        <v>3552167.6199999996</v>
      </c>
    </row>
    <row r="58" spans="1:28" x14ac:dyDescent="0.25">
      <c r="A58" s="4">
        <f>+A51+1</f>
        <v>8</v>
      </c>
      <c r="B58" s="42" t="s">
        <v>42</v>
      </c>
      <c r="C58" s="108"/>
      <c r="D58" s="79"/>
      <c r="E58" s="79"/>
      <c r="F58" s="79"/>
      <c r="G58" s="79"/>
      <c r="H58" s="79"/>
      <c r="I58" s="79"/>
      <c r="J58" s="79"/>
      <c r="K58" s="79"/>
      <c r="L58" s="110"/>
      <c r="M58" s="79"/>
      <c r="N58" s="79"/>
      <c r="O58" s="79"/>
      <c r="P58" s="79"/>
      <c r="Q58" s="79"/>
      <c r="R58" s="79"/>
      <c r="S58" s="79"/>
      <c r="T58" s="79"/>
      <c r="U58" s="175"/>
      <c r="V58" s="79"/>
      <c r="W58" s="79"/>
      <c r="X58" s="79"/>
      <c r="Y58" s="79"/>
      <c r="Z58" s="79"/>
      <c r="AA58" s="79"/>
      <c r="AB58" s="78"/>
    </row>
    <row r="59" spans="1:28" x14ac:dyDescent="0.25">
      <c r="A59" s="4"/>
      <c r="B59" s="35" t="s">
        <v>36</v>
      </c>
      <c r="C59" s="227">
        <f>SUM(C38+C45+C52)</f>
        <v>3826695.65</v>
      </c>
      <c r="D59" s="77">
        <f>SUM(D38+D45+D52)</f>
        <v>3818671.59</v>
      </c>
      <c r="E59" s="77">
        <f>SUM(E38+E45+E52)</f>
        <v>3838253.42</v>
      </c>
      <c r="F59" s="77">
        <f t="shared" ref="F59:AB59" si="11">SUM(F38+F45+F52)</f>
        <v>3806505.1900000004</v>
      </c>
      <c r="G59" s="77">
        <f t="shared" si="11"/>
        <v>3823123.29</v>
      </c>
      <c r="H59" s="77">
        <f>SUM(H38+H52+H45)</f>
        <v>3934165.3300000005</v>
      </c>
      <c r="I59" s="77">
        <f t="shared" si="11"/>
        <v>4065137.2300000004</v>
      </c>
      <c r="J59" s="77">
        <f t="shared" si="11"/>
        <v>4014844.29</v>
      </c>
      <c r="K59" s="77">
        <f t="shared" si="11"/>
        <v>4014264.08</v>
      </c>
      <c r="L59" s="78">
        <f t="shared" si="11"/>
        <v>4227082.0500000007</v>
      </c>
      <c r="M59" s="79">
        <f t="shared" si="11"/>
        <v>4336213.28</v>
      </c>
      <c r="N59" s="79">
        <f t="shared" si="11"/>
        <v>4439648.2699999996</v>
      </c>
      <c r="O59" s="79">
        <f t="shared" si="11"/>
        <v>4371216.63</v>
      </c>
      <c r="P59" s="79">
        <f t="shared" si="11"/>
        <v>4293148.4000000004</v>
      </c>
      <c r="Q59" s="79">
        <f t="shared" si="11"/>
        <v>3966386.17</v>
      </c>
      <c r="R59" s="79">
        <f t="shared" si="11"/>
        <v>3937995.4000000004</v>
      </c>
      <c r="S59" s="79">
        <f t="shared" si="11"/>
        <v>3794364.2</v>
      </c>
      <c r="T59" s="79">
        <f t="shared" si="11"/>
        <v>3773771.84</v>
      </c>
      <c r="U59" s="189">
        <f t="shared" si="11"/>
        <v>3666658.9299999997</v>
      </c>
      <c r="V59" s="189">
        <f t="shared" si="11"/>
        <v>3626830.38</v>
      </c>
      <c r="W59" s="189">
        <f t="shared" si="11"/>
        <v>3518991.0100000002</v>
      </c>
      <c r="X59" s="189">
        <f t="shared" si="11"/>
        <v>3602157.82</v>
      </c>
      <c r="Y59" s="189">
        <f t="shared" si="11"/>
        <v>3523063.09</v>
      </c>
      <c r="Z59" s="189">
        <f t="shared" si="11"/>
        <v>3529365.59</v>
      </c>
      <c r="AA59" s="189">
        <f t="shared" si="11"/>
        <v>3439204.49</v>
      </c>
      <c r="AB59" s="189">
        <f t="shared" si="11"/>
        <v>3392870.92</v>
      </c>
    </row>
    <row r="60" spans="1:28" x14ac:dyDescent="0.25">
      <c r="A60" s="4"/>
      <c r="B60" s="35" t="s">
        <v>37</v>
      </c>
      <c r="C60" s="227">
        <f>SUM(C39+C46+C53)</f>
        <v>1567567.1099999999</v>
      </c>
      <c r="D60" s="77">
        <f t="shared" ref="D60:V63" si="12">SUM(D39+D46+D53)</f>
        <v>1531506.0899999999</v>
      </c>
      <c r="E60" s="77">
        <f t="shared" si="12"/>
        <v>1728976.12</v>
      </c>
      <c r="F60" s="77">
        <f t="shared" si="12"/>
        <v>1665043.56</v>
      </c>
      <c r="G60" s="77">
        <f>SUM(G39+G46+G53)</f>
        <v>1612211.27</v>
      </c>
      <c r="H60" s="77">
        <f>SUM(H39+H46+H53)</f>
        <v>1674980.97</v>
      </c>
      <c r="I60" s="77">
        <f t="shared" si="12"/>
        <v>1758995.21</v>
      </c>
      <c r="J60" s="77">
        <f t="shared" si="12"/>
        <v>1699470.96</v>
      </c>
      <c r="K60" s="77">
        <f t="shared" si="12"/>
        <v>1552718.62</v>
      </c>
      <c r="L60" s="109">
        <f t="shared" si="12"/>
        <v>1298363.8900000001</v>
      </c>
      <c r="M60" s="108">
        <f t="shared" si="12"/>
        <v>908056.27</v>
      </c>
      <c r="N60" s="77">
        <f t="shared" si="12"/>
        <v>658804.68999999994</v>
      </c>
      <c r="O60" s="77">
        <f t="shared" si="12"/>
        <v>477830.5</v>
      </c>
      <c r="P60" s="77">
        <f t="shared" si="12"/>
        <v>480998.02</v>
      </c>
      <c r="Q60" s="77">
        <f t="shared" si="12"/>
        <v>664595.54</v>
      </c>
      <c r="R60" s="77">
        <f t="shared" si="12"/>
        <v>519658.04000000004</v>
      </c>
      <c r="S60" s="77">
        <f t="shared" si="12"/>
        <v>490162.33999999997</v>
      </c>
      <c r="T60" s="77">
        <f t="shared" si="12"/>
        <v>501263.5</v>
      </c>
      <c r="U60" s="189">
        <f t="shared" si="12"/>
        <v>528958.55000000005</v>
      </c>
      <c r="V60" s="189">
        <f t="shared" si="12"/>
        <v>571086.63</v>
      </c>
      <c r="W60" s="189">
        <f>SUM(W39+W46+W53)</f>
        <v>563848.92000000004</v>
      </c>
      <c r="X60" s="189">
        <f t="shared" ref="X60:AB60" si="13">SUM(X39+X46+X53)</f>
        <v>716235.66</v>
      </c>
      <c r="Y60" s="189">
        <f t="shared" si="13"/>
        <v>715829.48</v>
      </c>
      <c r="Z60" s="189">
        <f t="shared" si="13"/>
        <v>833446.94</v>
      </c>
      <c r="AA60" s="189">
        <f t="shared" si="13"/>
        <v>967984.77</v>
      </c>
      <c r="AB60" s="189">
        <f t="shared" si="13"/>
        <v>963097.63</v>
      </c>
    </row>
    <row r="61" spans="1:28" x14ac:dyDescent="0.25">
      <c r="A61" s="4"/>
      <c r="B61" s="35" t="s">
        <v>38</v>
      </c>
      <c r="C61" s="227">
        <f>SUM(C40+C47+C54)</f>
        <v>514307.27</v>
      </c>
      <c r="D61" s="77">
        <f t="shared" si="12"/>
        <v>548434.99</v>
      </c>
      <c r="E61" s="77">
        <f t="shared" si="12"/>
        <v>377828.13999999996</v>
      </c>
      <c r="F61" s="77">
        <f t="shared" si="12"/>
        <v>323546.2</v>
      </c>
      <c r="G61" s="77">
        <f t="shared" si="12"/>
        <v>354726.75</v>
      </c>
      <c r="H61" s="77">
        <f t="shared" si="12"/>
        <v>347263.7</v>
      </c>
      <c r="I61" s="77">
        <f t="shared" si="12"/>
        <v>402110.45999999996</v>
      </c>
      <c r="J61" s="77">
        <f t="shared" si="12"/>
        <v>351238.12999999995</v>
      </c>
      <c r="K61" s="77">
        <f t="shared" si="12"/>
        <v>319111.98</v>
      </c>
      <c r="L61" s="109">
        <f t="shared" si="12"/>
        <v>312992.84999999998</v>
      </c>
      <c r="M61" s="108">
        <f t="shared" si="12"/>
        <v>283108.44</v>
      </c>
      <c r="N61" s="77">
        <f t="shared" si="12"/>
        <v>261113.08000000002</v>
      </c>
      <c r="O61" s="77">
        <f t="shared" si="12"/>
        <v>258660.07</v>
      </c>
      <c r="P61" s="77">
        <f t="shared" si="12"/>
        <v>246410.04</v>
      </c>
      <c r="Q61" s="77">
        <f t="shared" si="12"/>
        <v>240875.13</v>
      </c>
      <c r="R61" s="77">
        <f t="shared" si="12"/>
        <v>224331.5</v>
      </c>
      <c r="S61" s="77">
        <f t="shared" si="12"/>
        <v>209907.66</v>
      </c>
      <c r="T61" s="77">
        <f t="shared" si="12"/>
        <v>211261.3</v>
      </c>
      <c r="U61" s="189">
        <f t="shared" si="12"/>
        <v>195476.45</v>
      </c>
      <c r="V61" s="189">
        <f t="shared" si="12"/>
        <v>343171.83999999997</v>
      </c>
      <c r="W61" s="189">
        <f t="shared" ref="W61:AB61" si="14">SUM(W40+W47+W54)</f>
        <v>310871.3</v>
      </c>
      <c r="X61" s="189">
        <f t="shared" si="14"/>
        <v>314897.70999999996</v>
      </c>
      <c r="Y61" s="189">
        <f t="shared" si="14"/>
        <v>308651.82</v>
      </c>
      <c r="Z61" s="189">
        <f t="shared" si="14"/>
        <v>131697.45000000001</v>
      </c>
      <c r="AA61" s="189">
        <f t="shared" si="14"/>
        <v>105351.69</v>
      </c>
      <c r="AB61" s="189">
        <f t="shared" si="14"/>
        <v>97031.02</v>
      </c>
    </row>
    <row r="62" spans="1:28" x14ac:dyDescent="0.25">
      <c r="A62" s="4"/>
      <c r="B62" s="35" t="s">
        <v>39</v>
      </c>
      <c r="C62" s="227">
        <f>SUM(C41+C48+C55)</f>
        <v>370060.25</v>
      </c>
      <c r="D62" s="77">
        <f t="shared" si="12"/>
        <v>392810.66000000003</v>
      </c>
      <c r="E62" s="77">
        <f t="shared" si="12"/>
        <v>425791.02999999997</v>
      </c>
      <c r="F62" s="77">
        <f t="shared" si="12"/>
        <v>403148.48</v>
      </c>
      <c r="G62" s="77">
        <f t="shared" si="12"/>
        <v>412418.05000000005</v>
      </c>
      <c r="H62" s="77">
        <f t="shared" si="12"/>
        <v>379252.46</v>
      </c>
      <c r="I62" s="77">
        <f t="shared" si="12"/>
        <v>451234.87</v>
      </c>
      <c r="J62" s="77">
        <f t="shared" si="12"/>
        <v>455065.61999999994</v>
      </c>
      <c r="K62" s="77">
        <f t="shared" si="12"/>
        <v>427261.04000000004</v>
      </c>
      <c r="L62" s="109">
        <f t="shared" si="12"/>
        <v>449417.83999999997</v>
      </c>
      <c r="M62" s="108">
        <f t="shared" si="12"/>
        <v>407748.95999999996</v>
      </c>
      <c r="N62" s="77">
        <f t="shared" si="12"/>
        <v>399801.07999999996</v>
      </c>
      <c r="O62" s="77">
        <f t="shared" si="12"/>
        <v>356274.18999999994</v>
      </c>
      <c r="P62" s="77">
        <f t="shared" si="12"/>
        <v>366704.14</v>
      </c>
      <c r="Q62" s="77">
        <f t="shared" si="12"/>
        <v>378523.5</v>
      </c>
      <c r="R62" s="77">
        <f t="shared" si="12"/>
        <v>342406.12</v>
      </c>
      <c r="S62" s="77">
        <f t="shared" si="12"/>
        <v>321880.19</v>
      </c>
      <c r="T62" s="77">
        <f t="shared" si="12"/>
        <v>326964.7</v>
      </c>
      <c r="U62" s="189">
        <f t="shared" si="12"/>
        <v>342779.35</v>
      </c>
      <c r="V62" s="189">
        <f t="shared" si="12"/>
        <v>338407.25</v>
      </c>
      <c r="W62" s="189">
        <f t="shared" ref="W62:AB62" si="15">SUM(W41+W48+W55)</f>
        <v>294757.64</v>
      </c>
      <c r="X62" s="189">
        <f t="shared" si="15"/>
        <v>226313.89</v>
      </c>
      <c r="Y62" s="189">
        <f t="shared" si="15"/>
        <v>200895.21</v>
      </c>
      <c r="Z62" s="189">
        <f t="shared" si="15"/>
        <v>196035.65</v>
      </c>
      <c r="AA62" s="189">
        <f t="shared" si="15"/>
        <v>171199.03999999998</v>
      </c>
      <c r="AB62" s="189">
        <f t="shared" si="15"/>
        <v>175842.08000000002</v>
      </c>
    </row>
    <row r="63" spans="1:28" x14ac:dyDescent="0.25">
      <c r="A63" s="4"/>
      <c r="B63" s="35" t="s">
        <v>40</v>
      </c>
      <c r="C63" s="227">
        <f>SUM(C42+C49+C56)</f>
        <v>88361.5</v>
      </c>
      <c r="D63" s="77">
        <f t="shared" si="12"/>
        <v>63980.44</v>
      </c>
      <c r="E63" s="77">
        <f t="shared" si="12"/>
        <v>63980.44</v>
      </c>
      <c r="F63" s="77">
        <f t="shared" si="12"/>
        <v>90088.459999999992</v>
      </c>
      <c r="G63" s="77">
        <f t="shared" si="12"/>
        <v>116428.91999999998</v>
      </c>
      <c r="H63" s="77">
        <f t="shared" si="12"/>
        <v>102723.92</v>
      </c>
      <c r="I63" s="77">
        <f t="shared" si="12"/>
        <v>180095.77</v>
      </c>
      <c r="J63" s="77">
        <f t="shared" si="12"/>
        <v>214517.12</v>
      </c>
      <c r="K63" s="77">
        <f t="shared" si="12"/>
        <v>215435.61999999997</v>
      </c>
      <c r="L63" s="109">
        <f t="shared" si="12"/>
        <v>204666.65</v>
      </c>
      <c r="M63" s="108">
        <f t="shared" si="12"/>
        <v>201164.17</v>
      </c>
      <c r="N63" s="77">
        <f t="shared" si="12"/>
        <v>192968.34</v>
      </c>
      <c r="O63" s="77">
        <f t="shared" si="12"/>
        <v>161336.90999999997</v>
      </c>
      <c r="P63" s="77">
        <f t="shared" si="12"/>
        <v>145762.66</v>
      </c>
      <c r="Q63" s="77">
        <f t="shared" si="12"/>
        <v>145762.66</v>
      </c>
      <c r="R63" s="77">
        <f t="shared" si="12"/>
        <v>144647.99</v>
      </c>
      <c r="S63" s="77">
        <f t="shared" si="12"/>
        <v>188765.73</v>
      </c>
      <c r="T63" s="77">
        <f t="shared" si="12"/>
        <v>129147.7</v>
      </c>
      <c r="U63" s="189">
        <f>SUM(U42+U49+U56)</f>
        <v>87200.89</v>
      </c>
      <c r="V63" s="189">
        <f>SUM(V42+V49+V56)</f>
        <v>87200.89</v>
      </c>
      <c r="W63" s="189">
        <f t="shared" ref="W63:AB63" si="16">SUM(W42+W49+W56)</f>
        <v>38886.83</v>
      </c>
      <c r="X63" s="189">
        <f t="shared" si="16"/>
        <v>67148.72</v>
      </c>
      <c r="Y63" s="189">
        <f t="shared" si="16"/>
        <v>52049.89</v>
      </c>
      <c r="Z63" s="189">
        <f t="shared" si="16"/>
        <v>46142.880000000005</v>
      </c>
      <c r="AA63" s="189">
        <f t="shared" si="16"/>
        <v>11399.349999999999</v>
      </c>
      <c r="AB63" s="189">
        <f t="shared" si="16"/>
        <v>48227.05</v>
      </c>
    </row>
    <row r="64" spans="1:28" ht="15.75" thickBot="1" x14ac:dyDescent="0.3">
      <c r="A64" s="4"/>
      <c r="B64" s="37" t="s">
        <v>41</v>
      </c>
      <c r="C64" s="100">
        <f>SUM(C59:C63)</f>
        <v>6366991.7799999993</v>
      </c>
      <c r="D64" s="81">
        <f>SUM(D59:D63)</f>
        <v>6355403.7700000005</v>
      </c>
      <c r="E64" s="81">
        <f t="shared" ref="E64:V64" si="17">SUM(E59:E63)</f>
        <v>6434829.1500000004</v>
      </c>
      <c r="F64" s="81">
        <f t="shared" si="17"/>
        <v>6288331.8899999997</v>
      </c>
      <c r="G64" s="81">
        <f t="shared" si="17"/>
        <v>6318908.2800000003</v>
      </c>
      <c r="H64" s="81">
        <f t="shared" si="17"/>
        <v>6438386.3800000008</v>
      </c>
      <c r="I64" s="81">
        <f t="shared" si="17"/>
        <v>6857573.54</v>
      </c>
      <c r="J64" s="81">
        <f t="shared" si="17"/>
        <v>6735136.1200000001</v>
      </c>
      <c r="K64" s="81">
        <f t="shared" si="17"/>
        <v>6528791.3399999999</v>
      </c>
      <c r="L64" s="160">
        <f t="shared" si="17"/>
        <v>6492523.2800000012</v>
      </c>
      <c r="M64" s="81">
        <f t="shared" si="17"/>
        <v>6136291.120000001</v>
      </c>
      <c r="N64" s="81">
        <f t="shared" si="17"/>
        <v>5952335.459999999</v>
      </c>
      <c r="O64" s="81">
        <f t="shared" si="17"/>
        <v>5625318.3000000007</v>
      </c>
      <c r="P64" s="81">
        <f t="shared" si="17"/>
        <v>5533023.2599999998</v>
      </c>
      <c r="Q64" s="81">
        <f t="shared" si="17"/>
        <v>5396143</v>
      </c>
      <c r="R64" s="81">
        <f t="shared" si="17"/>
        <v>5169039.0500000007</v>
      </c>
      <c r="S64" s="81">
        <f t="shared" si="17"/>
        <v>5005080.120000001</v>
      </c>
      <c r="T64" s="81">
        <f t="shared" si="17"/>
        <v>4942409.04</v>
      </c>
      <c r="U64" s="176">
        <f t="shared" si="17"/>
        <v>4821074.169999999</v>
      </c>
      <c r="V64" s="176">
        <f t="shared" si="17"/>
        <v>4966696.9899999993</v>
      </c>
      <c r="W64" s="189">
        <f t="shared" ref="W64:Z64" si="18">SUM(W43+W50+W57)</f>
        <v>4727355.6999999993</v>
      </c>
      <c r="X64" s="189">
        <f t="shared" si="18"/>
        <v>4926753.8</v>
      </c>
      <c r="Y64" s="189">
        <f t="shared" si="18"/>
        <v>4800489.49</v>
      </c>
      <c r="Z64" s="189">
        <f t="shared" si="18"/>
        <v>4736688.51</v>
      </c>
      <c r="AA64" s="189">
        <f>SUM(AA43+AA50+AA57)</f>
        <v>4695139.3400000008</v>
      </c>
      <c r="AB64" s="189">
        <f>SUM(AB43+AB50+AB57)</f>
        <v>4677068.6999999993</v>
      </c>
    </row>
    <row r="65" spans="1:28" x14ac:dyDescent="0.25">
      <c r="A65" s="4">
        <f>+A58+1</f>
        <v>9</v>
      </c>
      <c r="B65" s="41" t="s">
        <v>33</v>
      </c>
      <c r="C65" s="155"/>
      <c r="D65" s="64"/>
      <c r="E65" s="64"/>
      <c r="F65" s="64"/>
      <c r="G65" s="64"/>
      <c r="H65" s="64"/>
      <c r="I65" s="64"/>
      <c r="J65" s="64"/>
      <c r="K65" s="64"/>
      <c r="L65" s="165"/>
      <c r="M65" s="64"/>
      <c r="N65" s="64"/>
      <c r="O65" s="64"/>
      <c r="P65" s="64"/>
      <c r="Q65" s="64"/>
      <c r="R65" s="64"/>
      <c r="S65" s="64"/>
      <c r="T65" s="64"/>
      <c r="U65" s="177"/>
      <c r="V65" s="64"/>
      <c r="W65" s="64"/>
      <c r="X65" s="64"/>
      <c r="Y65" s="64"/>
      <c r="Z65" s="64"/>
      <c r="AA65" s="64"/>
      <c r="AB65" s="63"/>
    </row>
    <row r="66" spans="1:28" x14ac:dyDescent="0.25">
      <c r="A66" s="4"/>
      <c r="B66" s="35" t="s">
        <v>36</v>
      </c>
      <c r="C66" s="156">
        <f>369851.267+1855742.968</f>
        <v>2225594.2350000003</v>
      </c>
      <c r="D66" s="83">
        <f>401.557+59137.741+7770.282+522445.726+71.88</f>
        <v>589827.18599999999</v>
      </c>
      <c r="E66" s="83">
        <f>142.753+274.209+69051.372+6561.503+602317.038+227.994+10171.408</f>
        <v>688746.277</v>
      </c>
      <c r="F66" s="83">
        <f>118.105+119162.81+4547.556+692257.566+222.859+2.054+416.962</f>
        <v>816727.91200000013</v>
      </c>
      <c r="G66" s="83">
        <f>113.997+44279.105+3249.428+319075.549+503.23+32775.678+8104.057+249444.949</f>
        <v>657545.99300000002</v>
      </c>
      <c r="H66" s="83">
        <f>848.302+78417.612+7971.574+650900.276+5269.537+6949.709+1.027-180.752</f>
        <v>750177.28500000003</v>
      </c>
      <c r="I66" s="83">
        <f>134.537+270.101+58270.953+6453.668+496886.221+160.212+7266.025</f>
        <v>569441.71700000006</v>
      </c>
      <c r="J66" s="83">
        <f>81.133+51637.854+5356.693+337942.837+106.808+15.405+35.945</f>
        <v>395176.67500000005</v>
      </c>
      <c r="K66" s="83">
        <f>121.068+31435.647+2752.758+212477.749+380.646+13047.642+6400.197+109480.386</f>
        <v>376096.09299999999</v>
      </c>
      <c r="L66" s="166">
        <f>294.462+17503.56+4302.018+2086.884+3001.05+5.13+162.108</f>
        <v>27355.212</v>
      </c>
      <c r="M66" s="83">
        <f>192.888+16087.68+3701.808</f>
        <v>19982.376</v>
      </c>
      <c r="N66" s="83">
        <f>35.91+113.886+14003.874+4110.156+139847.907+49.248+4156.326+5.13-430.92</f>
        <v>161891.51699999999</v>
      </c>
      <c r="O66" s="83">
        <f>162.108+32345.676+3589.974+203344.992+6.156 +9.234+73.872</f>
        <v>239532.01199999999</v>
      </c>
      <c r="P66" s="83">
        <f>48.222+7132.752+2254.122+81698.328+1488.726+2149.47+312.93+7994.592+5626.584+88778.754</f>
        <v>197484.47999999998</v>
      </c>
      <c r="Q66" s="83">
        <f>336.528+15574.68+4726.782+153837.451+10.26</f>
        <v>174485.701</v>
      </c>
      <c r="R66" s="83">
        <f>8.208+101.574+11723.076+2608.092+104589.414+24.624+2926.152+6.156-14455.314</f>
        <v>107531.982</v>
      </c>
      <c r="S66" s="83">
        <f>45.144+18198.193+2883.09+124093.426+7.182+5.13+9.234</f>
        <v>145241.399</v>
      </c>
      <c r="T66" s="83">
        <f>124.267+15944.145+2184.427+114474.516+268.047+6497.829+4624.58+53174.957</f>
        <v>197292.76799999998</v>
      </c>
      <c r="U66" s="178">
        <f>196.157+11672.857+3323.365+119968.677+1540.5+2097.134-43.118</f>
        <v>138755.57199999999</v>
      </c>
      <c r="V66" s="83">
        <f>9.243+264.966+18767.398+5105.227+183618.643+28.756+3013.965+6.162+1.027+24.621</f>
        <v>210840.00800000003</v>
      </c>
      <c r="W66" s="83">
        <f>15.405+46.215+12116.843+2632.201+95067.272+1.027+30.81+5.135+49.296</f>
        <v>109964.204</v>
      </c>
      <c r="X66" s="83">
        <f>111.862+16560.831+1899.019+112821.45+261.63+6028.776+4362.556+49846.202</f>
        <v>191892.32600000003</v>
      </c>
      <c r="Y66" s="83">
        <f>153.9+12056.526+3253.219+122884.428+1482.57+1976.076-10235.776</f>
        <v>131570.943</v>
      </c>
      <c r="Z66" s="83">
        <f>7.182+229.824+17988.858+4686.768+164149.723+757.188+1.026+15.39</f>
        <v>187835.95900000003</v>
      </c>
      <c r="AA66" s="83">
        <f>123.12+6242.184+2921.022+83546.111+31.806+2434.698+9.234+40.014</f>
        <v>95348.188999999998</v>
      </c>
      <c r="AB66" s="82">
        <f>74.898+26860.751+2817.439+175463.824+8.216+113.886</f>
        <v>205339.01399999997</v>
      </c>
    </row>
    <row r="67" spans="1:28" x14ac:dyDescent="0.25">
      <c r="A67" s="4"/>
      <c r="B67" s="35" t="s">
        <v>37</v>
      </c>
      <c r="C67" s="156">
        <f>166401.493+328245.279</f>
        <v>494646.772</v>
      </c>
      <c r="D67" s="83">
        <f>108.862+17387.11+1554.878+236145.3+20.54</f>
        <v>255216.69</v>
      </c>
      <c r="E67" s="83">
        <f>42.107+17943.744+1164.618+240939.335</f>
        <v>260089.804</v>
      </c>
      <c r="F67" s="83">
        <f>10.27+10611.991+506.311+63406.98</f>
        <v>74535.551999999996</v>
      </c>
      <c r="G67" s="83">
        <f>71.89+6370.481+248.534+74999.756+26.702+1003.379+652.145+12641.343</f>
        <v>96014.23000000001</v>
      </c>
      <c r="H67" s="83">
        <f>70.863+16461.783+1632.93+220362.363</f>
        <v>238527.93900000001</v>
      </c>
      <c r="I67" s="83">
        <f>112.97+17142.684+1074.242+212773.86</f>
        <v>231103.75599999999</v>
      </c>
      <c r="J67" s="83">
        <f>41.08+6875.716+719.927+75591.978+29.783</f>
        <v>83258.483999999997</v>
      </c>
      <c r="K67" s="83">
        <f>53.352+4214.808+281.124+36479.113+22.572+331.398+436.066+5482.944</f>
        <v>47301.377</v>
      </c>
      <c r="L67" s="166">
        <f>44.118+4193.262+791.046+54800.162</f>
        <v>59828.587999999996</v>
      </c>
      <c r="M67" s="83">
        <f>54.378+4218.912+638.172+59613.678+1.026</f>
        <v>64526.165999999997</v>
      </c>
      <c r="N67" s="83">
        <f>40.014+3722.328+592.002+56359.206+4.104</f>
        <v>60717.653999999995</v>
      </c>
      <c r="O67" s="83">
        <f>21.546+2261.304+378.594+16665.318+15.39</f>
        <v>19342.151999999998</v>
      </c>
      <c r="P67" s="83">
        <f>33.858+1889.892+323.19+30152.088+18.468+160.056+430.92+3201.12</f>
        <v>36209.592000000004</v>
      </c>
      <c r="Q67" s="83">
        <f>56.43+3359.124+769.5+47577.618</f>
        <v>51762.672000000006</v>
      </c>
      <c r="R67" s="83">
        <f>4.107+2621.43+393.984+31161.662</f>
        <v>34181.182999999997</v>
      </c>
      <c r="S67" s="83">
        <f>27.702+1593.378+316.028+18890.842</f>
        <v>20827.95</v>
      </c>
      <c r="T67" s="83">
        <f>15.465+1746.927+250.588+18465.006+15.405+119.132+379.99+2986.516</f>
        <v>23979.029000000002</v>
      </c>
      <c r="U67" s="178">
        <f>35.945+2618.839+599.765+35771.314</f>
        <v>39025.862999999998</v>
      </c>
      <c r="V67" s="83">
        <f>61.62+4307.238+726.089+61996.909</f>
        <v>67091.856</v>
      </c>
      <c r="W67" s="83">
        <f>28.756+1610.336+372.801+20930.256</f>
        <v>22942.149000000001</v>
      </c>
      <c r="X67" s="83">
        <f>7.182+1446.56+152.939+10964.96+14.364+102.6+14128.27+383.724+2748.654</f>
        <v>29949.252999999997</v>
      </c>
      <c r="Y67" s="83">
        <f>47.196+2758.914+447.336+37411.038</f>
        <v>40664.483999999997</v>
      </c>
      <c r="Z67" s="83">
        <f>40.014+3831.084+919.296+51135.84</f>
        <v>55926.233999999997</v>
      </c>
      <c r="AA67" s="83">
        <f>38.988+2308.5+426.816+40597.794</f>
        <v>43372.097999999998</v>
      </c>
      <c r="AB67" s="82">
        <f>15.39+2198.719+328.321+14719.187</f>
        <v>17261.616999999998</v>
      </c>
    </row>
    <row r="68" spans="1:28" x14ac:dyDescent="0.25">
      <c r="A68" s="4"/>
      <c r="B68" s="35" t="s">
        <v>38</v>
      </c>
      <c r="C68" s="156">
        <f>129128.772+254618.643</f>
        <v>383747.41500000004</v>
      </c>
      <c r="D68" s="83">
        <f>5907.304+107514.107+16397.966+29351.66+6234.917+6798.74</f>
        <v>172204.69399999999</v>
      </c>
      <c r="E68" s="83">
        <f>2431.936+115.024+87709.908+10846.707+9799.634+1693.523</f>
        <v>112596.732</v>
      </c>
      <c r="F68" s="83">
        <f>509.392+768.196+1472.718+63099.907+9918.766+4400.695+479.609+167.401</f>
        <v>80816.683999999994</v>
      </c>
      <c r="G68" s="83">
        <f>1904.058+832.897+34955.999+6730.958+349.18+1425.476+815.438+784.628+71475.232+17724.077+3196.024+705.549</f>
        <v>140899.516</v>
      </c>
      <c r="H68" s="83">
        <f>3881.033+649.064+100521.733+18516.724+18140.928+3982.706-52.377</f>
        <v>145639.81099999999</v>
      </c>
      <c r="I68" s="83">
        <f>3473.314+133.51+61792.829+20432.165+22373.195+4275.401-1027</f>
        <v>111453.414</v>
      </c>
      <c r="J68" s="83">
        <f>245.453+393.341+523.77+17859.405+8996.225+4311.346+462.15+9.243</f>
        <v>32800.932999999997</v>
      </c>
      <c r="K68" s="83">
        <f>-783.405+544.806+26863.398+7949.738+560.993+874.152+184.68+510.948+20540.688+15820.144+1576.962+607.392</f>
        <v>75250.496000000014</v>
      </c>
      <c r="L68" s="166">
        <f>661.77+477.09+7663.59+12883.148+168299.85+5495.256+2448.036+17.988</f>
        <v>197946.728</v>
      </c>
      <c r="M68" s="83">
        <f>681.264+10738.391+12012.408+144106.83+7056.828+2339.28</f>
        <v>176935.00099999999</v>
      </c>
      <c r="N68" s="83">
        <f>330.372+148.77+3958.861+7625.232+3416.58+1346.112-302.67-100.548-626.886</f>
        <v>15795.823000000002</v>
      </c>
      <c r="O68" s="83">
        <f>31.806+64.638-34.884+19570.956+10944.342+675.108+1240.434-871.074-254.448-2289.006</f>
        <v>29077.871999999999</v>
      </c>
      <c r="P68" s="83">
        <f>222.642+383.724+8895.42+4830.408-112.86+179.55+107.73+467.856+4181.18+16195.743+524.286</f>
        <v>35875.678999999996</v>
      </c>
      <c r="Q68" s="83">
        <f>964.44+482.22+3116.899+18892.924+7569.828+3531.492</f>
        <v>34557.803</v>
      </c>
      <c r="R68" s="83">
        <f>426.816+123.12+4911.462+7631.388+2145.366+743.85+3.078+37.962</f>
        <v>16023.041999999999</v>
      </c>
      <c r="S68" s="83">
        <f>18.468+45.144+121.068+2519.177+5541.639+309.852+10.26</f>
        <v>8565.6080000000002</v>
      </c>
      <c r="T68" s="83">
        <f>225.94+398.476+18000.841+9680.294-757.328+564.102+99.619+441.61+4776.065+14737.589+359.45+530.959</f>
        <v>49057.616999999998</v>
      </c>
      <c r="U68" s="178">
        <f>247.507+419.016+8767.499+13167.751+2909.491+1360.775</f>
        <v>26872.039000000004</v>
      </c>
      <c r="V68" s="83">
        <f>1155.375+139.672+10475.991+18932.124+5793.307+2604.472+2.054</f>
        <v>39102.994999999995</v>
      </c>
      <c r="W68" s="83">
        <f>1.027+240.318+2515.276+7341.936+1193.374+392.314+116.051</f>
        <v>11800.295999999998</v>
      </c>
      <c r="X68" s="83">
        <f>65.728+50.287+13238.387+6698.887+229.824+716.365+93.366+400.14+3725.229+388.854+478.116</f>
        <v>26085.183000000005</v>
      </c>
      <c r="Y68" s="83">
        <f>280.098+973.674+6740.959+22941.42+1109.106+913.14-79.002-11.286</f>
        <v>32868.108999999997</v>
      </c>
      <c r="Z68" s="83">
        <f>927.504+122.094+12122.491+17829.154+6333.498+2176.146-2710.122</f>
        <v>36800.764999999992</v>
      </c>
      <c r="AA68" s="83">
        <f>448.362+2021.22+7814.016+2848.176+1072.17+2.052+8.208</f>
        <v>14214.204</v>
      </c>
      <c r="AB68" s="82">
        <f>19.494+24.624+56.43+5964.534+9995.288+328.448+1075.248</f>
        <v>17464.065999999999</v>
      </c>
    </row>
    <row r="69" spans="1:28" x14ac:dyDescent="0.25">
      <c r="A69" s="4"/>
      <c r="B69" s="35" t="s">
        <v>39</v>
      </c>
      <c r="C69" s="156">
        <f>194155.119+608102.48</f>
        <v>802257.59899999993</v>
      </c>
      <c r="D69" s="83">
        <f>7507.37+88644.478+16892.096+123539.884+19988.501</f>
        <v>256572.329</v>
      </c>
      <c r="E69" s="83">
        <f>66434.576+29764.514+75534.823+13098.358</f>
        <v>184832.27100000001</v>
      </c>
      <c r="F69" s="83">
        <f>65858.323+6122.974+81239.808+17626.401</f>
        <v>170847.50600000002</v>
      </c>
      <c r="G69" s="83">
        <f>49892.687+6294.483+8478.314+5142.189+64725.222+27183.999+24040.016+22805.562</f>
        <v>208562.47200000001</v>
      </c>
      <c r="H69" s="83">
        <f>2924.896+123627.179+32332.014+149863.948+47762.689</f>
        <v>356510.72600000002</v>
      </c>
      <c r="I69" s="83">
        <f>5525.26+61651.837+28594.761+85044.843+22349.574</f>
        <v>203166.27499999999</v>
      </c>
      <c r="J69" s="83">
        <f>15200.565+13095.277+32163.694+3983.733</f>
        <v>64443.269</v>
      </c>
      <c r="K69" s="83">
        <f>20678.947+7496.715+10846.754+13765.406+21873.671+26696.212+8218.26+12444.482</f>
        <v>122020.447</v>
      </c>
      <c r="L69" s="166">
        <f>970.596+56604.42+21132.294+28632.582+32348.754</f>
        <v>139688.64600000001</v>
      </c>
      <c r="M69" s="83">
        <f>4946.346+9966.564+16693.02+14162.904</f>
        <v>45768.834000000003</v>
      </c>
      <c r="N69" s="83">
        <f>5401.89+26732.43+13508.316+4613.922-2141.262-2776.356</f>
        <v>45338.939999999995</v>
      </c>
      <c r="O69" s="83">
        <f>13903.55+12030.876+13133.826+8913.888+1516.428-2956.932</f>
        <v>46541.635999999999</v>
      </c>
      <c r="P69" s="83">
        <f>7241.508+13492.926+11874.924+7336.926+5538.626+23488.67+4291.758+10216.908</f>
        <v>83482.245999999999</v>
      </c>
      <c r="Q69" s="83">
        <f>427.842+2954.88+15837.336+71321.364+26609.31</f>
        <v>117150.732</v>
      </c>
      <c r="R69" s="83">
        <f>2953.854+19718.694+8240.832+6270.912</f>
        <v>37184.292000000001</v>
      </c>
      <c r="S69" s="83">
        <f>2822.526+9960.408-8649.331+4050.648-89.249</f>
        <v>8095.0019999999995</v>
      </c>
      <c r="T69" s="83">
        <f>6337.159+11417.002+87826.609+11267.052+3226.227+24944.038+3365.479+10037.898</f>
        <v>158421.46399999998</v>
      </c>
      <c r="U69" s="178">
        <f>357.396+12805.909+26021.099-38383.699+21489.975</f>
        <v>22290.679999999993</v>
      </c>
      <c r="V69" s="83">
        <f>7027.761+29736.785+16730.857+15797.314</f>
        <v>69292.717000000004</v>
      </c>
      <c r="W69" s="83">
        <f>3067.649+13458.68+7244.438+2473.016</f>
        <v>26243.782999999999</v>
      </c>
      <c r="X69" s="83">
        <f>5229.67+8985.273+5597.747+6397.183+2023.93+21340.365+3914.19+9843.444</f>
        <v>63331.802000000011</v>
      </c>
      <c r="Y69" s="83">
        <f>385.776+13150.242+24804.576+42730.808+25893.162+54.378+883.386</f>
        <v>107902.32799999999</v>
      </c>
      <c r="Z69" s="83">
        <f>4998.672+26240.976+14116.734+43809.921-12359.196</f>
        <v>76807.107000000004</v>
      </c>
      <c r="AA69" s="83">
        <f>1487.124+19994.688+10548.306+12047.292</f>
        <v>44077.409999999996</v>
      </c>
      <c r="AB69" s="82">
        <f>-3789.545+11309.798+28464.376+15287.101</f>
        <v>51271.73</v>
      </c>
    </row>
    <row r="70" spans="1:28" x14ac:dyDescent="0.25">
      <c r="A70" s="4"/>
      <c r="B70" s="35" t="s">
        <v>40</v>
      </c>
      <c r="C70" s="156">
        <f>49226.749+478334.44</f>
        <v>527561.18900000001</v>
      </c>
      <c r="D70" s="83">
        <f>29577.6+55406.65</f>
        <v>84984.25</v>
      </c>
      <c r="E70" s="83">
        <v>104846.43</v>
      </c>
      <c r="F70" s="83">
        <f>30388.93+270563.15</f>
        <v>300952.08</v>
      </c>
      <c r="G70" s="83">
        <v>38680.911999999997</v>
      </c>
      <c r="H70" s="83">
        <f>5977.14+29721.38+10845.12</f>
        <v>46543.640000000007</v>
      </c>
      <c r="I70" s="83">
        <f>1150.24+58980.61</f>
        <v>60130.85</v>
      </c>
      <c r="J70" s="83">
        <f>2503.44+309780.18</f>
        <v>312283.62</v>
      </c>
      <c r="K70" s="83">
        <f>108834.45+29747.297</f>
        <v>138581.747</v>
      </c>
      <c r="L70" s="166">
        <f>297.54+10383.12+6843.42</f>
        <v>17524.080000000002</v>
      </c>
      <c r="M70" s="83">
        <f>471.96+42240.42</f>
        <v>42712.38</v>
      </c>
      <c r="N70" s="83">
        <v>0</v>
      </c>
      <c r="O70" s="83">
        <f>51700.14+984.96+305235</f>
        <v>357920.1</v>
      </c>
      <c r="P70" s="83">
        <v>23927.239000000001</v>
      </c>
      <c r="Q70" s="83">
        <f>30.78+66351.42+5448.06+6381.72</f>
        <v>78211.98</v>
      </c>
      <c r="R70" s="83">
        <v>0</v>
      </c>
      <c r="S70" s="83">
        <f>533.52+296462.7</f>
        <v>296996.22000000003</v>
      </c>
      <c r="T70" s="83">
        <f>62102.69-20345.58+23753.58</f>
        <v>65510.69</v>
      </c>
      <c r="U70" s="178">
        <f>2064.27+1232.4+7414.94</f>
        <v>10711.61</v>
      </c>
      <c r="V70" s="83">
        <f>390.26+79284.4+770.25</f>
        <v>80444.909999999989</v>
      </c>
      <c r="W70" s="83">
        <f>41.04+728.46+269560.98</f>
        <v>270330.48</v>
      </c>
      <c r="X70" s="83">
        <f>-1436.4+45013.41+24274.79</f>
        <v>67851.8</v>
      </c>
      <c r="Y70" s="83">
        <f>2595.78+6699.78</f>
        <v>9295.56</v>
      </c>
      <c r="Z70" s="83">
        <f>574.56+52941.6</f>
        <v>53516.159999999996</v>
      </c>
      <c r="AA70" s="83">
        <f>13019.94</f>
        <v>13019.94</v>
      </c>
      <c r="AB70" s="82">
        <f>25803.9+21823.02+335060.82</f>
        <v>382687.74</v>
      </c>
    </row>
    <row r="71" spans="1:28" x14ac:dyDescent="0.25">
      <c r="A71" s="4"/>
      <c r="B71" s="35" t="s">
        <v>41</v>
      </c>
      <c r="C71" s="156">
        <f>SUM(C66:C70)</f>
        <v>4433807.21</v>
      </c>
      <c r="D71" s="83">
        <f>SUM(D66:D70)</f>
        <v>1358805.149</v>
      </c>
      <c r="E71" s="83">
        <f t="shared" ref="E71:Z71" si="19">SUM(E66:E70)</f>
        <v>1351111.514</v>
      </c>
      <c r="F71" s="83">
        <f t="shared" si="19"/>
        <v>1443879.7340000002</v>
      </c>
      <c r="G71" s="83">
        <f t="shared" si="19"/>
        <v>1141703.1230000001</v>
      </c>
      <c r="H71" s="83">
        <f t="shared" si="19"/>
        <v>1537399.4010000001</v>
      </c>
      <c r="I71" s="83">
        <f>SUM(I66:I70)</f>
        <v>1175296.0120000001</v>
      </c>
      <c r="J71" s="83">
        <f t="shared" si="19"/>
        <v>887962.98100000003</v>
      </c>
      <c r="K71" s="83">
        <f t="shared" si="19"/>
        <v>759250.16</v>
      </c>
      <c r="L71" s="166">
        <f t="shared" si="19"/>
        <v>442343.25400000002</v>
      </c>
      <c r="M71" s="83">
        <f t="shared" si="19"/>
        <v>349924.75699999998</v>
      </c>
      <c r="N71" s="83">
        <f t="shared" si="19"/>
        <v>283743.93399999995</v>
      </c>
      <c r="O71" s="83">
        <f t="shared" si="19"/>
        <v>692413.77199999988</v>
      </c>
      <c r="P71" s="83">
        <f t="shared" si="19"/>
        <v>376979.23599999998</v>
      </c>
      <c r="Q71" s="83">
        <f t="shared" si="19"/>
        <v>456168.88800000004</v>
      </c>
      <c r="R71" s="83">
        <f t="shared" si="19"/>
        <v>194920.49900000001</v>
      </c>
      <c r="S71" s="83">
        <f t="shared" si="19"/>
        <v>479726.17900000006</v>
      </c>
      <c r="T71" s="83">
        <f t="shared" si="19"/>
        <v>494261.56799999997</v>
      </c>
      <c r="U71" s="178">
        <f t="shared" si="19"/>
        <v>237655.76399999997</v>
      </c>
      <c r="V71" s="178">
        <f t="shared" si="19"/>
        <v>466772.48600000003</v>
      </c>
      <c r="W71" s="178">
        <f t="shared" si="19"/>
        <v>441280.91200000001</v>
      </c>
      <c r="X71" s="178">
        <f t="shared" si="19"/>
        <v>379110.36400000006</v>
      </c>
      <c r="Y71" s="178">
        <f t="shared" si="19"/>
        <v>322301.424</v>
      </c>
      <c r="Z71" s="178">
        <f t="shared" si="19"/>
        <v>410886.22500000003</v>
      </c>
      <c r="AA71" s="178">
        <f>SUM(AA66:AA70)</f>
        <v>210031.84100000001</v>
      </c>
      <c r="AB71" s="178">
        <f>SUM(AB66:AB70)</f>
        <v>674024.1669999999</v>
      </c>
    </row>
    <row r="72" spans="1:28" x14ac:dyDescent="0.25">
      <c r="A72" s="4">
        <f>+A65+1</f>
        <v>10</v>
      </c>
      <c r="B72" s="42" t="s">
        <v>34</v>
      </c>
      <c r="C72" s="157"/>
      <c r="D72" s="85"/>
      <c r="E72" s="85"/>
      <c r="F72" s="85"/>
      <c r="G72" s="85"/>
      <c r="H72" s="85"/>
      <c r="I72" s="85"/>
      <c r="J72" s="85"/>
      <c r="K72" s="85"/>
      <c r="L72" s="167"/>
      <c r="M72" s="85"/>
      <c r="N72" s="85"/>
      <c r="O72" s="85"/>
      <c r="P72" s="85"/>
      <c r="Q72" s="85"/>
      <c r="R72" s="85"/>
      <c r="S72" s="85"/>
      <c r="T72" s="85"/>
      <c r="U72" s="179"/>
      <c r="V72" s="85"/>
      <c r="W72" s="85"/>
      <c r="X72" s="85"/>
      <c r="Y72" s="85"/>
      <c r="Z72" s="85"/>
      <c r="AA72" s="85"/>
      <c r="AB72" s="84"/>
    </row>
    <row r="73" spans="1:28" x14ac:dyDescent="0.25">
      <c r="A73" s="4"/>
      <c r="B73" s="35" t="s">
        <v>36</v>
      </c>
      <c r="C73" s="97">
        <v>3249834.41</v>
      </c>
      <c r="D73" s="89">
        <v>874163.58</v>
      </c>
      <c r="E73" s="89">
        <v>1012619.81</v>
      </c>
      <c r="F73" s="89">
        <v>1174633.43</v>
      </c>
      <c r="G73" s="89">
        <v>928561.44</v>
      </c>
      <c r="H73" s="89">
        <v>977795.34</v>
      </c>
      <c r="I73" s="89">
        <v>728410.3</v>
      </c>
      <c r="J73" s="89">
        <v>481751.64</v>
      </c>
      <c r="K73" s="89">
        <v>489382.34</v>
      </c>
      <c r="L73" s="99">
        <v>286516.33</v>
      </c>
      <c r="M73" s="89">
        <v>237931.26</v>
      </c>
      <c r="N73" s="89">
        <v>235212.26</v>
      </c>
      <c r="O73" s="89">
        <v>357575.01</v>
      </c>
      <c r="P73" s="89">
        <v>315150.78000000003</v>
      </c>
      <c r="Q73" s="89">
        <f>20098.67+285271.5</f>
        <v>305370.17</v>
      </c>
      <c r="R73" s="89">
        <f>10919.79+179222.19+15.03+2551.95+172.77</f>
        <v>192881.73</v>
      </c>
      <c r="S73" s="89">
        <v>219155.39</v>
      </c>
      <c r="T73" s="89">
        <v>331915.46000000002</v>
      </c>
      <c r="U73" s="180">
        <v>243196.01</v>
      </c>
      <c r="V73" s="79">
        <v>356111.83</v>
      </c>
      <c r="W73" s="79">
        <v>184122.22</v>
      </c>
      <c r="X73" s="79">
        <v>336233.31</v>
      </c>
      <c r="Y73" s="79">
        <v>241300.63</v>
      </c>
      <c r="Z73" s="79">
        <v>308904.19</v>
      </c>
      <c r="AA73" s="204">
        <v>159461.41</v>
      </c>
      <c r="AB73" s="78">
        <v>300024.55</v>
      </c>
    </row>
    <row r="74" spans="1:28" x14ac:dyDescent="0.25">
      <c r="A74" s="4"/>
      <c r="B74" s="35" t="s">
        <v>37</v>
      </c>
      <c r="C74" s="97">
        <v>381362.98</v>
      </c>
      <c r="D74" s="89">
        <v>280509.52</v>
      </c>
      <c r="E74" s="89">
        <v>287372.33</v>
      </c>
      <c r="F74" s="89">
        <v>80259.070000000007</v>
      </c>
      <c r="G74" s="89">
        <v>98848.09</v>
      </c>
      <c r="H74" s="89">
        <v>233509.35</v>
      </c>
      <c r="I74" s="89">
        <v>217793.59</v>
      </c>
      <c r="J74" s="89">
        <v>73876.28</v>
      </c>
      <c r="K74" s="89">
        <v>45101.47</v>
      </c>
      <c r="L74" s="99">
        <v>57472.21</v>
      </c>
      <c r="M74" s="89">
        <v>62846.05</v>
      </c>
      <c r="N74" s="89">
        <v>60148.02</v>
      </c>
      <c r="O74" s="89">
        <v>12257.29</v>
      </c>
      <c r="P74" s="89">
        <v>35163.269999999997</v>
      </c>
      <c r="Q74" s="89">
        <f>35974.72+48436.52</f>
        <v>84411.239999999991</v>
      </c>
      <c r="R74" s="89">
        <f>11430.68+33876.22</f>
        <v>45306.9</v>
      </c>
      <c r="S74" s="89">
        <v>1891.81</v>
      </c>
      <c r="T74" s="89">
        <v>61647.62</v>
      </c>
      <c r="U74" s="180">
        <v>42793.66</v>
      </c>
      <c r="V74" s="79">
        <v>91881.12</v>
      </c>
      <c r="W74" s="79">
        <v>25037.759999999998</v>
      </c>
      <c r="X74" s="79">
        <v>266674.34000000003</v>
      </c>
      <c r="Y74" s="79">
        <v>66586.350000000006</v>
      </c>
      <c r="Z74" s="79">
        <v>69339.92</v>
      </c>
      <c r="AA74" s="204">
        <v>53460.62</v>
      </c>
      <c r="AB74" s="78">
        <v>25010.59</v>
      </c>
    </row>
    <row r="75" spans="1:28" x14ac:dyDescent="0.25">
      <c r="A75" s="4"/>
      <c r="B75" s="35" t="s">
        <v>38</v>
      </c>
      <c r="C75" s="97">
        <v>492965.74</v>
      </c>
      <c r="D75" s="89">
        <v>203847.21</v>
      </c>
      <c r="E75" s="89">
        <v>143915.67000000001</v>
      </c>
      <c r="F75" s="89">
        <v>104164.39</v>
      </c>
      <c r="G75" s="89">
        <v>173972.14</v>
      </c>
      <c r="H75" s="89">
        <v>152393.43</v>
      </c>
      <c r="I75" s="89">
        <v>111049.66</v>
      </c>
      <c r="J75" s="89">
        <v>34805.279999999999</v>
      </c>
      <c r="K75" s="89">
        <v>84768.65</v>
      </c>
      <c r="L75" s="99">
        <v>32859.79</v>
      </c>
      <c r="M75" s="89">
        <v>38323.85</v>
      </c>
      <c r="N75" s="89">
        <v>23907.75</v>
      </c>
      <c r="O75" s="89">
        <v>39590.980000000003</v>
      </c>
      <c r="P75" s="89">
        <v>55422.81</v>
      </c>
      <c r="Q75" s="89">
        <f>22309.88+10707.17+4033.38+1049.41+268.51+123.69</f>
        <v>38492.040000000008</v>
      </c>
      <c r="R75" s="89">
        <f>16805.24+4269.01+1545.09+258.29</f>
        <v>22877.63</v>
      </c>
      <c r="S75" s="89">
        <v>14044.32</v>
      </c>
      <c r="T75" s="89">
        <v>55230.94</v>
      </c>
      <c r="U75" s="180">
        <v>30144.52</v>
      </c>
      <c r="V75" s="79">
        <v>41811.26</v>
      </c>
      <c r="W75" s="79">
        <v>15785.75</v>
      </c>
      <c r="X75" s="79">
        <v>48843.55</v>
      </c>
      <c r="Y75" s="79">
        <v>29249.62</v>
      </c>
      <c r="Z75" s="79">
        <v>48104.63</v>
      </c>
      <c r="AA75" s="204">
        <v>16179.45</v>
      </c>
      <c r="AB75" s="78">
        <v>21292.01</v>
      </c>
    </row>
    <row r="76" spans="1:28" x14ac:dyDescent="0.25">
      <c r="A76" s="4"/>
      <c r="B76" s="35" t="s">
        <v>39</v>
      </c>
      <c r="C76" s="97">
        <v>719759.78</v>
      </c>
      <c r="D76" s="89">
        <v>218824.73</v>
      </c>
      <c r="E76" s="89">
        <v>165357.66</v>
      </c>
      <c r="F76" s="89">
        <v>141250.37</v>
      </c>
      <c r="G76" s="89">
        <v>194584.85</v>
      </c>
      <c r="H76" s="89">
        <v>266367.14</v>
      </c>
      <c r="I76" s="89">
        <v>143455.04000000001</v>
      </c>
      <c r="J76" s="89">
        <v>41977.15</v>
      </c>
      <c r="K76" s="89">
        <v>80700.429999999993</v>
      </c>
      <c r="L76" s="99">
        <v>91032.01</v>
      </c>
      <c r="M76" s="89">
        <v>28596.55</v>
      </c>
      <c r="N76" s="89">
        <v>30447.86</v>
      </c>
      <c r="O76" s="89">
        <v>32570.84</v>
      </c>
      <c r="P76" s="89">
        <v>39817.800000000003</v>
      </c>
      <c r="Q76" s="89">
        <f>4093.39+5905.62+20748.15+5413.33+124.54</f>
        <v>36285.030000000006</v>
      </c>
      <c r="R76" s="89">
        <f>2346.01+7356.79+2775.28+1268.46</f>
        <v>13746.54</v>
      </c>
      <c r="S76" s="89">
        <v>6985.67</v>
      </c>
      <c r="T76" s="89">
        <v>48686.23</v>
      </c>
      <c r="U76" s="180">
        <v>14256.31</v>
      </c>
      <c r="V76" s="79">
        <v>24372.42</v>
      </c>
      <c r="W76" s="79">
        <v>9971.48</v>
      </c>
      <c r="X76" s="79">
        <v>25006.51</v>
      </c>
      <c r="Y76" s="79">
        <v>35126.58</v>
      </c>
      <c r="Z76" s="79">
        <v>27351.03</v>
      </c>
      <c r="AA76" s="249">
        <v>14331.86</v>
      </c>
      <c r="AB76" s="78">
        <v>15046.33</v>
      </c>
    </row>
    <row r="77" spans="1:28" x14ac:dyDescent="0.25">
      <c r="A77" s="4"/>
      <c r="B77" s="35" t="s">
        <v>40</v>
      </c>
      <c r="C77" s="97">
        <v>201980.13</v>
      </c>
      <c r="D77" s="89">
        <v>74027.600000000006</v>
      </c>
      <c r="E77" s="89">
        <v>113716.86</v>
      </c>
      <c r="F77" s="89">
        <v>116952.41</v>
      </c>
      <c r="G77" s="89">
        <v>26761.96</v>
      </c>
      <c r="H77" s="89">
        <v>24463.95</v>
      </c>
      <c r="I77" s="89">
        <v>34677.57</v>
      </c>
      <c r="J77" s="89">
        <v>107031.03</v>
      </c>
      <c r="K77" s="89">
        <v>61972.06</v>
      </c>
      <c r="L77" s="99">
        <v>11308.87</v>
      </c>
      <c r="M77" s="89">
        <v>19746.28</v>
      </c>
      <c r="N77" s="89">
        <v>0</v>
      </c>
      <c r="O77" s="89">
        <v>123240.34</v>
      </c>
      <c r="P77" s="89">
        <v>22915.759999999998</v>
      </c>
      <c r="Q77" s="89">
        <f>931.05+22363.27+3229.54+7900.23</f>
        <v>34424.089999999997</v>
      </c>
      <c r="R77" s="89">
        <v>0</v>
      </c>
      <c r="S77" s="89">
        <v>103922.43</v>
      </c>
      <c r="T77" s="89">
        <v>37757.35</v>
      </c>
      <c r="U77" s="180">
        <v>9320.0499999999993</v>
      </c>
      <c r="V77" s="79">
        <v>32722.04</v>
      </c>
      <c r="W77" s="79">
        <v>98965.54</v>
      </c>
      <c r="X77" s="79">
        <v>37366.239999999998</v>
      </c>
      <c r="Y77" s="79">
        <v>7387.8</v>
      </c>
      <c r="Z77" s="79">
        <v>23263.919999999998</v>
      </c>
      <c r="AA77" s="249">
        <v>4208.03</v>
      </c>
      <c r="AB77" s="78">
        <v>125129.60000000001</v>
      </c>
    </row>
    <row r="78" spans="1:28" ht="15.75" thickBot="1" x14ac:dyDescent="0.3">
      <c r="A78" s="4"/>
      <c r="B78" s="35" t="s">
        <v>41</v>
      </c>
      <c r="C78" s="97">
        <f t="shared" ref="C78:AB78" si="20">SUM(C73:C77)</f>
        <v>5045903.04</v>
      </c>
      <c r="D78" s="89">
        <f t="shared" si="20"/>
        <v>1651372.6400000001</v>
      </c>
      <c r="E78" s="89">
        <f t="shared" si="20"/>
        <v>1722982.33</v>
      </c>
      <c r="F78" s="89">
        <f t="shared" si="20"/>
        <v>1617259.6699999997</v>
      </c>
      <c r="G78" s="89">
        <f t="shared" si="20"/>
        <v>1422728.48</v>
      </c>
      <c r="H78" s="89">
        <f t="shared" si="20"/>
        <v>1654529.2099999997</v>
      </c>
      <c r="I78" s="89">
        <f t="shared" si="20"/>
        <v>1235386.1600000001</v>
      </c>
      <c r="J78" s="89">
        <f t="shared" si="20"/>
        <v>739441.38000000012</v>
      </c>
      <c r="K78" s="89">
        <f t="shared" si="20"/>
        <v>761924.95000000019</v>
      </c>
      <c r="L78" s="99">
        <f t="shared" si="20"/>
        <v>479189.21</v>
      </c>
      <c r="M78" s="89">
        <f t="shared" si="20"/>
        <v>387443.99</v>
      </c>
      <c r="N78" s="89">
        <f t="shared" si="20"/>
        <v>349715.89</v>
      </c>
      <c r="O78" s="89">
        <f t="shared" si="20"/>
        <v>565234.46</v>
      </c>
      <c r="P78" s="89">
        <f t="shared" si="20"/>
        <v>468470.42000000004</v>
      </c>
      <c r="Q78" s="89">
        <f t="shared" si="20"/>
        <v>498982.56999999995</v>
      </c>
      <c r="R78" s="89">
        <f t="shared" si="20"/>
        <v>274812.79999999999</v>
      </c>
      <c r="S78" s="89">
        <f t="shared" si="20"/>
        <v>345999.62</v>
      </c>
      <c r="T78" s="89">
        <f t="shared" si="20"/>
        <v>535237.6</v>
      </c>
      <c r="U78" s="180">
        <f t="shared" si="20"/>
        <v>339710.55000000005</v>
      </c>
      <c r="V78" s="180">
        <f t="shared" si="20"/>
        <v>546898.67000000004</v>
      </c>
      <c r="W78" s="180">
        <f t="shared" si="20"/>
        <v>333882.75</v>
      </c>
      <c r="X78" s="180">
        <f t="shared" si="20"/>
        <v>714123.95000000007</v>
      </c>
      <c r="Y78" s="180">
        <f t="shared" si="20"/>
        <v>379650.98</v>
      </c>
      <c r="Z78" s="180">
        <f t="shared" si="20"/>
        <v>476963.69</v>
      </c>
      <c r="AA78" s="180">
        <f t="shared" si="20"/>
        <v>247641.37000000002</v>
      </c>
      <c r="AB78" s="180">
        <f t="shared" si="20"/>
        <v>486503.08000000007</v>
      </c>
    </row>
    <row r="79" spans="1:28" x14ac:dyDescent="0.25">
      <c r="A79" s="4">
        <v>11</v>
      </c>
      <c r="B79" s="44" t="s">
        <v>35</v>
      </c>
      <c r="C79" s="102"/>
      <c r="D79" s="103"/>
      <c r="E79" s="103"/>
      <c r="F79" s="103"/>
      <c r="G79" s="103"/>
      <c r="H79" s="103"/>
      <c r="I79" s="103"/>
      <c r="J79" s="103"/>
      <c r="K79" s="103"/>
      <c r="L79" s="104"/>
      <c r="M79" s="161"/>
      <c r="N79" s="103"/>
      <c r="O79" s="161"/>
      <c r="P79" s="103"/>
      <c r="Q79" s="103"/>
      <c r="R79" s="103"/>
      <c r="S79" s="103"/>
      <c r="T79" s="103"/>
      <c r="U79" s="183"/>
      <c r="V79" s="169"/>
      <c r="W79" s="105"/>
      <c r="X79" s="106"/>
      <c r="Y79" s="106"/>
      <c r="Z79" s="106"/>
      <c r="AA79" s="106"/>
      <c r="AB79" s="107"/>
    </row>
    <row r="80" spans="1:28" x14ac:dyDescent="0.25">
      <c r="A80" s="4"/>
      <c r="B80" s="35" t="s">
        <v>36</v>
      </c>
      <c r="C80" s="86">
        <v>2407295.2599999998</v>
      </c>
      <c r="D80" s="87">
        <v>1491140.07</v>
      </c>
      <c r="E80" s="87">
        <v>1120192.08</v>
      </c>
      <c r="F80" s="89">
        <v>1209238.04</v>
      </c>
      <c r="G80" s="87">
        <v>1033868.64</v>
      </c>
      <c r="H80" s="87">
        <v>891261.62</v>
      </c>
      <c r="I80" s="87">
        <v>784077.49</v>
      </c>
      <c r="J80" s="87">
        <v>692786.58</v>
      </c>
      <c r="K80" s="87">
        <v>901581.42</v>
      </c>
      <c r="L80" s="88">
        <v>834034.7</v>
      </c>
      <c r="M80" s="89">
        <v>594048.1</v>
      </c>
      <c r="N80" s="87">
        <v>596576.31999999995</v>
      </c>
      <c r="O80" s="89">
        <v>455656.5</v>
      </c>
      <c r="P80" s="87">
        <v>445187.8</v>
      </c>
      <c r="Q80" s="87">
        <v>452627.95</v>
      </c>
      <c r="R80" s="87">
        <v>337412.53</v>
      </c>
      <c r="S80" s="87">
        <v>436187.5</v>
      </c>
      <c r="T80" s="87">
        <v>327214.62</v>
      </c>
      <c r="U80" s="184">
        <v>341853.99</v>
      </c>
      <c r="V80" s="89">
        <v>302252.76</v>
      </c>
      <c r="W80" s="89">
        <v>340400.66</v>
      </c>
      <c r="X80" s="89">
        <v>326413.63</v>
      </c>
      <c r="Y80" s="89">
        <v>309700.33</v>
      </c>
      <c r="Z80" s="89">
        <v>334614.03000000003</v>
      </c>
      <c r="AA80" s="89">
        <v>304176.40000000002</v>
      </c>
      <c r="AB80" s="88">
        <v>350986.97</v>
      </c>
    </row>
    <row r="81" spans="1:28" x14ac:dyDescent="0.25">
      <c r="A81" s="4"/>
      <c r="B81" s="35" t="s">
        <v>37</v>
      </c>
      <c r="C81" s="86">
        <v>120550.98</v>
      </c>
      <c r="D81" s="87">
        <v>379947.95</v>
      </c>
      <c r="E81" s="87">
        <v>60435.9</v>
      </c>
      <c r="F81" s="89">
        <v>178568.75</v>
      </c>
      <c r="G81" s="87">
        <v>497379.83</v>
      </c>
      <c r="H81" s="87">
        <v>52794.94</v>
      </c>
      <c r="I81" s="87">
        <v>60946.89</v>
      </c>
      <c r="J81" s="87">
        <v>71182.38</v>
      </c>
      <c r="K81" s="87">
        <v>189734.33</v>
      </c>
      <c r="L81" s="88">
        <v>121966.47</v>
      </c>
      <c r="M81" s="89">
        <v>86278.92</v>
      </c>
      <c r="N81" s="87">
        <v>36787.120000000003</v>
      </c>
      <c r="O81" s="89">
        <v>47300.33</v>
      </c>
      <c r="P81" s="87">
        <v>37278.26</v>
      </c>
      <c r="Q81" s="87">
        <v>129761.41</v>
      </c>
      <c r="R81" s="87">
        <v>48360.45</v>
      </c>
      <c r="S81" s="87">
        <v>57136.43</v>
      </c>
      <c r="T81" s="87">
        <v>42171.22</v>
      </c>
      <c r="U81" s="184">
        <v>32008.43</v>
      </c>
      <c r="V81" s="89">
        <v>32765.27</v>
      </c>
      <c r="W81" s="89">
        <v>36061.040000000001</v>
      </c>
      <c r="X81" s="89">
        <v>41168.15</v>
      </c>
      <c r="Y81" s="89">
        <v>33541.03</v>
      </c>
      <c r="Z81" s="89">
        <v>33086.74</v>
      </c>
      <c r="AA81" s="89">
        <v>26908.13</v>
      </c>
      <c r="AB81" s="88">
        <v>43650.63</v>
      </c>
    </row>
    <row r="82" spans="1:28" x14ac:dyDescent="0.25">
      <c r="A82" s="4"/>
      <c r="B82" s="35" t="s">
        <v>38</v>
      </c>
      <c r="C82" s="86">
        <v>503385.69</v>
      </c>
      <c r="D82" s="87">
        <v>199665.4</v>
      </c>
      <c r="E82" s="87">
        <v>218341.06</v>
      </c>
      <c r="F82" s="89">
        <v>217209.01</v>
      </c>
      <c r="G82" s="87">
        <v>201656.4</v>
      </c>
      <c r="H82" s="87">
        <v>160199.44</v>
      </c>
      <c r="I82" s="87">
        <v>88849.35</v>
      </c>
      <c r="J82" s="87">
        <v>109247.75</v>
      </c>
      <c r="K82" s="87">
        <v>187651.63</v>
      </c>
      <c r="L82" s="88">
        <v>132309.91</v>
      </c>
      <c r="M82" s="89">
        <v>114850.14</v>
      </c>
      <c r="N82" s="87">
        <v>77289.61</v>
      </c>
      <c r="O82" s="89">
        <v>55675.03</v>
      </c>
      <c r="P82" s="87">
        <v>62468.43</v>
      </c>
      <c r="Q82" s="87">
        <v>61417.85</v>
      </c>
      <c r="R82" s="87">
        <v>63011.23</v>
      </c>
      <c r="S82" s="87">
        <v>52846.48</v>
      </c>
      <c r="T82" s="87">
        <v>52144.47</v>
      </c>
      <c r="U82" s="184">
        <v>53382.26</v>
      </c>
      <c r="V82" s="89">
        <v>50817.53</v>
      </c>
      <c r="W82" s="89">
        <v>66850.41</v>
      </c>
      <c r="X82" s="89">
        <v>53925.2</v>
      </c>
      <c r="Y82" s="89">
        <v>40468.58</v>
      </c>
      <c r="Z82" s="89">
        <v>67461.45</v>
      </c>
      <c r="AA82" s="89">
        <v>48517.88</v>
      </c>
      <c r="AB82" s="78">
        <v>43840.66</v>
      </c>
    </row>
    <row r="83" spans="1:28" x14ac:dyDescent="0.25">
      <c r="A83" s="4"/>
      <c r="B83" s="35" t="s">
        <v>39</v>
      </c>
      <c r="C83" s="86">
        <v>543766.31999999995</v>
      </c>
      <c r="D83" s="87">
        <v>206816.35</v>
      </c>
      <c r="E83" s="87">
        <v>353447.85</v>
      </c>
      <c r="F83" s="89">
        <v>273095.73</v>
      </c>
      <c r="G83" s="87">
        <v>284178.56</v>
      </c>
      <c r="H83" s="87">
        <v>217868.53</v>
      </c>
      <c r="I83" s="87">
        <v>42528.97</v>
      </c>
      <c r="J83" s="87">
        <v>113531.49</v>
      </c>
      <c r="K83" s="87">
        <v>223492.4</v>
      </c>
      <c r="L83" s="88">
        <v>183810.03</v>
      </c>
      <c r="M83" s="89">
        <v>142893.75</v>
      </c>
      <c r="N83" s="87">
        <v>107766.18</v>
      </c>
      <c r="O83" s="89">
        <v>117881.12</v>
      </c>
      <c r="P83" s="87">
        <v>43813.17</v>
      </c>
      <c r="Q83" s="87">
        <v>49311.02</v>
      </c>
      <c r="R83" s="87">
        <v>79730.05</v>
      </c>
      <c r="S83" s="87">
        <v>61246.73</v>
      </c>
      <c r="T83" s="87">
        <v>45106.559999999998</v>
      </c>
      <c r="U83" s="184">
        <v>43970.77</v>
      </c>
      <c r="V83" s="89">
        <v>26829.72</v>
      </c>
      <c r="W83" s="89">
        <v>79007.97</v>
      </c>
      <c r="X83" s="89">
        <v>46064.13</v>
      </c>
      <c r="Y83" s="89">
        <v>41854.69</v>
      </c>
      <c r="Z83" s="89">
        <v>47302.18</v>
      </c>
      <c r="AA83" s="89">
        <v>61006.28</v>
      </c>
      <c r="AB83" s="99">
        <v>38980.400000000001</v>
      </c>
    </row>
    <row r="84" spans="1:28" x14ac:dyDescent="0.25">
      <c r="A84" s="4"/>
      <c r="B84" s="35" t="s">
        <v>40</v>
      </c>
      <c r="C84" s="86">
        <v>162994.96</v>
      </c>
      <c r="D84" s="87">
        <v>114910.78</v>
      </c>
      <c r="E84" s="87">
        <v>71300.460000000006</v>
      </c>
      <c r="F84" s="89">
        <v>91958.52</v>
      </c>
      <c r="G84" s="87">
        <v>127678.55</v>
      </c>
      <c r="H84" s="87">
        <v>73952.850000000006</v>
      </c>
      <c r="I84" s="87">
        <v>83366.720000000001</v>
      </c>
      <c r="J84" s="87">
        <v>7444.65</v>
      </c>
      <c r="K84" s="87">
        <v>65833.279999999999</v>
      </c>
      <c r="L84" s="88">
        <v>98261.92</v>
      </c>
      <c r="M84" s="89">
        <v>84120.2</v>
      </c>
      <c r="N84" s="87">
        <v>224489.71</v>
      </c>
      <c r="O84" s="89">
        <v>109005.03</v>
      </c>
      <c r="P84" s="87">
        <v>156653.78</v>
      </c>
      <c r="Q84" s="87">
        <v>1206.82</v>
      </c>
      <c r="R84" s="87">
        <v>86646.34</v>
      </c>
      <c r="S84" s="87">
        <v>55767.85</v>
      </c>
      <c r="T84" s="87">
        <v>115904.86</v>
      </c>
      <c r="U84" s="184">
        <v>132497.68</v>
      </c>
      <c r="V84" s="89">
        <v>28276.560000000001</v>
      </c>
      <c r="W84" s="89">
        <v>151143.71</v>
      </c>
      <c r="X84" s="89">
        <v>75350.86</v>
      </c>
      <c r="Y84" s="89">
        <v>20252.38</v>
      </c>
      <c r="Z84" s="89">
        <v>74218.05</v>
      </c>
      <c r="AA84" s="89">
        <v>93127.72</v>
      </c>
      <c r="AB84" s="99">
        <v>57511.45</v>
      </c>
    </row>
    <row r="85" spans="1:28" x14ac:dyDescent="0.25">
      <c r="A85" s="4"/>
      <c r="B85" s="35" t="s">
        <v>41</v>
      </c>
      <c r="C85" s="108">
        <f>SUM(C80:C84)</f>
        <v>3737993.2099999995</v>
      </c>
      <c r="D85" s="79">
        <f t="shared" ref="D85:AB85" si="21">SUM(D80:D84)</f>
        <v>2392480.5499999998</v>
      </c>
      <c r="E85" s="109">
        <f t="shared" si="21"/>
        <v>1823717.35</v>
      </c>
      <c r="F85" s="109">
        <f t="shared" si="21"/>
        <v>1970070.05</v>
      </c>
      <c r="G85" s="79">
        <f t="shared" si="21"/>
        <v>2144761.98</v>
      </c>
      <c r="H85" s="109">
        <f t="shared" si="21"/>
        <v>1396077.3800000001</v>
      </c>
      <c r="I85" s="109">
        <f t="shared" si="21"/>
        <v>1059769.42</v>
      </c>
      <c r="J85" s="109">
        <f t="shared" si="21"/>
        <v>994192.85</v>
      </c>
      <c r="K85" s="109">
        <f t="shared" si="21"/>
        <v>1568293.0599999998</v>
      </c>
      <c r="L85" s="110">
        <f t="shared" si="21"/>
        <v>1370383.0299999998</v>
      </c>
      <c r="M85" s="79">
        <f t="shared" si="21"/>
        <v>1022191.11</v>
      </c>
      <c r="N85" s="89">
        <f t="shared" si="21"/>
        <v>1042908.94</v>
      </c>
      <c r="O85" s="109">
        <f t="shared" si="21"/>
        <v>785518.01</v>
      </c>
      <c r="P85" s="98">
        <f t="shared" si="21"/>
        <v>745401.44000000006</v>
      </c>
      <c r="Q85" s="109">
        <f t="shared" si="21"/>
        <v>694325.04999999993</v>
      </c>
      <c r="R85" s="98">
        <f t="shared" si="21"/>
        <v>615160.6</v>
      </c>
      <c r="S85" s="109">
        <f t="shared" si="21"/>
        <v>663184.99</v>
      </c>
      <c r="T85" s="79">
        <f t="shared" si="21"/>
        <v>582541.73</v>
      </c>
      <c r="U85" s="180">
        <f t="shared" si="21"/>
        <v>603713.13</v>
      </c>
      <c r="V85" s="180">
        <f t="shared" si="21"/>
        <v>440941.84</v>
      </c>
      <c r="W85" s="180">
        <f t="shared" si="21"/>
        <v>673463.78999999992</v>
      </c>
      <c r="X85" s="180">
        <f t="shared" si="21"/>
        <v>542921.97000000009</v>
      </c>
      <c r="Y85" s="180">
        <f t="shared" si="21"/>
        <v>445817.01</v>
      </c>
      <c r="Z85" s="180">
        <f t="shared" si="21"/>
        <v>556682.45000000007</v>
      </c>
      <c r="AA85" s="180">
        <f t="shared" si="21"/>
        <v>533736.41</v>
      </c>
      <c r="AB85" s="180">
        <f t="shared" si="21"/>
        <v>534970.11</v>
      </c>
    </row>
    <row r="86" spans="1:28" x14ac:dyDescent="0.25">
      <c r="A86" s="4">
        <f>+A79+1</f>
        <v>12</v>
      </c>
      <c r="B86" s="43" t="s">
        <v>32</v>
      </c>
      <c r="C86" s="111"/>
      <c r="D86" s="112"/>
      <c r="E86" s="112"/>
      <c r="F86" s="113"/>
      <c r="G86" s="112"/>
      <c r="H86" s="112"/>
      <c r="I86" s="112"/>
      <c r="J86" s="112"/>
      <c r="K86" s="112"/>
      <c r="L86" s="114"/>
      <c r="M86" s="113"/>
      <c r="N86" s="112"/>
      <c r="O86" s="113"/>
      <c r="P86" s="112"/>
      <c r="Q86" s="112"/>
      <c r="R86" s="112"/>
      <c r="S86" s="112"/>
      <c r="T86" s="112"/>
      <c r="U86" s="185"/>
      <c r="V86" s="113"/>
      <c r="W86" s="115"/>
      <c r="X86" s="116"/>
      <c r="Y86" s="116"/>
      <c r="Z86" s="116"/>
      <c r="AA86" s="116"/>
      <c r="AB86" s="117"/>
    </row>
    <row r="87" spans="1:28" x14ac:dyDescent="0.25">
      <c r="A87" s="4"/>
      <c r="B87" s="35" t="s">
        <v>36</v>
      </c>
      <c r="C87" s="118">
        <v>15457</v>
      </c>
      <c r="D87" s="119">
        <v>9579</v>
      </c>
      <c r="E87" s="119">
        <v>7480</v>
      </c>
      <c r="F87" s="120">
        <v>8628</v>
      </c>
      <c r="G87" s="119">
        <v>7216</v>
      </c>
      <c r="H87" s="119">
        <v>6427</v>
      </c>
      <c r="I87" s="119">
        <v>5727</v>
      </c>
      <c r="J87" s="119">
        <v>5528</v>
      </c>
      <c r="K87" s="119">
        <v>8328</v>
      </c>
      <c r="L87" s="121">
        <v>8630</v>
      </c>
      <c r="M87" s="120">
        <v>7008</v>
      </c>
      <c r="N87" s="119">
        <v>8186</v>
      </c>
      <c r="O87" s="120">
        <v>7006</v>
      </c>
      <c r="P87" s="119">
        <v>6556</v>
      </c>
      <c r="Q87" s="119">
        <v>7569</v>
      </c>
      <c r="R87" s="119">
        <v>6266</v>
      </c>
      <c r="S87" s="119">
        <v>8492</v>
      </c>
      <c r="T87" s="119">
        <v>6447</v>
      </c>
      <c r="U87" s="186">
        <v>6970</v>
      </c>
      <c r="V87" s="120">
        <v>6232</v>
      </c>
      <c r="W87" s="120">
        <v>7177</v>
      </c>
      <c r="X87" s="120">
        <v>7225</v>
      </c>
      <c r="Y87" s="120">
        <v>6637</v>
      </c>
      <c r="Z87" s="120">
        <v>7359</v>
      </c>
      <c r="AA87" s="120">
        <v>6829</v>
      </c>
      <c r="AB87" s="121">
        <v>7907</v>
      </c>
    </row>
    <row r="88" spans="1:28" x14ac:dyDescent="0.25">
      <c r="A88" s="4"/>
      <c r="B88" s="35" t="s">
        <v>37</v>
      </c>
      <c r="C88" s="118">
        <v>1129</v>
      </c>
      <c r="D88" s="119">
        <v>3070</v>
      </c>
      <c r="E88" s="119">
        <v>473</v>
      </c>
      <c r="F88" s="120">
        <v>1604</v>
      </c>
      <c r="G88" s="119">
        <v>5371</v>
      </c>
      <c r="H88" s="119">
        <v>542</v>
      </c>
      <c r="I88" s="119">
        <v>496</v>
      </c>
      <c r="J88" s="119">
        <v>558</v>
      </c>
      <c r="K88" s="119">
        <v>2673</v>
      </c>
      <c r="L88" s="121">
        <v>1952</v>
      </c>
      <c r="M88" s="120">
        <v>1983</v>
      </c>
      <c r="N88" s="119">
        <v>570</v>
      </c>
      <c r="O88" s="120">
        <v>843</v>
      </c>
      <c r="P88" s="119">
        <v>742</v>
      </c>
      <c r="Q88" s="119">
        <v>1300</v>
      </c>
      <c r="R88" s="119">
        <v>550</v>
      </c>
      <c r="S88" s="119">
        <v>984</v>
      </c>
      <c r="T88" s="119">
        <v>947</v>
      </c>
      <c r="U88" s="186">
        <v>660</v>
      </c>
      <c r="V88" s="120">
        <v>577</v>
      </c>
      <c r="W88" s="120">
        <v>682</v>
      </c>
      <c r="X88" s="120">
        <v>1160</v>
      </c>
      <c r="Y88" s="120">
        <v>845</v>
      </c>
      <c r="Z88" s="120">
        <v>753</v>
      </c>
      <c r="AA88" s="120">
        <v>673</v>
      </c>
      <c r="AB88" s="121">
        <v>1171</v>
      </c>
    </row>
    <row r="89" spans="1:28" x14ac:dyDescent="0.25">
      <c r="A89" s="4"/>
      <c r="B89" s="35" t="s">
        <v>38</v>
      </c>
      <c r="C89" s="118">
        <v>1360</v>
      </c>
      <c r="D89" s="119">
        <v>716</v>
      </c>
      <c r="E89" s="119">
        <v>726</v>
      </c>
      <c r="F89" s="120">
        <v>831</v>
      </c>
      <c r="G89" s="119">
        <v>691</v>
      </c>
      <c r="H89" s="119">
        <v>641</v>
      </c>
      <c r="I89" s="119">
        <v>449</v>
      </c>
      <c r="J89" s="119">
        <v>474</v>
      </c>
      <c r="K89" s="119">
        <v>915</v>
      </c>
      <c r="L89" s="121">
        <v>776</v>
      </c>
      <c r="M89" s="120">
        <v>847</v>
      </c>
      <c r="N89" s="119">
        <v>803</v>
      </c>
      <c r="O89" s="120">
        <v>687</v>
      </c>
      <c r="P89" s="119">
        <v>571</v>
      </c>
      <c r="Q89" s="119">
        <v>746</v>
      </c>
      <c r="R89" s="119">
        <v>790</v>
      </c>
      <c r="S89" s="119">
        <v>811</v>
      </c>
      <c r="T89" s="119">
        <v>606</v>
      </c>
      <c r="U89" s="186">
        <v>658</v>
      </c>
      <c r="V89" s="120">
        <v>703</v>
      </c>
      <c r="W89" s="120">
        <v>760</v>
      </c>
      <c r="X89" s="120">
        <v>745</v>
      </c>
      <c r="Y89" s="120">
        <v>558</v>
      </c>
      <c r="Z89" s="120">
        <v>768</v>
      </c>
      <c r="AA89" s="120">
        <v>808</v>
      </c>
      <c r="AB89" s="121">
        <v>794</v>
      </c>
    </row>
    <row r="90" spans="1:28" x14ac:dyDescent="0.25">
      <c r="A90" s="4"/>
      <c r="B90" s="35" t="s">
        <v>39</v>
      </c>
      <c r="C90" s="118">
        <v>208</v>
      </c>
      <c r="D90" s="119">
        <v>80</v>
      </c>
      <c r="E90" s="119">
        <v>143</v>
      </c>
      <c r="F90" s="120">
        <v>135</v>
      </c>
      <c r="G90" s="119">
        <v>132</v>
      </c>
      <c r="H90" s="119">
        <v>89</v>
      </c>
      <c r="I90" s="119">
        <v>33</v>
      </c>
      <c r="J90" s="119">
        <v>69</v>
      </c>
      <c r="K90" s="119">
        <v>146</v>
      </c>
      <c r="L90" s="121">
        <v>122</v>
      </c>
      <c r="M90" s="120">
        <v>134</v>
      </c>
      <c r="N90" s="119">
        <v>114</v>
      </c>
      <c r="O90" s="120">
        <v>132</v>
      </c>
      <c r="P90" s="119">
        <v>72</v>
      </c>
      <c r="Q90" s="119">
        <v>82</v>
      </c>
      <c r="R90" s="119">
        <v>146</v>
      </c>
      <c r="S90" s="119">
        <v>157</v>
      </c>
      <c r="T90" s="119">
        <v>105</v>
      </c>
      <c r="U90" s="186">
        <v>106</v>
      </c>
      <c r="V90" s="120">
        <v>66</v>
      </c>
      <c r="W90" s="120">
        <v>129</v>
      </c>
      <c r="X90" s="120">
        <v>1323</v>
      </c>
      <c r="Y90" s="120">
        <v>71</v>
      </c>
      <c r="Z90" s="120">
        <v>90</v>
      </c>
      <c r="AA90" s="120">
        <v>159</v>
      </c>
      <c r="AB90" s="121">
        <v>111</v>
      </c>
    </row>
    <row r="91" spans="1:28" x14ac:dyDescent="0.25">
      <c r="A91" s="4"/>
      <c r="B91" s="35" t="s">
        <v>40</v>
      </c>
      <c r="C91" s="118">
        <v>6</v>
      </c>
      <c r="D91" s="119">
        <v>9</v>
      </c>
      <c r="E91" s="119">
        <v>6</v>
      </c>
      <c r="F91" s="120">
        <v>6</v>
      </c>
      <c r="G91" s="119">
        <v>4</v>
      </c>
      <c r="H91" s="119">
        <v>5</v>
      </c>
      <c r="I91" s="119">
        <v>4</v>
      </c>
      <c r="J91" s="119">
        <v>1</v>
      </c>
      <c r="K91" s="119">
        <v>2</v>
      </c>
      <c r="L91" s="121">
        <v>7</v>
      </c>
      <c r="M91" s="120">
        <v>7</v>
      </c>
      <c r="N91" s="119">
        <v>14</v>
      </c>
      <c r="O91" s="120">
        <v>10</v>
      </c>
      <c r="P91" s="119">
        <v>13</v>
      </c>
      <c r="Q91" s="119">
        <v>1</v>
      </c>
      <c r="R91" s="119">
        <v>8</v>
      </c>
      <c r="S91" s="119">
        <v>8</v>
      </c>
      <c r="T91" s="119">
        <v>6</v>
      </c>
      <c r="U91" s="186">
        <v>6</v>
      </c>
      <c r="V91" s="120">
        <v>3</v>
      </c>
      <c r="W91" s="120">
        <v>9</v>
      </c>
      <c r="X91" s="120">
        <v>8</v>
      </c>
      <c r="Y91" s="120">
        <v>5</v>
      </c>
      <c r="Z91" s="120">
        <v>4</v>
      </c>
      <c r="AA91" s="120">
        <v>7</v>
      </c>
      <c r="AB91" s="121">
        <v>5</v>
      </c>
    </row>
    <row r="92" spans="1:28" ht="15.75" thickBot="1" x14ac:dyDescent="0.3">
      <c r="A92" s="4"/>
      <c r="B92" s="37" t="s">
        <v>41</v>
      </c>
      <c r="C92" s="122">
        <f>SUM(C87:C91)</f>
        <v>18160</v>
      </c>
      <c r="D92" s="60">
        <f>SUM(D87:D91)</f>
        <v>13454</v>
      </c>
      <c r="E92" s="60">
        <f t="shared" ref="E92:AB92" si="22">SUM(E87:E91)</f>
        <v>8828</v>
      </c>
      <c r="F92" s="60">
        <f t="shared" si="22"/>
        <v>11204</v>
      </c>
      <c r="G92" s="60">
        <f t="shared" si="22"/>
        <v>13414</v>
      </c>
      <c r="H92" s="60">
        <f t="shared" si="22"/>
        <v>7704</v>
      </c>
      <c r="I92" s="60">
        <f t="shared" si="22"/>
        <v>6709</v>
      </c>
      <c r="J92" s="60">
        <f t="shared" si="22"/>
        <v>6630</v>
      </c>
      <c r="K92" s="60">
        <f t="shared" si="22"/>
        <v>12064</v>
      </c>
      <c r="L92" s="163">
        <f t="shared" si="22"/>
        <v>11487</v>
      </c>
      <c r="M92" s="60">
        <f t="shared" si="22"/>
        <v>9979</v>
      </c>
      <c r="N92" s="60">
        <f t="shared" si="22"/>
        <v>9687</v>
      </c>
      <c r="O92" s="60">
        <f t="shared" si="22"/>
        <v>8678</v>
      </c>
      <c r="P92" s="60">
        <f t="shared" si="22"/>
        <v>7954</v>
      </c>
      <c r="Q92" s="60">
        <f t="shared" si="22"/>
        <v>9698</v>
      </c>
      <c r="R92" s="60">
        <f t="shared" si="22"/>
        <v>7760</v>
      </c>
      <c r="S92" s="60">
        <f t="shared" si="22"/>
        <v>10452</v>
      </c>
      <c r="T92" s="60">
        <f t="shared" si="22"/>
        <v>8111</v>
      </c>
      <c r="U92" s="187">
        <f t="shared" si="22"/>
        <v>8400</v>
      </c>
      <c r="V92" s="187">
        <f t="shared" si="22"/>
        <v>7581</v>
      </c>
      <c r="W92" s="187">
        <f t="shared" si="22"/>
        <v>8757</v>
      </c>
      <c r="X92" s="187">
        <f t="shared" si="22"/>
        <v>10461</v>
      </c>
      <c r="Y92" s="187">
        <f t="shared" si="22"/>
        <v>8116</v>
      </c>
      <c r="Z92" s="187">
        <f t="shared" si="22"/>
        <v>8974</v>
      </c>
      <c r="AA92" s="187">
        <f t="shared" si="22"/>
        <v>8476</v>
      </c>
      <c r="AB92" s="187">
        <f t="shared" si="22"/>
        <v>9988</v>
      </c>
    </row>
    <row r="93" spans="1:28" x14ac:dyDescent="0.25">
      <c r="A93" s="4">
        <f>+A86+1</f>
        <v>13</v>
      </c>
      <c r="B93" s="45" t="s">
        <v>44</v>
      </c>
      <c r="C93" s="123"/>
      <c r="D93" s="124"/>
      <c r="E93" s="124"/>
      <c r="F93" s="125"/>
      <c r="G93" s="124"/>
      <c r="H93" s="124"/>
      <c r="I93" s="124"/>
      <c r="J93" s="124"/>
      <c r="K93" s="124"/>
      <c r="L93" s="126"/>
      <c r="M93" s="125"/>
      <c r="N93" s="124"/>
      <c r="O93" s="125"/>
      <c r="P93" s="124"/>
      <c r="Q93" s="124"/>
      <c r="R93" s="124"/>
      <c r="S93" s="124"/>
      <c r="T93" s="124"/>
      <c r="U93" s="188"/>
      <c r="V93" s="125"/>
      <c r="W93" s="127"/>
      <c r="X93" s="128"/>
      <c r="Y93" s="128"/>
      <c r="Z93" s="128"/>
      <c r="AA93" s="128"/>
      <c r="AB93" s="129"/>
    </row>
    <row r="94" spans="1:28" x14ac:dyDescent="0.25">
      <c r="A94" s="4"/>
      <c r="B94" s="35" t="s">
        <v>36</v>
      </c>
      <c r="C94" s="97">
        <f t="shared" ref="C94:Z94" si="23">C73-C80</f>
        <v>842539.15000000037</v>
      </c>
      <c r="D94" s="77">
        <f t="shared" si="23"/>
        <v>-616976.49000000011</v>
      </c>
      <c r="E94" s="77">
        <f t="shared" si="23"/>
        <v>-107572.27000000002</v>
      </c>
      <c r="F94" s="77">
        <f t="shared" si="23"/>
        <v>-34604.610000000102</v>
      </c>
      <c r="G94" s="77">
        <f t="shared" si="23"/>
        <v>-105307.20000000007</v>
      </c>
      <c r="H94" s="77">
        <f t="shared" si="23"/>
        <v>86533.719999999972</v>
      </c>
      <c r="I94" s="77">
        <f t="shared" si="23"/>
        <v>-55667.189999999944</v>
      </c>
      <c r="J94" s="77">
        <f t="shared" si="23"/>
        <v>-211034.93999999994</v>
      </c>
      <c r="K94" s="77">
        <f t="shared" si="23"/>
        <v>-412199.08</v>
      </c>
      <c r="L94" s="98">
        <f t="shared" si="23"/>
        <v>-547518.36999999988</v>
      </c>
      <c r="M94" s="97">
        <f t="shared" si="23"/>
        <v>-356116.83999999997</v>
      </c>
      <c r="N94" s="97">
        <f t="shared" si="23"/>
        <v>-361364.05999999994</v>
      </c>
      <c r="O94" s="97">
        <f t="shared" si="23"/>
        <v>-98081.489999999991</v>
      </c>
      <c r="P94" s="97">
        <f t="shared" si="23"/>
        <v>-130037.01999999996</v>
      </c>
      <c r="Q94" s="97">
        <f t="shared" si="23"/>
        <v>-147257.78000000003</v>
      </c>
      <c r="R94" s="97">
        <f t="shared" si="23"/>
        <v>-144530.80000000002</v>
      </c>
      <c r="S94" s="97">
        <f t="shared" si="23"/>
        <v>-217032.11</v>
      </c>
      <c r="T94" s="97">
        <f t="shared" si="23"/>
        <v>4700.8400000000256</v>
      </c>
      <c r="U94" s="97">
        <f t="shared" si="23"/>
        <v>-98657.979999999981</v>
      </c>
      <c r="V94" s="97">
        <f t="shared" si="23"/>
        <v>53859.070000000007</v>
      </c>
      <c r="W94" s="97">
        <f t="shared" si="23"/>
        <v>-156278.43999999997</v>
      </c>
      <c r="X94" s="97">
        <f t="shared" si="23"/>
        <v>9819.679999999993</v>
      </c>
      <c r="Y94" s="97">
        <f t="shared" si="23"/>
        <v>-68399.700000000012</v>
      </c>
      <c r="Z94" s="97">
        <f t="shared" si="23"/>
        <v>-25709.840000000026</v>
      </c>
      <c r="AA94" s="97">
        <f>Monthly!U80-AA80</f>
        <v>859365.72000000009</v>
      </c>
      <c r="AB94" s="97">
        <f>Monthly!V80-AB80</f>
        <v>746561.03</v>
      </c>
    </row>
    <row r="95" spans="1:28" x14ac:dyDescent="0.25">
      <c r="A95" s="4"/>
      <c r="B95" s="35" t="s">
        <v>37</v>
      </c>
      <c r="C95" s="97">
        <f t="shared" ref="C95:R98" si="24">C74-C81</f>
        <v>260812</v>
      </c>
      <c r="D95" s="77">
        <f t="shared" si="24"/>
        <v>-99438.43</v>
      </c>
      <c r="E95" s="77">
        <f t="shared" si="24"/>
        <v>226936.43000000002</v>
      </c>
      <c r="F95" s="77">
        <f t="shared" si="24"/>
        <v>-98309.68</v>
      </c>
      <c r="G95" s="77">
        <f t="shared" si="24"/>
        <v>-398531.74</v>
      </c>
      <c r="H95" s="77">
        <f t="shared" si="24"/>
        <v>180714.41</v>
      </c>
      <c r="I95" s="77">
        <f t="shared" si="24"/>
        <v>156846.70000000001</v>
      </c>
      <c r="J95" s="77">
        <f t="shared" si="24"/>
        <v>2693.8999999999942</v>
      </c>
      <c r="K95" s="77">
        <f t="shared" si="24"/>
        <v>-144632.85999999999</v>
      </c>
      <c r="L95" s="98">
        <f t="shared" si="24"/>
        <v>-64494.26</v>
      </c>
      <c r="M95" s="97">
        <f t="shared" si="24"/>
        <v>-23432.869999999995</v>
      </c>
      <c r="N95" s="97">
        <f t="shared" si="24"/>
        <v>23360.899999999994</v>
      </c>
      <c r="O95" s="97">
        <f t="shared" si="24"/>
        <v>-35043.040000000001</v>
      </c>
      <c r="P95" s="97">
        <f t="shared" si="24"/>
        <v>-2114.9900000000052</v>
      </c>
      <c r="Q95" s="97">
        <f t="shared" si="24"/>
        <v>-45350.170000000013</v>
      </c>
      <c r="R95" s="97">
        <f t="shared" si="24"/>
        <v>-3053.5499999999956</v>
      </c>
      <c r="S95" s="97">
        <f t="shared" ref="S95:Z98" si="25">S74-S81</f>
        <v>-55244.62</v>
      </c>
      <c r="T95" s="97">
        <f t="shared" si="25"/>
        <v>19476.400000000001</v>
      </c>
      <c r="U95" s="97">
        <f t="shared" si="25"/>
        <v>10785.230000000003</v>
      </c>
      <c r="V95" s="97">
        <f t="shared" si="25"/>
        <v>59115.849999999991</v>
      </c>
      <c r="W95" s="97">
        <f t="shared" si="25"/>
        <v>-11023.280000000002</v>
      </c>
      <c r="X95" s="97">
        <f t="shared" si="25"/>
        <v>225506.19000000003</v>
      </c>
      <c r="Y95" s="97">
        <f t="shared" si="25"/>
        <v>33045.320000000007</v>
      </c>
      <c r="Z95" s="97">
        <f t="shared" si="25"/>
        <v>36253.18</v>
      </c>
      <c r="AA95" s="97">
        <f>Monthly!U81-AA81</f>
        <v>169012.13999999998</v>
      </c>
      <c r="AB95" s="97">
        <f>Monthly!V81-AB81</f>
        <v>156573.37</v>
      </c>
    </row>
    <row r="96" spans="1:28" x14ac:dyDescent="0.25">
      <c r="A96" s="4"/>
      <c r="B96" s="35" t="s">
        <v>38</v>
      </c>
      <c r="C96" s="97">
        <f t="shared" si="24"/>
        <v>-10419.950000000012</v>
      </c>
      <c r="D96" s="77">
        <f t="shared" si="24"/>
        <v>4181.8099999999977</v>
      </c>
      <c r="E96" s="77">
        <f t="shared" si="24"/>
        <v>-74425.389999999985</v>
      </c>
      <c r="F96" s="77">
        <f t="shared" si="24"/>
        <v>-113044.62000000001</v>
      </c>
      <c r="G96" s="77">
        <f t="shared" si="24"/>
        <v>-27684.25999999998</v>
      </c>
      <c r="H96" s="77">
        <f t="shared" si="24"/>
        <v>-7806.0100000000093</v>
      </c>
      <c r="I96" s="77">
        <f t="shared" si="24"/>
        <v>22200.309999999998</v>
      </c>
      <c r="J96" s="77">
        <f t="shared" si="24"/>
        <v>-74442.47</v>
      </c>
      <c r="K96" s="77">
        <f t="shared" si="24"/>
        <v>-102882.98000000001</v>
      </c>
      <c r="L96" s="98">
        <f t="shared" si="24"/>
        <v>-99450.12</v>
      </c>
      <c r="M96" s="97">
        <f t="shared" si="24"/>
        <v>-76526.290000000008</v>
      </c>
      <c r="N96" s="97">
        <f t="shared" si="24"/>
        <v>-53381.86</v>
      </c>
      <c r="O96" s="97">
        <f t="shared" si="24"/>
        <v>-16084.049999999996</v>
      </c>
      <c r="P96" s="97">
        <f t="shared" si="24"/>
        <v>-7045.6200000000026</v>
      </c>
      <c r="Q96" s="97">
        <f t="shared" si="24"/>
        <v>-22925.80999999999</v>
      </c>
      <c r="R96" s="97">
        <f t="shared" si="24"/>
        <v>-40133.600000000006</v>
      </c>
      <c r="S96" s="97">
        <f t="shared" si="25"/>
        <v>-38802.160000000003</v>
      </c>
      <c r="T96" s="97">
        <f t="shared" si="25"/>
        <v>3086.4700000000012</v>
      </c>
      <c r="U96" s="97">
        <f t="shared" si="25"/>
        <v>-23237.74</v>
      </c>
      <c r="V96" s="97">
        <f t="shared" si="25"/>
        <v>-9006.2699999999968</v>
      </c>
      <c r="W96" s="97">
        <f t="shared" si="25"/>
        <v>-51064.66</v>
      </c>
      <c r="X96" s="97">
        <f t="shared" si="25"/>
        <v>-5081.6499999999942</v>
      </c>
      <c r="Y96" s="97">
        <f t="shared" si="25"/>
        <v>-11218.960000000003</v>
      </c>
      <c r="Z96" s="97">
        <f t="shared" si="25"/>
        <v>-19356.82</v>
      </c>
      <c r="AA96" s="97">
        <f>Monthly!U82-AA82</f>
        <v>96189.56</v>
      </c>
      <c r="AB96" s="97">
        <f>Monthly!V82-AB82</f>
        <v>231129.34</v>
      </c>
    </row>
    <row r="97" spans="1:28" x14ac:dyDescent="0.25">
      <c r="A97" s="4"/>
      <c r="B97" s="35" t="s">
        <v>39</v>
      </c>
      <c r="C97" s="97">
        <f t="shared" si="24"/>
        <v>175993.46000000008</v>
      </c>
      <c r="D97" s="77">
        <f t="shared" si="24"/>
        <v>12008.380000000005</v>
      </c>
      <c r="E97" s="77">
        <f t="shared" si="24"/>
        <v>-188090.18999999997</v>
      </c>
      <c r="F97" s="77">
        <f t="shared" si="24"/>
        <v>-131845.35999999999</v>
      </c>
      <c r="G97" s="77">
        <f t="shared" si="24"/>
        <v>-89593.709999999992</v>
      </c>
      <c r="H97" s="77">
        <f t="shared" si="24"/>
        <v>48498.610000000015</v>
      </c>
      <c r="I97" s="77">
        <f t="shared" si="24"/>
        <v>100926.07</v>
      </c>
      <c r="J97" s="77">
        <f t="shared" si="24"/>
        <v>-71554.34</v>
      </c>
      <c r="K97" s="77">
        <f t="shared" si="24"/>
        <v>-142791.97</v>
      </c>
      <c r="L97" s="98">
        <f t="shared" si="24"/>
        <v>-92778.02</v>
      </c>
      <c r="M97" s="97">
        <f t="shared" si="24"/>
        <v>-114297.2</v>
      </c>
      <c r="N97" s="97">
        <f t="shared" si="24"/>
        <v>-77318.319999999992</v>
      </c>
      <c r="O97" s="97">
        <f t="shared" si="24"/>
        <v>-85310.28</v>
      </c>
      <c r="P97" s="97">
        <f t="shared" si="24"/>
        <v>-3995.3699999999953</v>
      </c>
      <c r="Q97" s="97">
        <f t="shared" si="24"/>
        <v>-13025.989999999991</v>
      </c>
      <c r="R97" s="97">
        <f t="shared" si="24"/>
        <v>-65983.510000000009</v>
      </c>
      <c r="S97" s="97">
        <f t="shared" si="25"/>
        <v>-54261.060000000005</v>
      </c>
      <c r="T97" s="97">
        <f t="shared" si="25"/>
        <v>3579.6700000000055</v>
      </c>
      <c r="U97" s="97">
        <f t="shared" si="25"/>
        <v>-29714.46</v>
      </c>
      <c r="V97" s="97">
        <f t="shared" si="25"/>
        <v>-2457.3000000000029</v>
      </c>
      <c r="W97" s="97">
        <f t="shared" si="25"/>
        <v>-69036.490000000005</v>
      </c>
      <c r="X97" s="97">
        <f t="shared" si="25"/>
        <v>-21057.62</v>
      </c>
      <c r="Y97" s="97">
        <f t="shared" si="25"/>
        <v>-6728.1100000000006</v>
      </c>
      <c r="Z97" s="97">
        <f t="shared" si="25"/>
        <v>-19951.150000000001</v>
      </c>
      <c r="AA97" s="97">
        <f>Monthly!U83-AA83</f>
        <v>69798.259999999995</v>
      </c>
      <c r="AB97" s="97">
        <f>Monthly!V83-AB83</f>
        <v>272731.59999999998</v>
      </c>
    </row>
    <row r="98" spans="1:28" x14ac:dyDescent="0.25">
      <c r="A98" s="4"/>
      <c r="B98" s="35" t="s">
        <v>40</v>
      </c>
      <c r="C98" s="97">
        <f t="shared" si="24"/>
        <v>38985.170000000013</v>
      </c>
      <c r="D98" s="77">
        <f t="shared" si="24"/>
        <v>-40883.179999999993</v>
      </c>
      <c r="E98" s="77">
        <f t="shared" si="24"/>
        <v>42416.399999999994</v>
      </c>
      <c r="F98" s="77">
        <f t="shared" si="24"/>
        <v>24993.89</v>
      </c>
      <c r="G98" s="77">
        <f t="shared" si="24"/>
        <v>-100916.59</v>
      </c>
      <c r="H98" s="77">
        <f t="shared" si="24"/>
        <v>-49488.900000000009</v>
      </c>
      <c r="I98" s="77">
        <f t="shared" si="24"/>
        <v>-48689.15</v>
      </c>
      <c r="J98" s="77">
        <f t="shared" si="24"/>
        <v>99586.38</v>
      </c>
      <c r="K98" s="77">
        <f t="shared" si="24"/>
        <v>-3861.2200000000012</v>
      </c>
      <c r="L98" s="98">
        <f t="shared" si="24"/>
        <v>-86953.05</v>
      </c>
      <c r="M98" s="97">
        <f t="shared" si="24"/>
        <v>-64373.919999999998</v>
      </c>
      <c r="N98" s="97">
        <f t="shared" si="24"/>
        <v>-224489.71</v>
      </c>
      <c r="O98" s="97">
        <f t="shared" si="24"/>
        <v>14235.309999999998</v>
      </c>
      <c r="P98" s="97">
        <f t="shared" si="24"/>
        <v>-133738.01999999999</v>
      </c>
      <c r="Q98" s="97">
        <f t="shared" si="24"/>
        <v>33217.269999999997</v>
      </c>
      <c r="R98" s="97">
        <f t="shared" si="24"/>
        <v>-86646.34</v>
      </c>
      <c r="S98" s="97">
        <f t="shared" si="25"/>
        <v>48154.579999999994</v>
      </c>
      <c r="T98" s="97">
        <f t="shared" si="25"/>
        <v>-78147.510000000009</v>
      </c>
      <c r="U98" s="97">
        <f t="shared" si="25"/>
        <v>-123177.62999999999</v>
      </c>
      <c r="V98" s="97">
        <f t="shared" si="25"/>
        <v>4445.4799999999996</v>
      </c>
      <c r="W98" s="97">
        <f t="shared" si="25"/>
        <v>-52178.17</v>
      </c>
      <c r="X98" s="97">
        <f t="shared" si="25"/>
        <v>-37984.620000000003</v>
      </c>
      <c r="Y98" s="97">
        <f t="shared" si="25"/>
        <v>-12864.580000000002</v>
      </c>
      <c r="Z98" s="97">
        <f t="shared" si="25"/>
        <v>-50954.130000000005</v>
      </c>
      <c r="AA98" s="97">
        <f>Monthly!U84-AA84</f>
        <v>97967.799999999988</v>
      </c>
      <c r="AB98" s="97">
        <f>Monthly!V84-AB84</f>
        <v>62463.55</v>
      </c>
    </row>
    <row r="99" spans="1:28" ht="15.75" thickBot="1" x14ac:dyDescent="0.3">
      <c r="A99" s="4"/>
      <c r="B99" s="37" t="s">
        <v>41</v>
      </c>
      <c r="C99" s="100">
        <f>SUM(C94:C98)</f>
        <v>1307909.8300000005</v>
      </c>
      <c r="D99" s="81">
        <f>SUM(D94:D98)</f>
        <v>-741107.91000000015</v>
      </c>
      <c r="E99" s="81">
        <f t="shared" ref="E99:AB99" si="26">SUM(E94:E98)</f>
        <v>-100735.01999999996</v>
      </c>
      <c r="F99" s="81">
        <f t="shared" si="26"/>
        <v>-352810.38000000006</v>
      </c>
      <c r="G99" s="81">
        <f t="shared" si="26"/>
        <v>-722033.5</v>
      </c>
      <c r="H99" s="81">
        <f t="shared" si="26"/>
        <v>258451.82999999996</v>
      </c>
      <c r="I99" s="81">
        <f t="shared" si="26"/>
        <v>175616.74000000008</v>
      </c>
      <c r="J99" s="81">
        <f t="shared" si="26"/>
        <v>-254751.46999999997</v>
      </c>
      <c r="K99" s="81">
        <f t="shared" si="26"/>
        <v>-806368.10999999987</v>
      </c>
      <c r="L99" s="160">
        <f t="shared" si="26"/>
        <v>-891193.82</v>
      </c>
      <c r="M99" s="81">
        <f t="shared" si="26"/>
        <v>-634747.12</v>
      </c>
      <c r="N99" s="200">
        <f t="shared" si="26"/>
        <v>-693193.04999999993</v>
      </c>
      <c r="O99" s="81">
        <f t="shared" si="26"/>
        <v>-220283.55</v>
      </c>
      <c r="P99" s="81">
        <f t="shared" si="26"/>
        <v>-276931.0199999999</v>
      </c>
      <c r="Q99" s="81">
        <f t="shared" si="26"/>
        <v>-195342.48000000004</v>
      </c>
      <c r="R99" s="81">
        <f t="shared" si="26"/>
        <v>-340347.80000000005</v>
      </c>
      <c r="S99" s="81">
        <f t="shared" si="26"/>
        <v>-317185.37</v>
      </c>
      <c r="T99" s="81">
        <f t="shared" si="26"/>
        <v>-47304.129999999976</v>
      </c>
      <c r="U99" s="80">
        <f t="shared" si="26"/>
        <v>-264002.57999999996</v>
      </c>
      <c r="V99" s="80">
        <f t="shared" si="26"/>
        <v>105956.82999999999</v>
      </c>
      <c r="W99" s="80">
        <f t="shared" si="26"/>
        <v>-339581.04</v>
      </c>
      <c r="X99" s="80">
        <f t="shared" si="26"/>
        <v>171201.98000000004</v>
      </c>
      <c r="Y99" s="80">
        <f t="shared" si="26"/>
        <v>-66166.030000000013</v>
      </c>
      <c r="Z99" s="80">
        <f t="shared" si="26"/>
        <v>-79718.760000000038</v>
      </c>
      <c r="AA99" s="80">
        <f t="shared" si="26"/>
        <v>1292333.4800000002</v>
      </c>
      <c r="AB99" s="80">
        <f t="shared" si="26"/>
        <v>1469458.89</v>
      </c>
    </row>
    <row r="100" spans="1:28" x14ac:dyDescent="0.25">
      <c r="A100" s="4">
        <f>+A93+1</f>
        <v>14</v>
      </c>
      <c r="B100" s="45" t="s">
        <v>20</v>
      </c>
      <c r="C100" s="61"/>
      <c r="D100" s="62"/>
      <c r="E100" s="62"/>
      <c r="F100" s="64"/>
      <c r="G100" s="62"/>
      <c r="H100" s="62"/>
      <c r="I100" s="62"/>
      <c r="J100" s="62"/>
      <c r="K100" s="62"/>
      <c r="L100" s="63"/>
      <c r="M100" s="64"/>
      <c r="N100" s="62"/>
      <c r="O100" s="64"/>
      <c r="P100" s="62"/>
      <c r="Q100" s="62"/>
      <c r="R100" s="62"/>
      <c r="S100" s="62"/>
      <c r="T100" s="62"/>
      <c r="U100" s="63"/>
      <c r="V100" s="64"/>
      <c r="W100" s="65"/>
      <c r="X100" s="66"/>
      <c r="Y100" s="66"/>
      <c r="Z100" s="66"/>
      <c r="AA100" s="66"/>
      <c r="AB100" s="67"/>
    </row>
    <row r="101" spans="1:28" x14ac:dyDescent="0.25">
      <c r="A101" s="4"/>
      <c r="B101" s="35" t="s">
        <v>36</v>
      </c>
      <c r="C101" s="55">
        <v>5</v>
      </c>
      <c r="D101" s="56">
        <v>6</v>
      </c>
      <c r="E101" s="56">
        <v>7</v>
      </c>
      <c r="F101" s="58">
        <v>8</v>
      </c>
      <c r="G101" s="56">
        <v>8</v>
      </c>
      <c r="H101" s="58">
        <v>8</v>
      </c>
      <c r="I101" s="56">
        <v>9</v>
      </c>
      <c r="J101" s="58">
        <v>10</v>
      </c>
      <c r="K101" s="56">
        <v>11</v>
      </c>
      <c r="L101" s="130">
        <v>12</v>
      </c>
      <c r="M101" s="58">
        <v>15</v>
      </c>
      <c r="N101" s="58">
        <v>16</v>
      </c>
      <c r="O101" s="58">
        <v>17</v>
      </c>
      <c r="P101" s="58">
        <v>21</v>
      </c>
      <c r="Q101" s="56">
        <v>13</v>
      </c>
      <c r="R101" s="58">
        <v>15</v>
      </c>
      <c r="S101" s="56">
        <v>16</v>
      </c>
      <c r="T101" s="58">
        <v>15</v>
      </c>
      <c r="U101" s="130">
        <v>15</v>
      </c>
      <c r="V101" s="58">
        <v>16</v>
      </c>
      <c r="W101" s="58">
        <v>16</v>
      </c>
      <c r="X101" s="58">
        <v>15</v>
      </c>
      <c r="Y101" s="58">
        <v>16</v>
      </c>
      <c r="Z101" s="58">
        <v>18</v>
      </c>
      <c r="AA101" s="58">
        <v>16</v>
      </c>
      <c r="AB101" s="70">
        <v>16</v>
      </c>
    </row>
    <row r="102" spans="1:28" x14ac:dyDescent="0.25">
      <c r="A102" s="4"/>
      <c r="B102" s="35" t="s">
        <v>37</v>
      </c>
      <c r="C102" s="55">
        <v>52</v>
      </c>
      <c r="D102" s="56">
        <v>58</v>
      </c>
      <c r="E102" s="56">
        <v>71</v>
      </c>
      <c r="F102" s="58">
        <v>77</v>
      </c>
      <c r="G102" s="56">
        <v>84</v>
      </c>
      <c r="H102" s="58">
        <v>81</v>
      </c>
      <c r="I102" s="56">
        <v>79</v>
      </c>
      <c r="J102" s="58">
        <v>80</v>
      </c>
      <c r="K102" s="56">
        <v>170</v>
      </c>
      <c r="L102" s="130">
        <v>336</v>
      </c>
      <c r="M102" s="58">
        <v>560</v>
      </c>
      <c r="N102" s="58">
        <v>799</v>
      </c>
      <c r="O102" s="58">
        <v>947</v>
      </c>
      <c r="P102" s="58">
        <v>942</v>
      </c>
      <c r="Q102" s="56">
        <v>942</v>
      </c>
      <c r="R102" s="58">
        <v>1198</v>
      </c>
      <c r="S102" s="56">
        <v>1253</v>
      </c>
      <c r="T102" s="58">
        <v>1242</v>
      </c>
      <c r="U102" s="130">
        <v>1189</v>
      </c>
      <c r="V102" s="58">
        <v>1097</v>
      </c>
      <c r="W102" s="58">
        <v>1050</v>
      </c>
      <c r="X102" s="58">
        <v>955</v>
      </c>
      <c r="Y102" s="58">
        <v>878</v>
      </c>
      <c r="Z102" s="58">
        <v>783</v>
      </c>
      <c r="AA102" s="58">
        <v>681</v>
      </c>
      <c r="AB102" s="57">
        <v>653</v>
      </c>
    </row>
    <row r="103" spans="1:28" x14ac:dyDescent="0.25">
      <c r="A103" s="4"/>
      <c r="B103" s="35" t="s">
        <v>38</v>
      </c>
      <c r="C103" s="55">
        <v>0</v>
      </c>
      <c r="D103" s="56">
        <v>0</v>
      </c>
      <c r="E103" s="56">
        <v>0</v>
      </c>
      <c r="F103" s="56">
        <v>0</v>
      </c>
      <c r="G103" s="56">
        <v>0</v>
      </c>
      <c r="H103" s="56">
        <v>0</v>
      </c>
      <c r="I103" s="56">
        <v>0</v>
      </c>
      <c r="J103" s="56">
        <v>0</v>
      </c>
      <c r="K103" s="56">
        <v>0</v>
      </c>
      <c r="L103" s="70">
        <v>0</v>
      </c>
      <c r="M103" s="58">
        <v>0</v>
      </c>
      <c r="N103" s="58">
        <v>0</v>
      </c>
      <c r="O103" s="58">
        <v>0</v>
      </c>
      <c r="P103" s="58">
        <v>0</v>
      </c>
      <c r="Q103" s="56">
        <v>0</v>
      </c>
      <c r="R103" s="58">
        <v>0</v>
      </c>
      <c r="S103" s="56">
        <v>0</v>
      </c>
      <c r="T103" s="58">
        <v>0</v>
      </c>
      <c r="U103" s="130">
        <v>0</v>
      </c>
      <c r="V103" s="58">
        <v>0</v>
      </c>
      <c r="W103" s="58">
        <v>0</v>
      </c>
      <c r="X103" s="58">
        <v>0</v>
      </c>
      <c r="Y103" s="58">
        <v>0</v>
      </c>
      <c r="Z103" s="58">
        <v>0</v>
      </c>
      <c r="AA103" s="58">
        <v>0</v>
      </c>
      <c r="AB103" s="57">
        <v>0</v>
      </c>
    </row>
    <row r="104" spans="1:28" x14ac:dyDescent="0.25">
      <c r="A104" s="4"/>
      <c r="B104" s="35" t="s">
        <v>39</v>
      </c>
      <c r="C104" s="55">
        <v>0</v>
      </c>
      <c r="D104" s="56">
        <v>0</v>
      </c>
      <c r="E104" s="56">
        <v>0</v>
      </c>
      <c r="F104" s="56">
        <v>0</v>
      </c>
      <c r="G104" s="56">
        <v>0</v>
      </c>
      <c r="H104" s="56">
        <v>0</v>
      </c>
      <c r="I104" s="56">
        <v>0</v>
      </c>
      <c r="J104" s="56">
        <v>0</v>
      </c>
      <c r="K104" s="56">
        <v>0</v>
      </c>
      <c r="L104" s="57">
        <v>0</v>
      </c>
      <c r="M104" s="58">
        <v>0</v>
      </c>
      <c r="N104" s="58">
        <v>0</v>
      </c>
      <c r="O104" s="58">
        <v>0</v>
      </c>
      <c r="P104" s="58">
        <v>0</v>
      </c>
      <c r="Q104" s="56">
        <v>0</v>
      </c>
      <c r="R104" s="58">
        <v>0</v>
      </c>
      <c r="S104" s="56">
        <v>0</v>
      </c>
      <c r="T104" s="58">
        <v>0</v>
      </c>
      <c r="U104" s="130">
        <v>0</v>
      </c>
      <c r="V104" s="58">
        <v>0</v>
      </c>
      <c r="W104" s="58">
        <v>0</v>
      </c>
      <c r="X104" s="58">
        <v>0</v>
      </c>
      <c r="Y104" s="58">
        <v>0</v>
      </c>
      <c r="Z104" s="58">
        <v>0</v>
      </c>
      <c r="AA104" s="58">
        <v>0</v>
      </c>
      <c r="AB104" s="57">
        <v>0</v>
      </c>
    </row>
    <row r="105" spans="1:28" x14ac:dyDescent="0.25">
      <c r="A105" s="4"/>
      <c r="B105" s="35" t="s">
        <v>40</v>
      </c>
      <c r="C105" s="55">
        <v>0</v>
      </c>
      <c r="D105" s="56">
        <v>0</v>
      </c>
      <c r="E105" s="56">
        <v>0</v>
      </c>
      <c r="F105" s="56">
        <v>0</v>
      </c>
      <c r="G105" s="56">
        <v>0</v>
      </c>
      <c r="H105" s="56">
        <v>0</v>
      </c>
      <c r="I105" s="56">
        <v>0</v>
      </c>
      <c r="J105" s="56">
        <v>0</v>
      </c>
      <c r="K105" s="56">
        <v>0</v>
      </c>
      <c r="L105" s="57">
        <v>0</v>
      </c>
      <c r="M105" s="58">
        <v>0</v>
      </c>
      <c r="N105" s="58">
        <v>0</v>
      </c>
      <c r="O105" s="58">
        <v>0</v>
      </c>
      <c r="P105" s="58">
        <v>0</v>
      </c>
      <c r="Q105" s="56">
        <v>0</v>
      </c>
      <c r="R105" s="58">
        <v>0</v>
      </c>
      <c r="S105" s="56">
        <v>0</v>
      </c>
      <c r="T105" s="58">
        <v>0</v>
      </c>
      <c r="U105" s="130">
        <v>0</v>
      </c>
      <c r="V105" s="58">
        <v>0</v>
      </c>
      <c r="W105" s="58">
        <v>0</v>
      </c>
      <c r="X105" s="58">
        <v>0</v>
      </c>
      <c r="Y105" s="58">
        <v>0</v>
      </c>
      <c r="Z105" s="58">
        <v>0</v>
      </c>
      <c r="AA105" s="58">
        <v>0</v>
      </c>
      <c r="AB105" s="57">
        <v>0</v>
      </c>
    </row>
    <row r="106" spans="1:28" x14ac:dyDescent="0.25">
      <c r="A106" s="4"/>
      <c r="B106" s="35" t="s">
        <v>41</v>
      </c>
      <c r="C106" s="131">
        <f>SUM(C101:C105)</f>
        <v>57</v>
      </c>
      <c r="D106" s="58">
        <f>SUM(D101:D105)</f>
        <v>64</v>
      </c>
      <c r="E106" s="58">
        <f t="shared" ref="E106:AB106" si="27">SUM(E101:E105)</f>
        <v>78</v>
      </c>
      <c r="F106" s="58">
        <f t="shared" si="27"/>
        <v>85</v>
      </c>
      <c r="G106" s="58">
        <f t="shared" si="27"/>
        <v>92</v>
      </c>
      <c r="H106" s="58">
        <f t="shared" si="27"/>
        <v>89</v>
      </c>
      <c r="I106" s="58">
        <f t="shared" si="27"/>
        <v>88</v>
      </c>
      <c r="J106" s="58">
        <f t="shared" si="27"/>
        <v>90</v>
      </c>
      <c r="K106" s="58">
        <f t="shared" si="27"/>
        <v>181</v>
      </c>
      <c r="L106" s="130">
        <f t="shared" si="27"/>
        <v>348</v>
      </c>
      <c r="M106" s="58">
        <f t="shared" si="27"/>
        <v>575</v>
      </c>
      <c r="N106" s="58">
        <f t="shared" si="27"/>
        <v>815</v>
      </c>
      <c r="O106" s="58">
        <f t="shared" si="27"/>
        <v>964</v>
      </c>
      <c r="P106" s="58">
        <f t="shared" si="27"/>
        <v>963</v>
      </c>
      <c r="Q106" s="58">
        <f t="shared" si="27"/>
        <v>955</v>
      </c>
      <c r="R106" s="58">
        <f t="shared" si="27"/>
        <v>1213</v>
      </c>
      <c r="S106" s="58">
        <f t="shared" si="27"/>
        <v>1269</v>
      </c>
      <c r="T106" s="58">
        <f t="shared" si="27"/>
        <v>1257</v>
      </c>
      <c r="U106" s="70">
        <f t="shared" si="27"/>
        <v>1204</v>
      </c>
      <c r="V106" s="70">
        <f t="shared" si="27"/>
        <v>1113</v>
      </c>
      <c r="W106" s="70">
        <f t="shared" si="27"/>
        <v>1066</v>
      </c>
      <c r="X106" s="70">
        <f t="shared" si="27"/>
        <v>970</v>
      </c>
      <c r="Y106" s="70">
        <f t="shared" si="27"/>
        <v>894</v>
      </c>
      <c r="Z106" s="70">
        <f t="shared" si="27"/>
        <v>801</v>
      </c>
      <c r="AA106" s="70">
        <f t="shared" si="27"/>
        <v>697</v>
      </c>
      <c r="AB106" s="70">
        <f t="shared" si="27"/>
        <v>669</v>
      </c>
    </row>
    <row r="107" spans="1:28" x14ac:dyDescent="0.25">
      <c r="A107" s="4">
        <f>+A100+1</f>
        <v>15</v>
      </c>
      <c r="B107" s="46" t="s">
        <v>25</v>
      </c>
      <c r="C107" s="132"/>
      <c r="D107" s="66"/>
      <c r="E107" s="66"/>
      <c r="F107" s="66"/>
      <c r="G107" s="66"/>
      <c r="H107" s="133"/>
      <c r="I107" s="66"/>
      <c r="J107" s="133"/>
      <c r="K107" s="66"/>
      <c r="L107" s="134"/>
      <c r="M107" s="133"/>
      <c r="N107" s="133"/>
      <c r="O107" s="133"/>
      <c r="P107" s="133"/>
      <c r="Q107" s="66"/>
      <c r="R107" s="133"/>
      <c r="S107" s="66"/>
      <c r="T107" s="133"/>
      <c r="U107" s="134"/>
      <c r="V107" s="132"/>
      <c r="W107" s="133"/>
      <c r="X107" s="66"/>
      <c r="Y107" s="133"/>
      <c r="Z107" s="66"/>
      <c r="AA107" s="133"/>
      <c r="AB107" s="134"/>
    </row>
    <row r="108" spans="1:28" x14ac:dyDescent="0.25">
      <c r="A108" s="4"/>
      <c r="B108" s="35" t="s">
        <v>36</v>
      </c>
      <c r="C108" s="222">
        <v>0</v>
      </c>
      <c r="D108" s="73">
        <v>0</v>
      </c>
      <c r="E108" s="73">
        <v>0</v>
      </c>
      <c r="F108" s="73">
        <v>0</v>
      </c>
      <c r="G108" s="73">
        <v>0</v>
      </c>
      <c r="H108" s="73">
        <v>0</v>
      </c>
      <c r="I108" s="73">
        <v>0</v>
      </c>
      <c r="J108" s="73">
        <v>0</v>
      </c>
      <c r="K108" s="73">
        <v>0</v>
      </c>
      <c r="L108" s="74">
        <v>0</v>
      </c>
      <c r="M108" s="222">
        <v>0</v>
      </c>
      <c r="N108" s="73">
        <v>0</v>
      </c>
      <c r="O108" s="73">
        <v>0</v>
      </c>
      <c r="P108" s="73">
        <v>0</v>
      </c>
      <c r="Q108" s="73">
        <v>0</v>
      </c>
      <c r="R108" s="73">
        <v>0</v>
      </c>
      <c r="S108" s="73">
        <v>0</v>
      </c>
      <c r="T108" s="73">
        <v>0</v>
      </c>
      <c r="U108" s="74">
        <v>0</v>
      </c>
      <c r="V108" s="139">
        <v>0</v>
      </c>
      <c r="W108" s="137">
        <v>0</v>
      </c>
      <c r="X108" s="137">
        <v>0</v>
      </c>
      <c r="Y108" s="137">
        <v>0</v>
      </c>
      <c r="Z108" s="137">
        <v>0</v>
      </c>
      <c r="AA108" s="137">
        <v>0</v>
      </c>
      <c r="AB108" s="137">
        <v>0</v>
      </c>
    </row>
    <row r="109" spans="1:28" x14ac:dyDescent="0.25">
      <c r="A109" s="4"/>
      <c r="B109" s="35" t="s">
        <v>37</v>
      </c>
      <c r="C109" s="222">
        <v>0</v>
      </c>
      <c r="D109" s="73">
        <v>0</v>
      </c>
      <c r="E109" s="73">
        <v>0</v>
      </c>
      <c r="F109" s="73">
        <v>0</v>
      </c>
      <c r="G109" s="73">
        <v>0</v>
      </c>
      <c r="H109" s="73">
        <v>0</v>
      </c>
      <c r="I109" s="73">
        <v>0</v>
      </c>
      <c r="J109" s="73">
        <v>0</v>
      </c>
      <c r="K109" s="73">
        <v>0</v>
      </c>
      <c r="L109" s="74">
        <v>0</v>
      </c>
      <c r="M109" s="222">
        <v>0</v>
      </c>
      <c r="N109" s="73">
        <v>0</v>
      </c>
      <c r="O109" s="73">
        <v>0</v>
      </c>
      <c r="P109" s="73">
        <v>0</v>
      </c>
      <c r="Q109" s="73">
        <v>0</v>
      </c>
      <c r="R109" s="73">
        <v>0</v>
      </c>
      <c r="S109" s="73">
        <v>0</v>
      </c>
      <c r="T109" s="73">
        <v>0</v>
      </c>
      <c r="U109" s="74">
        <v>0</v>
      </c>
      <c r="V109" s="140">
        <v>0</v>
      </c>
      <c r="W109" s="137">
        <v>0</v>
      </c>
      <c r="X109" s="137">
        <v>0</v>
      </c>
      <c r="Y109" s="137">
        <v>0</v>
      </c>
      <c r="Z109" s="137">
        <v>0</v>
      </c>
      <c r="AA109" s="137">
        <v>0</v>
      </c>
      <c r="AB109" s="141">
        <v>0</v>
      </c>
    </row>
    <row r="110" spans="1:28" x14ac:dyDescent="0.25">
      <c r="A110" s="4"/>
      <c r="B110" s="35" t="s">
        <v>38</v>
      </c>
      <c r="C110" s="222">
        <v>0</v>
      </c>
      <c r="D110" s="73">
        <v>0</v>
      </c>
      <c r="E110" s="73">
        <v>0</v>
      </c>
      <c r="F110" s="73">
        <v>0</v>
      </c>
      <c r="G110" s="73">
        <v>0</v>
      </c>
      <c r="H110" s="73">
        <v>0</v>
      </c>
      <c r="I110" s="73">
        <v>0</v>
      </c>
      <c r="J110" s="73">
        <v>0</v>
      </c>
      <c r="K110" s="73">
        <v>0</v>
      </c>
      <c r="L110" s="74">
        <v>0</v>
      </c>
      <c r="M110" s="222">
        <v>0</v>
      </c>
      <c r="N110" s="73">
        <v>0</v>
      </c>
      <c r="O110" s="73">
        <v>0</v>
      </c>
      <c r="P110" s="73">
        <v>0</v>
      </c>
      <c r="Q110" s="73">
        <v>0</v>
      </c>
      <c r="R110" s="73">
        <v>0</v>
      </c>
      <c r="S110" s="73">
        <v>0</v>
      </c>
      <c r="T110" s="73">
        <v>0</v>
      </c>
      <c r="U110" s="74">
        <v>0</v>
      </c>
      <c r="V110" s="140">
        <v>0</v>
      </c>
      <c r="W110" s="137">
        <v>11</v>
      </c>
      <c r="X110" s="137">
        <v>13</v>
      </c>
      <c r="Y110" s="137">
        <v>5</v>
      </c>
      <c r="Z110" s="137">
        <v>9</v>
      </c>
      <c r="AA110" s="137">
        <v>1</v>
      </c>
      <c r="AB110" s="141">
        <v>0</v>
      </c>
    </row>
    <row r="111" spans="1:28" x14ac:dyDescent="0.25">
      <c r="A111" s="4"/>
      <c r="B111" s="35" t="s">
        <v>39</v>
      </c>
      <c r="C111" s="222">
        <v>0</v>
      </c>
      <c r="D111" s="73">
        <v>0</v>
      </c>
      <c r="E111" s="73">
        <v>0</v>
      </c>
      <c r="F111" s="73">
        <v>0</v>
      </c>
      <c r="G111" s="73">
        <v>0</v>
      </c>
      <c r="H111" s="73">
        <v>0</v>
      </c>
      <c r="I111" s="73">
        <v>0</v>
      </c>
      <c r="J111" s="73">
        <v>0</v>
      </c>
      <c r="K111" s="73">
        <v>0</v>
      </c>
      <c r="L111" s="74">
        <v>0</v>
      </c>
      <c r="M111" s="222">
        <v>0</v>
      </c>
      <c r="N111" s="73">
        <v>0</v>
      </c>
      <c r="O111" s="73">
        <v>0</v>
      </c>
      <c r="P111" s="73">
        <v>0</v>
      </c>
      <c r="Q111" s="73">
        <v>0</v>
      </c>
      <c r="R111" s="73">
        <v>0</v>
      </c>
      <c r="S111" s="73">
        <v>0</v>
      </c>
      <c r="T111" s="73">
        <v>0</v>
      </c>
      <c r="U111" s="74">
        <v>0</v>
      </c>
      <c r="V111" s="140">
        <v>0</v>
      </c>
      <c r="W111" s="137">
        <v>1</v>
      </c>
      <c r="X111" s="137">
        <v>2</v>
      </c>
      <c r="Y111" s="137">
        <v>0</v>
      </c>
      <c r="Z111" s="137">
        <v>0</v>
      </c>
      <c r="AA111" s="137">
        <v>0</v>
      </c>
      <c r="AB111" s="141">
        <v>0</v>
      </c>
    </row>
    <row r="112" spans="1:28" x14ac:dyDescent="0.25">
      <c r="A112" s="4"/>
      <c r="B112" s="35" t="s">
        <v>40</v>
      </c>
      <c r="C112" s="222">
        <v>0</v>
      </c>
      <c r="D112" s="73">
        <v>0</v>
      </c>
      <c r="E112" s="73">
        <v>0</v>
      </c>
      <c r="F112" s="73">
        <v>0</v>
      </c>
      <c r="G112" s="73">
        <v>0</v>
      </c>
      <c r="H112" s="73">
        <v>0</v>
      </c>
      <c r="I112" s="73">
        <v>0</v>
      </c>
      <c r="J112" s="73">
        <v>0</v>
      </c>
      <c r="K112" s="73">
        <v>0</v>
      </c>
      <c r="L112" s="74">
        <v>0</v>
      </c>
      <c r="M112" s="222">
        <v>0</v>
      </c>
      <c r="N112" s="73">
        <v>0</v>
      </c>
      <c r="O112" s="73">
        <v>0</v>
      </c>
      <c r="P112" s="73">
        <v>0</v>
      </c>
      <c r="Q112" s="73">
        <v>0</v>
      </c>
      <c r="R112" s="73">
        <v>0</v>
      </c>
      <c r="S112" s="73">
        <v>0</v>
      </c>
      <c r="T112" s="73">
        <v>0</v>
      </c>
      <c r="U112" s="74">
        <v>0</v>
      </c>
      <c r="V112" s="140">
        <v>0</v>
      </c>
      <c r="W112" s="137">
        <v>1</v>
      </c>
      <c r="X112" s="137">
        <v>1</v>
      </c>
      <c r="Y112" s="137">
        <v>0</v>
      </c>
      <c r="Z112" s="137">
        <v>0</v>
      </c>
      <c r="AA112" s="137">
        <v>0</v>
      </c>
      <c r="AB112" s="141">
        <v>0</v>
      </c>
    </row>
    <row r="113" spans="1:28" x14ac:dyDescent="0.25">
      <c r="A113" s="4"/>
      <c r="B113" s="35" t="s">
        <v>41</v>
      </c>
      <c r="C113" s="222">
        <f>SUM(C108:C112)</f>
        <v>0</v>
      </c>
      <c r="D113" s="73">
        <f>SUM(D108:D112)</f>
        <v>0</v>
      </c>
      <c r="E113" s="73">
        <f t="shared" ref="E113:AB113" si="28">SUM(E108:E112)</f>
        <v>0</v>
      </c>
      <c r="F113" s="73">
        <f t="shared" si="28"/>
        <v>0</v>
      </c>
      <c r="G113" s="73">
        <f t="shared" si="28"/>
        <v>0</v>
      </c>
      <c r="H113" s="73">
        <f t="shared" si="28"/>
        <v>0</v>
      </c>
      <c r="I113" s="73">
        <f t="shared" si="28"/>
        <v>0</v>
      </c>
      <c r="J113" s="73">
        <f t="shared" si="28"/>
        <v>0</v>
      </c>
      <c r="K113" s="73">
        <f t="shared" si="28"/>
        <v>0</v>
      </c>
      <c r="L113" s="74">
        <f t="shared" si="28"/>
        <v>0</v>
      </c>
      <c r="M113" s="222">
        <f t="shared" si="28"/>
        <v>0</v>
      </c>
      <c r="N113" s="73">
        <f t="shared" si="28"/>
        <v>0</v>
      </c>
      <c r="O113" s="73">
        <f t="shared" si="28"/>
        <v>0</v>
      </c>
      <c r="P113" s="73">
        <f t="shared" si="28"/>
        <v>0</v>
      </c>
      <c r="Q113" s="73">
        <f t="shared" si="28"/>
        <v>0</v>
      </c>
      <c r="R113" s="73">
        <f t="shared" si="28"/>
        <v>0</v>
      </c>
      <c r="S113" s="73">
        <f>SUM(S108:S112)</f>
        <v>0</v>
      </c>
      <c r="T113" s="73">
        <f t="shared" si="28"/>
        <v>0</v>
      </c>
      <c r="U113" s="74">
        <f t="shared" si="28"/>
        <v>0</v>
      </c>
      <c r="V113" s="74">
        <f t="shared" si="28"/>
        <v>0</v>
      </c>
      <c r="W113" s="74">
        <f t="shared" si="28"/>
        <v>13</v>
      </c>
      <c r="X113" s="74">
        <f t="shared" si="28"/>
        <v>16</v>
      </c>
      <c r="Y113" s="74">
        <f t="shared" si="28"/>
        <v>5</v>
      </c>
      <c r="Z113" s="74">
        <f t="shared" si="28"/>
        <v>9</v>
      </c>
      <c r="AA113" s="74">
        <f t="shared" si="28"/>
        <v>1</v>
      </c>
      <c r="AB113" s="74">
        <f t="shared" si="28"/>
        <v>0</v>
      </c>
    </row>
    <row r="114" spans="1:28" x14ac:dyDescent="0.25">
      <c r="A114" s="4">
        <f>+A107+1</f>
        <v>16</v>
      </c>
      <c r="B114" s="211" t="s">
        <v>24</v>
      </c>
      <c r="C114" s="223"/>
      <c r="D114" s="212"/>
      <c r="E114" s="212"/>
      <c r="F114" s="212"/>
      <c r="G114" s="212"/>
      <c r="H114" s="212"/>
      <c r="I114" s="212"/>
      <c r="J114" s="212"/>
      <c r="K114" s="212"/>
      <c r="L114" s="224"/>
      <c r="M114" s="223"/>
      <c r="N114" s="212"/>
      <c r="O114" s="212"/>
      <c r="P114" s="212"/>
      <c r="Q114" s="212"/>
      <c r="R114" s="212"/>
      <c r="S114" s="212"/>
      <c r="T114" s="212"/>
      <c r="U114" s="224"/>
      <c r="V114" s="144"/>
      <c r="W114" s="142"/>
      <c r="X114" s="128"/>
      <c r="Y114" s="142"/>
      <c r="Z114" s="128"/>
      <c r="AA114" s="142"/>
      <c r="AB114" s="145"/>
    </row>
    <row r="115" spans="1:28" x14ac:dyDescent="0.25">
      <c r="A115" s="4"/>
      <c r="B115" s="35" t="s">
        <v>36</v>
      </c>
      <c r="C115" s="215">
        <v>225</v>
      </c>
      <c r="D115" s="213">
        <v>135</v>
      </c>
      <c r="E115" s="213">
        <v>150</v>
      </c>
      <c r="F115" s="213">
        <v>131</v>
      </c>
      <c r="G115" s="213">
        <v>130</v>
      </c>
      <c r="H115" s="213">
        <v>146</v>
      </c>
      <c r="I115" s="213">
        <v>124</v>
      </c>
      <c r="J115" s="213">
        <v>117</v>
      </c>
      <c r="K115" s="213">
        <v>130</v>
      </c>
      <c r="L115" s="218">
        <v>168</v>
      </c>
      <c r="M115" s="215">
        <v>170</v>
      </c>
      <c r="N115" s="213">
        <v>146</v>
      </c>
      <c r="O115" s="213">
        <v>152</v>
      </c>
      <c r="P115" s="213">
        <v>149</v>
      </c>
      <c r="Q115" s="213">
        <v>153</v>
      </c>
      <c r="R115" s="213">
        <v>130</v>
      </c>
      <c r="S115" s="213">
        <v>114</v>
      </c>
      <c r="T115" s="213">
        <v>121</v>
      </c>
      <c r="U115" s="218">
        <v>123</v>
      </c>
      <c r="V115" s="149">
        <v>104</v>
      </c>
      <c r="W115" s="148">
        <v>101</v>
      </c>
      <c r="X115" s="148">
        <v>93</v>
      </c>
      <c r="Y115" s="148">
        <v>104</v>
      </c>
      <c r="Z115" s="148">
        <v>85</v>
      </c>
      <c r="AA115" s="148">
        <v>78</v>
      </c>
      <c r="AB115" s="150">
        <v>69</v>
      </c>
    </row>
    <row r="116" spans="1:28" x14ac:dyDescent="0.25">
      <c r="A116" s="4"/>
      <c r="B116" s="35" t="s">
        <v>37</v>
      </c>
      <c r="C116" s="215">
        <v>28</v>
      </c>
      <c r="D116" s="213">
        <v>12</v>
      </c>
      <c r="E116" s="213">
        <v>14</v>
      </c>
      <c r="F116" s="213">
        <v>13</v>
      </c>
      <c r="G116" s="213">
        <v>17</v>
      </c>
      <c r="H116" s="213">
        <v>0</v>
      </c>
      <c r="I116" s="213">
        <v>16</v>
      </c>
      <c r="J116" s="213">
        <v>13</v>
      </c>
      <c r="K116" s="213">
        <v>15</v>
      </c>
      <c r="L116" s="218">
        <v>18</v>
      </c>
      <c r="M116" s="215">
        <v>10</v>
      </c>
      <c r="N116" s="213">
        <v>8</v>
      </c>
      <c r="O116" s="213">
        <v>7</v>
      </c>
      <c r="P116" s="213">
        <v>10</v>
      </c>
      <c r="Q116" s="213">
        <v>12</v>
      </c>
      <c r="R116" s="213">
        <v>12</v>
      </c>
      <c r="S116" s="213">
        <v>12</v>
      </c>
      <c r="T116" s="213">
        <v>14</v>
      </c>
      <c r="U116" s="218">
        <v>13</v>
      </c>
      <c r="V116" s="149">
        <v>14</v>
      </c>
      <c r="W116" s="148">
        <v>11</v>
      </c>
      <c r="X116" s="148">
        <v>11</v>
      </c>
      <c r="Y116" s="148">
        <v>17</v>
      </c>
      <c r="Z116" s="148">
        <v>13</v>
      </c>
      <c r="AA116" s="148">
        <v>10</v>
      </c>
      <c r="AB116" s="150">
        <v>10</v>
      </c>
    </row>
    <row r="117" spans="1:28" x14ac:dyDescent="0.25">
      <c r="A117" s="4"/>
      <c r="B117" s="35" t="s">
        <v>38</v>
      </c>
      <c r="C117" s="215">
        <v>2</v>
      </c>
      <c r="D117" s="213">
        <v>1</v>
      </c>
      <c r="E117" s="213">
        <v>1</v>
      </c>
      <c r="F117" s="213">
        <v>2</v>
      </c>
      <c r="G117" s="213">
        <v>2</v>
      </c>
      <c r="H117" s="213">
        <v>0</v>
      </c>
      <c r="I117" s="213">
        <v>0</v>
      </c>
      <c r="J117" s="213">
        <v>3</v>
      </c>
      <c r="K117" s="213">
        <v>3</v>
      </c>
      <c r="L117" s="218">
        <v>1</v>
      </c>
      <c r="M117" s="215">
        <v>1</v>
      </c>
      <c r="N117" s="213">
        <v>2</v>
      </c>
      <c r="O117" s="213">
        <v>3</v>
      </c>
      <c r="P117" s="213">
        <v>2</v>
      </c>
      <c r="Q117" s="213">
        <v>1</v>
      </c>
      <c r="R117" s="213">
        <v>2</v>
      </c>
      <c r="S117" s="213">
        <v>3</v>
      </c>
      <c r="T117" s="213">
        <v>3</v>
      </c>
      <c r="U117" s="218">
        <v>2</v>
      </c>
      <c r="V117" s="149">
        <v>3</v>
      </c>
      <c r="W117" s="148">
        <v>5</v>
      </c>
      <c r="X117" s="148">
        <v>6</v>
      </c>
      <c r="Y117" s="148">
        <v>8</v>
      </c>
      <c r="Z117" s="148">
        <v>6</v>
      </c>
      <c r="AA117" s="148">
        <v>10</v>
      </c>
      <c r="AB117" s="150">
        <v>10</v>
      </c>
    </row>
    <row r="118" spans="1:28" x14ac:dyDescent="0.25">
      <c r="A118" s="4"/>
      <c r="B118" s="35" t="s">
        <v>39</v>
      </c>
      <c r="C118" s="215">
        <v>0</v>
      </c>
      <c r="D118" s="213">
        <v>0</v>
      </c>
      <c r="E118" s="213">
        <v>0</v>
      </c>
      <c r="F118" s="213">
        <v>0</v>
      </c>
      <c r="G118" s="213">
        <v>0</v>
      </c>
      <c r="H118" s="213">
        <v>0</v>
      </c>
      <c r="I118" s="213">
        <v>0</v>
      </c>
      <c r="J118" s="213">
        <v>0</v>
      </c>
      <c r="K118" s="213">
        <v>0</v>
      </c>
      <c r="L118" s="218">
        <v>0</v>
      </c>
      <c r="M118" s="215">
        <v>0</v>
      </c>
      <c r="N118" s="213">
        <v>0</v>
      </c>
      <c r="O118" s="213">
        <v>0</v>
      </c>
      <c r="P118" s="213">
        <v>0</v>
      </c>
      <c r="Q118" s="213">
        <v>0</v>
      </c>
      <c r="R118" s="213">
        <v>0</v>
      </c>
      <c r="S118" s="213">
        <v>0</v>
      </c>
      <c r="T118" s="213">
        <v>0</v>
      </c>
      <c r="U118" s="218">
        <v>0</v>
      </c>
      <c r="V118" s="149">
        <v>0</v>
      </c>
      <c r="W118" s="148">
        <v>0</v>
      </c>
      <c r="X118" s="148">
        <v>0</v>
      </c>
      <c r="Y118" s="148">
        <v>0</v>
      </c>
      <c r="Z118" s="148">
        <v>0</v>
      </c>
      <c r="AA118" s="148">
        <v>2</v>
      </c>
      <c r="AB118" s="150">
        <v>2</v>
      </c>
    </row>
    <row r="119" spans="1:28" x14ac:dyDescent="0.25">
      <c r="A119" s="4"/>
      <c r="B119" s="35" t="s">
        <v>40</v>
      </c>
      <c r="C119" s="215">
        <v>0</v>
      </c>
      <c r="D119" s="213">
        <v>0</v>
      </c>
      <c r="E119" s="213">
        <v>0</v>
      </c>
      <c r="F119" s="213">
        <v>0</v>
      </c>
      <c r="G119" s="213">
        <v>0</v>
      </c>
      <c r="H119" s="213">
        <v>0</v>
      </c>
      <c r="I119" s="213">
        <v>0</v>
      </c>
      <c r="J119" s="213">
        <v>0</v>
      </c>
      <c r="K119" s="213">
        <v>0</v>
      </c>
      <c r="L119" s="218">
        <v>0</v>
      </c>
      <c r="M119" s="216">
        <v>0</v>
      </c>
      <c r="N119" s="237">
        <v>0</v>
      </c>
      <c r="O119" s="237">
        <v>0</v>
      </c>
      <c r="P119" s="237">
        <v>0</v>
      </c>
      <c r="Q119" s="237">
        <v>0</v>
      </c>
      <c r="R119" s="237">
        <v>0</v>
      </c>
      <c r="S119" s="237">
        <v>0</v>
      </c>
      <c r="T119" s="237">
        <v>0</v>
      </c>
      <c r="U119" s="219">
        <v>0</v>
      </c>
      <c r="V119" s="149">
        <v>0</v>
      </c>
      <c r="W119" s="148">
        <v>0</v>
      </c>
      <c r="X119" s="148">
        <v>0</v>
      </c>
      <c r="Y119" s="148">
        <v>0</v>
      </c>
      <c r="Z119" s="148">
        <v>0</v>
      </c>
      <c r="AA119" s="148">
        <v>0</v>
      </c>
      <c r="AB119" s="150">
        <v>0</v>
      </c>
    </row>
    <row r="120" spans="1:28" ht="15.75" thickBot="1" x14ac:dyDescent="0.3">
      <c r="A120" s="4"/>
      <c r="B120" s="36" t="s">
        <v>41</v>
      </c>
      <c r="C120" s="151">
        <f>SUM(C115:C119)</f>
        <v>255</v>
      </c>
      <c r="D120" s="152">
        <f>SUM(D115:D119)</f>
        <v>148</v>
      </c>
      <c r="E120" s="152">
        <f t="shared" ref="E120:AB120" si="29">SUM(E115:E119)</f>
        <v>165</v>
      </c>
      <c r="F120" s="152">
        <f t="shared" si="29"/>
        <v>146</v>
      </c>
      <c r="G120" s="152">
        <f t="shared" si="29"/>
        <v>149</v>
      </c>
      <c r="H120" s="152">
        <f t="shared" si="29"/>
        <v>146</v>
      </c>
      <c r="I120" s="152">
        <f t="shared" si="29"/>
        <v>140</v>
      </c>
      <c r="J120" s="152">
        <f t="shared" si="29"/>
        <v>133</v>
      </c>
      <c r="K120" s="152">
        <f t="shared" si="29"/>
        <v>148</v>
      </c>
      <c r="L120" s="153">
        <f t="shared" si="29"/>
        <v>187</v>
      </c>
      <c r="M120" s="152">
        <f t="shared" si="29"/>
        <v>181</v>
      </c>
      <c r="N120" s="201">
        <f t="shared" si="29"/>
        <v>156</v>
      </c>
      <c r="O120" s="152">
        <f t="shared" si="29"/>
        <v>162</v>
      </c>
      <c r="P120" s="152">
        <f t="shared" si="29"/>
        <v>161</v>
      </c>
      <c r="Q120" s="152">
        <f t="shared" si="29"/>
        <v>166</v>
      </c>
      <c r="R120" s="152">
        <f t="shared" si="29"/>
        <v>144</v>
      </c>
      <c r="S120" s="152">
        <f t="shared" si="29"/>
        <v>129</v>
      </c>
      <c r="T120" s="152">
        <f t="shared" si="29"/>
        <v>138</v>
      </c>
      <c r="U120" s="153">
        <f t="shared" si="29"/>
        <v>138</v>
      </c>
      <c r="V120" s="153">
        <f t="shared" si="29"/>
        <v>121</v>
      </c>
      <c r="W120" s="153">
        <f t="shared" si="29"/>
        <v>117</v>
      </c>
      <c r="X120" s="153">
        <f t="shared" si="29"/>
        <v>110</v>
      </c>
      <c r="Y120" s="153">
        <f t="shared" si="29"/>
        <v>129</v>
      </c>
      <c r="Z120" s="153">
        <f t="shared" si="29"/>
        <v>104</v>
      </c>
      <c r="AA120" s="153">
        <f t="shared" si="29"/>
        <v>100</v>
      </c>
      <c r="AB120" s="153">
        <f t="shared" si="29"/>
        <v>91</v>
      </c>
    </row>
    <row r="121" spans="1:28" ht="15.75" thickTop="1" x14ac:dyDescent="0.25">
      <c r="A121" s="4">
        <f>+A114+1</f>
        <v>17</v>
      </c>
      <c r="B121" s="47" t="s">
        <v>46</v>
      </c>
      <c r="C121" s="142"/>
      <c r="D121" s="128"/>
      <c r="E121" s="128"/>
      <c r="F121" s="128"/>
      <c r="G121" s="128"/>
      <c r="H121" s="142"/>
      <c r="I121" s="128"/>
      <c r="J121" s="142"/>
      <c r="K121" s="128"/>
      <c r="L121" s="143"/>
      <c r="M121" s="142"/>
      <c r="N121" s="142"/>
      <c r="O121" s="142"/>
      <c r="P121" s="142"/>
      <c r="Q121" s="128"/>
      <c r="R121" s="142"/>
      <c r="S121" s="128"/>
      <c r="T121" s="142"/>
      <c r="U121" s="143"/>
      <c r="V121" s="144"/>
      <c r="W121" s="142"/>
      <c r="X121" s="128"/>
      <c r="Y121" s="142"/>
      <c r="Z121" s="128"/>
      <c r="AA121" s="142"/>
      <c r="AB121" s="145"/>
    </row>
    <row r="122" spans="1:28" x14ac:dyDescent="0.25">
      <c r="A122" s="4"/>
      <c r="B122" s="35" t="s">
        <v>36</v>
      </c>
      <c r="C122" s="215">
        <v>426</v>
      </c>
      <c r="D122" s="213">
        <v>315</v>
      </c>
      <c r="E122" s="213">
        <v>233</v>
      </c>
      <c r="F122" s="213">
        <v>306</v>
      </c>
      <c r="G122" s="213">
        <v>183</v>
      </c>
      <c r="H122" s="213">
        <v>230</v>
      </c>
      <c r="I122" s="213">
        <v>198</v>
      </c>
      <c r="J122" s="213">
        <v>177</v>
      </c>
      <c r="K122" s="213">
        <v>148</v>
      </c>
      <c r="L122" s="218">
        <v>124</v>
      </c>
      <c r="M122" s="241">
        <v>229</v>
      </c>
      <c r="N122" s="235">
        <v>210</v>
      </c>
      <c r="O122" s="235">
        <v>186</v>
      </c>
      <c r="P122" s="235">
        <v>1239</v>
      </c>
      <c r="Q122" s="235">
        <v>958</v>
      </c>
      <c r="R122" s="235">
        <f>687+58</f>
        <v>745</v>
      </c>
      <c r="S122" s="235">
        <v>401</v>
      </c>
      <c r="T122" s="235">
        <v>350</v>
      </c>
      <c r="U122" s="217">
        <v>5037</v>
      </c>
      <c r="V122" s="149">
        <f>28+5066</f>
        <v>5094</v>
      </c>
      <c r="W122" s="148">
        <f>5293+30</f>
        <v>5323</v>
      </c>
      <c r="X122" s="148">
        <f>5721+20</f>
        <v>5741</v>
      </c>
      <c r="Y122" s="148">
        <f>18+4875</f>
        <v>4893</v>
      </c>
      <c r="Z122" s="148">
        <f>15+4833</f>
        <v>4848</v>
      </c>
      <c r="AA122" s="148">
        <f>4705+15</f>
        <v>4720</v>
      </c>
      <c r="AB122" s="150">
        <f>14+4652</f>
        <v>4666</v>
      </c>
    </row>
    <row r="123" spans="1:28" x14ac:dyDescent="0.25">
      <c r="A123" s="4"/>
      <c r="B123" s="35" t="s">
        <v>37</v>
      </c>
      <c r="C123" s="215">
        <v>80</v>
      </c>
      <c r="D123" s="213">
        <v>36</v>
      </c>
      <c r="E123" s="213">
        <v>5</v>
      </c>
      <c r="F123" s="213">
        <v>48</v>
      </c>
      <c r="G123" s="213">
        <v>30</v>
      </c>
      <c r="H123" s="213">
        <v>35</v>
      </c>
      <c r="I123" s="213">
        <v>6</v>
      </c>
      <c r="J123" s="213">
        <v>27</v>
      </c>
      <c r="K123" s="213">
        <v>24</v>
      </c>
      <c r="L123" s="218">
        <v>19</v>
      </c>
      <c r="M123" s="215">
        <v>19</v>
      </c>
      <c r="N123" s="213">
        <v>10</v>
      </c>
      <c r="O123" s="213">
        <v>6</v>
      </c>
      <c r="P123" s="213">
        <v>90</v>
      </c>
      <c r="Q123" s="213">
        <v>90</v>
      </c>
      <c r="R123" s="213">
        <v>3</v>
      </c>
      <c r="S123" s="213">
        <v>20</v>
      </c>
      <c r="T123" s="213">
        <v>22</v>
      </c>
      <c r="U123" s="218">
        <v>611</v>
      </c>
      <c r="V123" s="149">
        <f>11+678</f>
        <v>689</v>
      </c>
      <c r="W123" s="148">
        <f>17+744</f>
        <v>761</v>
      </c>
      <c r="X123" s="148">
        <f>1141+24</f>
        <v>1165</v>
      </c>
      <c r="Y123" s="148">
        <f>33+777</f>
        <v>810</v>
      </c>
      <c r="Z123" s="148">
        <f>39+834</f>
        <v>873</v>
      </c>
      <c r="AA123" s="148">
        <f>53+869</f>
        <v>922</v>
      </c>
      <c r="AB123" s="150">
        <f>52+869</f>
        <v>921</v>
      </c>
    </row>
    <row r="124" spans="1:28" x14ac:dyDescent="0.25">
      <c r="A124" s="4"/>
      <c r="B124" s="35" t="s">
        <v>38</v>
      </c>
      <c r="C124" s="215">
        <v>79</v>
      </c>
      <c r="D124" s="213">
        <v>85</v>
      </c>
      <c r="E124" s="213">
        <v>74</v>
      </c>
      <c r="F124" s="213">
        <v>80</v>
      </c>
      <c r="G124" s="213">
        <v>81</v>
      </c>
      <c r="H124" s="213">
        <v>95</v>
      </c>
      <c r="I124" s="213">
        <v>96</v>
      </c>
      <c r="J124" s="213">
        <v>79</v>
      </c>
      <c r="K124" s="213">
        <v>85</v>
      </c>
      <c r="L124" s="218">
        <v>78</v>
      </c>
      <c r="M124" s="215">
        <v>76</v>
      </c>
      <c r="N124" s="213">
        <v>67</v>
      </c>
      <c r="O124" s="213">
        <v>44</v>
      </c>
      <c r="P124" s="213">
        <v>89</v>
      </c>
      <c r="Q124" s="213">
        <v>82</v>
      </c>
      <c r="R124" s="213">
        <v>14</v>
      </c>
      <c r="S124" s="213">
        <v>55</v>
      </c>
      <c r="T124" s="213">
        <v>41</v>
      </c>
      <c r="U124" s="218">
        <v>187</v>
      </c>
      <c r="V124" s="149">
        <f>14+167</f>
        <v>181</v>
      </c>
      <c r="W124" s="148">
        <f>10+163</f>
        <v>173</v>
      </c>
      <c r="X124" s="148">
        <f>135+6</f>
        <v>141</v>
      </c>
      <c r="Y124" s="148">
        <f>4+101</f>
        <v>105</v>
      </c>
      <c r="Z124" s="148">
        <f>2+83</f>
        <v>85</v>
      </c>
      <c r="AA124" s="148">
        <f>2+79</f>
        <v>81</v>
      </c>
      <c r="AB124" s="150">
        <f>2+77</f>
        <v>79</v>
      </c>
    </row>
    <row r="125" spans="1:28" x14ac:dyDescent="0.25">
      <c r="A125" s="4"/>
      <c r="B125" s="35" t="s">
        <v>39</v>
      </c>
      <c r="C125" s="215">
        <v>32</v>
      </c>
      <c r="D125" s="213">
        <v>34</v>
      </c>
      <c r="E125" s="213">
        <v>40</v>
      </c>
      <c r="F125" s="213">
        <v>37</v>
      </c>
      <c r="G125" s="213">
        <v>42</v>
      </c>
      <c r="H125" s="213">
        <v>40</v>
      </c>
      <c r="I125" s="213">
        <v>44</v>
      </c>
      <c r="J125" s="213">
        <v>41</v>
      </c>
      <c r="K125" s="213">
        <v>41</v>
      </c>
      <c r="L125" s="218">
        <v>39</v>
      </c>
      <c r="M125" s="215">
        <v>40</v>
      </c>
      <c r="N125" s="213">
        <v>41</v>
      </c>
      <c r="O125" s="213">
        <v>31</v>
      </c>
      <c r="P125" s="213">
        <v>38</v>
      </c>
      <c r="Q125" s="213">
        <v>42</v>
      </c>
      <c r="R125" s="213">
        <v>37</v>
      </c>
      <c r="S125" s="213">
        <v>31</v>
      </c>
      <c r="T125" s="213">
        <v>32</v>
      </c>
      <c r="U125" s="218">
        <v>32</v>
      </c>
      <c r="V125" s="149">
        <f>26+17</f>
        <v>43</v>
      </c>
      <c r="W125" s="148">
        <f>20+17</f>
        <v>37</v>
      </c>
      <c r="X125" s="148">
        <f>16+17</f>
        <v>33</v>
      </c>
      <c r="Y125" s="148">
        <f>15+17</f>
        <v>32</v>
      </c>
      <c r="Z125" s="148">
        <f>13+18</f>
        <v>31</v>
      </c>
      <c r="AA125" s="148">
        <f>12+17</f>
        <v>29</v>
      </c>
      <c r="AB125" s="150">
        <f>13+17</f>
        <v>30</v>
      </c>
    </row>
    <row r="126" spans="1:28" x14ac:dyDescent="0.25">
      <c r="A126" s="4"/>
      <c r="B126" s="35" t="s">
        <v>40</v>
      </c>
      <c r="C126" s="215">
        <v>0</v>
      </c>
      <c r="D126" s="213">
        <v>0</v>
      </c>
      <c r="E126" s="213">
        <v>0</v>
      </c>
      <c r="F126" s="213">
        <v>0</v>
      </c>
      <c r="G126" s="213">
        <v>1</v>
      </c>
      <c r="H126" s="213">
        <v>3</v>
      </c>
      <c r="I126" s="213">
        <v>3</v>
      </c>
      <c r="J126" s="213">
        <v>2</v>
      </c>
      <c r="K126" s="213">
        <v>3</v>
      </c>
      <c r="L126" s="218">
        <v>3</v>
      </c>
      <c r="M126" s="216">
        <v>4</v>
      </c>
      <c r="N126" s="237">
        <v>5</v>
      </c>
      <c r="O126" s="237">
        <v>3</v>
      </c>
      <c r="P126" s="237">
        <v>2</v>
      </c>
      <c r="Q126" s="237">
        <v>2</v>
      </c>
      <c r="R126" s="237">
        <v>2</v>
      </c>
      <c r="S126" s="237">
        <v>1</v>
      </c>
      <c r="T126" s="237">
        <v>2</v>
      </c>
      <c r="U126" s="219">
        <v>1</v>
      </c>
      <c r="V126" s="149">
        <v>2</v>
      </c>
      <c r="W126" s="148">
        <v>1</v>
      </c>
      <c r="X126" s="148">
        <v>0</v>
      </c>
      <c r="Y126" s="148">
        <v>0</v>
      </c>
      <c r="Z126" s="148">
        <v>0</v>
      </c>
      <c r="AA126" s="148">
        <v>0</v>
      </c>
      <c r="AB126" s="150">
        <v>0</v>
      </c>
    </row>
    <row r="127" spans="1:28" ht="15.75" thickBot="1" x14ac:dyDescent="0.3">
      <c r="A127" s="4"/>
      <c r="B127" s="36" t="s">
        <v>41</v>
      </c>
      <c r="C127" s="151">
        <f>SUM(C122:C126)</f>
        <v>617</v>
      </c>
      <c r="D127" s="152">
        <f>SUM(D122:D126)</f>
        <v>470</v>
      </c>
      <c r="E127" s="152">
        <f t="shared" ref="E127:AB127" si="30">SUM(E122:E126)</f>
        <v>352</v>
      </c>
      <c r="F127" s="152">
        <f t="shared" si="30"/>
        <v>471</v>
      </c>
      <c r="G127" s="152">
        <f t="shared" si="30"/>
        <v>337</v>
      </c>
      <c r="H127" s="152">
        <f t="shared" si="30"/>
        <v>403</v>
      </c>
      <c r="I127" s="152">
        <f t="shared" si="30"/>
        <v>347</v>
      </c>
      <c r="J127" s="152">
        <f t="shared" si="30"/>
        <v>326</v>
      </c>
      <c r="K127" s="152">
        <f t="shared" si="30"/>
        <v>301</v>
      </c>
      <c r="L127" s="197">
        <f t="shared" si="30"/>
        <v>263</v>
      </c>
      <c r="M127" s="152">
        <f t="shared" si="30"/>
        <v>368</v>
      </c>
      <c r="N127" s="201">
        <f t="shared" si="30"/>
        <v>333</v>
      </c>
      <c r="O127" s="152">
        <f t="shared" si="30"/>
        <v>270</v>
      </c>
      <c r="P127" s="152">
        <f t="shared" si="30"/>
        <v>1458</v>
      </c>
      <c r="Q127" s="152">
        <f t="shared" si="30"/>
        <v>1174</v>
      </c>
      <c r="R127" s="152">
        <f t="shared" si="30"/>
        <v>801</v>
      </c>
      <c r="S127" s="152">
        <f t="shared" si="30"/>
        <v>508</v>
      </c>
      <c r="T127" s="152">
        <f t="shared" si="30"/>
        <v>447</v>
      </c>
      <c r="U127" s="153">
        <f t="shared" si="30"/>
        <v>5868</v>
      </c>
      <c r="V127" s="153">
        <f t="shared" si="30"/>
        <v>6009</v>
      </c>
      <c r="W127" s="153">
        <f t="shared" si="30"/>
        <v>6295</v>
      </c>
      <c r="X127" s="153">
        <f t="shared" si="30"/>
        <v>7080</v>
      </c>
      <c r="Y127" s="153">
        <f t="shared" si="30"/>
        <v>5840</v>
      </c>
      <c r="Z127" s="153">
        <f t="shared" si="30"/>
        <v>5837</v>
      </c>
      <c r="AA127" s="153">
        <f t="shared" si="30"/>
        <v>5752</v>
      </c>
      <c r="AB127" s="153">
        <f t="shared" si="30"/>
        <v>5696</v>
      </c>
    </row>
    <row r="128" spans="1:28" ht="15.75" thickTop="1" x14ac:dyDescent="0.25">
      <c r="A128" s="4">
        <f>+A121+1</f>
        <v>18</v>
      </c>
      <c r="B128" s="47" t="s">
        <v>47</v>
      </c>
      <c r="C128" s="214"/>
      <c r="D128" s="128"/>
      <c r="E128" s="128"/>
      <c r="F128" s="128"/>
      <c r="G128" s="128"/>
      <c r="H128" s="142"/>
      <c r="I128" s="128"/>
      <c r="J128" s="142"/>
      <c r="K128" s="128"/>
      <c r="L128" s="143"/>
      <c r="M128" s="142"/>
      <c r="N128" s="142"/>
      <c r="O128" s="142"/>
      <c r="P128" s="142"/>
      <c r="Q128" s="128"/>
      <c r="R128" s="142"/>
      <c r="S128" s="128"/>
      <c r="T128" s="142"/>
      <c r="U128" s="143"/>
      <c r="V128" s="247"/>
      <c r="W128" s="142"/>
      <c r="X128" s="128"/>
      <c r="Y128" s="142"/>
      <c r="Z128" s="128"/>
      <c r="AA128" s="142"/>
      <c r="AB128" s="145"/>
    </row>
    <row r="129" spans="1:28" x14ac:dyDescent="0.25">
      <c r="A129" s="4"/>
      <c r="B129" s="35" t="s">
        <v>36</v>
      </c>
      <c r="C129" s="215">
        <f>41+53</f>
        <v>94</v>
      </c>
      <c r="D129" s="213">
        <v>42</v>
      </c>
      <c r="E129" s="213">
        <v>48</v>
      </c>
      <c r="F129" s="213">
        <v>43</v>
      </c>
      <c r="G129" s="213">
        <v>24</v>
      </c>
      <c r="H129" s="213">
        <v>43</v>
      </c>
      <c r="I129" s="213">
        <v>47</v>
      </c>
      <c r="J129" s="213">
        <v>0</v>
      </c>
      <c r="K129" s="213">
        <v>0</v>
      </c>
      <c r="L129" s="217">
        <v>0</v>
      </c>
      <c r="M129" s="241">
        <v>0</v>
      </c>
      <c r="N129" s="235">
        <v>0</v>
      </c>
      <c r="O129" s="235">
        <v>0</v>
      </c>
      <c r="P129" s="235">
        <v>0</v>
      </c>
      <c r="Q129" s="235">
        <v>0</v>
      </c>
      <c r="R129" s="235">
        <v>0</v>
      </c>
      <c r="S129" s="235">
        <v>0</v>
      </c>
      <c r="T129" s="235">
        <v>0</v>
      </c>
      <c r="U129" s="217">
        <v>0</v>
      </c>
      <c r="V129" s="215">
        <v>0</v>
      </c>
      <c r="W129" s="213">
        <v>0</v>
      </c>
      <c r="X129" s="213">
        <v>0</v>
      </c>
      <c r="Y129" s="213">
        <v>0</v>
      </c>
      <c r="Z129" s="213">
        <v>0</v>
      </c>
      <c r="AA129" s="213">
        <v>0</v>
      </c>
      <c r="AB129" s="218">
        <v>110</v>
      </c>
    </row>
    <row r="130" spans="1:28" x14ac:dyDescent="0.25">
      <c r="A130" s="4"/>
      <c r="B130" s="35" t="s">
        <v>37</v>
      </c>
      <c r="C130" s="215">
        <v>0</v>
      </c>
      <c r="D130" s="213">
        <v>0</v>
      </c>
      <c r="E130" s="213">
        <v>0</v>
      </c>
      <c r="F130" s="213">
        <v>0</v>
      </c>
      <c r="G130" s="213">
        <v>0</v>
      </c>
      <c r="H130" s="213">
        <v>0</v>
      </c>
      <c r="I130" s="213">
        <v>0</v>
      </c>
      <c r="J130" s="213">
        <v>0</v>
      </c>
      <c r="K130" s="213">
        <v>0</v>
      </c>
      <c r="L130" s="218">
        <v>0</v>
      </c>
      <c r="M130" s="215">
        <v>0</v>
      </c>
      <c r="N130" s="213">
        <v>0</v>
      </c>
      <c r="O130" s="213">
        <v>0</v>
      </c>
      <c r="P130" s="213">
        <v>0</v>
      </c>
      <c r="Q130" s="213">
        <v>0</v>
      </c>
      <c r="R130" s="213">
        <v>0</v>
      </c>
      <c r="S130" s="213">
        <v>0</v>
      </c>
      <c r="T130" s="213">
        <v>0</v>
      </c>
      <c r="U130" s="218">
        <v>0</v>
      </c>
      <c r="V130" s="215">
        <v>0</v>
      </c>
      <c r="W130" s="213">
        <v>0</v>
      </c>
      <c r="X130" s="213">
        <v>0</v>
      </c>
      <c r="Y130" s="213">
        <v>0</v>
      </c>
      <c r="Z130" s="213">
        <v>0</v>
      </c>
      <c r="AA130" s="213">
        <v>0</v>
      </c>
      <c r="AB130" s="218">
        <v>0</v>
      </c>
    </row>
    <row r="131" spans="1:28" x14ac:dyDescent="0.25">
      <c r="A131" s="4"/>
      <c r="B131" s="35" t="s">
        <v>38</v>
      </c>
      <c r="C131" s="215">
        <v>0</v>
      </c>
      <c r="D131" s="213">
        <v>0</v>
      </c>
      <c r="E131" s="213">
        <v>0</v>
      </c>
      <c r="F131" s="213">
        <v>0</v>
      </c>
      <c r="G131" s="213">
        <v>0</v>
      </c>
      <c r="H131" s="213">
        <v>0</v>
      </c>
      <c r="I131" s="213">
        <v>0</v>
      </c>
      <c r="J131" s="213">
        <v>0</v>
      </c>
      <c r="K131" s="213">
        <v>0</v>
      </c>
      <c r="L131" s="218">
        <v>0</v>
      </c>
      <c r="M131" s="215">
        <v>0</v>
      </c>
      <c r="N131" s="213">
        <v>0</v>
      </c>
      <c r="O131" s="213">
        <v>0</v>
      </c>
      <c r="P131" s="213">
        <v>0</v>
      </c>
      <c r="Q131" s="213">
        <v>0</v>
      </c>
      <c r="R131" s="213">
        <v>0</v>
      </c>
      <c r="S131" s="213">
        <v>0</v>
      </c>
      <c r="T131" s="213">
        <v>0</v>
      </c>
      <c r="U131" s="218">
        <v>0</v>
      </c>
      <c r="V131" s="215">
        <v>0</v>
      </c>
      <c r="W131" s="213">
        <v>0</v>
      </c>
      <c r="X131" s="213">
        <v>0</v>
      </c>
      <c r="Y131" s="213">
        <v>0</v>
      </c>
      <c r="Z131" s="213">
        <v>0</v>
      </c>
      <c r="AA131" s="213">
        <v>0</v>
      </c>
      <c r="AB131" s="218">
        <v>0</v>
      </c>
    </row>
    <row r="132" spans="1:28" x14ac:dyDescent="0.25">
      <c r="A132" s="4"/>
      <c r="B132" s="35" t="s">
        <v>39</v>
      </c>
      <c r="C132" s="215">
        <v>0</v>
      </c>
      <c r="D132" s="213">
        <v>0</v>
      </c>
      <c r="E132" s="213">
        <v>0</v>
      </c>
      <c r="F132" s="213">
        <v>0</v>
      </c>
      <c r="G132" s="213">
        <v>0</v>
      </c>
      <c r="H132" s="213">
        <v>0</v>
      </c>
      <c r="I132" s="213">
        <v>0</v>
      </c>
      <c r="J132" s="213">
        <v>0</v>
      </c>
      <c r="K132" s="213">
        <v>0</v>
      </c>
      <c r="L132" s="218">
        <v>0</v>
      </c>
      <c r="M132" s="215">
        <v>0</v>
      </c>
      <c r="N132" s="213">
        <v>0</v>
      </c>
      <c r="O132" s="213">
        <v>0</v>
      </c>
      <c r="P132" s="213">
        <v>0</v>
      </c>
      <c r="Q132" s="213">
        <v>0</v>
      </c>
      <c r="R132" s="213">
        <v>0</v>
      </c>
      <c r="S132" s="213">
        <v>0</v>
      </c>
      <c r="T132" s="213">
        <v>0</v>
      </c>
      <c r="U132" s="218">
        <v>0</v>
      </c>
      <c r="V132" s="215">
        <v>0</v>
      </c>
      <c r="W132" s="213">
        <v>0</v>
      </c>
      <c r="X132" s="213">
        <v>0</v>
      </c>
      <c r="Y132" s="213">
        <v>0</v>
      </c>
      <c r="Z132" s="213">
        <v>0</v>
      </c>
      <c r="AA132" s="213">
        <v>0</v>
      </c>
      <c r="AB132" s="218">
        <v>0</v>
      </c>
    </row>
    <row r="133" spans="1:28" x14ac:dyDescent="0.25">
      <c r="A133" s="4"/>
      <c r="B133" s="35" t="s">
        <v>40</v>
      </c>
      <c r="C133" s="216">
        <v>0</v>
      </c>
      <c r="D133" s="213">
        <v>0</v>
      </c>
      <c r="E133" s="213">
        <v>0</v>
      </c>
      <c r="F133" s="213">
        <v>0</v>
      </c>
      <c r="G133" s="213">
        <v>0</v>
      </c>
      <c r="H133" s="213">
        <v>0</v>
      </c>
      <c r="I133" s="213">
        <v>0</v>
      </c>
      <c r="J133" s="213">
        <v>0</v>
      </c>
      <c r="K133" s="213">
        <v>0</v>
      </c>
      <c r="L133" s="219">
        <v>0</v>
      </c>
      <c r="M133" s="216">
        <v>0</v>
      </c>
      <c r="N133" s="237">
        <v>0</v>
      </c>
      <c r="O133" s="237">
        <v>0</v>
      </c>
      <c r="P133" s="237">
        <v>0</v>
      </c>
      <c r="Q133" s="237">
        <v>0</v>
      </c>
      <c r="R133" s="237">
        <v>0</v>
      </c>
      <c r="S133" s="237">
        <v>0</v>
      </c>
      <c r="T133" s="237">
        <v>0</v>
      </c>
      <c r="U133" s="219">
        <v>0</v>
      </c>
      <c r="V133" s="216">
        <v>0</v>
      </c>
      <c r="W133" s="237">
        <v>0</v>
      </c>
      <c r="X133" s="237">
        <v>0</v>
      </c>
      <c r="Y133" s="237">
        <v>0</v>
      </c>
      <c r="Z133" s="237">
        <v>0</v>
      </c>
      <c r="AA133" s="237">
        <v>0</v>
      </c>
      <c r="AB133" s="219">
        <v>0</v>
      </c>
    </row>
    <row r="134" spans="1:28" ht="15.75" thickBot="1" x14ac:dyDescent="0.3">
      <c r="A134" s="4"/>
      <c r="B134" s="36" t="s">
        <v>41</v>
      </c>
      <c r="C134" s="220">
        <f>SUM(C129:C133)</f>
        <v>94</v>
      </c>
      <c r="D134" s="201">
        <f>SUM(D129:D133)</f>
        <v>42</v>
      </c>
      <c r="E134" s="201">
        <f t="shared" ref="E134:V134" si="31">SUM(E129:E133)</f>
        <v>48</v>
      </c>
      <c r="F134" s="201">
        <f t="shared" si="31"/>
        <v>43</v>
      </c>
      <c r="G134" s="201">
        <f t="shared" si="31"/>
        <v>24</v>
      </c>
      <c r="H134" s="201">
        <f t="shared" si="31"/>
        <v>43</v>
      </c>
      <c r="I134" s="201">
        <f t="shared" si="31"/>
        <v>47</v>
      </c>
      <c r="J134" s="201">
        <f t="shared" si="31"/>
        <v>0</v>
      </c>
      <c r="K134" s="201">
        <f t="shared" si="31"/>
        <v>0</v>
      </c>
      <c r="L134" s="221">
        <f t="shared" si="31"/>
        <v>0</v>
      </c>
      <c r="M134" s="152">
        <f t="shared" si="31"/>
        <v>0</v>
      </c>
      <c r="N134" s="201">
        <f t="shared" si="31"/>
        <v>0</v>
      </c>
      <c r="O134" s="152">
        <f t="shared" si="31"/>
        <v>0</v>
      </c>
      <c r="P134" s="152">
        <f t="shared" si="31"/>
        <v>0</v>
      </c>
      <c r="Q134" s="152">
        <f t="shared" si="31"/>
        <v>0</v>
      </c>
      <c r="R134" s="152">
        <f t="shared" si="31"/>
        <v>0</v>
      </c>
      <c r="S134" s="152">
        <f t="shared" si="31"/>
        <v>0</v>
      </c>
      <c r="T134" s="152">
        <f t="shared" si="31"/>
        <v>0</v>
      </c>
      <c r="U134" s="153">
        <f t="shared" si="31"/>
        <v>0</v>
      </c>
      <c r="V134" s="248">
        <f t="shared" si="31"/>
        <v>0</v>
      </c>
      <c r="W134" s="152">
        <v>0</v>
      </c>
      <c r="X134" s="152">
        <v>0</v>
      </c>
      <c r="Y134" s="152">
        <v>0</v>
      </c>
      <c r="Z134" s="152">
        <v>0</v>
      </c>
      <c r="AA134" s="152">
        <v>0</v>
      </c>
      <c r="AB134" s="152">
        <v>0</v>
      </c>
    </row>
    <row r="135" spans="1:28" ht="15.75" thickTop="1" x14ac:dyDescent="0.25">
      <c r="A135" s="4"/>
    </row>
    <row r="136" spans="1:28" x14ac:dyDescent="0.25">
      <c r="B136" s="1" t="s">
        <v>27</v>
      </c>
    </row>
    <row r="137" spans="1:28" x14ac:dyDescent="0.25">
      <c r="B137" s="33" t="s">
        <v>28</v>
      </c>
    </row>
    <row r="140" spans="1:28" x14ac:dyDescent="0.25">
      <c r="B140" s="34" t="s">
        <v>26</v>
      </c>
    </row>
    <row r="141" spans="1:28" ht="97.5" customHeight="1" x14ac:dyDescent="0.25">
      <c r="B141" s="228"/>
      <c r="C141" s="257"/>
      <c r="D141" s="257"/>
      <c r="E141" s="257"/>
      <c r="F141" s="257"/>
      <c r="G141" s="257"/>
      <c r="H141" s="257"/>
      <c r="I141" s="257"/>
      <c r="J141" s="257"/>
      <c r="K141" s="257"/>
      <c r="L141" s="257"/>
    </row>
    <row r="142" spans="1:28" ht="52.5" customHeight="1" x14ac:dyDescent="0.25">
      <c r="B142" s="228"/>
      <c r="C142" s="261"/>
      <c r="D142" s="261"/>
      <c r="E142" s="261"/>
      <c r="F142" s="261"/>
      <c r="G142" s="261"/>
      <c r="H142" s="261"/>
      <c r="I142" s="261"/>
      <c r="J142" s="261"/>
      <c r="K142" s="261"/>
      <c r="L142" s="261"/>
    </row>
    <row r="143" spans="1:28" ht="36.75" customHeight="1" x14ac:dyDescent="0.25">
      <c r="B143" s="228"/>
      <c r="C143" s="257"/>
      <c r="D143" s="257"/>
      <c r="E143" s="257"/>
      <c r="F143" s="257"/>
      <c r="G143" s="257"/>
      <c r="H143" s="257"/>
      <c r="I143" s="257"/>
      <c r="J143" s="257"/>
      <c r="K143" s="257"/>
      <c r="L143" s="257"/>
    </row>
    <row r="144" spans="1:28" ht="54" customHeight="1" x14ac:dyDescent="0.25">
      <c r="B144" s="228"/>
      <c r="C144" s="257"/>
      <c r="D144" s="257"/>
      <c r="E144" s="257"/>
      <c r="F144" s="257"/>
      <c r="G144" s="257"/>
      <c r="H144" s="257"/>
      <c r="I144" s="257"/>
      <c r="J144" s="257"/>
      <c r="K144" s="257"/>
      <c r="L144" s="257"/>
    </row>
  </sheetData>
  <mergeCells count="8">
    <mergeCell ref="C142:L142"/>
    <mergeCell ref="C143:L143"/>
    <mergeCell ref="C144:L144"/>
    <mergeCell ref="B1:W1"/>
    <mergeCell ref="C2:I2"/>
    <mergeCell ref="C3:I3"/>
    <mergeCell ref="C4:I4"/>
    <mergeCell ref="C141:L141"/>
  </mergeCells>
  <pageMargins left="0.7" right="0.7" top="0.75" bottom="0.75" header="0.3" footer="0.3"/>
  <pageSetup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973B56-30BF-46F7-B54B-548DFB8C7C52}">
  <ds:schemaRefs>
    <ds:schemaRef ds:uri="http://schemas.microsoft.com/office/2006/documentManagement/types"/>
    <ds:schemaRef ds:uri="http://schemas.openxmlformats.org/package/2006/metadata/core-properties"/>
    <ds:schemaRef ds:uri="f0d9c22b-fcf1-4ac5-af28-836ba5e16df8"/>
    <ds:schemaRef ds:uri="http://purl.org/dc/terms/"/>
    <ds:schemaRef ds:uri="http://schemas.microsoft.com/office/2006/metadata/properties"/>
    <ds:schemaRef ds:uri="http://schemas.microsoft.com/office/infopath/2007/PartnerControls"/>
    <ds:schemaRef ds:uri="http://purl.org/dc/dcmitype/"/>
    <ds:schemaRef ds:uri="a2e695b4-9150-42fe-b9c3-37332672e6b0"/>
    <ds:schemaRef ds:uri="http://www.w3.org/XML/1998/namespace"/>
    <ds:schemaRef ds:uri="http://purl.org/dc/elements/1.1/"/>
  </ds:schemaRefs>
</ds:datastoreItem>
</file>

<file path=customXml/itemProps3.xml><?xml version="1.0" encoding="utf-8"?>
<ds:datastoreItem xmlns:ds="http://schemas.openxmlformats.org/officeDocument/2006/customXml" ds:itemID="{B981A640-6DF5-48E0-8FE9-3742042AE8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vt:lpstr>
      <vt:lpstr>Weekly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R.J. Ritchie</cp:lastModifiedBy>
  <cp:lastPrinted>2020-04-09T15:18:08Z</cp:lastPrinted>
  <dcterms:created xsi:type="dcterms:W3CDTF">2020-04-08T09:56:20Z</dcterms:created>
  <dcterms:modified xsi:type="dcterms:W3CDTF">2020-10-09T14:43:06Z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