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Regulatory\DPU Files\2020 - DPU\COVID-19 (Pandemic)\Arrearage Data Reporting\"/>
    </mc:Choice>
  </mc:AlternateContent>
  <bookViews>
    <workbookView xWindow="0" yWindow="0" windowWidth="24000" windowHeight="9735"/>
  </bookViews>
  <sheets>
    <sheet name="Monthly" sheetId="2" r:id="rId1"/>
    <sheet name="Weekly"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4" i="3" l="1"/>
  <c r="AF13" i="3"/>
  <c r="AF12" i="3"/>
  <c r="AF11" i="3"/>
  <c r="AF10" i="3"/>
  <c r="AF127" i="3"/>
  <c r="AF126" i="3"/>
  <c r="AF125" i="3"/>
  <c r="AF124" i="3"/>
  <c r="AF123" i="3"/>
  <c r="AF122" i="3"/>
  <c r="AF120" i="3"/>
  <c r="AF113" i="3"/>
  <c r="AF92" i="3"/>
  <c r="AF78" i="3"/>
  <c r="AF68" i="3"/>
  <c r="AF67" i="3"/>
  <c r="AF66" i="3"/>
  <c r="AF70" i="3"/>
  <c r="AF69" i="3"/>
  <c r="AF85" i="3"/>
  <c r="AF95" i="3"/>
  <c r="AF96" i="3"/>
  <c r="AF97" i="3"/>
  <c r="AF98" i="3"/>
  <c r="AF94" i="3"/>
  <c r="AF106" i="3"/>
  <c r="AF64" i="3"/>
  <c r="AF60" i="3"/>
  <c r="AF61" i="3"/>
  <c r="AF62" i="3"/>
  <c r="AF63" i="3"/>
  <c r="AF59" i="3"/>
  <c r="AF57" i="3"/>
  <c r="AF50" i="3"/>
  <c r="AF43" i="3"/>
  <c r="AE43" i="3"/>
  <c r="AF36" i="3"/>
  <c r="AF29" i="3"/>
  <c r="AF22" i="3"/>
  <c r="AD141" i="2"/>
  <c r="AD137" i="2"/>
  <c r="AD138" i="2"/>
  <c r="AD139" i="2"/>
  <c r="AD140" i="2"/>
  <c r="AD136" i="2"/>
  <c r="AD134" i="2"/>
  <c r="AD130" i="2"/>
  <c r="AD131" i="2"/>
  <c r="AD132" i="2"/>
  <c r="AD133" i="2"/>
  <c r="AD129" i="2"/>
  <c r="AD127" i="2"/>
  <c r="AD123" i="2"/>
  <c r="AD124" i="2"/>
  <c r="AD125" i="2"/>
  <c r="AD126" i="2"/>
  <c r="AD122" i="2"/>
  <c r="AD120" i="2"/>
  <c r="AD116" i="2"/>
  <c r="AD117" i="2"/>
  <c r="AD118" i="2"/>
  <c r="AD119" i="2"/>
  <c r="AD115" i="2"/>
  <c r="AD113" i="2"/>
  <c r="AD109" i="2"/>
  <c r="AD110" i="2"/>
  <c r="AD111" i="2"/>
  <c r="AD112" i="2"/>
  <c r="AD108" i="2"/>
  <c r="AD106" i="2"/>
  <c r="AD102" i="2"/>
  <c r="AD103" i="2"/>
  <c r="AD104" i="2"/>
  <c r="AD105" i="2"/>
  <c r="AD101" i="2"/>
  <c r="AD99" i="2"/>
  <c r="AD95" i="2"/>
  <c r="AD96" i="2"/>
  <c r="AD97" i="2"/>
  <c r="AD98" i="2"/>
  <c r="AD94" i="2"/>
  <c r="AD88" i="2"/>
  <c r="AD89" i="2"/>
  <c r="AD90" i="2"/>
  <c r="AD91" i="2"/>
  <c r="AD92" i="2"/>
  <c r="AD87" i="2"/>
  <c r="AD85" i="2"/>
  <c r="AD81" i="2"/>
  <c r="AD82" i="2"/>
  <c r="AD83" i="2"/>
  <c r="AD84" i="2"/>
  <c r="AD80" i="2"/>
  <c r="AD78" i="2"/>
  <c r="AD74" i="2"/>
  <c r="AD75" i="2"/>
  <c r="AD76" i="2"/>
  <c r="AD77" i="2"/>
  <c r="AD73" i="2"/>
  <c r="AD10" i="2"/>
  <c r="V127" i="2"/>
  <c r="AF15" i="3" l="1"/>
  <c r="AF71" i="3"/>
  <c r="AF99" i="3"/>
  <c r="V141" i="2"/>
  <c r="V134" i="2"/>
  <c r="V116" i="2" l="1"/>
  <c r="V117" i="2"/>
  <c r="V118" i="2"/>
  <c r="V119" i="2"/>
  <c r="V120" i="2"/>
  <c r="V115" i="2"/>
  <c r="V113" i="2"/>
  <c r="V106" i="2"/>
  <c r="V99" i="2"/>
  <c r="V95" i="2"/>
  <c r="V96" i="2"/>
  <c r="V97" i="2"/>
  <c r="V98" i="2"/>
  <c r="V94" i="2"/>
  <c r="V80" i="2"/>
  <c r="V85" i="2"/>
  <c r="V84" i="2"/>
  <c r="V83" i="2"/>
  <c r="V82" i="2"/>
  <c r="V81" i="2"/>
  <c r="V77" i="2"/>
  <c r="V76" i="2"/>
  <c r="V75" i="2"/>
  <c r="V74" i="2"/>
  <c r="V73" i="2"/>
  <c r="V78" i="2" l="1"/>
  <c r="AD71" i="2"/>
  <c r="AD67" i="2"/>
  <c r="AD68" i="2"/>
  <c r="AD69" i="2"/>
  <c r="AD70" i="2"/>
  <c r="AD66" i="2"/>
  <c r="AD64" i="2"/>
  <c r="AD60" i="2"/>
  <c r="AD61" i="2"/>
  <c r="AD62" i="2"/>
  <c r="AD63" i="2"/>
  <c r="AD59" i="2"/>
  <c r="AD57" i="2"/>
  <c r="AD53" i="2"/>
  <c r="AD54" i="2"/>
  <c r="AD55" i="2"/>
  <c r="AD56" i="2"/>
  <c r="AD52" i="2"/>
  <c r="AD50" i="2"/>
  <c r="AD46" i="2"/>
  <c r="AD47" i="2"/>
  <c r="AD48" i="2"/>
  <c r="AD49" i="2"/>
  <c r="AD45" i="2"/>
  <c r="AD43" i="2"/>
  <c r="AD39" i="2"/>
  <c r="AD40" i="2"/>
  <c r="AD41" i="2"/>
  <c r="AD42" i="2"/>
  <c r="AD38" i="2"/>
  <c r="AD36" i="2"/>
  <c r="AD32" i="2"/>
  <c r="AD33" i="2"/>
  <c r="AD34" i="2"/>
  <c r="AD35" i="2"/>
  <c r="AD31" i="2"/>
  <c r="AD29" i="2"/>
  <c r="AD25" i="2"/>
  <c r="AD26" i="2"/>
  <c r="AD27" i="2"/>
  <c r="AD28" i="2"/>
  <c r="AD24" i="2"/>
  <c r="AD22" i="2"/>
  <c r="AD18" i="2"/>
  <c r="AD19" i="2"/>
  <c r="AD20" i="2"/>
  <c r="AD21" i="2"/>
  <c r="AD17" i="2"/>
  <c r="AD15" i="2"/>
  <c r="AD11" i="2"/>
  <c r="AD12" i="2"/>
  <c r="AD13" i="2"/>
  <c r="AD14" i="2"/>
  <c r="V71" i="2"/>
  <c r="V67" i="2"/>
  <c r="V68" i="2"/>
  <c r="V69" i="2"/>
  <c r="V70" i="2"/>
  <c r="V66" i="2"/>
  <c r="V64" i="2"/>
  <c r="V57" i="2"/>
  <c r="V50" i="2"/>
  <c r="V14" i="2"/>
  <c r="V13" i="2"/>
  <c r="V12" i="2"/>
  <c r="V11" i="2"/>
  <c r="V10" i="2"/>
  <c r="V21" i="2" l="1"/>
  <c r="V20" i="2"/>
  <c r="V19" i="2"/>
  <c r="V18" i="2"/>
  <c r="V17" i="2"/>
  <c r="V43" i="2"/>
  <c r="V15" i="2"/>
  <c r="V36" i="2"/>
  <c r="V29" i="2"/>
  <c r="V22" i="2" l="1"/>
  <c r="AE134" i="3"/>
  <c r="AE127" i="3"/>
  <c r="AE124" i="3"/>
  <c r="AE123" i="3"/>
  <c r="AE122" i="3"/>
  <c r="AE120" i="3"/>
  <c r="AE113" i="3"/>
  <c r="AE106" i="3"/>
  <c r="AE94" i="3"/>
  <c r="AE99" i="3" s="1"/>
  <c r="AE95" i="3"/>
  <c r="AE96" i="3"/>
  <c r="AE97" i="3"/>
  <c r="AE98" i="3"/>
  <c r="AE92" i="3"/>
  <c r="AE85" i="3"/>
  <c r="AE78" i="3"/>
  <c r="AE66" i="3"/>
  <c r="AE71" i="3" s="1"/>
  <c r="AE70" i="3"/>
  <c r="AE69" i="3"/>
  <c r="AE68" i="3"/>
  <c r="AE67" i="3"/>
  <c r="AE14" i="3" l="1"/>
  <c r="AE13" i="3"/>
  <c r="AE12" i="3"/>
  <c r="AE11" i="3"/>
  <c r="AE10" i="3"/>
  <c r="AE60" i="3"/>
  <c r="AE61" i="3"/>
  <c r="AE62" i="3"/>
  <c r="AE63" i="3"/>
  <c r="AE59" i="3"/>
  <c r="AE64" i="3"/>
  <c r="AE57" i="3"/>
  <c r="AE50" i="3"/>
  <c r="AE36" i="3"/>
  <c r="AE29" i="3"/>
  <c r="AE22" i="3"/>
  <c r="AE15" i="3" l="1"/>
  <c r="AC81" i="2"/>
  <c r="AC82" i="2"/>
  <c r="AC83" i="2"/>
  <c r="AC85" i="2" s="1"/>
  <c r="AC84" i="2"/>
  <c r="AC80" i="2"/>
  <c r="AB46" i="2"/>
  <c r="AB45" i="2"/>
  <c r="AD123" i="3" l="1"/>
  <c r="AD122" i="3"/>
  <c r="AB134" i="3"/>
  <c r="AD134" i="3"/>
  <c r="AD66" i="3" l="1"/>
  <c r="AD71" i="3"/>
  <c r="AD70" i="3"/>
  <c r="AD69" i="3"/>
  <c r="AD68" i="3"/>
  <c r="AD67" i="3"/>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7" i="3"/>
  <c r="AC125" i="3"/>
  <c r="AC124" i="3"/>
  <c r="AC123" i="3"/>
  <c r="AC122" i="3"/>
  <c r="AC120" i="3"/>
  <c r="AC113" i="3"/>
  <c r="AC106" i="3"/>
  <c r="AC94" i="3"/>
  <c r="AC99" i="3"/>
  <c r="AB99" i="3"/>
  <c r="AA99" i="3"/>
  <c r="Z99" i="3"/>
  <c r="AA95" i="3"/>
  <c r="AB95" i="3"/>
  <c r="AC95" i="3"/>
  <c r="AA96" i="3"/>
  <c r="AB96" i="3"/>
  <c r="AC96" i="3"/>
  <c r="AA97" i="3"/>
  <c r="AB97" i="3"/>
  <c r="AC97" i="3"/>
  <c r="AA98" i="3"/>
  <c r="AB98" i="3"/>
  <c r="AC98" i="3"/>
  <c r="AA94" i="3"/>
  <c r="AB94" i="3"/>
  <c r="AC92" i="3"/>
  <c r="AC85" i="3"/>
  <c r="AC78" i="3"/>
  <c r="AC69" i="3"/>
  <c r="AC68" i="3"/>
  <c r="AC67" i="3"/>
  <c r="AC66" i="3"/>
  <c r="AC71" i="3" l="1"/>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4" i="3"/>
  <c r="AB60" i="3"/>
  <c r="AB61" i="3"/>
  <c r="AB62" i="3"/>
  <c r="AB63" i="3"/>
  <c r="AB59" i="3"/>
  <c r="AB14" i="3"/>
  <c r="AB13" i="3"/>
  <c r="AB12" i="3"/>
  <c r="AB11" i="3"/>
  <c r="AB10" i="3"/>
  <c r="AB127" i="3" l="1"/>
  <c r="AB120" i="3"/>
  <c r="AB113" i="3"/>
  <c r="AB106" i="3"/>
  <c r="AB92" i="3"/>
  <c r="AB85" i="3"/>
  <c r="AB78" i="3"/>
  <c r="AB71" i="3"/>
  <c r="AB57" i="3"/>
  <c r="AB50" i="3"/>
  <c r="AB43" i="3"/>
  <c r="AB36" i="3"/>
  <c r="AB29" i="3"/>
  <c r="AB22" i="3"/>
  <c r="AB15" i="3"/>
  <c r="U95" i="2" l="1"/>
  <c r="U96" i="2"/>
  <c r="U97" i="2"/>
  <c r="U98" i="2"/>
  <c r="U94" i="2"/>
  <c r="U99" i="2" s="1"/>
  <c r="U77" i="2" l="1"/>
  <c r="U76" i="2"/>
  <c r="U75" i="2"/>
  <c r="U74" i="2"/>
  <c r="U73" i="2"/>
  <c r="U14" i="2" l="1"/>
  <c r="U13" i="2"/>
  <c r="U10" i="2"/>
  <c r="U12" i="2"/>
  <c r="U11" i="2"/>
  <c r="U21" i="2" l="1"/>
  <c r="U20" i="2"/>
  <c r="U19" i="2"/>
  <c r="U18" i="2"/>
  <c r="U17" i="2"/>
  <c r="AA125" i="3" l="1"/>
  <c r="AA124" i="3"/>
  <c r="AA123" i="3"/>
  <c r="AA122" i="3"/>
  <c r="AA64" i="3"/>
  <c r="AA71" i="3"/>
  <c r="AA78" i="3"/>
  <c r="Z78" i="3"/>
  <c r="AA68" i="3"/>
  <c r="AA66" i="3"/>
  <c r="AA70" i="3"/>
  <c r="AA69" i="3"/>
  <c r="AA67" i="3"/>
  <c r="U85" i="2"/>
  <c r="AA14" i="3"/>
  <c r="AA13" i="3"/>
  <c r="AA12" i="3"/>
  <c r="AA11" i="3"/>
  <c r="AA10" i="3"/>
  <c r="AA127" i="3" l="1"/>
  <c r="AA120" i="3"/>
  <c r="AA113" i="3"/>
  <c r="AA106" i="3"/>
  <c r="AA92" i="3"/>
  <c r="AA85" i="3"/>
  <c r="AA63" i="3"/>
  <c r="AA62" i="3"/>
  <c r="AA61" i="3"/>
  <c r="AA60" i="3"/>
  <c r="AA59" i="3"/>
  <c r="AA57" i="3"/>
  <c r="AA50" i="3"/>
  <c r="AA43" i="3"/>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71" i="3" s="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64" i="3" l="1"/>
  <c r="Y99" i="3"/>
  <c r="Y64" i="3"/>
  <c r="X99" i="3"/>
  <c r="X15" i="3"/>
  <c r="X64" i="3"/>
  <c r="AI59" i="2"/>
  <c r="AI58" i="2"/>
  <c r="AH59" i="2"/>
  <c r="AH58" i="2"/>
  <c r="AG59" i="2"/>
  <c r="AG58" i="2"/>
  <c r="AF59" i="2"/>
  <c r="AF58" i="2"/>
  <c r="T80" i="2"/>
  <c r="T82" i="2"/>
  <c r="T84" i="2"/>
  <c r="T83" i="2"/>
  <c r="T81" i="2"/>
  <c r="T77" i="2"/>
  <c r="T76" i="2"/>
  <c r="T75" i="2"/>
  <c r="T74" i="2"/>
  <c r="T73" i="2"/>
  <c r="T21" i="2" l="1"/>
  <c r="T20" i="2"/>
  <c r="T19" i="2"/>
  <c r="T18" i="2"/>
  <c r="T17" i="2"/>
  <c r="T14" i="2"/>
  <c r="T13" i="2"/>
  <c r="T12" i="2"/>
  <c r="T11" i="2"/>
  <c r="T10" i="2"/>
  <c r="W127" i="3" l="1"/>
  <c r="W125" i="3"/>
  <c r="W124" i="3"/>
  <c r="W123" i="3"/>
  <c r="W122" i="3"/>
  <c r="W78" i="3"/>
  <c r="W68" i="3"/>
  <c r="W66" i="3"/>
  <c r="W71" i="3" s="1"/>
  <c r="W70" i="3"/>
  <c r="W69" i="3"/>
  <c r="W67" i="3"/>
  <c r="W92" i="3" l="1"/>
  <c r="W85" i="3"/>
  <c r="W95" i="3"/>
  <c r="W96" i="3"/>
  <c r="W97" i="3"/>
  <c r="W98" i="3"/>
  <c r="W94" i="3"/>
  <c r="W120" i="3"/>
  <c r="W113" i="3"/>
  <c r="W106" i="3"/>
  <c r="W14" i="3"/>
  <c r="W13" i="3"/>
  <c r="W12" i="3"/>
  <c r="W11" i="3"/>
  <c r="W10" i="3"/>
  <c r="W60" i="3"/>
  <c r="W61" i="3"/>
  <c r="W62" i="3"/>
  <c r="W63" i="3"/>
  <c r="W64" i="3"/>
  <c r="W59" i="3"/>
  <c r="W57" i="3"/>
  <c r="W50" i="3"/>
  <c r="W43" i="3"/>
  <c r="W29" i="3"/>
  <c r="W22" i="3"/>
  <c r="W99" i="3" l="1"/>
  <c r="W15" i="3"/>
  <c r="V125" i="3"/>
  <c r="V124" i="3"/>
  <c r="V123" i="3"/>
  <c r="V127" i="3" s="1"/>
  <c r="V122" i="3"/>
  <c r="V68" i="3"/>
  <c r="V66" i="3"/>
  <c r="V70" i="3"/>
  <c r="V71" i="3" s="1"/>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99" i="3" l="1"/>
  <c r="V64" i="3"/>
  <c r="V15" i="3"/>
  <c r="U66" i="3"/>
  <c r="U69" i="3"/>
  <c r="U70" i="3"/>
  <c r="U68" i="3"/>
  <c r="U67" i="3"/>
  <c r="U14" i="3"/>
  <c r="U13" i="3"/>
  <c r="U12" i="3"/>
  <c r="U11" i="3"/>
  <c r="U10" i="3"/>
  <c r="T70" i="3" l="1"/>
  <c r="T69" i="3"/>
  <c r="T68" i="3"/>
  <c r="T67" i="3"/>
  <c r="T66" i="3"/>
  <c r="T14" i="3"/>
  <c r="T13" i="3"/>
  <c r="T12" i="3"/>
  <c r="T11" i="3"/>
  <c r="T10" i="3"/>
  <c r="AG55" i="2" l="1"/>
  <c r="AI54" i="2"/>
  <c r="AH54" i="2"/>
  <c r="AH55" i="2"/>
  <c r="AI55" i="2" s="1"/>
  <c r="AG54" i="2"/>
  <c r="AF55" i="2"/>
  <c r="AF54" i="2"/>
  <c r="AF51" i="2"/>
  <c r="S77" i="2"/>
  <c r="S76" i="2"/>
  <c r="S75" i="2"/>
  <c r="S73" i="2"/>
  <c r="S74" i="2"/>
  <c r="S84" i="2" l="1"/>
  <c r="S83" i="2"/>
  <c r="S82" i="2"/>
  <c r="S81" i="2"/>
  <c r="S80" i="2"/>
  <c r="S14" i="2"/>
  <c r="S13" i="2"/>
  <c r="S12" i="2"/>
  <c r="S11" i="2"/>
  <c r="S10" i="2"/>
  <c r="S21" i="2" l="1"/>
  <c r="S20" i="2"/>
  <c r="S19" i="2"/>
  <c r="S18" i="2"/>
  <c r="S17" i="2"/>
  <c r="S69" i="3" l="1"/>
  <c r="S66" i="3"/>
  <c r="S70" i="3"/>
  <c r="S68" i="3"/>
  <c r="S67" i="3"/>
  <c r="S113" i="3"/>
  <c r="S15" i="3"/>
  <c r="S14" i="3"/>
  <c r="S13" i="3"/>
  <c r="S12" i="3"/>
  <c r="S11" i="3"/>
  <c r="S10" i="3"/>
  <c r="AF141" i="2" l="1"/>
  <c r="AI50" i="2"/>
  <c r="AI46" i="2"/>
  <c r="AE141" i="2"/>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AH51" i="2" l="1"/>
  <c r="AI51" i="2" s="1"/>
  <c r="AH50" i="2"/>
  <c r="AH46" i="2"/>
  <c r="AG51" i="2"/>
  <c r="AG50" i="2"/>
  <c r="AF50" i="2"/>
  <c r="AF46" i="2"/>
  <c r="R73" i="2"/>
  <c r="R77" i="2"/>
  <c r="R76" i="2"/>
  <c r="R75" i="2"/>
  <c r="R74" i="2"/>
  <c r="R84" i="2" l="1"/>
  <c r="R83" i="2"/>
  <c r="R82" i="2"/>
  <c r="R81" i="2"/>
  <c r="R80" i="2"/>
  <c r="R14" i="2"/>
  <c r="R13" i="2"/>
  <c r="R12" i="2"/>
  <c r="R11" i="2"/>
  <c r="R10" i="2"/>
  <c r="R21" i="2" l="1"/>
  <c r="R20" i="2"/>
  <c r="R19" i="2"/>
  <c r="R18" i="2"/>
  <c r="R17" i="2"/>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AG47" i="2" l="1"/>
  <c r="AF47" i="2"/>
  <c r="AG46" i="2"/>
  <c r="AH47" i="2" l="1"/>
  <c r="AI47" i="2" s="1"/>
  <c r="J68" i="3" l="1"/>
  <c r="J67" i="3"/>
  <c r="J66" i="3"/>
  <c r="J70" i="3"/>
  <c r="J69" i="3"/>
  <c r="J14" i="3"/>
  <c r="J13" i="3"/>
  <c r="J12" i="3"/>
  <c r="J11" i="3"/>
  <c r="J10" i="3"/>
  <c r="Q14" i="2" l="1"/>
  <c r="Q13" i="2"/>
  <c r="Q12" i="2"/>
  <c r="Q11" i="2"/>
  <c r="Q10" i="2"/>
  <c r="Q21" i="2" l="1"/>
  <c r="Q20" i="2"/>
  <c r="Q19" i="2"/>
  <c r="Q18" i="2"/>
  <c r="Q17" i="2"/>
  <c r="Q77" i="2"/>
  <c r="Q76" i="2"/>
  <c r="Q75" i="2"/>
  <c r="Q74" i="2"/>
  <c r="Q73" i="2"/>
  <c r="Q84" i="2" l="1"/>
  <c r="Q83" i="2"/>
  <c r="Q82" i="2"/>
  <c r="Q81" i="2"/>
  <c r="Q80" i="2"/>
  <c r="I69" i="3" l="1"/>
  <c r="I68" i="3" l="1"/>
  <c r="I71" i="3"/>
  <c r="I70" i="3"/>
  <c r="I67" i="3"/>
  <c r="I66" i="3"/>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P83" i="2"/>
  <c r="P82" i="2"/>
  <c r="P81" i="2"/>
  <c r="P80" i="2"/>
  <c r="P77" i="2" l="1"/>
  <c r="P76" i="2"/>
  <c r="P75" i="2"/>
  <c r="P74" i="2"/>
  <c r="P73" i="2"/>
  <c r="P20" i="2" l="1"/>
  <c r="P19" i="2"/>
  <c r="P18" i="2"/>
  <c r="P17" i="2"/>
  <c r="P21" i="2"/>
  <c r="P10" i="2"/>
  <c r="P12" i="2"/>
  <c r="P14" i="2"/>
  <c r="P13" i="2"/>
  <c r="P11" i="2"/>
  <c r="F13" i="3" l="1"/>
  <c r="F12" i="3"/>
  <c r="F11" i="3"/>
  <c r="F10" i="3"/>
  <c r="F14" i="3"/>
  <c r="F68" i="3"/>
  <c r="F66" i="3"/>
  <c r="F69" i="3"/>
  <c r="F70" i="3"/>
  <c r="F67" i="3"/>
  <c r="C134" i="3" l="1"/>
  <c r="E69" i="3" l="1"/>
  <c r="E68" i="3"/>
  <c r="E67" i="3"/>
  <c r="E66" i="3"/>
  <c r="E13" i="3"/>
  <c r="E12" i="3"/>
  <c r="E11" i="3"/>
  <c r="E10" i="3"/>
  <c r="E14" i="3"/>
  <c r="D106" i="3" l="1"/>
  <c r="D92" i="3"/>
  <c r="D68" i="3"/>
  <c r="D67" i="3"/>
  <c r="D71" i="3" s="1"/>
  <c r="D66" i="3"/>
  <c r="D70" i="3"/>
  <c r="D69" i="3"/>
  <c r="D10" i="3"/>
  <c r="D11" i="3"/>
  <c r="D12" i="3"/>
  <c r="D13" i="3"/>
  <c r="D14" i="3"/>
  <c r="C29" i="2" l="1"/>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W26" i="2"/>
  <c r="W27" i="2"/>
  <c r="W28" i="2"/>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T64" i="3" l="1"/>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O19" i="2"/>
  <c r="O18" i="2"/>
  <c r="O17" i="2"/>
  <c r="N21" i="2"/>
  <c r="N20" i="2"/>
  <c r="N19" i="2"/>
  <c r="N18" i="2"/>
  <c r="N17" i="2"/>
  <c r="M21" i="2"/>
  <c r="M20" i="2"/>
  <c r="M19" i="2"/>
  <c r="M18" i="2"/>
  <c r="M17" i="2"/>
  <c r="G99" i="3" l="1"/>
  <c r="R99" i="3"/>
  <c r="E99" i="3"/>
  <c r="P99" i="3"/>
  <c r="F99" i="3"/>
  <c r="D99" i="3"/>
  <c r="H99" i="3"/>
  <c r="H67" i="2"/>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W88" i="2" l="1"/>
  <c r="X88" i="2"/>
  <c r="Y88" i="2"/>
  <c r="Z88" i="2"/>
  <c r="AA88" i="2"/>
  <c r="AA92" i="2" s="1"/>
  <c r="AB88" i="2"/>
  <c r="AC88" i="2"/>
  <c r="W89" i="2"/>
  <c r="W92" i="2" s="1"/>
  <c r="X89" i="2"/>
  <c r="Y89" i="2"/>
  <c r="Z89" i="2"/>
  <c r="AA89" i="2"/>
  <c r="AB89" i="2"/>
  <c r="AC89" i="2"/>
  <c r="AC92" i="2" s="1"/>
  <c r="W90" i="2"/>
  <c r="X90" i="2"/>
  <c r="X92" i="2" s="1"/>
  <c r="Y90" i="2"/>
  <c r="Z90" i="2"/>
  <c r="AA90" i="2"/>
  <c r="AB90" i="2"/>
  <c r="AC90" i="2"/>
  <c r="W91" i="2"/>
  <c r="X91" i="2"/>
  <c r="Y91" i="2"/>
  <c r="Y92" i="2" s="1"/>
  <c r="Z91" i="2"/>
  <c r="AA91" i="2"/>
  <c r="AB91" i="2"/>
  <c r="AC91" i="2"/>
  <c r="AC87" i="2"/>
  <c r="AB87" i="2"/>
  <c r="AB92" i="2" s="1"/>
  <c r="AA87" i="2"/>
  <c r="Z87" i="2"/>
  <c r="Z92" i="2" s="1"/>
  <c r="Y87" i="2"/>
  <c r="X87" i="2"/>
  <c r="W87" i="2"/>
  <c r="W81" i="2"/>
  <c r="X81" i="2"/>
  <c r="Y81" i="2"/>
  <c r="Z81" i="2"/>
  <c r="AA81" i="2"/>
  <c r="AB81" i="2"/>
  <c r="W82" i="2"/>
  <c r="X82" i="2"/>
  <c r="Y82" i="2"/>
  <c r="Z82" i="2"/>
  <c r="AA82" i="2"/>
  <c r="AB82" i="2"/>
  <c r="W83" i="2"/>
  <c r="X83" i="2"/>
  <c r="Y83" i="2"/>
  <c r="Z83" i="2"/>
  <c r="AA83" i="2"/>
  <c r="AB83" i="2"/>
  <c r="W84" i="2"/>
  <c r="X84" i="2"/>
  <c r="Y84" i="2"/>
  <c r="Z84" i="2"/>
  <c r="AA84" i="2"/>
  <c r="AB84" i="2"/>
  <c r="AB80" i="2"/>
  <c r="AA80" i="2"/>
  <c r="Z80" i="2"/>
  <c r="Y80" i="2"/>
  <c r="X80" i="2"/>
  <c r="W80" i="2"/>
  <c r="W74" i="2"/>
  <c r="X74" i="2"/>
  <c r="Y74" i="2"/>
  <c r="Z74" i="2"/>
  <c r="AA74" i="2"/>
  <c r="AB74" i="2"/>
  <c r="AC74" i="2"/>
  <c r="W75" i="2"/>
  <c r="X75" i="2"/>
  <c r="Y75" i="2"/>
  <c r="Z75" i="2"/>
  <c r="AA75" i="2"/>
  <c r="AB75" i="2"/>
  <c r="AC75" i="2"/>
  <c r="W76" i="2"/>
  <c r="X76" i="2"/>
  <c r="Y76" i="2"/>
  <c r="Z76" i="2"/>
  <c r="AA76" i="2"/>
  <c r="AB76" i="2"/>
  <c r="AC76" i="2"/>
  <c r="W77" i="2"/>
  <c r="X77" i="2"/>
  <c r="Y77" i="2"/>
  <c r="Z77" i="2"/>
  <c r="AA77" i="2"/>
  <c r="AB77" i="2"/>
  <c r="AC77" i="2"/>
  <c r="AC73" i="2"/>
  <c r="AB73" i="2"/>
  <c r="AA73" i="2"/>
  <c r="Z73" i="2"/>
  <c r="Y73" i="2"/>
  <c r="X73" i="2"/>
  <c r="W73" i="2"/>
  <c r="W67" i="2"/>
  <c r="X67" i="2"/>
  <c r="Y67" i="2"/>
  <c r="Z67" i="2"/>
  <c r="AA67" i="2"/>
  <c r="AB67" i="2"/>
  <c r="AC67" i="2"/>
  <c r="W68" i="2"/>
  <c r="X68" i="2"/>
  <c r="Y68" i="2"/>
  <c r="Z68" i="2"/>
  <c r="AA68" i="2"/>
  <c r="AB68" i="2"/>
  <c r="AC68" i="2"/>
  <c r="W69" i="2"/>
  <c r="X69" i="2"/>
  <c r="Y69" i="2"/>
  <c r="Z69" i="2"/>
  <c r="AA69" i="2"/>
  <c r="AB69" i="2"/>
  <c r="AC69" i="2"/>
  <c r="W70" i="2"/>
  <c r="X70" i="2"/>
  <c r="Y70" i="2"/>
  <c r="Z70" i="2"/>
  <c r="AA70" i="2"/>
  <c r="AB70" i="2"/>
  <c r="AC70" i="2"/>
  <c r="AC66" i="2"/>
  <c r="AB66" i="2"/>
  <c r="AA66" i="2"/>
  <c r="Z66" i="2"/>
  <c r="Y66" i="2"/>
  <c r="X66" i="2"/>
  <c r="W66" i="2"/>
  <c r="W60" i="2"/>
  <c r="X60" i="2"/>
  <c r="Y60" i="2"/>
  <c r="Z60" i="2"/>
  <c r="AA60" i="2"/>
  <c r="AB60" i="2"/>
  <c r="AC60" i="2"/>
  <c r="W61" i="2"/>
  <c r="X61" i="2"/>
  <c r="Y61" i="2"/>
  <c r="Z61" i="2"/>
  <c r="AA61" i="2"/>
  <c r="AB61" i="2"/>
  <c r="AC61" i="2"/>
  <c r="W62" i="2"/>
  <c r="X62" i="2"/>
  <c r="Y62" i="2"/>
  <c r="Z62" i="2"/>
  <c r="AA62" i="2"/>
  <c r="AB62" i="2"/>
  <c r="AC62" i="2"/>
  <c r="W63" i="2"/>
  <c r="X63" i="2"/>
  <c r="Y63" i="2"/>
  <c r="Z63" i="2"/>
  <c r="AA63" i="2"/>
  <c r="AB63" i="2"/>
  <c r="AC63" i="2"/>
  <c r="AC59" i="2"/>
  <c r="AB59" i="2"/>
  <c r="AA59" i="2"/>
  <c r="Z59" i="2"/>
  <c r="Y59" i="2"/>
  <c r="X59" i="2"/>
  <c r="W59" i="2"/>
  <c r="W53" i="2"/>
  <c r="X53" i="2"/>
  <c r="Y53" i="2"/>
  <c r="Z53" i="2"/>
  <c r="AA53" i="2"/>
  <c r="AB53" i="2"/>
  <c r="AC53" i="2"/>
  <c r="W54" i="2"/>
  <c r="X54" i="2"/>
  <c r="Y54" i="2"/>
  <c r="Z54" i="2"/>
  <c r="AA54" i="2"/>
  <c r="AB54" i="2"/>
  <c r="AC54" i="2"/>
  <c r="W55" i="2"/>
  <c r="X55" i="2"/>
  <c r="Y55" i="2"/>
  <c r="Z55" i="2"/>
  <c r="AA55" i="2"/>
  <c r="AB55" i="2"/>
  <c r="AC55" i="2"/>
  <c r="W56" i="2"/>
  <c r="X56" i="2"/>
  <c r="Y56" i="2"/>
  <c r="Z56" i="2"/>
  <c r="AA56" i="2"/>
  <c r="AB56" i="2"/>
  <c r="AC56" i="2"/>
  <c r="AC52" i="2"/>
  <c r="AB52" i="2"/>
  <c r="AA52" i="2"/>
  <c r="Z52" i="2"/>
  <c r="Y52" i="2"/>
  <c r="X52" i="2"/>
  <c r="W52" i="2"/>
  <c r="W46" i="2"/>
  <c r="X46" i="2"/>
  <c r="Y46" i="2"/>
  <c r="Z46" i="2"/>
  <c r="AA46" i="2"/>
  <c r="AC46" i="2"/>
  <c r="W47" i="2"/>
  <c r="X47" i="2"/>
  <c r="Y47" i="2"/>
  <c r="Z47" i="2"/>
  <c r="AA47" i="2"/>
  <c r="AB47" i="2"/>
  <c r="AC47" i="2"/>
  <c r="W48" i="2"/>
  <c r="X48" i="2"/>
  <c r="Y48" i="2"/>
  <c r="Z48" i="2"/>
  <c r="AA48" i="2"/>
  <c r="AB48" i="2"/>
  <c r="AC48" i="2"/>
  <c r="W49" i="2"/>
  <c r="X49" i="2"/>
  <c r="Y49" i="2"/>
  <c r="Z49" i="2"/>
  <c r="AA49" i="2"/>
  <c r="AB49" i="2"/>
  <c r="AC49" i="2"/>
  <c r="AC45" i="2"/>
  <c r="AA45" i="2"/>
  <c r="Z45" i="2"/>
  <c r="Y45" i="2"/>
  <c r="X45" i="2"/>
  <c r="W45" i="2"/>
  <c r="W39" i="2"/>
  <c r="X39" i="2"/>
  <c r="Y39" i="2"/>
  <c r="Z39" i="2"/>
  <c r="AA39" i="2"/>
  <c r="AB39" i="2"/>
  <c r="AC39" i="2"/>
  <c r="W40" i="2"/>
  <c r="X40" i="2"/>
  <c r="Y40" i="2"/>
  <c r="Z40" i="2"/>
  <c r="AA40" i="2"/>
  <c r="AB40" i="2"/>
  <c r="AC40" i="2"/>
  <c r="W41" i="2"/>
  <c r="X41" i="2"/>
  <c r="Y41" i="2"/>
  <c r="Z41" i="2"/>
  <c r="AA41" i="2"/>
  <c r="AB41" i="2"/>
  <c r="AC41" i="2"/>
  <c r="W42" i="2"/>
  <c r="X42" i="2"/>
  <c r="Y42" i="2"/>
  <c r="Z42" i="2"/>
  <c r="AA42" i="2"/>
  <c r="AB42" i="2"/>
  <c r="AC42" i="2"/>
  <c r="AC38" i="2"/>
  <c r="AB38" i="2"/>
  <c r="AA38" i="2"/>
  <c r="Z38" i="2"/>
  <c r="Y38" i="2"/>
  <c r="X38" i="2"/>
  <c r="W38" i="2"/>
  <c r="W32" i="2"/>
  <c r="X32" i="2"/>
  <c r="Y32" i="2"/>
  <c r="Z32" i="2"/>
  <c r="AA32" i="2"/>
  <c r="AB32" i="2"/>
  <c r="AC32" i="2"/>
  <c r="W33" i="2"/>
  <c r="X33" i="2"/>
  <c r="Y33" i="2"/>
  <c r="Z33" i="2"/>
  <c r="AA33" i="2"/>
  <c r="AB33" i="2"/>
  <c r="AC33" i="2"/>
  <c r="W34" i="2"/>
  <c r="X34" i="2"/>
  <c r="Y34" i="2"/>
  <c r="Z34" i="2"/>
  <c r="AA34" i="2"/>
  <c r="AB34" i="2"/>
  <c r="AC34" i="2"/>
  <c r="W35" i="2"/>
  <c r="X35" i="2"/>
  <c r="Y35" i="2"/>
  <c r="Z35" i="2"/>
  <c r="AA35" i="2"/>
  <c r="AB35" i="2"/>
  <c r="AC35" i="2"/>
  <c r="AC31" i="2"/>
  <c r="AB31" i="2"/>
  <c r="AA31" i="2"/>
  <c r="Z31" i="2"/>
  <c r="Y31" i="2"/>
  <c r="X31" i="2"/>
  <c r="W31" i="2"/>
  <c r="W25" i="2"/>
  <c r="X25" i="2"/>
  <c r="Y25" i="2"/>
  <c r="Z25" i="2"/>
  <c r="AA25" i="2"/>
  <c r="AB25" i="2"/>
  <c r="AC25" i="2"/>
  <c r="X26" i="2"/>
  <c r="Y26" i="2"/>
  <c r="Z26" i="2"/>
  <c r="AA26" i="2"/>
  <c r="AB26" i="2"/>
  <c r="AC26" i="2"/>
  <c r="X27" i="2"/>
  <c r="Y27" i="2"/>
  <c r="Z27" i="2"/>
  <c r="AA27" i="2"/>
  <c r="AB27" i="2"/>
  <c r="AC27" i="2"/>
  <c r="X28" i="2"/>
  <c r="Y28" i="2"/>
  <c r="Z28" i="2"/>
  <c r="AA28" i="2"/>
  <c r="AB28" i="2"/>
  <c r="AC28" i="2"/>
  <c r="AC24" i="2"/>
  <c r="AB24" i="2"/>
  <c r="AA24" i="2"/>
  <c r="Z24" i="2"/>
  <c r="Y24" i="2"/>
  <c r="X24" i="2"/>
  <c r="W24" i="2"/>
  <c r="E29" i="2"/>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I50" i="2"/>
  <c r="J50" i="2"/>
  <c r="K50" i="2"/>
  <c r="L50" i="2"/>
  <c r="M50" i="2"/>
  <c r="N50" i="2"/>
  <c r="O50" i="2"/>
  <c r="P50" i="2"/>
  <c r="Q50" i="2"/>
  <c r="R50" i="2"/>
  <c r="S50" i="2"/>
  <c r="T50" i="2"/>
  <c r="U50" i="2"/>
  <c r="E57" i="2"/>
  <c r="F57" i="2"/>
  <c r="G57" i="2"/>
  <c r="H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K92" i="2"/>
  <c r="L92" i="2"/>
  <c r="M92" i="2"/>
  <c r="N92" i="2"/>
  <c r="O92" i="2"/>
  <c r="P92" i="2"/>
  <c r="Q92" i="2"/>
  <c r="R92" i="2"/>
  <c r="S92" i="2"/>
  <c r="T92" i="2"/>
  <c r="U92" i="2"/>
  <c r="D29" i="2"/>
  <c r="D36" i="2"/>
  <c r="D43" i="2"/>
  <c r="D50" i="2"/>
  <c r="D57" i="2"/>
  <c r="D64" i="2"/>
  <c r="D71" i="2"/>
  <c r="D85" i="2"/>
  <c r="D92" i="2"/>
  <c r="C92" i="2"/>
  <c r="C85" i="2"/>
  <c r="C78" i="2"/>
  <c r="C71" i="2"/>
  <c r="C64" i="2"/>
  <c r="C57" i="2"/>
  <c r="C50" i="2"/>
  <c r="C43" i="2"/>
  <c r="C36" i="2"/>
  <c r="Y17" i="2"/>
  <c r="Z17" i="2"/>
  <c r="AA17" i="2"/>
  <c r="AB17" i="2"/>
  <c r="AC17" i="2"/>
  <c r="Y18" i="2"/>
  <c r="Z18" i="2"/>
  <c r="AA18" i="2"/>
  <c r="AB18" i="2"/>
  <c r="AC18" i="2"/>
  <c r="Y19" i="2"/>
  <c r="Z19" i="2"/>
  <c r="AA19" i="2"/>
  <c r="AB19" i="2"/>
  <c r="AC19" i="2"/>
  <c r="Y20" i="2"/>
  <c r="Z20" i="2"/>
  <c r="AA20" i="2"/>
  <c r="AB20" i="2"/>
  <c r="AC20" i="2"/>
  <c r="Y21" i="2"/>
  <c r="Z21" i="2"/>
  <c r="AA21" i="2"/>
  <c r="AB21" i="2"/>
  <c r="AC21" i="2"/>
  <c r="X17" i="2"/>
  <c r="X18" i="2"/>
  <c r="X19" i="2"/>
  <c r="X20" i="2"/>
  <c r="X21" i="2"/>
  <c r="W18" i="2"/>
  <c r="W19" i="2"/>
  <c r="W20" i="2"/>
  <c r="W21" i="2"/>
  <c r="W17" i="2"/>
  <c r="E22" i="2"/>
  <c r="F22" i="2"/>
  <c r="G22" i="2"/>
  <c r="H22" i="2"/>
  <c r="I22" i="2"/>
  <c r="J22" i="2"/>
  <c r="K22" i="2"/>
  <c r="L22" i="2"/>
  <c r="M22" i="2"/>
  <c r="N22" i="2"/>
  <c r="O22" i="2"/>
  <c r="P22" i="2"/>
  <c r="Q22" i="2"/>
  <c r="R22" i="2"/>
  <c r="S22" i="2"/>
  <c r="T22" i="2"/>
  <c r="U22" i="2"/>
  <c r="D22" i="2"/>
  <c r="C22" i="2"/>
  <c r="Y10" i="2"/>
  <c r="Z10" i="2"/>
  <c r="AA10" i="2"/>
  <c r="AB10" i="2"/>
  <c r="AC10" i="2"/>
  <c r="Y11" i="2"/>
  <c r="Z11" i="2"/>
  <c r="AA11" i="2"/>
  <c r="AB11" i="2"/>
  <c r="AC11" i="2"/>
  <c r="Y12" i="2"/>
  <c r="Z12" i="2"/>
  <c r="AA12" i="2"/>
  <c r="AB12" i="2"/>
  <c r="AC12" i="2"/>
  <c r="Y13" i="2"/>
  <c r="Z13" i="2"/>
  <c r="AA13" i="2"/>
  <c r="AB13" i="2"/>
  <c r="AC13" i="2"/>
  <c r="Y14" i="2"/>
  <c r="Z14" i="2"/>
  <c r="AA14" i="2"/>
  <c r="AB14" i="2"/>
  <c r="AC14" i="2"/>
  <c r="X10" i="2"/>
  <c r="X11" i="2"/>
  <c r="X12" i="2"/>
  <c r="X13" i="2"/>
  <c r="X14" i="2"/>
  <c r="W11" i="2"/>
  <c r="W12" i="2"/>
  <c r="W13" i="2"/>
  <c r="W14" i="2"/>
  <c r="W10" i="2"/>
  <c r="M15" i="2"/>
  <c r="N15" i="2"/>
  <c r="O15" i="2"/>
  <c r="P15" i="2"/>
  <c r="Q15" i="2"/>
  <c r="R15" i="2"/>
  <c r="S15" i="2"/>
  <c r="T15" i="2"/>
  <c r="U15" i="2"/>
  <c r="Y136" i="2"/>
  <c r="Z136" i="2"/>
  <c r="AA136" i="2"/>
  <c r="AB136" i="2"/>
  <c r="AC136" i="2"/>
  <c r="Y137" i="2"/>
  <c r="Z137" i="2"/>
  <c r="AA137" i="2"/>
  <c r="AB137" i="2"/>
  <c r="AC137" i="2"/>
  <c r="Y138" i="2"/>
  <c r="Z138" i="2"/>
  <c r="AA138" i="2"/>
  <c r="AB138" i="2"/>
  <c r="AC138" i="2"/>
  <c r="Y139" i="2"/>
  <c r="Z139" i="2"/>
  <c r="AA139" i="2"/>
  <c r="AB139" i="2"/>
  <c r="AC139" i="2"/>
  <c r="Y140" i="2"/>
  <c r="Z140" i="2"/>
  <c r="AA140" i="2"/>
  <c r="AB140" i="2"/>
  <c r="AC140" i="2"/>
  <c r="X136" i="2"/>
  <c r="X137" i="2"/>
  <c r="X138" i="2"/>
  <c r="X139" i="2"/>
  <c r="X140" i="2"/>
  <c r="W137" i="2"/>
  <c r="W138" i="2"/>
  <c r="W139" i="2"/>
  <c r="W140" i="2"/>
  <c r="W136" i="2"/>
  <c r="E141" i="2"/>
  <c r="F141" i="2"/>
  <c r="G141" i="2"/>
  <c r="H141" i="2"/>
  <c r="I141" i="2"/>
  <c r="J141" i="2"/>
  <c r="K141" i="2"/>
  <c r="L141" i="2"/>
  <c r="M141" i="2"/>
  <c r="N141" i="2"/>
  <c r="O141" i="2"/>
  <c r="P141" i="2"/>
  <c r="Q141" i="2"/>
  <c r="R141" i="2"/>
  <c r="S141" i="2"/>
  <c r="T141" i="2"/>
  <c r="U141" i="2"/>
  <c r="D141" i="2"/>
  <c r="C141" i="2"/>
  <c r="Y129" i="2"/>
  <c r="Z129" i="2"/>
  <c r="AA129" i="2"/>
  <c r="AB129" i="2"/>
  <c r="AC129" i="2"/>
  <c r="Y130" i="2"/>
  <c r="Z130" i="2"/>
  <c r="AA130" i="2"/>
  <c r="AB130" i="2"/>
  <c r="AC130" i="2"/>
  <c r="Y131" i="2"/>
  <c r="Z131" i="2"/>
  <c r="AA131" i="2"/>
  <c r="AB131" i="2"/>
  <c r="AC131" i="2"/>
  <c r="Y132" i="2"/>
  <c r="Z132" i="2"/>
  <c r="AA132" i="2"/>
  <c r="AB132" i="2"/>
  <c r="AC132" i="2"/>
  <c r="Y133" i="2"/>
  <c r="Z133" i="2"/>
  <c r="AA133" i="2"/>
  <c r="AB133" i="2"/>
  <c r="AC133" i="2"/>
  <c r="X129" i="2"/>
  <c r="X130" i="2"/>
  <c r="X131" i="2"/>
  <c r="X132" i="2"/>
  <c r="X133" i="2"/>
  <c r="W130" i="2"/>
  <c r="W131" i="2"/>
  <c r="W132" i="2"/>
  <c r="W133" i="2"/>
  <c r="W129" i="2"/>
  <c r="E134" i="2"/>
  <c r="F134" i="2"/>
  <c r="G134" i="2"/>
  <c r="H134" i="2"/>
  <c r="I134" i="2"/>
  <c r="J134" i="2"/>
  <c r="K134" i="2"/>
  <c r="L134" i="2"/>
  <c r="M134" i="2"/>
  <c r="N134" i="2"/>
  <c r="O134" i="2"/>
  <c r="P134" i="2"/>
  <c r="Q134" i="2"/>
  <c r="R134" i="2"/>
  <c r="S134" i="2"/>
  <c r="T134" i="2"/>
  <c r="U134" i="2"/>
  <c r="D134" i="2"/>
  <c r="C134" i="2"/>
  <c r="Y122" i="2"/>
  <c r="Z122" i="2"/>
  <c r="AA122" i="2"/>
  <c r="AB122" i="2"/>
  <c r="AC122" i="2"/>
  <c r="Y123" i="2"/>
  <c r="Z123" i="2"/>
  <c r="AA123" i="2"/>
  <c r="AB123" i="2"/>
  <c r="AC123" i="2"/>
  <c r="Y124" i="2"/>
  <c r="Z124" i="2"/>
  <c r="AA124" i="2"/>
  <c r="AB124" i="2"/>
  <c r="AC124" i="2"/>
  <c r="Y125" i="2"/>
  <c r="Z125" i="2"/>
  <c r="AA125" i="2"/>
  <c r="AB125" i="2"/>
  <c r="AC125" i="2"/>
  <c r="Y126" i="2"/>
  <c r="Z126" i="2"/>
  <c r="AA126" i="2"/>
  <c r="AB126" i="2"/>
  <c r="AC126" i="2"/>
  <c r="X122" i="2"/>
  <c r="X123" i="2"/>
  <c r="X124" i="2"/>
  <c r="X125" i="2"/>
  <c r="X126" i="2"/>
  <c r="W123" i="2"/>
  <c r="W124" i="2"/>
  <c r="W125" i="2"/>
  <c r="W126" i="2"/>
  <c r="W122" i="2"/>
  <c r="G127" i="2"/>
  <c r="H127" i="2"/>
  <c r="I127" i="2"/>
  <c r="J127" i="2"/>
  <c r="K127" i="2"/>
  <c r="L127" i="2"/>
  <c r="M127" i="2"/>
  <c r="N127" i="2"/>
  <c r="O127" i="2"/>
  <c r="P127" i="2"/>
  <c r="Q127" i="2"/>
  <c r="R127" i="2"/>
  <c r="S127" i="2"/>
  <c r="T127" i="2"/>
  <c r="U127" i="2"/>
  <c r="E127" i="2"/>
  <c r="F127" i="2"/>
  <c r="D127" i="2"/>
  <c r="C127" i="2"/>
  <c r="R116" i="2"/>
  <c r="Y108" i="2"/>
  <c r="Z108" i="2"/>
  <c r="AA108" i="2"/>
  <c r="AB108" i="2"/>
  <c r="AC108" i="2"/>
  <c r="Y109" i="2"/>
  <c r="Z109" i="2"/>
  <c r="AA109" i="2"/>
  <c r="AB109" i="2"/>
  <c r="AC109" i="2"/>
  <c r="Y110" i="2"/>
  <c r="Z110" i="2"/>
  <c r="AA110" i="2"/>
  <c r="AB110" i="2"/>
  <c r="AC110" i="2"/>
  <c r="Y111" i="2"/>
  <c r="Z111" i="2"/>
  <c r="AA111" i="2"/>
  <c r="AB111" i="2"/>
  <c r="AC111" i="2"/>
  <c r="Y112" i="2"/>
  <c r="Z112" i="2"/>
  <c r="AA112" i="2"/>
  <c r="AB112" i="2"/>
  <c r="AC112" i="2"/>
  <c r="X108" i="2"/>
  <c r="X109" i="2"/>
  <c r="X110" i="2"/>
  <c r="X111" i="2"/>
  <c r="X112" i="2"/>
  <c r="W109" i="2"/>
  <c r="W110" i="2"/>
  <c r="W111" i="2"/>
  <c r="W112" i="2"/>
  <c r="W108" i="2"/>
  <c r="E113" i="2"/>
  <c r="F113" i="2"/>
  <c r="G113" i="2"/>
  <c r="H113" i="2"/>
  <c r="I113" i="2"/>
  <c r="J113" i="2"/>
  <c r="K113" i="2"/>
  <c r="L113" i="2"/>
  <c r="M113" i="2"/>
  <c r="N113" i="2"/>
  <c r="O113" i="2"/>
  <c r="P113" i="2"/>
  <c r="Q113" i="2"/>
  <c r="R113" i="2"/>
  <c r="S113" i="2"/>
  <c r="T113" i="2"/>
  <c r="U113" i="2"/>
  <c r="D113" i="2"/>
  <c r="C113" i="2"/>
  <c r="X101" i="2"/>
  <c r="Y101" i="2"/>
  <c r="Z101" i="2"/>
  <c r="AA101" i="2"/>
  <c r="AB101" i="2"/>
  <c r="AC101" i="2"/>
  <c r="X102" i="2"/>
  <c r="Y102" i="2"/>
  <c r="Z102" i="2"/>
  <c r="AA102" i="2"/>
  <c r="AB102" i="2"/>
  <c r="AC102" i="2"/>
  <c r="X103" i="2"/>
  <c r="Y103" i="2"/>
  <c r="Z103" i="2"/>
  <c r="AA103" i="2"/>
  <c r="AB103" i="2"/>
  <c r="AC103" i="2"/>
  <c r="X104" i="2"/>
  <c r="Y104" i="2"/>
  <c r="Z104" i="2"/>
  <c r="AA104" i="2"/>
  <c r="AB104" i="2"/>
  <c r="AC104" i="2"/>
  <c r="X105" i="2"/>
  <c r="Y105" i="2"/>
  <c r="Z105" i="2"/>
  <c r="AA105" i="2"/>
  <c r="AB105" i="2"/>
  <c r="AC105" i="2"/>
  <c r="W102" i="2"/>
  <c r="W103" i="2"/>
  <c r="W104" i="2"/>
  <c r="W105" i="2"/>
  <c r="W101" i="2"/>
  <c r="E106" i="2"/>
  <c r="F106" i="2"/>
  <c r="G106" i="2"/>
  <c r="H106" i="2"/>
  <c r="I106" i="2"/>
  <c r="J106" i="2"/>
  <c r="K106" i="2"/>
  <c r="L106" i="2"/>
  <c r="M106" i="2"/>
  <c r="N106" i="2"/>
  <c r="O106" i="2"/>
  <c r="P106" i="2"/>
  <c r="Q106" i="2"/>
  <c r="R106" i="2"/>
  <c r="S106" i="2"/>
  <c r="T106" i="2"/>
  <c r="U106" i="2"/>
  <c r="C106" i="2"/>
  <c r="D94" i="2"/>
  <c r="D115" i="2" s="1"/>
  <c r="E94" i="2"/>
  <c r="E115" i="2" s="1"/>
  <c r="F94" i="2"/>
  <c r="F115" i="2" s="1"/>
  <c r="G94" i="2"/>
  <c r="G115" i="2" s="1"/>
  <c r="H94" i="2"/>
  <c r="I94" i="2"/>
  <c r="I115" i="2" s="1"/>
  <c r="J94" i="2"/>
  <c r="K94" i="2"/>
  <c r="K115" i="2" s="1"/>
  <c r="L94" i="2"/>
  <c r="L115" i="2" s="1"/>
  <c r="M94" i="2"/>
  <c r="M115" i="2" s="1"/>
  <c r="N94" i="2"/>
  <c r="N115" i="2" s="1"/>
  <c r="O94" i="2"/>
  <c r="P94" i="2"/>
  <c r="P115" i="2" s="1"/>
  <c r="Q94" i="2"/>
  <c r="Q115" i="2" s="1"/>
  <c r="R94" i="2"/>
  <c r="S94" i="2"/>
  <c r="S115" i="2" s="1"/>
  <c r="T94" i="2"/>
  <c r="T115" i="2" s="1"/>
  <c r="U115" i="2"/>
  <c r="D95" i="2"/>
  <c r="E95" i="2"/>
  <c r="E116" i="2" s="1"/>
  <c r="F95" i="2"/>
  <c r="Z95" i="2" s="1"/>
  <c r="G95" i="2"/>
  <c r="H95" i="2"/>
  <c r="H116" i="2" s="1"/>
  <c r="I95" i="2"/>
  <c r="I116" i="2" s="1"/>
  <c r="J95" i="2"/>
  <c r="J116" i="2" s="1"/>
  <c r="K95" i="2"/>
  <c r="K116" i="2" s="1"/>
  <c r="L95" i="2"/>
  <c r="L116" i="2" s="1"/>
  <c r="M95" i="2"/>
  <c r="M116" i="2" s="1"/>
  <c r="N95" i="2"/>
  <c r="N116" i="2" s="1"/>
  <c r="O95" i="2"/>
  <c r="P95" i="2"/>
  <c r="P116" i="2" s="1"/>
  <c r="Q95" i="2"/>
  <c r="Q116" i="2" s="1"/>
  <c r="R95" i="2"/>
  <c r="S95" i="2"/>
  <c r="S116" i="2" s="1"/>
  <c r="T95" i="2"/>
  <c r="T116" i="2" s="1"/>
  <c r="U116" i="2"/>
  <c r="D96" i="2"/>
  <c r="D117" i="2" s="1"/>
  <c r="E96" i="2"/>
  <c r="E117" i="2" s="1"/>
  <c r="F96" i="2"/>
  <c r="G96" i="2"/>
  <c r="G117" i="2" s="1"/>
  <c r="H96" i="2"/>
  <c r="H117" i="2" s="1"/>
  <c r="I96" i="2"/>
  <c r="AC96" i="2" s="1"/>
  <c r="J96" i="2"/>
  <c r="J117" i="2" s="1"/>
  <c r="K96" i="2"/>
  <c r="K117" i="2" s="1"/>
  <c r="L96" i="2"/>
  <c r="M96" i="2"/>
  <c r="M117" i="2" s="1"/>
  <c r="N96" i="2"/>
  <c r="N117" i="2" s="1"/>
  <c r="O96" i="2"/>
  <c r="P96" i="2"/>
  <c r="P117" i="2" s="1"/>
  <c r="Q96" i="2"/>
  <c r="Q117" i="2" s="1"/>
  <c r="R96" i="2"/>
  <c r="R117" i="2" s="1"/>
  <c r="S96" i="2"/>
  <c r="S117" i="2" s="1"/>
  <c r="T96" i="2"/>
  <c r="U117" i="2"/>
  <c r="D97" i="2"/>
  <c r="D118" i="2" s="1"/>
  <c r="E97" i="2"/>
  <c r="E118" i="2" s="1"/>
  <c r="F97" i="2"/>
  <c r="F118" i="2" s="1"/>
  <c r="G97" i="2"/>
  <c r="G118" i="2" s="1"/>
  <c r="H97" i="2"/>
  <c r="H118" i="2" s="1"/>
  <c r="I97" i="2"/>
  <c r="J97" i="2"/>
  <c r="J118" i="2" s="1"/>
  <c r="K97" i="2"/>
  <c r="K118" i="2" s="1"/>
  <c r="L97" i="2"/>
  <c r="L118" i="2" s="1"/>
  <c r="M97" i="2"/>
  <c r="M118" i="2" s="1"/>
  <c r="N97" i="2"/>
  <c r="N118" i="2" s="1"/>
  <c r="O97" i="2"/>
  <c r="O118" i="2" s="1"/>
  <c r="P97" i="2"/>
  <c r="P118" i="2" s="1"/>
  <c r="Q97" i="2"/>
  <c r="Q118" i="2" s="1"/>
  <c r="R97" i="2"/>
  <c r="R118" i="2" s="1"/>
  <c r="S97" i="2"/>
  <c r="S118" i="2" s="1"/>
  <c r="T97" i="2"/>
  <c r="T118" i="2" s="1"/>
  <c r="U118" i="2"/>
  <c r="D98" i="2"/>
  <c r="D119" i="2" s="1"/>
  <c r="E98" i="2"/>
  <c r="E119" i="2" s="1"/>
  <c r="F98" i="2"/>
  <c r="F119" i="2" s="1"/>
  <c r="G98" i="2"/>
  <c r="G119" i="2" s="1"/>
  <c r="H98" i="2"/>
  <c r="I98" i="2"/>
  <c r="I119" i="2" s="1"/>
  <c r="J98" i="2"/>
  <c r="J119" i="2" s="1"/>
  <c r="K98" i="2"/>
  <c r="K119" i="2" s="1"/>
  <c r="L98" i="2"/>
  <c r="L119" i="2" s="1"/>
  <c r="M98" i="2"/>
  <c r="M119" i="2" s="1"/>
  <c r="N98" i="2"/>
  <c r="N119" i="2" s="1"/>
  <c r="O98" i="2"/>
  <c r="O119" i="2" s="1"/>
  <c r="P98" i="2"/>
  <c r="Q98" i="2"/>
  <c r="Q119" i="2" s="1"/>
  <c r="R98" i="2"/>
  <c r="R119" i="2" s="1"/>
  <c r="S98" i="2"/>
  <c r="S119" i="2" s="1"/>
  <c r="T98" i="2"/>
  <c r="T119" i="2" s="1"/>
  <c r="U119" i="2"/>
  <c r="C95" i="2"/>
  <c r="C116" i="2" s="1"/>
  <c r="C96" i="2"/>
  <c r="C97" i="2"/>
  <c r="C118" i="2" s="1"/>
  <c r="C98" i="2"/>
  <c r="C119" i="2" s="1"/>
  <c r="C94" i="2"/>
  <c r="C115" i="2" s="1"/>
  <c r="AA78" i="2" l="1"/>
  <c r="Z36" i="2"/>
  <c r="AC29" i="2"/>
  <c r="X94" i="2"/>
  <c r="Z96" i="2"/>
  <c r="Z118" i="2"/>
  <c r="AC97" i="2"/>
  <c r="AB94" i="2"/>
  <c r="AB97" i="2"/>
  <c r="AB85" i="2"/>
  <c r="T99" i="2"/>
  <c r="AB78" i="2"/>
  <c r="AB57" i="2"/>
  <c r="AA134" i="2"/>
  <c r="S120" i="2"/>
  <c r="AA119" i="2"/>
  <c r="AA118" i="2"/>
  <c r="AA95" i="2"/>
  <c r="AA36" i="2"/>
  <c r="AA29" i="2"/>
  <c r="Z85" i="2"/>
  <c r="Z71" i="2"/>
  <c r="Z29" i="2"/>
  <c r="Y71" i="2"/>
  <c r="Y78" i="2"/>
  <c r="Y118" i="2"/>
  <c r="Y116" i="2"/>
  <c r="Y115" i="2"/>
  <c r="X85" i="2"/>
  <c r="P99" i="2"/>
  <c r="AB113" i="2"/>
  <c r="AC22" i="2"/>
  <c r="Y22" i="2"/>
  <c r="Z22" i="2"/>
  <c r="X22" i="2"/>
  <c r="AB22" i="2"/>
  <c r="AA22" i="2"/>
  <c r="Z141" i="2"/>
  <c r="AA141" i="2"/>
  <c r="AB141" i="2"/>
  <c r="Y141" i="2"/>
  <c r="AC64" i="2"/>
  <c r="AC43" i="2"/>
  <c r="AC71" i="2"/>
  <c r="AC36" i="2"/>
  <c r="AC57" i="2"/>
  <c r="AC50" i="2"/>
  <c r="AB64" i="2"/>
  <c r="AB43" i="2"/>
  <c r="AB36" i="2"/>
  <c r="AB29" i="2"/>
  <c r="AB50" i="2"/>
  <c r="AA64" i="2"/>
  <c r="AA43" i="2"/>
  <c r="AA57" i="2"/>
  <c r="AA50" i="2"/>
  <c r="AA71" i="2"/>
  <c r="AB71" i="2"/>
  <c r="W71" i="2"/>
  <c r="X71" i="2"/>
  <c r="Z64" i="2"/>
  <c r="Z43" i="2"/>
  <c r="Z57" i="2"/>
  <c r="Z50" i="2"/>
  <c r="Y43" i="2"/>
  <c r="Y64" i="2"/>
  <c r="Y57" i="2"/>
  <c r="X64" i="2"/>
  <c r="X43" i="2"/>
  <c r="X36" i="2"/>
  <c r="X57" i="2"/>
  <c r="X50" i="2"/>
  <c r="W64" i="2"/>
  <c r="W36" i="2"/>
  <c r="W29" i="2"/>
  <c r="AC113" i="2"/>
  <c r="AC106" i="2"/>
  <c r="AB106" i="2"/>
  <c r="AA106" i="2"/>
  <c r="AA113" i="2"/>
  <c r="Z113" i="2"/>
  <c r="Z106" i="2"/>
  <c r="Y106" i="2"/>
  <c r="Y113" i="2"/>
  <c r="X113" i="2"/>
  <c r="X106" i="2"/>
  <c r="W106" i="2"/>
  <c r="W113" i="2"/>
  <c r="W43" i="2"/>
  <c r="AC141" i="2"/>
  <c r="X141" i="2"/>
  <c r="W141" i="2"/>
  <c r="W98" i="2"/>
  <c r="W94" i="2"/>
  <c r="AC134" i="2"/>
  <c r="AB134" i="2"/>
  <c r="Z134" i="2"/>
  <c r="Y134" i="2"/>
  <c r="X134" i="2"/>
  <c r="W134" i="2"/>
  <c r="AB127" i="2"/>
  <c r="AA127" i="2"/>
  <c r="AC127" i="2"/>
  <c r="X127" i="2"/>
  <c r="W127" i="2"/>
  <c r="Z127" i="2"/>
  <c r="Y127" i="2"/>
  <c r="AC78" i="2"/>
  <c r="Z78" i="2"/>
  <c r="X78" i="2"/>
  <c r="W78" i="2"/>
  <c r="W119" i="2"/>
  <c r="W96" i="2"/>
  <c r="N99" i="2"/>
  <c r="L99" i="2"/>
  <c r="K120" i="2"/>
  <c r="I118" i="2"/>
  <c r="AC118" i="2" s="1"/>
  <c r="AC15" i="2"/>
  <c r="H99" i="2"/>
  <c r="H115" i="2"/>
  <c r="AB115" i="2" s="1"/>
  <c r="AB15" i="2"/>
  <c r="AA98" i="2"/>
  <c r="AA85" i="2"/>
  <c r="AA94" i="2"/>
  <c r="AA15" i="2"/>
  <c r="Z98" i="2"/>
  <c r="F117" i="2"/>
  <c r="Z117" i="2" s="1"/>
  <c r="F99" i="2"/>
  <c r="Z15" i="2"/>
  <c r="Y119" i="2"/>
  <c r="Y95" i="2"/>
  <c r="Y85" i="2"/>
  <c r="Y15" i="2"/>
  <c r="X15" i="2"/>
  <c r="W118" i="2"/>
  <c r="C99" i="2"/>
  <c r="C117" i="2"/>
  <c r="C120" i="2" s="1"/>
  <c r="W95" i="2"/>
  <c r="W15" i="2"/>
  <c r="W85" i="2"/>
  <c r="W57" i="2"/>
  <c r="W50" i="2"/>
  <c r="Y50" i="2"/>
  <c r="Y36" i="2"/>
  <c r="X29" i="2"/>
  <c r="Y29" i="2"/>
  <c r="AA115" i="2"/>
  <c r="U120" i="2"/>
  <c r="M120" i="2"/>
  <c r="AB116" i="2"/>
  <c r="Z119" i="2"/>
  <c r="AC116" i="2"/>
  <c r="AC119" i="2"/>
  <c r="Y117" i="2"/>
  <c r="AB118" i="2"/>
  <c r="Y96" i="2"/>
  <c r="AA97" i="2"/>
  <c r="AC95" i="2"/>
  <c r="Z94" i="2"/>
  <c r="F116" i="2"/>
  <c r="Z116" i="2" s="1"/>
  <c r="O115" i="2"/>
  <c r="M99" i="2"/>
  <c r="E99" i="2"/>
  <c r="O99" i="2"/>
  <c r="S99" i="2"/>
  <c r="K99" i="2"/>
  <c r="AC98" i="2"/>
  <c r="Z97" i="2"/>
  <c r="AB95" i="2"/>
  <c r="Y94" i="2"/>
  <c r="X117" i="2"/>
  <c r="T117" i="2"/>
  <c r="T120" i="2" s="1"/>
  <c r="L117" i="2"/>
  <c r="L120" i="2" s="1"/>
  <c r="N120" i="2"/>
  <c r="O116" i="2"/>
  <c r="W116" i="2" s="1"/>
  <c r="G116" i="2"/>
  <c r="AA116" i="2" s="1"/>
  <c r="X118" i="2"/>
  <c r="R99" i="2"/>
  <c r="J99" i="2"/>
  <c r="AB98" i="2"/>
  <c r="Y97" i="2"/>
  <c r="Q99" i="2"/>
  <c r="P119" i="2"/>
  <c r="X119" i="2" s="1"/>
  <c r="H119" i="2"/>
  <c r="AB119" i="2" s="1"/>
  <c r="Q120" i="2"/>
  <c r="I117" i="2"/>
  <c r="AC117" i="2" s="1"/>
  <c r="W97" i="2"/>
  <c r="AB96" i="2"/>
  <c r="G99" i="2"/>
  <c r="Y98" i="2"/>
  <c r="AA96" i="2"/>
  <c r="AC94" i="2"/>
  <c r="R115" i="2"/>
  <c r="R120" i="2" s="1"/>
  <c r="J115" i="2"/>
  <c r="J120" i="2" s="1"/>
  <c r="I99" i="2"/>
  <c r="X95" i="2"/>
  <c r="O117" i="2"/>
  <c r="D99" i="2"/>
  <c r="D116" i="2"/>
  <c r="X116" i="2" s="1"/>
  <c r="X98" i="2"/>
  <c r="X97" i="2"/>
  <c r="X96" i="2"/>
  <c r="W22" i="2"/>
  <c r="AA117" i="2"/>
  <c r="AC115" i="2"/>
  <c r="X115" i="2"/>
  <c r="E120" i="2"/>
  <c r="A16" i="2"/>
  <c r="AB117" i="2" l="1"/>
  <c r="AA120" i="2"/>
  <c r="Y120" i="2"/>
  <c r="D120" i="2"/>
  <c r="W117" i="2"/>
  <c r="W99" i="2"/>
  <c r="AC99" i="2"/>
  <c r="AB120" i="2"/>
  <c r="AB99" i="2"/>
  <c r="AA99" i="2"/>
  <c r="Z99" i="2"/>
  <c r="X120" i="2"/>
  <c r="X99" i="2"/>
  <c r="F120" i="2"/>
  <c r="O120" i="2"/>
  <c r="W115" i="2"/>
  <c r="Z115" i="2"/>
  <c r="Z120" i="2" s="1"/>
  <c r="P120" i="2"/>
  <c r="AC120" i="2"/>
  <c r="H120" i="2"/>
  <c r="I120" i="2"/>
  <c r="Y99" i="2"/>
  <c r="G120" i="2"/>
  <c r="A23" i="2"/>
  <c r="A30" i="2" s="1"/>
  <c r="A37" i="2" s="1"/>
  <c r="A44" i="2" s="1"/>
  <c r="A51" i="2" s="1"/>
  <c r="A58" i="2" s="1"/>
  <c r="A65" i="2" s="1"/>
  <c r="A72" i="2" s="1"/>
  <c r="A79" i="2" s="1"/>
  <c r="A86" i="2" s="1"/>
  <c r="A93" i="2" s="1"/>
  <c r="A100" i="2" s="1"/>
  <c r="A107" i="2" s="1"/>
  <c r="W120" i="2" l="1"/>
  <c r="A114" i="2"/>
  <c r="A121" i="2" s="1"/>
  <c r="A128" i="2" s="1"/>
  <c r="A135" i="2" s="1"/>
</calcChain>
</file>

<file path=xl/comments1.xml><?xml version="1.0" encoding="utf-8"?>
<comments xmlns="http://schemas.openxmlformats.org/spreadsheetml/2006/main">
  <authors>
    <author>Alisha Camara</author>
  </authors>
  <commentList>
    <comment ref="R60" authorId="0" shapeId="0">
      <text>
        <r>
          <rPr>
            <b/>
            <sz val="9"/>
            <color indexed="81"/>
            <rFont val="Tahoma"/>
            <family val="2"/>
          </rPr>
          <t>Alisha Camara:</t>
        </r>
        <r>
          <rPr>
            <sz val="9"/>
            <color indexed="81"/>
            <rFont val="Tahoma"/>
            <family val="2"/>
          </rPr>
          <t xml:space="preserve">
Decrease due to the Auto AMP enrollment</t>
        </r>
      </text>
    </comment>
    <comment ref="E83" authorId="0" shapeId="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text>
        <r>
          <rPr>
            <b/>
            <sz val="9"/>
            <color indexed="81"/>
            <rFont val="Tahoma"/>
            <family val="2"/>
          </rPr>
          <t>Alisha Camara:</t>
        </r>
        <r>
          <rPr>
            <sz val="9"/>
            <color indexed="81"/>
            <rFont val="Tahoma"/>
            <family val="2"/>
          </rPr>
          <t xml:space="preserve">
Adjustment posted on T42 account for an overbill in previous month</t>
        </r>
      </text>
    </comment>
    <comment ref="B131" authorId="0" shapeId="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authors>
    <author>Alisha Camara</author>
  </authors>
  <commentList>
    <comment ref="C8" authorId="0" shapeId="0">
      <text>
        <r>
          <rPr>
            <b/>
            <sz val="9"/>
            <color indexed="81"/>
            <rFont val="Tahoma"/>
            <family val="2"/>
          </rPr>
          <t>Alisha Camara:</t>
        </r>
        <r>
          <rPr>
            <sz val="9"/>
            <color indexed="81"/>
            <rFont val="Tahoma"/>
            <family val="2"/>
          </rPr>
          <t xml:space="preserve">
From April 1</t>
        </r>
      </text>
    </comment>
    <comment ref="B110" authorId="0" shapeId="0">
      <text>
        <r>
          <rPr>
            <b/>
            <sz val="9"/>
            <color indexed="81"/>
            <rFont val="Tahoma"/>
            <family val="2"/>
          </rPr>
          <t>Alisha Camara:</t>
        </r>
        <r>
          <rPr>
            <sz val="9"/>
            <color indexed="81"/>
            <rFont val="Tahoma"/>
            <family val="2"/>
          </rPr>
          <t xml:space="preserve">
Commercial all in one bucket</t>
        </r>
      </text>
    </comment>
    <comment ref="M122" authorId="0" shapeId="0">
      <text>
        <r>
          <rPr>
            <b/>
            <sz val="9"/>
            <color indexed="81"/>
            <rFont val="Tahoma"/>
            <family val="2"/>
          </rPr>
          <t>Alisha Camara:</t>
        </r>
        <r>
          <rPr>
            <sz val="9"/>
            <color indexed="81"/>
            <rFont val="Tahoma"/>
            <family val="2"/>
          </rPr>
          <t xml:space="preserve">
Changed parameters to over $250 from $300</t>
        </r>
      </text>
    </comment>
    <comment ref="P122" authorId="0" shapeId="0">
      <text>
        <r>
          <rPr>
            <b/>
            <sz val="9"/>
            <color indexed="81"/>
            <rFont val="Tahoma"/>
            <family val="2"/>
          </rPr>
          <t>Alisha Camara:</t>
        </r>
        <r>
          <rPr>
            <sz val="9"/>
            <color indexed="81"/>
            <rFont val="Tahoma"/>
            <family val="2"/>
          </rPr>
          <t xml:space="preserve">
Changed parameters from $250 to $150
</t>
        </r>
      </text>
    </comment>
    <comment ref="U122" authorId="0" shapeId="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129" authorId="0" shapeId="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text>
        <r>
          <rPr>
            <b/>
            <sz val="9"/>
            <color indexed="81"/>
            <rFont val="Tahoma"/>
            <family val="2"/>
          </rPr>
          <t>Alisha Camara:</t>
        </r>
        <r>
          <rPr>
            <sz val="9"/>
            <color indexed="81"/>
            <rFont val="Tahoma"/>
            <family val="2"/>
          </rPr>
          <t xml:space="preserve">
As of 10/20</t>
        </r>
      </text>
    </comment>
  </commentList>
</comments>
</file>

<file path=xl/sharedStrings.xml><?xml version="1.0" encoding="utf-8"?>
<sst xmlns="http://schemas.openxmlformats.org/spreadsheetml/2006/main" count="321" uniqueCount="60">
  <si>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</si>
  <si>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</si>
  <si>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</si>
  <si>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</si>
  <si>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</si>
  <si>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</si>
  <si>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</si>
  <si>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</si>
  <si>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</si>
  <si>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</si>
  <si>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</si>
  <si>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</si>
  <si>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</si>
  <si>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</si>
  <si>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</si>
  <si>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</si>
  <si>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</si>
  <si>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</si>
  <si>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</si>
  <si>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</si>
  <si>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</si>
  <si>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</si>
  <si>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</si>
  <si>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</si>
  <si>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</si>
  <si>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</si>
  <si>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</si>
  <si>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</si>
  <si>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</si>
  <si>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</si>
  <si>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</si>
  <si>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</si>
  <si>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</si>
  <si>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</si>
  <si>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</si>
  <si>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</si>
  <si>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</si>
  <si>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</si>
  <si>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</si>
  <si>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</si>
  <si>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</si>
  <si>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</si>
  <si>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</si>
  <si>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</si>
  <si>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</si>
  <si>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</si>
  <si>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</si>
  <si>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</si>
  <si>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</si>
  <si>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</si>
  <si>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</si>
  <si>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</si>
  <si>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</si>
  <si>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</si>
  <si>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</si>
  <si>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</si>
  <si>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</si>
  <si>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</si>
  <si>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11/05/2020</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</si>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</sst>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s>
  <fonts count="12"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15">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s>
  <cellStyleXfs count="2">
    <xf numFmtId="0" fontId="0" fillId="0" borderId="0"/>
    <xf numFmtId="44" fontId="11" fillId="0" borderId="0" applyFont="0" applyFill="0" applyBorder="0" applyAlignment="0" applyProtection="0"/>
  </cellStyleXfs>
  <cellXfs count="353">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3" fontId="0" fillId="0" borderId="0" xfId="0" applyNumberFormat="1" applyFont="1"/>
    <xf numFmtId="3" fontId="0" fillId="0" borderId="0" xfId="0" applyNumberFormat="1" applyFont="1" applyFill="1" applyBorder="1" applyAlignment="1">
      <alignment horizontal="center"/>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8" xfId="0" applyFont="1" applyBorder="1" applyAlignment="1">
      <alignment horizontal="left"/>
    </xf>
    <xf numFmtId="0" fontId="0" fillId="0" borderId="99" xfId="0" applyFont="1" applyBorder="1"/>
    <xf numFmtId="0" fontId="0" fillId="0" borderId="101" xfId="0" applyFont="1" applyBorder="1"/>
    <xf numFmtId="14" fontId="0" fillId="0" borderId="102" xfId="0" applyNumberFormat="1" applyFont="1" applyBorder="1"/>
    <xf numFmtId="14" fontId="0" fillId="0" borderId="104" xfId="0" applyNumberFormat="1" applyFont="1" applyBorder="1"/>
    <xf numFmtId="0" fontId="0" fillId="0" borderId="32" xfId="0" applyFont="1" applyBorder="1"/>
    <xf numFmtId="0" fontId="0" fillId="0" borderId="39" xfId="0" applyFont="1" applyBorder="1"/>
    <xf numFmtId="0" fontId="0" fillId="0" borderId="19" xfId="0" applyFont="1" applyBorder="1"/>
    <xf numFmtId="0" fontId="0" fillId="0" borderId="80"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0" fontId="0" fillId="0" borderId="47"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166" fontId="0" fillId="0" borderId="47"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0" fontId="5" fillId="0" borderId="0" xfId="0" applyFont="1" applyBorder="1" applyAlignment="1" applyProtection="1">
      <alignment horizontal="centerContinuous"/>
    </xf>
    <xf numFmtId="0" fontId="7" fillId="0" borderId="0" xfId="0" applyFont="1" applyBorder="1" applyAlignment="1" applyProtection="1">
      <alignment horizontal="center" vertical="center"/>
      <protection locked="0"/>
    </xf>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Font="1" applyAlignment="1">
      <alignment horizontal="left" vertical="center" wrapText="1"/>
    </xf>
    <xf numFmtId="0" fontId="0" fillId="0" borderId="0" xfId="0" applyAlignment="1">
      <alignment horizontal="left" wrapText="1"/>
    </xf>
    <xf numFmtId="0" fontId="0" fillId="0" borderId="0" xfId="0" applyFont="1" applyAlignment="1">
      <alignment horizontal="center" vertical="center" wrapText="1"/>
    </xf>
    <xf numFmtId="0" fontId="0"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1"/>
  <sheetViews>
    <sheetView tabSelected="1" workbookViewId="0">
      <pane xSplit="2" ySplit="8" topLeftCell="AB141" activePane="bottomRight" state="frozen"/>
      <selection pane="topRight" activeCell="C1" sqref="C1"/>
      <selection pane="bottomLeft" activeCell="A9" sqref="A9"/>
      <selection pane="bottomRight" activeCell="AQ144" sqref="AQ144:AU144"/>
    </sheetView>
  </sheetViews>
  <sheetFormatPr defaultColWidth="9.140625" defaultRowHeight="15" x14ac:dyDescent="0.25"/>
  <cols>
    <col min="1" max="1" width="5.85546875" style="2" customWidth="1"/>
    <col min="2" max="2" width="63.28515625" style="2" customWidth="1"/>
    <col min="3" max="3" width="12.7109375" style="2" bestFit="1" customWidth="1"/>
    <col min="4" max="4" width="11.85546875" style="2" bestFit="1" customWidth="1"/>
    <col min="5" max="12" width="10.85546875" style="2" bestFit="1" customWidth="1"/>
    <col min="13" max="15" width="11.85546875" style="2" bestFit="1" customWidth="1"/>
    <col min="16" max="21" width="10.85546875" style="2" bestFit="1" customWidth="1"/>
    <col min="22" max="22" width="10.85546875" style="2" customWidth="1"/>
    <col min="23" max="29" width="9.140625" style="2"/>
    <col min="30" max="30" width="11.5703125" style="2" bestFit="1" customWidth="1"/>
    <col min="31" max="31" width="9.140625" style="2"/>
    <col min="32" max="34" width="10.85546875" style="2" bestFit="1" customWidth="1"/>
    <col min="35" max="16384" width="9.140625" style="2"/>
  </cols>
  <sheetData>
    <row r="1" spans="1:30" ht="16.5" thickTop="1" thickBot="1" x14ac:dyDescent="0.3">
      <c r="B1" s="343" t="s">
        <v>19</v>
      </c>
      <c r="C1" s="344"/>
      <c r="D1" s="344"/>
      <c r="E1" s="344"/>
      <c r="F1" s="344"/>
      <c r="G1" s="344"/>
      <c r="H1" s="344"/>
      <c r="I1" s="344"/>
      <c r="J1" s="344"/>
      <c r="K1" s="344"/>
      <c r="L1" s="344"/>
      <c r="M1" s="344"/>
      <c r="N1" s="344"/>
      <c r="O1" s="344"/>
      <c r="P1" s="344"/>
      <c r="Q1" s="344"/>
      <c r="R1" s="344"/>
      <c r="S1" s="344"/>
      <c r="T1" s="344"/>
      <c r="U1" s="344"/>
      <c r="V1" s="344"/>
      <c r="W1" s="344"/>
      <c r="X1" s="344"/>
      <c r="Y1" s="38"/>
      <c r="Z1" s="38"/>
      <c r="AA1" s="38"/>
      <c r="AB1" s="38"/>
      <c r="AC1" s="39"/>
      <c r="AD1" s="322"/>
    </row>
    <row r="2" spans="1:30" ht="27.6" customHeight="1" thickTop="1" thickBot="1" x14ac:dyDescent="0.3">
      <c r="B2" s="5" t="s">
        <v>0</v>
      </c>
      <c r="C2" s="345" t="s">
        <v>57</v>
      </c>
      <c r="D2" s="346"/>
      <c r="E2" s="346"/>
      <c r="F2" s="346"/>
      <c r="G2" s="346"/>
      <c r="H2" s="346"/>
      <c r="I2" s="346"/>
      <c r="J2" s="6"/>
      <c r="K2" s="7"/>
      <c r="L2" s="7"/>
      <c r="M2" s="345"/>
      <c r="N2" s="346"/>
      <c r="O2" s="346"/>
      <c r="P2" s="346"/>
      <c r="Q2" s="346"/>
      <c r="R2" s="346"/>
      <c r="S2" s="346"/>
      <c r="T2" s="7"/>
      <c r="U2" s="7"/>
      <c r="V2" s="7"/>
      <c r="W2" s="7"/>
      <c r="X2" s="8"/>
    </row>
    <row r="3" spans="1:30" ht="27.6" customHeight="1" thickTop="1" thickBot="1" x14ac:dyDescent="0.3">
      <c r="B3" s="5" t="s">
        <v>1</v>
      </c>
      <c r="C3" s="345" t="s">
        <v>48</v>
      </c>
      <c r="D3" s="346"/>
      <c r="E3" s="346"/>
      <c r="F3" s="346"/>
      <c r="G3" s="346"/>
      <c r="H3" s="346"/>
      <c r="I3" s="346"/>
      <c r="J3" s="6"/>
      <c r="K3" s="9"/>
      <c r="L3" s="9"/>
      <c r="M3" s="345"/>
      <c r="N3" s="346"/>
      <c r="O3" s="346"/>
      <c r="P3" s="346"/>
      <c r="Q3" s="346"/>
      <c r="R3" s="346"/>
      <c r="S3" s="346"/>
      <c r="T3" s="9"/>
      <c r="U3" s="9"/>
      <c r="V3" s="9"/>
      <c r="W3" s="9"/>
      <c r="X3" s="10"/>
    </row>
    <row r="4" spans="1:30" ht="27.6" customHeight="1" thickTop="1" thickBot="1" x14ac:dyDescent="0.3">
      <c r="B4" s="5" t="s">
        <v>2</v>
      </c>
      <c r="C4" s="347" t="s">
        <v>58</v>
      </c>
      <c r="D4" s="348"/>
      <c r="E4" s="348"/>
      <c r="F4" s="348"/>
      <c r="G4" s="348"/>
      <c r="H4" s="348"/>
      <c r="I4" s="348"/>
      <c r="J4" s="6"/>
      <c r="K4" s="9"/>
      <c r="L4" s="9"/>
      <c r="M4" s="347"/>
      <c r="N4" s="348"/>
      <c r="O4" s="348"/>
      <c r="P4" s="348"/>
      <c r="Q4" s="348"/>
      <c r="R4" s="348"/>
      <c r="S4" s="348"/>
      <c r="T4" s="9"/>
      <c r="U4" s="9"/>
      <c r="V4" s="9"/>
      <c r="W4" s="9"/>
      <c r="X4" s="11"/>
    </row>
    <row r="5" spans="1:30" ht="15.75" thickTop="1" x14ac:dyDescent="0.25">
      <c r="B5" s="5"/>
      <c r="C5" s="12"/>
      <c r="D5" s="12"/>
      <c r="E5" s="12"/>
      <c r="F5" s="6"/>
      <c r="G5" s="7"/>
      <c r="H5" s="6"/>
      <c r="I5" s="7"/>
      <c r="J5" s="6"/>
      <c r="K5" s="9"/>
      <c r="L5" s="9"/>
      <c r="M5" s="9"/>
      <c r="N5" s="9"/>
      <c r="O5" s="9"/>
      <c r="P5" s="9"/>
      <c r="Q5" s="9"/>
      <c r="R5" s="9"/>
      <c r="S5" s="9"/>
      <c r="T5" s="9"/>
      <c r="U5" s="9"/>
      <c r="V5" s="9"/>
      <c r="W5" s="9"/>
      <c r="X5" s="11"/>
    </row>
    <row r="6" spans="1:30" ht="15.75" thickBot="1" x14ac:dyDescent="0.3">
      <c r="B6" s="13"/>
      <c r="C6" s="14"/>
      <c r="D6" s="15"/>
      <c r="E6" s="15"/>
      <c r="F6" s="16"/>
      <c r="G6" s="17"/>
      <c r="H6" s="18"/>
      <c r="I6" s="17"/>
      <c r="J6" s="19"/>
      <c r="K6" s="18"/>
      <c r="L6" s="18"/>
      <c r="M6" s="18"/>
      <c r="N6" s="18"/>
      <c r="O6" s="18"/>
      <c r="P6" s="18"/>
      <c r="Q6" s="18"/>
      <c r="R6" s="18"/>
      <c r="S6" s="18"/>
      <c r="T6" s="18"/>
      <c r="U6" s="18"/>
      <c r="V6" s="18"/>
      <c r="W6" s="18"/>
      <c r="X6" s="20"/>
    </row>
    <row r="7" spans="1:30" s="3" customFormat="1" ht="15.75" thickBot="1" x14ac:dyDescent="0.3">
      <c r="B7" s="21"/>
      <c r="C7" s="22">
        <v>2019</v>
      </c>
      <c r="D7" s="23"/>
      <c r="E7" s="23"/>
      <c r="F7" s="23"/>
      <c r="G7" s="23"/>
      <c r="H7" s="23"/>
      <c r="I7" s="23"/>
      <c r="J7" s="23"/>
      <c r="K7" s="23"/>
      <c r="L7" s="195"/>
      <c r="M7" s="202">
        <v>2020</v>
      </c>
      <c r="N7" s="202"/>
      <c r="O7" s="25"/>
      <c r="P7" s="23"/>
      <c r="Q7" s="23"/>
      <c r="R7" s="23"/>
      <c r="S7" s="23"/>
      <c r="T7" s="23"/>
      <c r="U7" s="26"/>
      <c r="V7" s="202"/>
      <c r="W7" s="22" t="s">
        <v>15</v>
      </c>
      <c r="X7" s="23"/>
      <c r="Y7" s="23"/>
      <c r="Z7" s="23"/>
      <c r="AA7" s="23"/>
      <c r="AB7" s="23"/>
      <c r="AC7" s="24"/>
      <c r="AD7" s="323"/>
    </row>
    <row r="8" spans="1:30"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30" t="s">
        <v>4</v>
      </c>
      <c r="W8" s="28" t="s">
        <v>9</v>
      </c>
      <c r="X8" s="29" t="s">
        <v>10</v>
      </c>
      <c r="Y8" s="29" t="s">
        <v>16</v>
      </c>
      <c r="Z8" s="29" t="s">
        <v>11</v>
      </c>
      <c r="AA8" s="29" t="s">
        <v>12</v>
      </c>
      <c r="AB8" s="29" t="s">
        <v>3</v>
      </c>
      <c r="AC8" s="32" t="s">
        <v>13</v>
      </c>
      <c r="AD8" s="324" t="s">
        <v>4</v>
      </c>
    </row>
    <row r="9" spans="1:30" x14ac:dyDescent="0.25">
      <c r="A9" s="4">
        <v>1</v>
      </c>
      <c r="B9" s="40" t="s">
        <v>14</v>
      </c>
      <c r="C9" s="48"/>
      <c r="D9" s="49"/>
      <c r="E9" s="49"/>
      <c r="F9" s="49"/>
      <c r="G9" s="49"/>
      <c r="H9" s="49"/>
      <c r="I9" s="49"/>
      <c r="J9" s="49"/>
      <c r="K9" s="49"/>
      <c r="L9" s="50"/>
      <c r="M9" s="51"/>
      <c r="N9" s="49"/>
      <c r="O9" s="51"/>
      <c r="P9" s="49"/>
      <c r="Q9" s="49"/>
      <c r="R9" s="49"/>
      <c r="S9" s="49"/>
      <c r="T9" s="49"/>
      <c r="U9" s="50"/>
      <c r="V9" s="331"/>
      <c r="W9" s="51"/>
      <c r="X9" s="52"/>
      <c r="Y9" s="53"/>
      <c r="Z9" s="53"/>
      <c r="AA9" s="53"/>
      <c r="AB9" s="53"/>
      <c r="AC9" s="54"/>
      <c r="AD9" s="230"/>
    </row>
    <row r="10" spans="1:30"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8">
        <f t="shared" ref="W10:AD10" si="0">C10-O10</f>
        <v>-317</v>
      </c>
      <c r="X10" s="58">
        <f t="shared" si="0"/>
        <v>-896</v>
      </c>
      <c r="Y10" s="58">
        <f t="shared" si="0"/>
        <v>-1132</v>
      </c>
      <c r="Z10" s="58">
        <f t="shared" si="0"/>
        <v>-1470</v>
      </c>
      <c r="AA10" s="58">
        <f t="shared" si="0"/>
        <v>-1252</v>
      </c>
      <c r="AB10" s="58">
        <f t="shared" si="0"/>
        <v>-1395</v>
      </c>
      <c r="AC10" s="70">
        <f t="shared" si="0"/>
        <v>-1281</v>
      </c>
      <c r="AD10" s="70">
        <f t="shared" si="0"/>
        <v>-1152</v>
      </c>
    </row>
    <row r="11" spans="1:30"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8">
        <f t="shared" ref="W11:AC14" si="1">C11-O11</f>
        <v>27</v>
      </c>
      <c r="X11" s="58">
        <f t="shared" si="1"/>
        <v>74</v>
      </c>
      <c r="Y11" s="58">
        <f t="shared" si="1"/>
        <v>90</v>
      </c>
      <c r="Z11" s="58">
        <f t="shared" si="1"/>
        <v>405</v>
      </c>
      <c r="AA11" s="58">
        <f t="shared" si="1"/>
        <v>-16</v>
      </c>
      <c r="AB11" s="58">
        <f t="shared" si="1"/>
        <v>-99</v>
      </c>
      <c r="AC11" s="57">
        <f t="shared" si="1"/>
        <v>-285</v>
      </c>
      <c r="AD11" s="70">
        <f t="shared" ref="AD11:AD14" si="2">J11-V11</f>
        <v>-348</v>
      </c>
    </row>
    <row r="12" spans="1:30"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8">
        <f t="shared" si="1"/>
        <v>-35</v>
      </c>
      <c r="X12" s="58">
        <f t="shared" si="1"/>
        <v>-80</v>
      </c>
      <c r="Y12" s="58">
        <f t="shared" si="1"/>
        <v>-97</v>
      </c>
      <c r="Z12" s="58">
        <f t="shared" si="1"/>
        <v>-111</v>
      </c>
      <c r="AA12" s="58">
        <f t="shared" si="1"/>
        <v>-123</v>
      </c>
      <c r="AB12" s="58">
        <f t="shared" si="1"/>
        <v>-136</v>
      </c>
      <c r="AC12" s="57">
        <f t="shared" si="1"/>
        <v>-109</v>
      </c>
      <c r="AD12" s="70">
        <f t="shared" si="2"/>
        <v>-82</v>
      </c>
    </row>
    <row r="13" spans="1:30"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8">
        <f t="shared" si="1"/>
        <v>1</v>
      </c>
      <c r="X13" s="58">
        <f t="shared" si="1"/>
        <v>2</v>
      </c>
      <c r="Y13" s="58">
        <f t="shared" si="1"/>
        <v>-1</v>
      </c>
      <c r="Z13" s="58">
        <f t="shared" si="1"/>
        <v>-1</v>
      </c>
      <c r="AA13" s="58">
        <f t="shared" si="1"/>
        <v>-1</v>
      </c>
      <c r="AB13" s="58">
        <f t="shared" si="1"/>
        <v>-2</v>
      </c>
      <c r="AC13" s="57">
        <f t="shared" si="1"/>
        <v>0</v>
      </c>
      <c r="AD13" s="70">
        <f t="shared" si="2"/>
        <v>-104</v>
      </c>
    </row>
    <row r="14" spans="1:30"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8">
        <f t="shared" si="1"/>
        <v>-1</v>
      </c>
      <c r="X14" s="58">
        <f t="shared" si="1"/>
        <v>-1</v>
      </c>
      <c r="Y14" s="58">
        <f t="shared" si="1"/>
        <v>-1</v>
      </c>
      <c r="Z14" s="58">
        <f t="shared" si="1"/>
        <v>-1</v>
      </c>
      <c r="AA14" s="58">
        <f t="shared" si="1"/>
        <v>-1</v>
      </c>
      <c r="AB14" s="58">
        <f t="shared" si="1"/>
        <v>-2</v>
      </c>
      <c r="AC14" s="57">
        <f t="shared" si="1"/>
        <v>-3</v>
      </c>
      <c r="AD14" s="70">
        <f t="shared" si="2"/>
        <v>-2</v>
      </c>
    </row>
    <row r="15" spans="1:30" ht="15.75" thickBot="1" x14ac:dyDescent="0.3">
      <c r="A15" s="4"/>
      <c r="B15" s="37" t="s">
        <v>41</v>
      </c>
      <c r="C15" s="122">
        <f t="shared" ref="C15:L15" si="3">SUM(C10:C14)</f>
        <v>56784</v>
      </c>
      <c r="D15" s="60">
        <f t="shared" si="3"/>
        <v>56340</v>
      </c>
      <c r="E15" s="60">
        <f t="shared" si="3"/>
        <v>56172</v>
      </c>
      <c r="F15" s="60">
        <f t="shared" si="3"/>
        <v>56201</v>
      </c>
      <c r="G15" s="60">
        <f t="shared" si="3"/>
        <v>56028</v>
      </c>
      <c r="H15" s="60">
        <f t="shared" si="3"/>
        <v>55885</v>
      </c>
      <c r="I15" s="60">
        <f t="shared" si="3"/>
        <v>55893</v>
      </c>
      <c r="J15" s="60">
        <f t="shared" si="3"/>
        <v>55921</v>
      </c>
      <c r="K15" s="60">
        <f t="shared" si="3"/>
        <v>56579</v>
      </c>
      <c r="L15" s="163">
        <f t="shared" si="3"/>
        <v>56965</v>
      </c>
      <c r="M15" s="60">
        <f t="shared" ref="M15:V15" si="4">SUM(M10:M14)</f>
        <v>57024</v>
      </c>
      <c r="N15" s="199">
        <f t="shared" si="4"/>
        <v>57103</v>
      </c>
      <c r="O15" s="60">
        <f t="shared" si="4"/>
        <v>57109</v>
      </c>
      <c r="P15" s="60">
        <f t="shared" si="4"/>
        <v>57241</v>
      </c>
      <c r="Q15" s="60">
        <f t="shared" si="4"/>
        <v>57313</v>
      </c>
      <c r="R15" s="60">
        <f t="shared" si="4"/>
        <v>57379</v>
      </c>
      <c r="S15" s="60">
        <f t="shared" si="4"/>
        <v>57421</v>
      </c>
      <c r="T15" s="60">
        <f t="shared" si="4"/>
        <v>57519</v>
      </c>
      <c r="U15" s="59">
        <f t="shared" si="4"/>
        <v>57571</v>
      </c>
      <c r="V15" s="59">
        <f t="shared" si="4"/>
        <v>57609</v>
      </c>
      <c r="W15" s="60">
        <f t="shared" ref="W15:AD15" si="5">SUM(W10:W14)</f>
        <v>-325</v>
      </c>
      <c r="X15" s="60">
        <f t="shared" si="5"/>
        <v>-901</v>
      </c>
      <c r="Y15" s="60">
        <f t="shared" si="5"/>
        <v>-1141</v>
      </c>
      <c r="Z15" s="60">
        <f t="shared" si="5"/>
        <v>-1178</v>
      </c>
      <c r="AA15" s="60">
        <f t="shared" si="5"/>
        <v>-1393</v>
      </c>
      <c r="AB15" s="60">
        <f t="shared" si="5"/>
        <v>-1634</v>
      </c>
      <c r="AC15" s="59">
        <f t="shared" si="5"/>
        <v>-1678</v>
      </c>
      <c r="AD15" s="59">
        <f t="shared" si="5"/>
        <v>-1688</v>
      </c>
    </row>
    <row r="16" spans="1:30"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332"/>
      <c r="W16" s="64"/>
      <c r="X16" s="65"/>
      <c r="Y16" s="66"/>
      <c r="Z16" s="66"/>
      <c r="AA16" s="66"/>
      <c r="AB16" s="66"/>
      <c r="AC16" s="67"/>
      <c r="AD16" s="231"/>
    </row>
    <row r="17" spans="1:30"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71">
        <f t="shared" ref="W17:AD17" si="6">C17-O17</f>
        <v>-1651</v>
      </c>
      <c r="X17" s="71">
        <f t="shared" si="6"/>
        <v>-1699</v>
      </c>
      <c r="Y17" s="71">
        <f t="shared" si="6"/>
        <v>-2099</v>
      </c>
      <c r="Z17" s="71">
        <f t="shared" si="6"/>
        <v>-1213</v>
      </c>
      <c r="AA17" s="71">
        <f t="shared" si="6"/>
        <v>-1263</v>
      </c>
      <c r="AB17" s="71">
        <f t="shared" si="6"/>
        <v>-1719</v>
      </c>
      <c r="AC17" s="70">
        <f t="shared" si="6"/>
        <v>-2251</v>
      </c>
      <c r="AD17" s="70">
        <f t="shared" si="6"/>
        <v>-2503</v>
      </c>
    </row>
    <row r="18" spans="1:30"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71">
        <f t="shared" ref="W18:AC21" si="7">C18-O18</f>
        <v>755</v>
      </c>
      <c r="X18" s="71">
        <f t="shared" si="7"/>
        <v>-157</v>
      </c>
      <c r="Y18" s="71">
        <f t="shared" si="7"/>
        <v>-730</v>
      </c>
      <c r="Z18" s="71">
        <f t="shared" si="7"/>
        <v>2431</v>
      </c>
      <c r="AA18" s="71">
        <f t="shared" si="7"/>
        <v>2588</v>
      </c>
      <c r="AB18" s="71">
        <f t="shared" si="7"/>
        <v>1955</v>
      </c>
      <c r="AC18" s="70">
        <f t="shared" si="7"/>
        <v>1106</v>
      </c>
      <c r="AD18" s="70">
        <f t="shared" ref="AD18:AD21" si="8">J18-V18</f>
        <v>1027</v>
      </c>
    </row>
    <row r="19" spans="1:30"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71">
        <f t="shared" si="7"/>
        <v>-78</v>
      </c>
      <c r="X19" s="71">
        <f t="shared" si="7"/>
        <v>-371</v>
      </c>
      <c r="Y19" s="71">
        <f t="shared" si="7"/>
        <v>-585</v>
      </c>
      <c r="Z19" s="71">
        <f t="shared" si="7"/>
        <v>-182</v>
      </c>
      <c r="AA19" s="71">
        <f t="shared" si="7"/>
        <v>-68</v>
      </c>
      <c r="AB19" s="71">
        <f t="shared" si="7"/>
        <v>-8</v>
      </c>
      <c r="AC19" s="70">
        <f t="shared" si="7"/>
        <v>-49</v>
      </c>
      <c r="AD19" s="70">
        <f t="shared" si="8"/>
        <v>-240</v>
      </c>
    </row>
    <row r="20" spans="1:30"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71">
        <f t="shared" si="7"/>
        <v>-17</v>
      </c>
      <c r="X20" s="71">
        <f t="shared" si="7"/>
        <v>-75</v>
      </c>
      <c r="Y20" s="71">
        <f t="shared" si="7"/>
        <v>-86</v>
      </c>
      <c r="Z20" s="71">
        <f t="shared" si="7"/>
        <v>-59</v>
      </c>
      <c r="AA20" s="71">
        <f t="shared" si="7"/>
        <v>-54</v>
      </c>
      <c r="AB20" s="71">
        <f t="shared" si="7"/>
        <v>-29</v>
      </c>
      <c r="AC20" s="70">
        <f t="shared" si="7"/>
        <v>-24</v>
      </c>
      <c r="AD20" s="70">
        <f t="shared" si="8"/>
        <v>-47</v>
      </c>
    </row>
    <row r="21" spans="1:30" x14ac:dyDescent="0.25">
      <c r="A21" s="4"/>
      <c r="B21" s="35" t="s">
        <v>40</v>
      </c>
      <c r="C21" s="131">
        <f t="shared" ref="C21:L21" si="9">C28+C35+C42-0</f>
        <v>0</v>
      </c>
      <c r="D21" s="69">
        <f t="shared" si="9"/>
        <v>2</v>
      </c>
      <c r="E21" s="69">
        <f t="shared" si="9"/>
        <v>1</v>
      </c>
      <c r="F21" s="69">
        <f t="shared" si="9"/>
        <v>3</v>
      </c>
      <c r="G21" s="69">
        <f t="shared" si="9"/>
        <v>1</v>
      </c>
      <c r="H21" s="69">
        <f t="shared" si="9"/>
        <v>2</v>
      </c>
      <c r="I21" s="69">
        <f t="shared" si="9"/>
        <v>2</v>
      </c>
      <c r="J21" s="69">
        <f t="shared" si="9"/>
        <v>1</v>
      </c>
      <c r="K21" s="69">
        <f t="shared" si="9"/>
        <v>3</v>
      </c>
      <c r="L21" s="70">
        <f t="shared" si="9"/>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71">
        <f t="shared" si="7"/>
        <v>0</v>
      </c>
      <c r="X21" s="71">
        <f t="shared" si="7"/>
        <v>-2</v>
      </c>
      <c r="Y21" s="71">
        <f t="shared" si="7"/>
        <v>-8</v>
      </c>
      <c r="Z21" s="71">
        <f t="shared" si="7"/>
        <v>-7</v>
      </c>
      <c r="AA21" s="71">
        <f t="shared" si="7"/>
        <v>-4</v>
      </c>
      <c r="AB21" s="71">
        <f t="shared" si="7"/>
        <v>-5</v>
      </c>
      <c r="AC21" s="70">
        <f t="shared" si="7"/>
        <v>-3</v>
      </c>
      <c r="AD21" s="70">
        <f t="shared" si="8"/>
        <v>-1</v>
      </c>
    </row>
    <row r="22" spans="1:30" x14ac:dyDescent="0.25">
      <c r="B22" s="35" t="s">
        <v>41</v>
      </c>
      <c r="C22" s="131">
        <f>SUM(C17:C21)</f>
        <v>25569</v>
      </c>
      <c r="D22" s="71">
        <f>SUM(D17:D21)</f>
        <v>26227</v>
      </c>
      <c r="E22" s="71">
        <f t="shared" ref="E22:AD22" si="10">SUM(E17:E21)</f>
        <v>26523</v>
      </c>
      <c r="F22" s="71">
        <f t="shared" si="10"/>
        <v>30031</v>
      </c>
      <c r="G22" s="71">
        <f t="shared" si="10"/>
        <v>30447</v>
      </c>
      <c r="H22" s="71">
        <f t="shared" si="10"/>
        <v>30150</v>
      </c>
      <c r="I22" s="71">
        <f t="shared" si="10"/>
        <v>29508</v>
      </c>
      <c r="J22" s="71">
        <f t="shared" si="10"/>
        <v>28090</v>
      </c>
      <c r="K22" s="71">
        <f t="shared" si="10"/>
        <v>28193</v>
      </c>
      <c r="L22" s="162">
        <f t="shared" si="10"/>
        <v>26326</v>
      </c>
      <c r="M22" s="71">
        <f t="shared" si="10"/>
        <v>24395</v>
      </c>
      <c r="N22" s="69">
        <f t="shared" si="10"/>
        <v>25039</v>
      </c>
      <c r="O22" s="71">
        <f t="shared" si="10"/>
        <v>26560</v>
      </c>
      <c r="P22" s="71">
        <f t="shared" si="10"/>
        <v>28531</v>
      </c>
      <c r="Q22" s="71">
        <f t="shared" si="10"/>
        <v>30031</v>
      </c>
      <c r="R22" s="71">
        <f t="shared" si="10"/>
        <v>29061</v>
      </c>
      <c r="S22" s="71">
        <f t="shared" si="10"/>
        <v>29248</v>
      </c>
      <c r="T22" s="71">
        <f t="shared" si="10"/>
        <v>29956</v>
      </c>
      <c r="U22" s="171">
        <f t="shared" si="10"/>
        <v>30729</v>
      </c>
      <c r="V22" s="171">
        <f>SUM(V17:V21)</f>
        <v>29854</v>
      </c>
      <c r="W22" s="71">
        <f t="shared" si="10"/>
        <v>-991</v>
      </c>
      <c r="X22" s="71">
        <f t="shared" si="10"/>
        <v>-2304</v>
      </c>
      <c r="Y22" s="71">
        <f t="shared" si="10"/>
        <v>-3508</v>
      </c>
      <c r="Z22" s="71">
        <f t="shared" si="10"/>
        <v>970</v>
      </c>
      <c r="AA22" s="71">
        <f t="shared" si="10"/>
        <v>1199</v>
      </c>
      <c r="AB22" s="71">
        <f t="shared" si="10"/>
        <v>194</v>
      </c>
      <c r="AC22" s="70">
        <f t="shared" si="10"/>
        <v>-1221</v>
      </c>
      <c r="AD22" s="70">
        <f t="shared" si="10"/>
        <v>-1764</v>
      </c>
    </row>
    <row r="23" spans="1:30"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253"/>
      <c r="W23" s="71"/>
      <c r="X23" s="72"/>
      <c r="Y23" s="73"/>
      <c r="Z23" s="73"/>
      <c r="AA23" s="73"/>
      <c r="AB23" s="73"/>
      <c r="AC23" s="74"/>
      <c r="AD23" s="230"/>
    </row>
    <row r="24" spans="1:30"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f t="shared" ref="W24:AD24" si="11">C24-O24</f>
        <v>-447</v>
      </c>
      <c r="X24" s="71">
        <f t="shared" si="11"/>
        <v>-215</v>
      </c>
      <c r="Y24" s="71">
        <f t="shared" si="11"/>
        <v>-615</v>
      </c>
      <c r="Z24" s="71">
        <f t="shared" si="11"/>
        <v>-457</v>
      </c>
      <c r="AA24" s="71">
        <f t="shared" si="11"/>
        <v>-611</v>
      </c>
      <c r="AB24" s="71">
        <f t="shared" si="11"/>
        <v>-873</v>
      </c>
      <c r="AC24" s="70">
        <f t="shared" si="11"/>
        <v>-1139</v>
      </c>
      <c r="AD24" s="70">
        <f t="shared" si="11"/>
        <v>-1215</v>
      </c>
    </row>
    <row r="25" spans="1:30"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f t="shared" ref="W25:AC28" si="12">C25-O25</f>
        <v>443</v>
      </c>
      <c r="X25" s="71">
        <f t="shared" si="12"/>
        <v>-32</v>
      </c>
      <c r="Y25" s="71">
        <f t="shared" si="12"/>
        <v>-463</v>
      </c>
      <c r="Z25" s="71">
        <f t="shared" si="12"/>
        <v>1081</v>
      </c>
      <c r="AA25" s="71">
        <f t="shared" si="12"/>
        <v>1176</v>
      </c>
      <c r="AB25" s="71">
        <f t="shared" si="12"/>
        <v>679</v>
      </c>
      <c r="AC25" s="70">
        <f t="shared" si="12"/>
        <v>375</v>
      </c>
      <c r="AD25" s="70">
        <f t="shared" ref="AD25:AD28" si="13">J25-V25</f>
        <v>415</v>
      </c>
    </row>
    <row r="26" spans="1:30"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f t="shared" si="12"/>
        <v>-32</v>
      </c>
      <c r="X26" s="71">
        <f t="shared" si="12"/>
        <v>-218</v>
      </c>
      <c r="Y26" s="71">
        <f t="shared" si="12"/>
        <v>-344</v>
      </c>
      <c r="Z26" s="71">
        <f t="shared" si="12"/>
        <v>-90</v>
      </c>
      <c r="AA26" s="71">
        <f t="shared" si="12"/>
        <v>-31</v>
      </c>
      <c r="AB26" s="71">
        <f t="shared" si="12"/>
        <v>12</v>
      </c>
      <c r="AC26" s="70">
        <f t="shared" si="12"/>
        <v>-39</v>
      </c>
      <c r="AD26" s="70">
        <f t="shared" si="13"/>
        <v>-168</v>
      </c>
    </row>
    <row r="27" spans="1:30"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f t="shared" si="12"/>
        <v>-8</v>
      </c>
      <c r="X27" s="71">
        <f t="shared" si="12"/>
        <v>-42</v>
      </c>
      <c r="Y27" s="71">
        <f t="shared" si="12"/>
        <v>-52</v>
      </c>
      <c r="Z27" s="71">
        <f t="shared" si="12"/>
        <v>-31</v>
      </c>
      <c r="AA27" s="71">
        <f t="shared" si="12"/>
        <v>-29</v>
      </c>
      <c r="AB27" s="71">
        <f t="shared" si="12"/>
        <v>-11</v>
      </c>
      <c r="AC27" s="70">
        <f t="shared" si="12"/>
        <v>-6</v>
      </c>
      <c r="AD27" s="70">
        <f t="shared" si="13"/>
        <v>-29</v>
      </c>
    </row>
    <row r="28" spans="1:30"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f t="shared" si="12"/>
        <v>0</v>
      </c>
      <c r="X28" s="71">
        <f t="shared" si="12"/>
        <v>-2</v>
      </c>
      <c r="Y28" s="71">
        <f t="shared" si="12"/>
        <v>-5</v>
      </c>
      <c r="Z28" s="71">
        <f t="shared" si="12"/>
        <v>-3</v>
      </c>
      <c r="AA28" s="71">
        <f t="shared" si="12"/>
        <v>-2</v>
      </c>
      <c r="AB28" s="71">
        <f t="shared" si="12"/>
        <v>-2</v>
      </c>
      <c r="AC28" s="70">
        <f t="shared" si="12"/>
        <v>-3</v>
      </c>
      <c r="AD28" s="70">
        <f t="shared" si="13"/>
        <v>0</v>
      </c>
    </row>
    <row r="29" spans="1:30" x14ac:dyDescent="0.25">
      <c r="B29" s="35" t="s">
        <v>41</v>
      </c>
      <c r="C29" s="131">
        <f>SUM(C24:C28)</f>
        <v>16020</v>
      </c>
      <c r="D29" s="71">
        <f>SUM(D24:D28)</f>
        <v>16333</v>
      </c>
      <c r="E29" s="71">
        <f t="shared" ref="E29:AD29" si="14">SUM(E24:E28)</f>
        <v>16023</v>
      </c>
      <c r="F29" s="71">
        <f t="shared" si="14"/>
        <v>17885</v>
      </c>
      <c r="G29" s="71">
        <f t="shared" si="14"/>
        <v>16733</v>
      </c>
      <c r="H29" s="71">
        <f t="shared" si="14"/>
        <v>16633</v>
      </c>
      <c r="I29" s="71">
        <f t="shared" si="14"/>
        <v>16344</v>
      </c>
      <c r="J29" s="71">
        <f t="shared" si="14"/>
        <v>15492</v>
      </c>
      <c r="K29" s="71">
        <f t="shared" si="14"/>
        <v>15799</v>
      </c>
      <c r="L29" s="162">
        <f t="shared" si="14"/>
        <v>15232</v>
      </c>
      <c r="M29" s="71">
        <f t="shared" si="14"/>
        <v>14621</v>
      </c>
      <c r="N29" s="71">
        <f t="shared" si="14"/>
        <v>15172</v>
      </c>
      <c r="O29" s="71">
        <f t="shared" si="14"/>
        <v>16064</v>
      </c>
      <c r="P29" s="71">
        <f t="shared" si="14"/>
        <v>16842</v>
      </c>
      <c r="Q29" s="71">
        <f t="shared" si="14"/>
        <v>17502</v>
      </c>
      <c r="R29" s="71">
        <f t="shared" si="14"/>
        <v>17385</v>
      </c>
      <c r="S29" s="71">
        <f t="shared" si="14"/>
        <v>16230</v>
      </c>
      <c r="T29" s="71">
        <f t="shared" si="14"/>
        <v>16828</v>
      </c>
      <c r="U29" s="172">
        <f t="shared" si="14"/>
        <v>17156</v>
      </c>
      <c r="V29" s="172">
        <f t="shared" si="14"/>
        <v>16489</v>
      </c>
      <c r="W29" s="71">
        <f t="shared" si="14"/>
        <v>-44</v>
      </c>
      <c r="X29" s="71">
        <f t="shared" si="14"/>
        <v>-509</v>
      </c>
      <c r="Y29" s="71">
        <f t="shared" si="14"/>
        <v>-1479</v>
      </c>
      <c r="Z29" s="71">
        <f t="shared" si="14"/>
        <v>500</v>
      </c>
      <c r="AA29" s="71">
        <f t="shared" si="14"/>
        <v>503</v>
      </c>
      <c r="AB29" s="71">
        <f t="shared" si="14"/>
        <v>-195</v>
      </c>
      <c r="AC29" s="70">
        <f t="shared" si="14"/>
        <v>-812</v>
      </c>
      <c r="AD29" s="70">
        <f t="shared" si="14"/>
        <v>-997</v>
      </c>
    </row>
    <row r="30" spans="1:30"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253"/>
      <c r="W30" s="71"/>
      <c r="X30" s="71"/>
      <c r="Y30" s="71"/>
      <c r="Z30" s="71"/>
      <c r="AA30" s="71"/>
      <c r="AB30" s="71"/>
      <c r="AC30" s="70"/>
      <c r="AD30" s="325"/>
    </row>
    <row r="31" spans="1:30"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f t="shared" ref="W31:AD31" si="15">C31-O31</f>
        <v>-1709</v>
      </c>
      <c r="X31" s="71">
        <f t="shared" si="15"/>
        <v>-1567</v>
      </c>
      <c r="Y31" s="71">
        <f t="shared" si="15"/>
        <v>-1824</v>
      </c>
      <c r="Z31" s="71">
        <f t="shared" si="15"/>
        <v>-941</v>
      </c>
      <c r="AA31" s="71">
        <f t="shared" si="15"/>
        <v>-1380</v>
      </c>
      <c r="AB31" s="71">
        <f t="shared" si="15"/>
        <v>-1047</v>
      </c>
      <c r="AC31" s="70">
        <f t="shared" si="15"/>
        <v>-1317</v>
      </c>
      <c r="AD31" s="70">
        <f t="shared" si="15"/>
        <v>-1511</v>
      </c>
    </row>
    <row r="32" spans="1:30"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f t="shared" ref="W32:AC35" si="16">C32-O32</f>
        <v>-148</v>
      </c>
      <c r="X32" s="71">
        <f t="shared" si="16"/>
        <v>-211</v>
      </c>
      <c r="Y32" s="71">
        <f t="shared" si="16"/>
        <v>-417</v>
      </c>
      <c r="Z32" s="71">
        <f t="shared" si="16"/>
        <v>1188</v>
      </c>
      <c r="AA32" s="71">
        <f t="shared" si="16"/>
        <v>1171</v>
      </c>
      <c r="AB32" s="71">
        <f t="shared" si="16"/>
        <v>1078</v>
      </c>
      <c r="AC32" s="70">
        <f t="shared" si="16"/>
        <v>498</v>
      </c>
      <c r="AD32" s="70">
        <f t="shared" ref="AD32:AD35" si="17">J32-V32</f>
        <v>399</v>
      </c>
    </row>
    <row r="33" spans="1:35"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f t="shared" si="16"/>
        <v>-32</v>
      </c>
      <c r="X33" s="71">
        <f t="shared" si="16"/>
        <v>-149</v>
      </c>
      <c r="Y33" s="71">
        <f t="shared" si="16"/>
        <v>-233</v>
      </c>
      <c r="Z33" s="71">
        <f t="shared" si="16"/>
        <v>-105</v>
      </c>
      <c r="AA33" s="71">
        <f t="shared" si="16"/>
        <v>-65</v>
      </c>
      <c r="AB33" s="71">
        <f t="shared" si="16"/>
        <v>-40</v>
      </c>
      <c r="AC33" s="70">
        <f t="shared" si="16"/>
        <v>-21</v>
      </c>
      <c r="AD33" s="70">
        <f t="shared" si="17"/>
        <v>-73</v>
      </c>
    </row>
    <row r="34" spans="1:35"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f t="shared" si="16"/>
        <v>-12</v>
      </c>
      <c r="X34" s="71">
        <f t="shared" si="16"/>
        <v>-35</v>
      </c>
      <c r="Y34" s="71">
        <f t="shared" si="16"/>
        <v>-36</v>
      </c>
      <c r="Z34" s="71">
        <f t="shared" si="16"/>
        <v>-26</v>
      </c>
      <c r="AA34" s="71">
        <f t="shared" si="16"/>
        <v>-20</v>
      </c>
      <c r="AB34" s="71">
        <f t="shared" si="16"/>
        <v>-17</v>
      </c>
      <c r="AC34" s="70">
        <f t="shared" si="16"/>
        <v>-19</v>
      </c>
      <c r="AD34" s="70">
        <f t="shared" si="17"/>
        <v>-16</v>
      </c>
    </row>
    <row r="35" spans="1:35"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f t="shared" si="16"/>
        <v>0</v>
      </c>
      <c r="X35" s="71">
        <f t="shared" si="16"/>
        <v>0</v>
      </c>
      <c r="Y35" s="71">
        <f t="shared" si="16"/>
        <v>-3</v>
      </c>
      <c r="Z35" s="71">
        <f t="shared" si="16"/>
        <v>-4</v>
      </c>
      <c r="AA35" s="71">
        <f t="shared" si="16"/>
        <v>-1</v>
      </c>
      <c r="AB35" s="71">
        <f t="shared" si="16"/>
        <v>-2</v>
      </c>
      <c r="AC35" s="70">
        <f t="shared" si="16"/>
        <v>0</v>
      </c>
      <c r="AD35" s="70">
        <f t="shared" si="17"/>
        <v>-1</v>
      </c>
    </row>
    <row r="36" spans="1:35" x14ac:dyDescent="0.25">
      <c r="A36" s="4"/>
      <c r="B36" s="35" t="s">
        <v>41</v>
      </c>
      <c r="C36" s="131">
        <f>SUM(C31:C35)</f>
        <v>7919</v>
      </c>
      <c r="D36" s="71">
        <f>SUM(D31:D35)</f>
        <v>9129</v>
      </c>
      <c r="E36" s="71">
        <f t="shared" ref="E36:AD36" si="18">SUM(E31:E35)</f>
        <v>9359</v>
      </c>
      <c r="F36" s="71">
        <f t="shared" si="18"/>
        <v>11166</v>
      </c>
      <c r="G36" s="71">
        <f t="shared" si="18"/>
        <v>12015</v>
      </c>
      <c r="H36" s="71">
        <f t="shared" si="18"/>
        <v>12307</v>
      </c>
      <c r="I36" s="71">
        <f t="shared" si="18"/>
        <v>12126</v>
      </c>
      <c r="J36" s="71">
        <f t="shared" si="18"/>
        <v>11497</v>
      </c>
      <c r="K36" s="71">
        <f t="shared" si="18"/>
        <v>11283</v>
      </c>
      <c r="L36" s="162">
        <f t="shared" si="18"/>
        <v>10017</v>
      </c>
      <c r="M36" s="71">
        <f t="shared" si="18"/>
        <v>8779</v>
      </c>
      <c r="N36" s="71">
        <f t="shared" si="18"/>
        <v>8825</v>
      </c>
      <c r="O36" s="71">
        <f t="shared" si="18"/>
        <v>9820</v>
      </c>
      <c r="P36" s="71">
        <f t="shared" si="18"/>
        <v>11091</v>
      </c>
      <c r="Q36" s="71">
        <f t="shared" si="18"/>
        <v>11872</v>
      </c>
      <c r="R36" s="71">
        <f t="shared" si="18"/>
        <v>11054</v>
      </c>
      <c r="S36" s="71">
        <f t="shared" si="18"/>
        <v>12310</v>
      </c>
      <c r="T36" s="71">
        <f t="shared" si="18"/>
        <v>12335</v>
      </c>
      <c r="U36" s="172">
        <f t="shared" si="18"/>
        <v>12985</v>
      </c>
      <c r="V36" s="172">
        <f t="shared" si="18"/>
        <v>12699</v>
      </c>
      <c r="W36" s="71">
        <f t="shared" si="18"/>
        <v>-1901</v>
      </c>
      <c r="X36" s="71">
        <f t="shared" si="18"/>
        <v>-1962</v>
      </c>
      <c r="Y36" s="71">
        <f t="shared" si="18"/>
        <v>-2513</v>
      </c>
      <c r="Z36" s="71">
        <f t="shared" si="18"/>
        <v>112</v>
      </c>
      <c r="AA36" s="71">
        <f t="shared" si="18"/>
        <v>-295</v>
      </c>
      <c r="AB36" s="71">
        <f t="shared" si="18"/>
        <v>-28</v>
      </c>
      <c r="AC36" s="70">
        <f t="shared" si="18"/>
        <v>-859</v>
      </c>
      <c r="AD36" s="70">
        <f t="shared" si="18"/>
        <v>-1202</v>
      </c>
    </row>
    <row r="37" spans="1:35"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253"/>
      <c r="W37" s="71"/>
      <c r="X37" s="71"/>
      <c r="Y37" s="71"/>
      <c r="Z37" s="71"/>
      <c r="AA37" s="71"/>
      <c r="AB37" s="71"/>
      <c r="AC37" s="70"/>
      <c r="AD37" s="325"/>
    </row>
    <row r="38" spans="1:35"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f t="shared" ref="W38:AD38" si="19">C38-O38</f>
        <v>-224</v>
      </c>
      <c r="X38" s="71">
        <f t="shared" si="19"/>
        <v>-1509</v>
      </c>
      <c r="Y38" s="71">
        <f t="shared" si="19"/>
        <v>-2029</v>
      </c>
      <c r="Z38" s="71">
        <f t="shared" si="19"/>
        <v>-2018</v>
      </c>
      <c r="AA38" s="71">
        <f t="shared" si="19"/>
        <v>-1127</v>
      </c>
      <c r="AB38" s="71">
        <f t="shared" si="19"/>
        <v>-1430</v>
      </c>
      <c r="AC38" s="70">
        <f t="shared" si="19"/>
        <v>-1438</v>
      </c>
      <c r="AD38" s="70">
        <f t="shared" si="19"/>
        <v>-1439</v>
      </c>
    </row>
    <row r="39" spans="1:35"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f t="shared" ref="W39:AC39" si="20">C39-O39</f>
        <v>251</v>
      </c>
      <c r="X39" s="71">
        <f t="shared" si="20"/>
        <v>-352</v>
      </c>
      <c r="Y39" s="71">
        <f t="shared" si="20"/>
        <v>-656</v>
      </c>
      <c r="Z39" s="71">
        <f t="shared" si="20"/>
        <v>902</v>
      </c>
      <c r="AA39" s="71">
        <f t="shared" si="20"/>
        <v>1379</v>
      </c>
      <c r="AB39" s="71">
        <f t="shared" si="20"/>
        <v>1187</v>
      </c>
      <c r="AC39" s="70">
        <f t="shared" si="20"/>
        <v>903</v>
      </c>
      <c r="AD39" s="70">
        <f t="shared" ref="AD39:AD42" si="21">J39-V39</f>
        <v>603</v>
      </c>
    </row>
    <row r="40" spans="1:35" x14ac:dyDescent="0.25">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f>C26-O40</f>
        <v>419</v>
      </c>
      <c r="X40" s="71">
        <f t="shared" ref="X40:AC42" si="22">D40-P40</f>
        <v>-75</v>
      </c>
      <c r="Y40" s="71">
        <f t="shared" si="22"/>
        <v>-111</v>
      </c>
      <c r="Z40" s="71">
        <f t="shared" si="22"/>
        <v>-118</v>
      </c>
      <c r="AA40" s="71">
        <f t="shared" si="22"/>
        <v>-91</v>
      </c>
      <c r="AB40" s="71">
        <f t="shared" si="22"/>
        <v>-44</v>
      </c>
      <c r="AC40" s="70">
        <f t="shared" si="22"/>
        <v>-14</v>
      </c>
      <c r="AD40" s="70">
        <f t="shared" si="21"/>
        <v>-59</v>
      </c>
    </row>
    <row r="41" spans="1:35" x14ac:dyDescent="0.25">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f>C27-O41</f>
        <v>61</v>
      </c>
      <c r="X41" s="71">
        <f t="shared" si="22"/>
        <v>-10</v>
      </c>
      <c r="Y41" s="71">
        <f t="shared" si="22"/>
        <v>-22</v>
      </c>
      <c r="Z41" s="71">
        <f t="shared" si="22"/>
        <v>-25</v>
      </c>
      <c r="AA41" s="71">
        <f t="shared" si="22"/>
        <v>-26</v>
      </c>
      <c r="AB41" s="71">
        <f t="shared" si="22"/>
        <v>-18</v>
      </c>
      <c r="AC41" s="70">
        <f t="shared" si="22"/>
        <v>-17</v>
      </c>
      <c r="AD41" s="70">
        <f t="shared" si="21"/>
        <v>-16</v>
      </c>
    </row>
    <row r="42" spans="1:35"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f>C42-O42</f>
        <v>0</v>
      </c>
      <c r="X42" s="71">
        <f t="shared" si="22"/>
        <v>0</v>
      </c>
      <c r="Y42" s="71">
        <f t="shared" si="22"/>
        <v>0</v>
      </c>
      <c r="Z42" s="71">
        <f t="shared" si="22"/>
        <v>-2</v>
      </c>
      <c r="AA42" s="71">
        <f t="shared" si="22"/>
        <v>-2</v>
      </c>
      <c r="AB42" s="71">
        <f t="shared" si="22"/>
        <v>-1</v>
      </c>
      <c r="AC42" s="70">
        <f t="shared" si="22"/>
        <v>-1</v>
      </c>
      <c r="AD42" s="70">
        <f t="shared" si="21"/>
        <v>-1</v>
      </c>
    </row>
    <row r="43" spans="1:35" ht="15.75" thickBot="1" x14ac:dyDescent="0.3">
      <c r="A43" s="4"/>
      <c r="B43" s="37" t="s">
        <v>41</v>
      </c>
      <c r="C43" s="122">
        <f>SUM(C38:C42)</f>
        <v>6139</v>
      </c>
      <c r="D43" s="60">
        <f>SUM(D38:D42)</f>
        <v>5571</v>
      </c>
      <c r="E43" s="60">
        <f t="shared" ref="E43:AD43" si="23">SUM(E38:E42)</f>
        <v>5764</v>
      </c>
      <c r="F43" s="60">
        <f t="shared" si="23"/>
        <v>7309</v>
      </c>
      <c r="G43" s="60">
        <f t="shared" si="23"/>
        <v>8758</v>
      </c>
      <c r="H43" s="60">
        <f t="shared" si="23"/>
        <v>10459</v>
      </c>
      <c r="I43" s="60">
        <f t="shared" si="23"/>
        <v>10359</v>
      </c>
      <c r="J43" s="60">
        <f t="shared" si="23"/>
        <v>9967</v>
      </c>
      <c r="K43" s="60">
        <f t="shared" si="23"/>
        <v>9645</v>
      </c>
      <c r="L43" s="163">
        <f t="shared" si="23"/>
        <v>8576</v>
      </c>
      <c r="M43" s="60">
        <f t="shared" si="23"/>
        <v>7143</v>
      </c>
      <c r="N43" s="60">
        <f t="shared" si="23"/>
        <v>6113</v>
      </c>
      <c r="O43" s="60">
        <f t="shared" si="23"/>
        <v>6143</v>
      </c>
      <c r="P43" s="60">
        <f t="shared" si="23"/>
        <v>7517</v>
      </c>
      <c r="Q43" s="60">
        <f t="shared" si="23"/>
        <v>8582</v>
      </c>
      <c r="R43" s="60">
        <f t="shared" si="23"/>
        <v>8570</v>
      </c>
      <c r="S43" s="60">
        <f t="shared" si="23"/>
        <v>8625</v>
      </c>
      <c r="T43" s="60">
        <f t="shared" si="23"/>
        <v>10765</v>
      </c>
      <c r="U43" s="173">
        <f t="shared" si="23"/>
        <v>10926</v>
      </c>
      <c r="V43" s="173">
        <f t="shared" si="23"/>
        <v>10879</v>
      </c>
      <c r="W43" s="60">
        <f t="shared" si="23"/>
        <v>507</v>
      </c>
      <c r="X43" s="60">
        <f t="shared" si="23"/>
        <v>-1946</v>
      </c>
      <c r="Y43" s="60">
        <f t="shared" si="23"/>
        <v>-2818</v>
      </c>
      <c r="Z43" s="60">
        <f t="shared" si="23"/>
        <v>-1261</v>
      </c>
      <c r="AA43" s="60">
        <f t="shared" si="23"/>
        <v>133</v>
      </c>
      <c r="AB43" s="60">
        <f t="shared" si="23"/>
        <v>-306</v>
      </c>
      <c r="AC43" s="59">
        <f t="shared" si="23"/>
        <v>-567</v>
      </c>
      <c r="AD43" s="59">
        <f t="shared" si="23"/>
        <v>-912</v>
      </c>
    </row>
    <row r="44" spans="1:35"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333"/>
      <c r="W44" s="76"/>
      <c r="X44" s="76"/>
      <c r="Y44" s="76"/>
      <c r="Z44" s="76"/>
      <c r="AA44" s="76"/>
      <c r="AB44" s="76"/>
      <c r="AC44" s="75"/>
      <c r="AD44" s="326"/>
    </row>
    <row r="45" spans="1:35"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f t="shared" ref="W45:AD45" si="24">C45-O45</f>
        <v>192265.6100000001</v>
      </c>
      <c r="X45" s="79">
        <f t="shared" si="24"/>
        <v>152870.93999999994</v>
      </c>
      <c r="Y45" s="79">
        <f t="shared" si="24"/>
        <v>-149594.23999999999</v>
      </c>
      <c r="Z45" s="79">
        <f t="shared" si="24"/>
        <v>-299389.70000000007</v>
      </c>
      <c r="AA45" s="79">
        <f t="shared" si="24"/>
        <v>-11836.330000000016</v>
      </c>
      <c r="AB45" s="79">
        <f t="shared" si="24"/>
        <v>-25652.410000000033</v>
      </c>
      <c r="AC45" s="78">
        <f t="shared" si="24"/>
        <v>-74679.840000000026</v>
      </c>
      <c r="AD45" s="78">
        <f t="shared" si="24"/>
        <v>-37618.700000000012</v>
      </c>
      <c r="AF45" s="239">
        <v>43970</v>
      </c>
      <c r="AG45" s="239">
        <v>43971</v>
      </c>
    </row>
    <row r="46" spans="1:35"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f t="shared" ref="W46:AC49" si="25">C46-O46</f>
        <v>225562.05000000005</v>
      </c>
      <c r="X46" s="79">
        <f t="shared" si="25"/>
        <v>95126.950000000012</v>
      </c>
      <c r="Y46" s="79">
        <f t="shared" si="25"/>
        <v>-20369.649999999965</v>
      </c>
      <c r="Z46" s="79">
        <f t="shared" si="25"/>
        <v>7799.1600000000035</v>
      </c>
      <c r="AA46" s="79">
        <f t="shared" si="25"/>
        <v>20599.270000000004</v>
      </c>
      <c r="AB46" s="79">
        <f t="shared" si="25"/>
        <v>-68924.680000000008</v>
      </c>
      <c r="AC46" s="78">
        <f t="shared" si="25"/>
        <v>-209762.34000000003</v>
      </c>
      <c r="AD46" s="78">
        <f t="shared" ref="AD46:AD49" si="26">J46-V46</f>
        <v>-235538.11000000002</v>
      </c>
      <c r="AE46" s="2" t="s">
        <v>49</v>
      </c>
      <c r="AF46" s="238">
        <f>SUM(E45+E46+E52+E53+E59+E60)</f>
        <v>4024345.31</v>
      </c>
      <c r="AG46" s="238">
        <f>SUM(Q45+Q46+Q52+Q53+Q59+Q60)</f>
        <v>5924166.9000000004</v>
      </c>
      <c r="AH46" s="238">
        <f>AG46-AF46</f>
        <v>1899821.5900000003</v>
      </c>
      <c r="AI46" s="2">
        <f>((AH46/AF46)/2)*100</f>
        <v>23.60410754612904</v>
      </c>
    </row>
    <row r="47" spans="1:35"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f t="shared" si="25"/>
        <v>159688.47000000003</v>
      </c>
      <c r="X47" s="79">
        <f t="shared" si="25"/>
        <v>-69686.669999999984</v>
      </c>
      <c r="Y47" s="79">
        <f t="shared" si="25"/>
        <v>-123603.19</v>
      </c>
      <c r="Z47" s="79">
        <f t="shared" si="25"/>
        <v>-38087.17</v>
      </c>
      <c r="AA47" s="79">
        <f t="shared" si="25"/>
        <v>-13032.282000000003</v>
      </c>
      <c r="AB47" s="79">
        <f t="shared" si="25"/>
        <v>-165397.36000000002</v>
      </c>
      <c r="AC47" s="78">
        <f t="shared" si="25"/>
        <v>-24.31000000000131</v>
      </c>
      <c r="AD47" s="78">
        <f t="shared" si="26"/>
        <v>-3732.1899999999987</v>
      </c>
      <c r="AE47" s="2" t="s">
        <v>50</v>
      </c>
      <c r="AF47" s="238">
        <f>SUM(E47+E48+E49+E54+E55+E56+E61+E62+E63)</f>
        <v>335201.68000000005</v>
      </c>
      <c r="AG47" s="238">
        <f>SUM(Q47+Q48+Q49+Q54+Q55+Q56+Q61+Q62+Q63)</f>
        <v>1039671.3</v>
      </c>
      <c r="AH47" s="238">
        <f>AG47-AF47</f>
        <v>704469.62</v>
      </c>
      <c r="AI47" s="2">
        <f>((AH47/AF47)/2)*100</f>
        <v>105.08145722897331</v>
      </c>
    </row>
    <row r="48" spans="1:35"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f t="shared" si="25"/>
        <v>7130.1100000000151</v>
      </c>
      <c r="X48" s="79">
        <f t="shared" si="25"/>
        <v>-90326.390000000014</v>
      </c>
      <c r="Y48" s="79">
        <f t="shared" si="25"/>
        <v>-91006.000000000015</v>
      </c>
      <c r="Z48" s="79">
        <f t="shared" si="25"/>
        <v>-52902.180000000008</v>
      </c>
      <c r="AA48" s="79">
        <f t="shared" si="25"/>
        <v>-20594.210000000003</v>
      </c>
      <c r="AB48" s="79">
        <f t="shared" si="25"/>
        <v>-25983.989999999998</v>
      </c>
      <c r="AC48" s="78">
        <f t="shared" si="25"/>
        <v>-7171.6499999999978</v>
      </c>
      <c r="AD48" s="78">
        <f t="shared" si="26"/>
        <v>-63036.679999999993</v>
      </c>
    </row>
    <row r="49" spans="1:35"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f t="shared" si="25"/>
        <v>0</v>
      </c>
      <c r="X49" s="79">
        <f t="shared" si="25"/>
        <v>-46412.270000000004</v>
      </c>
      <c r="Y49" s="79">
        <f t="shared" si="25"/>
        <v>-136975.71</v>
      </c>
      <c r="Z49" s="79">
        <f t="shared" si="25"/>
        <v>-25301.66</v>
      </c>
      <c r="AA49" s="79">
        <f t="shared" si="25"/>
        <v>-31567.600000000002</v>
      </c>
      <c r="AB49" s="79">
        <f t="shared" si="25"/>
        <v>-24424.350000000002</v>
      </c>
      <c r="AC49" s="78">
        <f t="shared" si="25"/>
        <v>-7246.97</v>
      </c>
      <c r="AD49" s="78">
        <f t="shared" si="26"/>
        <v>-597.63</v>
      </c>
      <c r="AF49" s="239">
        <v>44001</v>
      </c>
      <c r="AG49" s="239">
        <v>44002</v>
      </c>
    </row>
    <row r="50" spans="1:35" x14ac:dyDescent="0.25">
      <c r="A50" s="4"/>
      <c r="B50" s="35" t="s">
        <v>41</v>
      </c>
      <c r="C50" s="108">
        <f>SUM(C45:C49)</f>
        <v>2912107.69</v>
      </c>
      <c r="D50" s="79">
        <f>SUM(D45:D49)</f>
        <v>2474927.7999999998</v>
      </c>
      <c r="E50" s="79">
        <f t="shared" ref="E50:AD50" si="27">SUM(E45:E49)</f>
        <v>1695771.3399999999</v>
      </c>
      <c r="F50" s="79">
        <f t="shared" si="27"/>
        <v>1005234.6300000001</v>
      </c>
      <c r="G50" s="79">
        <f t="shared" si="27"/>
        <v>577118.37800000003</v>
      </c>
      <c r="H50" s="79">
        <f>SUM(H45:H49)</f>
        <v>457694.14</v>
      </c>
      <c r="I50" s="79">
        <f t="shared" si="27"/>
        <v>409619.29</v>
      </c>
      <c r="J50" s="79">
        <f t="shared" si="27"/>
        <v>398212.09</v>
      </c>
      <c r="K50" s="79">
        <f t="shared" si="27"/>
        <v>459690.25</v>
      </c>
      <c r="L50" s="110">
        <f t="shared" si="27"/>
        <v>994612.07000000018</v>
      </c>
      <c r="M50" s="79">
        <f t="shared" si="27"/>
        <v>1837328.5600000003</v>
      </c>
      <c r="N50" s="79">
        <f t="shared" si="27"/>
        <v>2492447.9500000002</v>
      </c>
      <c r="O50" s="79">
        <f t="shared" si="27"/>
        <v>2327461.4499999997</v>
      </c>
      <c r="P50" s="79">
        <f t="shared" si="27"/>
        <v>2433355.2400000002</v>
      </c>
      <c r="Q50" s="79">
        <f t="shared" si="27"/>
        <v>2217320.13</v>
      </c>
      <c r="R50" s="79">
        <f t="shared" si="27"/>
        <v>1413116.18</v>
      </c>
      <c r="S50" s="79">
        <f t="shared" si="27"/>
        <v>633549.53</v>
      </c>
      <c r="T50" s="79">
        <f t="shared" si="27"/>
        <v>768076.92999999993</v>
      </c>
      <c r="U50" s="175">
        <f t="shared" si="27"/>
        <v>708504.4</v>
      </c>
      <c r="V50" s="175">
        <f t="shared" si="27"/>
        <v>738735.39999999991</v>
      </c>
      <c r="W50" s="79">
        <f t="shared" si="27"/>
        <v>584646.24000000011</v>
      </c>
      <c r="X50" s="79">
        <f t="shared" si="27"/>
        <v>41572.559999999954</v>
      </c>
      <c r="Y50" s="79">
        <f t="shared" si="27"/>
        <v>-521548.78999999992</v>
      </c>
      <c r="Z50" s="79">
        <f t="shared" si="27"/>
        <v>-407881.55</v>
      </c>
      <c r="AA50" s="79">
        <f t="shared" si="27"/>
        <v>-56431.152000000016</v>
      </c>
      <c r="AB50" s="79">
        <f t="shared" si="27"/>
        <v>-310382.79000000004</v>
      </c>
      <c r="AC50" s="78">
        <f t="shared" si="27"/>
        <v>-298885.11000000004</v>
      </c>
      <c r="AD50" s="78">
        <f t="shared" si="27"/>
        <v>-340523.31000000006</v>
      </c>
      <c r="AE50" s="2" t="s">
        <v>49</v>
      </c>
      <c r="AF50" s="238">
        <f>SUM(E45+E46+E52+E53+E59+E60)</f>
        <v>4024345.31</v>
      </c>
      <c r="AG50" s="238">
        <f>SUM(R45+R46+R52+R53+R59+R60)</f>
        <v>5183823.4800000004</v>
      </c>
      <c r="AH50" s="238">
        <f>AG50-AF50</f>
        <v>1159478.1700000004</v>
      </c>
      <c r="AI50" s="2">
        <f>((AH50/AF50)/2)*100</f>
        <v>14.405798716114651</v>
      </c>
    </row>
    <row r="51" spans="1:35"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109"/>
      <c r="W51" s="79"/>
      <c r="X51" s="79"/>
      <c r="Y51" s="79"/>
      <c r="Z51" s="79"/>
      <c r="AA51" s="79"/>
      <c r="AB51" s="79"/>
      <c r="AC51" s="78"/>
      <c r="AD51" s="326"/>
      <c r="AE51" s="2" t="s">
        <v>50</v>
      </c>
      <c r="AF51" s="238">
        <f>SUM(F47+F48+F49+F54+F55+F56+F61+F62+F63)</f>
        <v>280640.96000000002</v>
      </c>
      <c r="AG51" s="238">
        <f>SUM(R47+R48+R49+R54+R55+R56+R61+R62+R63)</f>
        <v>843577.2</v>
      </c>
      <c r="AH51" s="238">
        <f>AG51-AF51</f>
        <v>562936.24</v>
      </c>
      <c r="AI51" s="2">
        <f>((AH51/AF51)/2)*100</f>
        <v>100.29473958469926</v>
      </c>
    </row>
    <row r="52" spans="1:35" x14ac:dyDescent="0.25">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f t="shared" ref="W52:AA56" si="28">C52-O52</f>
        <v>-336250.93999999994</v>
      </c>
      <c r="X52" s="79">
        <f t="shared" si="28"/>
        <v>-209293.25</v>
      </c>
      <c r="Y52" s="79">
        <f t="shared" si="28"/>
        <v>-239866.5</v>
      </c>
      <c r="Z52" s="79">
        <f t="shared" si="28"/>
        <v>-189896.33000000007</v>
      </c>
      <c r="AA52" s="79">
        <f t="shared" si="28"/>
        <v>-298701.28000000003</v>
      </c>
      <c r="AB52" s="79">
        <f>H45-T52</f>
        <v>6354.539999999979</v>
      </c>
      <c r="AC52" s="78">
        <f>I52-U52</f>
        <v>-39851.660000000003</v>
      </c>
      <c r="AD52" s="78">
        <f>J52-V52</f>
        <v>-81055.859999999986</v>
      </c>
    </row>
    <row r="53" spans="1:35" x14ac:dyDescent="0.25">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f t="shared" si="28"/>
        <v>-29482.820000000007</v>
      </c>
      <c r="X53" s="79">
        <f t="shared" si="28"/>
        <v>46057.859999999986</v>
      </c>
      <c r="Y53" s="79">
        <f t="shared" si="28"/>
        <v>-16723.569999999949</v>
      </c>
      <c r="Z53" s="79">
        <f t="shared" si="28"/>
        <v>121481.37</v>
      </c>
      <c r="AA53" s="79">
        <f t="shared" si="28"/>
        <v>36049.739999999991</v>
      </c>
      <c r="AB53" s="79">
        <f>H46-T53</f>
        <v>8831.2300000000105</v>
      </c>
      <c r="AC53" s="78">
        <f>I53-U53</f>
        <v>-71953.469999999987</v>
      </c>
      <c r="AD53" s="78">
        <f t="shared" ref="AD53:AD56" si="29">J53-V53</f>
        <v>-186620.11</v>
      </c>
      <c r="AF53" s="239">
        <v>44031</v>
      </c>
      <c r="AG53" s="239">
        <v>44032</v>
      </c>
    </row>
    <row r="54" spans="1:35"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f t="shared" si="28"/>
        <v>-72749.97</v>
      </c>
      <c r="X54" s="79">
        <f t="shared" si="28"/>
        <v>-40359.090000000004</v>
      </c>
      <c r="Y54" s="79">
        <f t="shared" si="28"/>
        <v>-68352.41</v>
      </c>
      <c r="Z54" s="79">
        <f t="shared" si="28"/>
        <v>-32861.14</v>
      </c>
      <c r="AA54" s="79">
        <f t="shared" si="28"/>
        <v>-30244.670000000002</v>
      </c>
      <c r="AB54" s="79">
        <f>H54-T54</f>
        <v>-15120.640000000001</v>
      </c>
      <c r="AC54" s="78">
        <f>I54-U54</f>
        <v>-15.280000000000655</v>
      </c>
      <c r="AD54" s="78">
        <f t="shared" si="29"/>
        <v>-2587.7099999999991</v>
      </c>
      <c r="AE54" s="2" t="s">
        <v>49</v>
      </c>
      <c r="AF54" s="238">
        <f>SUM(G45+G46+G52+G53+G59+G60)</f>
        <v>2972986.3000000003</v>
      </c>
      <c r="AG54" s="238">
        <f>SUM(S45+S46+S52+S53+S59+S60)</f>
        <v>4362843.4799999995</v>
      </c>
      <c r="AH54" s="238">
        <f>AG54-AF54</f>
        <v>1389857.1799999992</v>
      </c>
      <c r="AI54" s="2">
        <f>((AH54/AF54)/2)*100</f>
        <v>23.374765971844525</v>
      </c>
    </row>
    <row r="55" spans="1:35"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f t="shared" si="28"/>
        <v>-35243.200000000004</v>
      </c>
      <c r="X55" s="79">
        <f t="shared" si="28"/>
        <v>-73083.400000000009</v>
      </c>
      <c r="Y55" s="79">
        <f t="shared" si="28"/>
        <v>-120136.39000000001</v>
      </c>
      <c r="Z55" s="79">
        <f t="shared" si="28"/>
        <v>-56972.09</v>
      </c>
      <c r="AA55" s="79">
        <f t="shared" si="28"/>
        <v>-45610.039999999994</v>
      </c>
      <c r="AB55" s="79">
        <f>H55-T55</f>
        <v>-18782.46</v>
      </c>
      <c r="AC55" s="78">
        <f>I55-U55</f>
        <v>-6762.7000000000007</v>
      </c>
      <c r="AD55" s="78">
        <f t="shared" si="29"/>
        <v>-12283.44</v>
      </c>
      <c r="AE55" s="2" t="s">
        <v>50</v>
      </c>
      <c r="AF55" s="238">
        <f>SUM(G47+G48+G49+G54+G55+G56+G61+G62+G63)</f>
        <v>155764.96799999999</v>
      </c>
      <c r="AG55" s="238">
        <f>SUM(S47+S48+S49+S54+S55+S56+S61+S62+S63)</f>
        <v>687616.20000000007</v>
      </c>
      <c r="AH55" s="238">
        <f>AG55-AF55</f>
        <v>531851.23200000008</v>
      </c>
      <c r="AI55" s="2">
        <f>((AH55/AF55)/2)*100</f>
        <v>170.72235138262928</v>
      </c>
    </row>
    <row r="56" spans="1:35"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f t="shared" si="28"/>
        <v>0</v>
      </c>
      <c r="X56" s="79">
        <f t="shared" si="28"/>
        <v>0</v>
      </c>
      <c r="Y56" s="79">
        <f t="shared" si="28"/>
        <v>-43104.74</v>
      </c>
      <c r="Z56" s="79">
        <f t="shared" si="28"/>
        <v>-117764.4</v>
      </c>
      <c r="AA56" s="79">
        <f t="shared" si="28"/>
        <v>-918.5</v>
      </c>
      <c r="AB56" s="79">
        <f>H56-T56</f>
        <v>-25110.5</v>
      </c>
      <c r="AC56" s="78">
        <f>I56-U56</f>
        <v>-1232.9000000000001</v>
      </c>
      <c r="AD56" s="78">
        <f t="shared" si="29"/>
        <v>-1316.52</v>
      </c>
    </row>
    <row r="57" spans="1:35" x14ac:dyDescent="0.25">
      <c r="A57" s="4"/>
      <c r="B57" s="35" t="s">
        <v>41</v>
      </c>
      <c r="C57" s="108">
        <f>SUM(C52:C56)</f>
        <v>904381.45</v>
      </c>
      <c r="D57" s="79">
        <f>SUM(D52:D56)</f>
        <v>1210518.5399999998</v>
      </c>
      <c r="E57" s="79">
        <f t="shared" ref="E57:AD57" si="30">SUM(E52:E56)</f>
        <v>1130296.0699999998</v>
      </c>
      <c r="F57" s="79">
        <f t="shared" si="30"/>
        <v>1041697.4699999999</v>
      </c>
      <c r="G57" s="79">
        <f t="shared" si="30"/>
        <v>568874.97</v>
      </c>
      <c r="H57" s="79">
        <f>SUM(H45:H56)</f>
        <v>1307659.48</v>
      </c>
      <c r="I57" s="79">
        <f t="shared" si="30"/>
        <v>306372.23000000004</v>
      </c>
      <c r="J57" s="79">
        <f t="shared" si="30"/>
        <v>261310.13</v>
      </c>
      <c r="K57" s="79">
        <f t="shared" si="30"/>
        <v>280069.40999999997</v>
      </c>
      <c r="L57" s="110">
        <f t="shared" si="30"/>
        <v>275748.93</v>
      </c>
      <c r="M57" s="79">
        <f t="shared" si="30"/>
        <v>532364.32999999996</v>
      </c>
      <c r="N57" s="79">
        <f t="shared" si="30"/>
        <v>963420.92999999982</v>
      </c>
      <c r="O57" s="79">
        <f t="shared" si="30"/>
        <v>1378108.38</v>
      </c>
      <c r="P57" s="79">
        <f t="shared" si="30"/>
        <v>1487196.42</v>
      </c>
      <c r="Q57" s="79">
        <f t="shared" si="30"/>
        <v>1618479.68</v>
      </c>
      <c r="R57" s="79">
        <f t="shared" si="30"/>
        <v>1317710.06</v>
      </c>
      <c r="S57" s="79">
        <f t="shared" si="30"/>
        <v>908299.72000000009</v>
      </c>
      <c r="T57" s="79">
        <f t="shared" si="30"/>
        <v>472791.58999999997</v>
      </c>
      <c r="U57" s="175">
        <f t="shared" si="30"/>
        <v>426188.24000000005</v>
      </c>
      <c r="V57" s="175">
        <f t="shared" si="30"/>
        <v>545173.7699999999</v>
      </c>
      <c r="W57" s="79">
        <f t="shared" si="30"/>
        <v>-473726.93</v>
      </c>
      <c r="X57" s="79">
        <f t="shared" si="30"/>
        <v>-276677.88</v>
      </c>
      <c r="Y57" s="79">
        <f t="shared" si="30"/>
        <v>-488183.61</v>
      </c>
      <c r="Z57" s="79">
        <f t="shared" si="30"/>
        <v>-276012.59000000008</v>
      </c>
      <c r="AA57" s="79">
        <f t="shared" si="30"/>
        <v>-339424.75</v>
      </c>
      <c r="AB57" s="79">
        <f t="shared" si="30"/>
        <v>-43827.830000000009</v>
      </c>
      <c r="AC57" s="78">
        <f t="shared" si="30"/>
        <v>-119816.00999999998</v>
      </c>
      <c r="AD57" s="78">
        <f t="shared" si="30"/>
        <v>-283863.64</v>
      </c>
      <c r="AF57" s="239">
        <v>44062</v>
      </c>
      <c r="AG57" s="239">
        <v>44063</v>
      </c>
    </row>
    <row r="58" spans="1:35"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109"/>
      <c r="W58" s="79"/>
      <c r="X58" s="79"/>
      <c r="Y58" s="79"/>
      <c r="Z58" s="79"/>
      <c r="AA58" s="79"/>
      <c r="AB58" s="79"/>
      <c r="AC58" s="78"/>
      <c r="AD58" s="326"/>
      <c r="AE58" s="2" t="s">
        <v>49</v>
      </c>
      <c r="AF58" s="238">
        <f>SUM(H45+H52+H59+H46+H53+H60)</f>
        <v>2519413.98</v>
      </c>
      <c r="AG58" s="238">
        <f>SUM(T45+T46+T52+T59+T53+T60)</f>
        <v>4248674.7699999996</v>
      </c>
      <c r="AH58" s="238">
        <f>AG58-AF58</f>
        <v>1729260.7899999996</v>
      </c>
      <c r="AI58" s="2">
        <f>((AH58/AF58)/2)*100</f>
        <v>34.318710694778311</v>
      </c>
    </row>
    <row r="59" spans="1:35"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f t="shared" ref="W59:AD59" si="31">C59-O59</f>
        <v>-170475.86</v>
      </c>
      <c r="X59" s="79">
        <f t="shared" si="31"/>
        <v>-553719.72</v>
      </c>
      <c r="Y59" s="79">
        <f t="shared" si="31"/>
        <v>-907977.64</v>
      </c>
      <c r="Z59" s="79">
        <f t="shared" si="31"/>
        <v>-1481533.7200000002</v>
      </c>
      <c r="AA59" s="79">
        <f t="shared" si="31"/>
        <v>-1567126.79</v>
      </c>
      <c r="AB59" s="79">
        <f t="shared" si="31"/>
        <v>-1930828.61</v>
      </c>
      <c r="AC59" s="78">
        <f t="shared" si="31"/>
        <v>-1992448.6900000002</v>
      </c>
      <c r="AD59" s="78">
        <f t="shared" si="31"/>
        <v>-1952771.0100000002</v>
      </c>
      <c r="AE59" s="2" t="s">
        <v>50</v>
      </c>
      <c r="AF59" s="238">
        <f>SUM(H47+H48+H49+H54+H55+H56+H61+H62+H63)</f>
        <v>129406.85999999999</v>
      </c>
      <c r="AG59" s="238">
        <f>SUM(T47+T48+T49+T54+T55+T56+T61+T62+T63)</f>
        <v>731497.36</v>
      </c>
      <c r="AH59" s="238">
        <f>AG59-AF59</f>
        <v>602090.5</v>
      </c>
      <c r="AI59" s="2">
        <f>((AH59/AF59)/2)*100</f>
        <v>232.63469185482131</v>
      </c>
    </row>
    <row r="60" spans="1:35"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f t="shared" ref="W60:AC63" si="32">C60-O60</f>
        <v>-176811.91000000003</v>
      </c>
      <c r="X60" s="79">
        <f t="shared" si="32"/>
        <v>-389270.68000000005</v>
      </c>
      <c r="Y60" s="79">
        <f t="shared" si="32"/>
        <v>-565289.99000000011</v>
      </c>
      <c r="Z60" s="79">
        <f t="shared" si="32"/>
        <v>206102.67000000004</v>
      </c>
      <c r="AA60" s="79">
        <f t="shared" si="32"/>
        <v>431158.21000000008</v>
      </c>
      <c r="AB60" s="79">
        <f t="shared" si="32"/>
        <v>317651.7</v>
      </c>
      <c r="AC60" s="78">
        <f t="shared" si="32"/>
        <v>142090.95999999996</v>
      </c>
      <c r="AD60" s="78">
        <f t="shared" ref="AD60:AD63" si="33">J60-V60</f>
        <v>146900.62</v>
      </c>
    </row>
    <row r="61" spans="1:35"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f t="shared" si="32"/>
        <v>-5168.6200000000026</v>
      </c>
      <c r="X61" s="79">
        <f t="shared" si="32"/>
        <v>-27047.170000000002</v>
      </c>
      <c r="Y61" s="79">
        <f t="shared" si="32"/>
        <v>-36289.399999999994</v>
      </c>
      <c r="Z61" s="79">
        <f t="shared" si="32"/>
        <v>-58633.840000000004</v>
      </c>
      <c r="AA61" s="79">
        <f t="shared" si="32"/>
        <v>-75141.56</v>
      </c>
      <c r="AB61" s="79">
        <f t="shared" si="32"/>
        <v>-77714.459999999992</v>
      </c>
      <c r="AC61" s="78">
        <f t="shared" si="32"/>
        <v>-38565.870000000003</v>
      </c>
      <c r="AD61" s="78">
        <f t="shared" si="33"/>
        <v>-13377.479999999996</v>
      </c>
    </row>
    <row r="62" spans="1:35"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f t="shared" si="32"/>
        <v>-12522.800000000001</v>
      </c>
      <c r="X62" s="79">
        <f t="shared" si="32"/>
        <v>-51064.29</v>
      </c>
      <c r="Y62" s="79">
        <f t="shared" si="32"/>
        <v>-85001.78</v>
      </c>
      <c r="Z62" s="79">
        <f t="shared" si="32"/>
        <v>-154990.51</v>
      </c>
      <c r="AA62" s="79">
        <f t="shared" si="32"/>
        <v>-202626.99000000002</v>
      </c>
      <c r="AB62" s="79">
        <f t="shared" si="32"/>
        <v>-212840.84</v>
      </c>
      <c r="AC62" s="78">
        <f t="shared" si="32"/>
        <v>-113792.36</v>
      </c>
      <c r="AD62" s="78">
        <f t="shared" si="33"/>
        <v>-107887.13</v>
      </c>
    </row>
    <row r="63" spans="1:35"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f t="shared" si="32"/>
        <v>0</v>
      </c>
      <c r="X63" s="79">
        <f t="shared" si="32"/>
        <v>0</v>
      </c>
      <c r="Y63" s="79">
        <f t="shared" si="32"/>
        <v>0</v>
      </c>
      <c r="Z63" s="79">
        <f t="shared" si="32"/>
        <v>-25423.25</v>
      </c>
      <c r="AA63" s="79">
        <f t="shared" si="32"/>
        <v>-112115.38</v>
      </c>
      <c r="AB63" s="79">
        <f t="shared" si="32"/>
        <v>-36715.9</v>
      </c>
      <c r="AC63" s="78">
        <f t="shared" si="32"/>
        <v>-1972.37</v>
      </c>
      <c r="AD63" s="78">
        <f t="shared" si="33"/>
        <v>-1252.43</v>
      </c>
    </row>
    <row r="64" spans="1:35" x14ac:dyDescent="0.25">
      <c r="A64" s="4"/>
      <c r="B64" s="35" t="s">
        <v>41</v>
      </c>
      <c r="C64" s="108">
        <f>SUM(C59:C63)</f>
        <v>1312846.28</v>
      </c>
      <c r="D64" s="79">
        <f>SUM(D59:D63)</f>
        <v>1393529.54</v>
      </c>
      <c r="E64" s="79">
        <f t="shared" ref="E64:AD64" si="34">SUM(E59:E63)</f>
        <v>1533479.58</v>
      </c>
      <c r="F64" s="79">
        <f t="shared" si="34"/>
        <v>1782095.7900000003</v>
      </c>
      <c r="G64" s="79">
        <f t="shared" si="34"/>
        <v>1982757.9200000002</v>
      </c>
      <c r="H64" s="79">
        <f t="shared" si="34"/>
        <v>1798855.5</v>
      </c>
      <c r="I64" s="79">
        <f t="shared" si="34"/>
        <v>1555758.37</v>
      </c>
      <c r="J64" s="79">
        <f t="shared" si="34"/>
        <v>1372283.5</v>
      </c>
      <c r="K64" s="79">
        <f t="shared" si="34"/>
        <v>1324007.6399999999</v>
      </c>
      <c r="L64" s="110">
        <f t="shared" si="34"/>
        <v>1281763.95</v>
      </c>
      <c r="M64" s="79">
        <f t="shared" si="34"/>
        <v>1152530.79</v>
      </c>
      <c r="N64" s="79">
        <f t="shared" si="34"/>
        <v>1277275.27</v>
      </c>
      <c r="O64" s="79">
        <f t="shared" si="34"/>
        <v>1677825.4700000002</v>
      </c>
      <c r="P64" s="79">
        <f t="shared" si="34"/>
        <v>2414631.4</v>
      </c>
      <c r="Q64" s="79">
        <f t="shared" si="34"/>
        <v>3128038.39</v>
      </c>
      <c r="R64" s="79">
        <f t="shared" si="34"/>
        <v>3296574.4400000004</v>
      </c>
      <c r="S64" s="79">
        <f t="shared" si="34"/>
        <v>3508610.4299999997</v>
      </c>
      <c r="T64" s="79">
        <f t="shared" si="34"/>
        <v>3739303.61</v>
      </c>
      <c r="U64" s="175">
        <f t="shared" si="34"/>
        <v>3560446.7000000007</v>
      </c>
      <c r="V64" s="175">
        <f t="shared" si="34"/>
        <v>3300670.9300000006</v>
      </c>
      <c r="W64" s="79">
        <f t="shared" si="34"/>
        <v>-364979.19</v>
      </c>
      <c r="X64" s="79">
        <f t="shared" si="34"/>
        <v>-1021101.8600000001</v>
      </c>
      <c r="Y64" s="79">
        <f t="shared" si="34"/>
        <v>-1594558.81</v>
      </c>
      <c r="Z64" s="79">
        <f t="shared" si="34"/>
        <v>-1514478.6500000004</v>
      </c>
      <c r="AA64" s="79">
        <f t="shared" si="34"/>
        <v>-1525852.5100000002</v>
      </c>
      <c r="AB64" s="79">
        <f t="shared" si="34"/>
        <v>-1940448.11</v>
      </c>
      <c r="AC64" s="78">
        <f t="shared" si="34"/>
        <v>-2004688.3300000005</v>
      </c>
      <c r="AD64" s="78">
        <f t="shared" si="34"/>
        <v>-1928387.43</v>
      </c>
    </row>
    <row r="65" spans="1:30"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109"/>
      <c r="W65" s="79"/>
      <c r="X65" s="79"/>
      <c r="Y65" s="79"/>
      <c r="Z65" s="79"/>
      <c r="AA65" s="79"/>
      <c r="AB65" s="79"/>
      <c r="AC65" s="78"/>
      <c r="AD65" s="326"/>
    </row>
    <row r="66" spans="1:30" x14ac:dyDescent="0.25">
      <c r="A66" s="4"/>
      <c r="B66" s="35" t="s">
        <v>36</v>
      </c>
      <c r="C66" s="108">
        <f>SUM(C45+C52+C59)</f>
        <v>3078951.17</v>
      </c>
      <c r="D66" s="77">
        <f>SUM(D45+D52+D59)</f>
        <v>3180627.34</v>
      </c>
      <c r="E66" s="77">
        <f>SUM(E45+E52+E59)</f>
        <v>2861146.44</v>
      </c>
      <c r="F66" s="77">
        <f t="shared" ref="F66:V66" si="35">SUM(F45+F52+F59)</f>
        <v>2476669.91</v>
      </c>
      <c r="G66" s="77">
        <f t="shared" si="35"/>
        <v>1976984.96</v>
      </c>
      <c r="H66" s="77">
        <f>SUM(H45+H59+H52)</f>
        <v>1625060.47</v>
      </c>
      <c r="I66" s="77">
        <f t="shared" si="35"/>
        <v>1332224.3</v>
      </c>
      <c r="J66" s="77">
        <f t="shared" si="35"/>
        <v>1157506.21</v>
      </c>
      <c r="K66" s="77">
        <f t="shared" si="35"/>
        <v>1136902.6400000001</v>
      </c>
      <c r="L66" s="78">
        <f t="shared" si="35"/>
        <v>1471549.4900000002</v>
      </c>
      <c r="M66" s="79">
        <f t="shared" si="35"/>
        <v>2144349.6100000003</v>
      </c>
      <c r="N66" s="79">
        <f t="shared" si="35"/>
        <v>2879225.98</v>
      </c>
      <c r="O66" s="79">
        <f t="shared" si="35"/>
        <v>3393412.36</v>
      </c>
      <c r="P66" s="79">
        <f t="shared" si="35"/>
        <v>3790769.37</v>
      </c>
      <c r="Q66" s="79">
        <f t="shared" si="35"/>
        <v>4158584.8200000003</v>
      </c>
      <c r="R66" s="79">
        <f t="shared" si="35"/>
        <v>4447489.66</v>
      </c>
      <c r="S66" s="79">
        <f t="shared" si="35"/>
        <v>3854649.3600000003</v>
      </c>
      <c r="T66" s="79">
        <f t="shared" si="35"/>
        <v>3620404.22</v>
      </c>
      <c r="U66" s="189">
        <f t="shared" si="35"/>
        <v>3439204.49</v>
      </c>
      <c r="V66" s="189">
        <f t="shared" si="35"/>
        <v>3228951.7800000003</v>
      </c>
      <c r="W66" s="79">
        <f t="shared" ref="W66:AD66" si="36">C66-O66</f>
        <v>-314461.18999999994</v>
      </c>
      <c r="X66" s="79">
        <f t="shared" si="36"/>
        <v>-610142.03000000026</v>
      </c>
      <c r="Y66" s="79">
        <f t="shared" si="36"/>
        <v>-1297438.3800000004</v>
      </c>
      <c r="Z66" s="79">
        <f t="shared" si="36"/>
        <v>-1970819.75</v>
      </c>
      <c r="AA66" s="79">
        <f t="shared" si="36"/>
        <v>-1877664.4000000004</v>
      </c>
      <c r="AB66" s="79">
        <f t="shared" si="36"/>
        <v>-1995343.7500000002</v>
      </c>
      <c r="AC66" s="78">
        <f t="shared" si="36"/>
        <v>-2106980.1900000004</v>
      </c>
      <c r="AD66" s="78">
        <f t="shared" si="36"/>
        <v>-2071445.5700000003</v>
      </c>
    </row>
    <row r="67" spans="1:30" x14ac:dyDescent="0.25">
      <c r="A67" s="4"/>
      <c r="B67" s="35" t="s">
        <v>37</v>
      </c>
      <c r="C67" s="108">
        <f>SUM(C46+C53+C60)</f>
        <v>1497238.7</v>
      </c>
      <c r="D67" s="77">
        <f t="shared" ref="D67:V67" si="37">SUM(D46+D53+D60)</f>
        <v>1469460.12</v>
      </c>
      <c r="E67" s="77">
        <f t="shared" si="37"/>
        <v>1163198.8700000001</v>
      </c>
      <c r="F67" s="77">
        <f t="shared" si="37"/>
        <v>1071717.02</v>
      </c>
      <c r="G67" s="77">
        <f>SUM(G46+G53+G60)</f>
        <v>996001.34000000008</v>
      </c>
      <c r="H67" s="77">
        <f>SUM(H46+H53+H60)</f>
        <v>894353.51</v>
      </c>
      <c r="I67" s="77">
        <f t="shared" si="37"/>
        <v>828359.91999999993</v>
      </c>
      <c r="J67" s="77">
        <f t="shared" si="37"/>
        <v>787617.59</v>
      </c>
      <c r="K67" s="77">
        <f t="shared" si="37"/>
        <v>824109.14</v>
      </c>
      <c r="L67" s="109">
        <f t="shared" si="37"/>
        <v>948375.52</v>
      </c>
      <c r="M67" s="108">
        <f t="shared" si="37"/>
        <v>1109618.5499999998</v>
      </c>
      <c r="N67" s="77">
        <f t="shared" si="37"/>
        <v>1345640.97</v>
      </c>
      <c r="O67" s="77">
        <f t="shared" si="37"/>
        <v>1477971.38</v>
      </c>
      <c r="P67" s="77">
        <f t="shared" si="37"/>
        <v>1717545.99</v>
      </c>
      <c r="Q67" s="77">
        <f t="shared" si="37"/>
        <v>1765582.08</v>
      </c>
      <c r="R67" s="77">
        <f t="shared" si="37"/>
        <v>736333.82000000007</v>
      </c>
      <c r="S67" s="77">
        <f t="shared" si="37"/>
        <v>508194.12</v>
      </c>
      <c r="T67" s="77">
        <f t="shared" si="37"/>
        <v>628270.55000000005</v>
      </c>
      <c r="U67" s="189">
        <f t="shared" si="37"/>
        <v>967984.77</v>
      </c>
      <c r="V67" s="189">
        <f t="shared" si="37"/>
        <v>1062875.19</v>
      </c>
      <c r="W67" s="79">
        <f t="shared" ref="W67:AC70" si="38">C67-O67</f>
        <v>19267.320000000065</v>
      </c>
      <c r="X67" s="79">
        <f t="shared" si="38"/>
        <v>-248085.86999999988</v>
      </c>
      <c r="Y67" s="79">
        <f t="shared" si="38"/>
        <v>-602383.21</v>
      </c>
      <c r="Z67" s="79">
        <f t="shared" si="38"/>
        <v>335383.19999999995</v>
      </c>
      <c r="AA67" s="79">
        <f t="shared" si="38"/>
        <v>487807.22000000009</v>
      </c>
      <c r="AB67" s="79">
        <f t="shared" si="38"/>
        <v>266082.95999999996</v>
      </c>
      <c r="AC67" s="78">
        <f t="shared" si="38"/>
        <v>-139624.85000000009</v>
      </c>
      <c r="AD67" s="78">
        <f t="shared" ref="AD67:AD70" si="39">J67-V67</f>
        <v>-275257.59999999998</v>
      </c>
    </row>
    <row r="68" spans="1:30" x14ac:dyDescent="0.25">
      <c r="A68" s="4"/>
      <c r="B68" s="35" t="s">
        <v>38</v>
      </c>
      <c r="C68" s="108">
        <f>SUM(C47+C54+C61)</f>
        <v>361940.41000000003</v>
      </c>
      <c r="D68" s="77">
        <f t="shared" ref="D68:V68" si="40">SUM(D47+D54+D61)</f>
        <v>203534.76</v>
      </c>
      <c r="E68" s="77">
        <f t="shared" si="40"/>
        <v>174104.93</v>
      </c>
      <c r="F68" s="77">
        <f t="shared" si="40"/>
        <v>134061.98000000001</v>
      </c>
      <c r="G68" s="77">
        <f t="shared" si="40"/>
        <v>96921.518000000011</v>
      </c>
      <c r="H68" s="77">
        <f t="shared" si="40"/>
        <v>77322.989999999991</v>
      </c>
      <c r="I68" s="77">
        <f t="shared" si="40"/>
        <v>66746.23</v>
      </c>
      <c r="J68" s="77">
        <f t="shared" si="40"/>
        <v>53856.480000000003</v>
      </c>
      <c r="K68" s="77">
        <f t="shared" si="40"/>
        <v>56464.43</v>
      </c>
      <c r="L68" s="109">
        <f t="shared" si="40"/>
        <v>69575.600000000006</v>
      </c>
      <c r="M68" s="108">
        <f t="shared" si="40"/>
        <v>140243.15</v>
      </c>
      <c r="N68" s="77">
        <f t="shared" si="40"/>
        <v>264376.21000000002</v>
      </c>
      <c r="O68" s="77">
        <f t="shared" si="40"/>
        <v>280170.52999999997</v>
      </c>
      <c r="P68" s="77">
        <f t="shared" si="40"/>
        <v>340627.68999999994</v>
      </c>
      <c r="Q68" s="77">
        <f t="shared" si="40"/>
        <v>402349.93</v>
      </c>
      <c r="R68" s="77">
        <f t="shared" si="40"/>
        <v>263644.13</v>
      </c>
      <c r="S68" s="77">
        <f t="shared" si="40"/>
        <v>215340.03000000003</v>
      </c>
      <c r="T68" s="77">
        <f t="shared" si="40"/>
        <v>335555.45</v>
      </c>
      <c r="U68" s="189">
        <f t="shared" si="40"/>
        <v>105351.69</v>
      </c>
      <c r="V68" s="189">
        <f t="shared" si="40"/>
        <v>73553.859999999986</v>
      </c>
      <c r="W68" s="79">
        <f t="shared" si="38"/>
        <v>81769.880000000063</v>
      </c>
      <c r="X68" s="79">
        <f t="shared" si="38"/>
        <v>-137092.92999999993</v>
      </c>
      <c r="Y68" s="79">
        <f t="shared" si="38"/>
        <v>-228245</v>
      </c>
      <c r="Z68" s="79">
        <f t="shared" si="38"/>
        <v>-129582.15</v>
      </c>
      <c r="AA68" s="79">
        <f t="shared" si="38"/>
        <v>-118418.51200000002</v>
      </c>
      <c r="AB68" s="79">
        <f t="shared" si="38"/>
        <v>-258232.46000000002</v>
      </c>
      <c r="AC68" s="78">
        <f t="shared" si="38"/>
        <v>-38605.460000000006</v>
      </c>
      <c r="AD68" s="78">
        <f t="shared" si="39"/>
        <v>-19697.379999999983</v>
      </c>
    </row>
    <row r="69" spans="1:30" x14ac:dyDescent="0.25">
      <c r="A69" s="4"/>
      <c r="B69" s="35" t="s">
        <v>39</v>
      </c>
      <c r="C69" s="108">
        <f>SUM(C48+C55+C62)</f>
        <v>191205.14</v>
      </c>
      <c r="D69" s="77">
        <f t="shared" ref="D69:V69" si="41">SUM(D48+D55+D62)</f>
        <v>207785.49</v>
      </c>
      <c r="E69" s="77">
        <f t="shared" si="41"/>
        <v>161081.43</v>
      </c>
      <c r="F69" s="77">
        <f t="shared" si="41"/>
        <v>129680.17</v>
      </c>
      <c r="G69" s="77">
        <f t="shared" si="41"/>
        <v>58796.94</v>
      </c>
      <c r="H69" s="77">
        <f t="shared" si="41"/>
        <v>51133.73</v>
      </c>
      <c r="I69" s="77">
        <f t="shared" si="41"/>
        <v>43472.33</v>
      </c>
      <c r="J69" s="77">
        <f t="shared" si="41"/>
        <v>32816.25</v>
      </c>
      <c r="K69" s="77">
        <f t="shared" si="41"/>
        <v>44728.490000000005</v>
      </c>
      <c r="L69" s="109">
        <f t="shared" si="41"/>
        <v>62382.32</v>
      </c>
      <c r="M69" s="108">
        <f t="shared" si="41"/>
        <v>115385.65</v>
      </c>
      <c r="N69" s="77">
        <f t="shared" si="41"/>
        <v>213897.46</v>
      </c>
      <c r="O69" s="77">
        <f t="shared" si="41"/>
        <v>231841.03</v>
      </c>
      <c r="P69" s="77">
        <f t="shared" si="41"/>
        <v>422259.57</v>
      </c>
      <c r="Q69" s="77">
        <f t="shared" si="41"/>
        <v>457225.60000000003</v>
      </c>
      <c r="R69" s="77">
        <f t="shared" si="41"/>
        <v>394544.94999999995</v>
      </c>
      <c r="S69" s="77">
        <f t="shared" si="41"/>
        <v>327628.18</v>
      </c>
      <c r="T69" s="77">
        <f t="shared" si="41"/>
        <v>308741.02</v>
      </c>
      <c r="U69" s="189">
        <f t="shared" si="41"/>
        <v>171199.03999999998</v>
      </c>
      <c r="V69" s="189">
        <f t="shared" si="41"/>
        <v>216023.5</v>
      </c>
      <c r="W69" s="79">
        <f t="shared" si="38"/>
        <v>-40635.889999999985</v>
      </c>
      <c r="X69" s="79">
        <f t="shared" si="38"/>
        <v>-214474.08000000002</v>
      </c>
      <c r="Y69" s="79">
        <f t="shared" si="38"/>
        <v>-296144.17000000004</v>
      </c>
      <c r="Z69" s="79">
        <f t="shared" si="38"/>
        <v>-264864.77999999997</v>
      </c>
      <c r="AA69" s="79">
        <f t="shared" si="38"/>
        <v>-268831.24</v>
      </c>
      <c r="AB69" s="79">
        <f t="shared" si="38"/>
        <v>-257607.29</v>
      </c>
      <c r="AC69" s="78">
        <f t="shared" si="38"/>
        <v>-127726.70999999998</v>
      </c>
      <c r="AD69" s="78">
        <f t="shared" si="39"/>
        <v>-183207.25</v>
      </c>
    </row>
    <row r="70" spans="1:30" x14ac:dyDescent="0.25">
      <c r="A70" s="4"/>
      <c r="B70" s="35" t="s">
        <v>40</v>
      </c>
      <c r="C70" s="108">
        <f>SUM(C49+C56+C63)</f>
        <v>0</v>
      </c>
      <c r="D70" s="77">
        <f t="shared" ref="D70:T70" si="42">SUM(D49+D56+D63)</f>
        <v>17568.169999999998</v>
      </c>
      <c r="E70" s="77">
        <f t="shared" si="42"/>
        <v>15.32</v>
      </c>
      <c r="F70" s="77">
        <f t="shared" si="42"/>
        <v>16898.810000000001</v>
      </c>
      <c r="G70" s="77">
        <f t="shared" si="42"/>
        <v>46.51</v>
      </c>
      <c r="H70" s="77">
        <f t="shared" si="42"/>
        <v>950.14</v>
      </c>
      <c r="I70" s="77">
        <f t="shared" si="42"/>
        <v>947.11</v>
      </c>
      <c r="J70" s="77">
        <f t="shared" si="42"/>
        <v>9.19</v>
      </c>
      <c r="K70" s="77">
        <f t="shared" si="42"/>
        <v>1562.6000000000001</v>
      </c>
      <c r="L70" s="109">
        <f t="shared" si="42"/>
        <v>242.02</v>
      </c>
      <c r="M70" s="108">
        <f t="shared" si="42"/>
        <v>12626.720000000001</v>
      </c>
      <c r="N70" s="77">
        <f t="shared" si="42"/>
        <v>30003.530000000002</v>
      </c>
      <c r="O70" s="77">
        <f t="shared" si="42"/>
        <v>0</v>
      </c>
      <c r="P70" s="77">
        <f t="shared" si="42"/>
        <v>63980.44</v>
      </c>
      <c r="Q70" s="77">
        <f t="shared" si="42"/>
        <v>180095.77</v>
      </c>
      <c r="R70" s="77">
        <f t="shared" si="42"/>
        <v>185388.12</v>
      </c>
      <c r="S70" s="77">
        <f t="shared" si="42"/>
        <v>144647.99</v>
      </c>
      <c r="T70" s="77">
        <f t="shared" si="42"/>
        <v>87200.890000000014</v>
      </c>
      <c r="U70" s="189">
        <f>SUM(U49+U56+U63)</f>
        <v>11399.349999999999</v>
      </c>
      <c r="V70" s="189">
        <f t="shared" ref="V70" si="43">SUM(V49+V56+V63)</f>
        <v>3175.7700000000004</v>
      </c>
      <c r="W70" s="79">
        <f t="shared" si="38"/>
        <v>0</v>
      </c>
      <c r="X70" s="79">
        <f t="shared" si="38"/>
        <v>-46412.270000000004</v>
      </c>
      <c r="Y70" s="79">
        <f t="shared" si="38"/>
        <v>-180080.44999999998</v>
      </c>
      <c r="Z70" s="79">
        <f t="shared" si="38"/>
        <v>-168489.31</v>
      </c>
      <c r="AA70" s="79">
        <f t="shared" si="38"/>
        <v>-144601.47999999998</v>
      </c>
      <c r="AB70" s="79">
        <f t="shared" si="38"/>
        <v>-86250.750000000015</v>
      </c>
      <c r="AC70" s="78">
        <f t="shared" si="38"/>
        <v>-10452.239999999998</v>
      </c>
      <c r="AD70" s="78">
        <f t="shared" si="39"/>
        <v>-3166.5800000000004</v>
      </c>
    </row>
    <row r="71" spans="1:30" ht="15.75" thickBot="1" x14ac:dyDescent="0.3">
      <c r="A71" s="4"/>
      <c r="B71" s="37" t="s">
        <v>41</v>
      </c>
      <c r="C71" s="100">
        <f>SUM(C66:C70)</f>
        <v>5129335.42</v>
      </c>
      <c r="D71" s="81">
        <f>SUM(D66:D70)</f>
        <v>5078975.88</v>
      </c>
      <c r="E71" s="81">
        <f t="shared" ref="E71:AD71" si="44">SUM(E66:E70)</f>
        <v>4359546.99</v>
      </c>
      <c r="F71" s="81">
        <f t="shared" si="44"/>
        <v>3829027.89</v>
      </c>
      <c r="G71" s="81">
        <f t="shared" si="44"/>
        <v>3128751.2679999997</v>
      </c>
      <c r="H71" s="81">
        <f t="shared" si="44"/>
        <v>2648820.84</v>
      </c>
      <c r="I71" s="81">
        <f t="shared" si="44"/>
        <v>2271749.8899999997</v>
      </c>
      <c r="J71" s="81">
        <f t="shared" si="44"/>
        <v>2031805.7199999997</v>
      </c>
      <c r="K71" s="81">
        <f t="shared" si="44"/>
        <v>2063767.3000000003</v>
      </c>
      <c r="L71" s="160">
        <f t="shared" si="44"/>
        <v>2552124.9500000002</v>
      </c>
      <c r="M71" s="81">
        <f t="shared" si="44"/>
        <v>3522223.68</v>
      </c>
      <c r="N71" s="81">
        <f t="shared" si="44"/>
        <v>4733144.1500000004</v>
      </c>
      <c r="O71" s="81">
        <f t="shared" si="44"/>
        <v>5383395.3000000007</v>
      </c>
      <c r="P71" s="81">
        <f t="shared" si="44"/>
        <v>6335183.0600000015</v>
      </c>
      <c r="Q71" s="81">
        <f t="shared" si="44"/>
        <v>6963838.1999999993</v>
      </c>
      <c r="R71" s="81">
        <f t="shared" si="44"/>
        <v>6027400.6800000006</v>
      </c>
      <c r="S71" s="81">
        <f t="shared" si="44"/>
        <v>5050459.6800000006</v>
      </c>
      <c r="T71" s="81">
        <f t="shared" si="44"/>
        <v>4980172.13</v>
      </c>
      <c r="U71" s="176">
        <f t="shared" si="44"/>
        <v>4695139.34</v>
      </c>
      <c r="V71" s="176">
        <f t="shared" si="44"/>
        <v>4584580.1000000006</v>
      </c>
      <c r="W71" s="81">
        <f t="shared" si="44"/>
        <v>-254059.8799999998</v>
      </c>
      <c r="X71" s="81">
        <f t="shared" si="44"/>
        <v>-1256207.1800000002</v>
      </c>
      <c r="Y71" s="81">
        <f t="shared" si="44"/>
        <v>-2604291.2100000004</v>
      </c>
      <c r="Z71" s="81">
        <f t="shared" si="44"/>
        <v>-2198372.79</v>
      </c>
      <c r="AA71" s="81">
        <f t="shared" si="44"/>
        <v>-1921708.4120000002</v>
      </c>
      <c r="AB71" s="81">
        <f t="shared" si="44"/>
        <v>-2331351.29</v>
      </c>
      <c r="AC71" s="80">
        <f t="shared" si="44"/>
        <v>-2423389.4500000007</v>
      </c>
      <c r="AD71" s="80">
        <f t="shared" si="44"/>
        <v>-2552774.3800000004</v>
      </c>
    </row>
    <row r="72" spans="1:30"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332"/>
      <c r="W72" s="64"/>
      <c r="X72" s="64"/>
      <c r="Y72" s="64"/>
      <c r="Z72" s="64"/>
      <c r="AA72" s="64"/>
      <c r="AB72" s="64"/>
      <c r="AC72" s="63"/>
      <c r="AD72" s="327"/>
    </row>
    <row r="73" spans="1:30"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9">
        <f>17940+820582+6183+89015+2056+6619</f>
        <v>942395</v>
      </c>
      <c r="W73" s="83">
        <f t="shared" ref="W73:AD73" si="45">C73-O73</f>
        <v>1044376</v>
      </c>
      <c r="X73" s="83">
        <f t="shared" si="45"/>
        <v>339578</v>
      </c>
      <c r="Y73" s="83">
        <f t="shared" si="45"/>
        <v>-889327</v>
      </c>
      <c r="Z73" s="83">
        <f t="shared" si="45"/>
        <v>112049</v>
      </c>
      <c r="AA73" s="83">
        <f t="shared" si="45"/>
        <v>21199</v>
      </c>
      <c r="AB73" s="83">
        <f t="shared" si="45"/>
        <v>-59267</v>
      </c>
      <c r="AC73" s="82">
        <f t="shared" si="45"/>
        <v>1836</v>
      </c>
      <c r="AD73" s="82">
        <f t="shared" si="45"/>
        <v>-141841</v>
      </c>
    </row>
    <row r="74" spans="1:30"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9">
        <f>2788+221210+484+4320</f>
        <v>228802</v>
      </c>
      <c r="W74" s="83">
        <f t="shared" ref="W74:AC77" si="46">C74-O74</f>
        <v>249515</v>
      </c>
      <c r="X74" s="83">
        <f t="shared" si="46"/>
        <v>40224</v>
      </c>
      <c r="Y74" s="83">
        <f t="shared" si="46"/>
        <v>-200093</v>
      </c>
      <c r="Z74" s="83">
        <f t="shared" si="46"/>
        <v>38121</v>
      </c>
      <c r="AA74" s="83">
        <f t="shared" si="46"/>
        <v>11268</v>
      </c>
      <c r="AB74" s="83">
        <f t="shared" si="46"/>
        <v>-9400</v>
      </c>
      <c r="AC74" s="82">
        <f t="shared" si="46"/>
        <v>-2433</v>
      </c>
      <c r="AD74" s="82">
        <f t="shared" ref="AD74:AD77" si="47">J74-V74</f>
        <v>-17703</v>
      </c>
    </row>
    <row r="75" spans="1:30"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9">
        <f>54371+58702+9751+18708+17985+7299+732+575</f>
        <v>168123</v>
      </c>
      <c r="W75" s="83">
        <f t="shared" si="46"/>
        <v>256428</v>
      </c>
      <c r="X75" s="83">
        <f t="shared" si="46"/>
        <v>84797</v>
      </c>
      <c r="Y75" s="83">
        <f t="shared" si="46"/>
        <v>-105634</v>
      </c>
      <c r="Z75" s="83">
        <f t="shared" si="46"/>
        <v>86833</v>
      </c>
      <c r="AA75" s="83">
        <f t="shared" si="46"/>
        <v>22093</v>
      </c>
      <c r="AB75" s="83">
        <f t="shared" si="46"/>
        <v>-19414</v>
      </c>
      <c r="AC75" s="82">
        <f t="shared" si="46"/>
        <v>1068</v>
      </c>
      <c r="AD75" s="82">
        <f t="shared" si="47"/>
        <v>624</v>
      </c>
    </row>
    <row r="76" spans="1:30"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9">
        <f>94172+9357+27233+63407+124390+79182+4770+15607</f>
        <v>418118</v>
      </c>
      <c r="W76" s="83">
        <f t="shared" si="46"/>
        <v>307128</v>
      </c>
      <c r="X76" s="83">
        <f t="shared" si="46"/>
        <v>347486</v>
      </c>
      <c r="Y76" s="83">
        <f t="shared" si="46"/>
        <v>174945</v>
      </c>
      <c r="Z76" s="83">
        <f t="shared" si="46"/>
        <v>-506644</v>
      </c>
      <c r="AA76" s="83">
        <f t="shared" si="46"/>
        <v>-8093</v>
      </c>
      <c r="AB76" s="83">
        <f t="shared" si="46"/>
        <v>-21454</v>
      </c>
      <c r="AC76" s="82">
        <f t="shared" si="46"/>
        <v>-1966</v>
      </c>
      <c r="AD76" s="82">
        <f t="shared" si="47"/>
        <v>-51537</v>
      </c>
    </row>
    <row r="77" spans="1:30"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9">
        <f>1582+84887+18739+378216+31734</f>
        <v>515158</v>
      </c>
      <c r="W77" s="83">
        <f t="shared" si="46"/>
        <v>132731</v>
      </c>
      <c r="X77" s="83">
        <f t="shared" si="46"/>
        <v>-100829</v>
      </c>
      <c r="Y77" s="83">
        <f t="shared" si="46"/>
        <v>-2087</v>
      </c>
      <c r="Z77" s="83">
        <f t="shared" si="46"/>
        <v>-129728</v>
      </c>
      <c r="AA77" s="83">
        <f t="shared" si="46"/>
        <v>-74366</v>
      </c>
      <c r="AB77" s="83">
        <f t="shared" si="46"/>
        <v>-48949</v>
      </c>
      <c r="AC77" s="82">
        <f t="shared" si="46"/>
        <v>-158266</v>
      </c>
      <c r="AD77" s="82">
        <f t="shared" si="47"/>
        <v>-57268</v>
      </c>
    </row>
    <row r="78" spans="1:30" x14ac:dyDescent="0.25">
      <c r="A78" s="4"/>
      <c r="B78" s="35" t="s">
        <v>41</v>
      </c>
      <c r="C78" s="156">
        <f>SUM(C73:C77)</f>
        <v>10437928</v>
      </c>
      <c r="D78" s="83">
        <f>SUM(D73:D77)</f>
        <v>7577055</v>
      </c>
      <c r="E78" s="83">
        <f t="shared" ref="E78:AD78" si="48">SUM(E73:E77)</f>
        <v>4510693</v>
      </c>
      <c r="F78" s="83">
        <f t="shared" si="48"/>
        <v>2087452</v>
      </c>
      <c r="G78" s="83">
        <f t="shared" si="48"/>
        <v>1719391</v>
      </c>
      <c r="H78" s="83">
        <f t="shared" si="48"/>
        <v>1566001</v>
      </c>
      <c r="I78" s="83">
        <f t="shared" si="48"/>
        <v>1594247</v>
      </c>
      <c r="J78" s="83">
        <f t="shared" si="48"/>
        <v>2004871</v>
      </c>
      <c r="K78" s="83">
        <f t="shared" si="48"/>
        <v>4695044</v>
      </c>
      <c r="L78" s="166">
        <f t="shared" si="48"/>
        <v>8156469</v>
      </c>
      <c r="M78" s="83">
        <f t="shared" si="48"/>
        <v>10830922</v>
      </c>
      <c r="N78" s="83">
        <f t="shared" si="48"/>
        <v>9328705</v>
      </c>
      <c r="O78" s="83">
        <f t="shared" si="48"/>
        <v>8447750</v>
      </c>
      <c r="P78" s="83">
        <f t="shared" si="48"/>
        <v>6865799</v>
      </c>
      <c r="Q78" s="83">
        <f t="shared" si="48"/>
        <v>5532889</v>
      </c>
      <c r="R78" s="83">
        <f t="shared" si="48"/>
        <v>2486821</v>
      </c>
      <c r="S78" s="83">
        <f t="shared" si="48"/>
        <v>1747290</v>
      </c>
      <c r="T78" s="83">
        <f t="shared" si="48"/>
        <v>1724485</v>
      </c>
      <c r="U78" s="178">
        <f t="shared" si="48"/>
        <v>1754008</v>
      </c>
      <c r="V78" s="178">
        <f t="shared" si="48"/>
        <v>2272596</v>
      </c>
      <c r="W78" s="83">
        <f t="shared" si="48"/>
        <v>1990178</v>
      </c>
      <c r="X78" s="83">
        <f t="shared" si="48"/>
        <v>711256</v>
      </c>
      <c r="Y78" s="83">
        <f t="shared" si="48"/>
        <v>-1022196</v>
      </c>
      <c r="Z78" s="83">
        <f t="shared" si="48"/>
        <v>-399369</v>
      </c>
      <c r="AA78" s="83">
        <f t="shared" si="48"/>
        <v>-27899</v>
      </c>
      <c r="AB78" s="83">
        <f t="shared" si="48"/>
        <v>-158484</v>
      </c>
      <c r="AC78" s="82">
        <f t="shared" si="48"/>
        <v>-159761</v>
      </c>
      <c r="AD78" s="82">
        <f t="shared" si="48"/>
        <v>-267725</v>
      </c>
    </row>
    <row r="79" spans="1:30"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334"/>
      <c r="W79" s="85"/>
      <c r="X79" s="85"/>
      <c r="Y79" s="85"/>
      <c r="Z79" s="85"/>
      <c r="AA79" s="85"/>
      <c r="AB79" s="85"/>
      <c r="AC79" s="84"/>
      <c r="AD79" s="327"/>
    </row>
    <row r="80" spans="1:30"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 t="shared" ref="W80:AD80" si="49">C80-O80</f>
        <v>1097548</v>
      </c>
      <c r="X80" s="79">
        <f t="shared" si="49"/>
        <v>246878</v>
      </c>
      <c r="Y80" s="79">
        <f t="shared" si="49"/>
        <v>-1134124</v>
      </c>
      <c r="Z80" s="79">
        <f t="shared" si="49"/>
        <v>53367</v>
      </c>
      <c r="AA80" s="79">
        <f t="shared" si="49"/>
        <v>-4004</v>
      </c>
      <c r="AB80" s="79">
        <f t="shared" si="49"/>
        <v>-93024</v>
      </c>
      <c r="AC80" s="79">
        <f t="shared" si="49"/>
        <v>-70215.120000000112</v>
      </c>
      <c r="AD80" s="79">
        <f t="shared" si="49"/>
        <v>-175401</v>
      </c>
    </row>
    <row r="81" spans="1:30"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 t="shared" ref="W81:AC84" si="50">C81-O81</f>
        <v>200224</v>
      </c>
      <c r="X81" s="79">
        <f t="shared" si="50"/>
        <v>8582</v>
      </c>
      <c r="Y81" s="79">
        <f t="shared" si="50"/>
        <v>-182044</v>
      </c>
      <c r="Z81" s="79">
        <f t="shared" si="50"/>
        <v>20703</v>
      </c>
      <c r="AA81" s="79">
        <f t="shared" si="50"/>
        <v>8023</v>
      </c>
      <c r="AB81" s="79">
        <f t="shared" si="50"/>
        <v>-10794</v>
      </c>
      <c r="AC81" s="79">
        <f t="shared" si="50"/>
        <v>-4497.2699999999895</v>
      </c>
      <c r="AD81" s="79">
        <f t="shared" ref="AD81:AD84" si="51">J81-V81</f>
        <v>-20861</v>
      </c>
    </row>
    <row r="82" spans="1:30"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 t="shared" si="50"/>
        <v>274970</v>
      </c>
      <c r="X82" s="79">
        <f t="shared" si="50"/>
        <v>82062</v>
      </c>
      <c r="Y82" s="79">
        <f t="shared" si="50"/>
        <v>-96180</v>
      </c>
      <c r="Z82" s="79">
        <f t="shared" si="50"/>
        <v>66718</v>
      </c>
      <c r="AA82" s="79">
        <f t="shared" si="50"/>
        <v>13583</v>
      </c>
      <c r="AB82" s="79">
        <f t="shared" si="50"/>
        <v>-15775</v>
      </c>
      <c r="AC82" s="79">
        <f t="shared" si="50"/>
        <v>30055.559999999998</v>
      </c>
      <c r="AD82" s="79">
        <f t="shared" si="51"/>
        <v>3072</v>
      </c>
    </row>
    <row r="83" spans="1:30"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 t="shared" si="50"/>
        <v>311712</v>
      </c>
      <c r="X83" s="79">
        <f t="shared" si="50"/>
        <v>396567</v>
      </c>
      <c r="Y83" s="79">
        <f t="shared" si="50"/>
        <v>-35558</v>
      </c>
      <c r="Z83" s="79">
        <f t="shared" si="50"/>
        <v>-302086</v>
      </c>
      <c r="AA83" s="79">
        <f t="shared" si="50"/>
        <v>715</v>
      </c>
      <c r="AB83" s="79">
        <f t="shared" si="50"/>
        <v>-10151</v>
      </c>
      <c r="AC83" s="79">
        <f t="shared" si="50"/>
        <v>76664.460000000006</v>
      </c>
      <c r="AD83" s="79">
        <f t="shared" si="51"/>
        <v>-21344</v>
      </c>
    </row>
    <row r="84" spans="1:30"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 t="shared" si="50"/>
        <v>119975</v>
      </c>
      <c r="X84" s="79">
        <f t="shared" si="50"/>
        <v>-50831</v>
      </c>
      <c r="Y84" s="79">
        <f t="shared" si="50"/>
        <v>17536</v>
      </c>
      <c r="Z84" s="79">
        <f t="shared" si="50"/>
        <v>-10971</v>
      </c>
      <c r="AA84" s="79">
        <f t="shared" si="50"/>
        <v>5069</v>
      </c>
      <c r="AB84" s="79">
        <f t="shared" si="50"/>
        <v>-10353</v>
      </c>
      <c r="AC84" s="79">
        <f t="shared" si="50"/>
        <v>-52367.51999999999</v>
      </c>
      <c r="AD84" s="79">
        <f t="shared" si="51"/>
        <v>-3512</v>
      </c>
    </row>
    <row r="85" spans="1:30" x14ac:dyDescent="0.25">
      <c r="A85" s="4"/>
      <c r="B85" s="35" t="s">
        <v>41</v>
      </c>
      <c r="C85" s="97">
        <f>SUM(C80:C84)</f>
        <v>12106135</v>
      </c>
      <c r="D85" s="89">
        <f>SUM(D80:D84)</f>
        <v>9039383</v>
      </c>
      <c r="E85" s="89">
        <f t="shared" ref="E85:AD85" si="52">SUM(E80:E84)</f>
        <v>4742032</v>
      </c>
      <c r="F85" s="89">
        <f t="shared" si="52"/>
        <v>2303947</v>
      </c>
      <c r="G85" s="89">
        <f t="shared" si="52"/>
        <v>1945164</v>
      </c>
      <c r="H85" s="89">
        <f t="shared" si="52"/>
        <v>1756618</v>
      </c>
      <c r="I85" s="89">
        <f t="shared" si="52"/>
        <v>1805710</v>
      </c>
      <c r="J85" s="89">
        <f t="shared" si="52"/>
        <v>2062500</v>
      </c>
      <c r="K85" s="89">
        <f t="shared" si="52"/>
        <v>4734828</v>
      </c>
      <c r="L85" s="99">
        <f t="shared" si="52"/>
        <v>9731684</v>
      </c>
      <c r="M85" s="89">
        <f t="shared" si="52"/>
        <v>12809442</v>
      </c>
      <c r="N85" s="89">
        <f t="shared" si="52"/>
        <v>11104485</v>
      </c>
      <c r="O85" s="89">
        <f t="shared" si="52"/>
        <v>10101706</v>
      </c>
      <c r="P85" s="89">
        <f t="shared" si="52"/>
        <v>8356125</v>
      </c>
      <c r="Q85" s="89">
        <f t="shared" si="52"/>
        <v>6172402</v>
      </c>
      <c r="R85" s="89">
        <f t="shared" si="52"/>
        <v>2476216</v>
      </c>
      <c r="S85" s="89">
        <f t="shared" si="52"/>
        <v>1921778</v>
      </c>
      <c r="T85" s="89">
        <f t="shared" si="52"/>
        <v>1896715</v>
      </c>
      <c r="U85" s="180">
        <f>SUM(U80:U84)</f>
        <v>1826069.8900000001</v>
      </c>
      <c r="V85" s="180">
        <f>SUM(V80:V84)</f>
        <v>2280546</v>
      </c>
      <c r="W85" s="89">
        <f t="shared" si="52"/>
        <v>2004429</v>
      </c>
      <c r="X85" s="89">
        <f t="shared" si="52"/>
        <v>683258</v>
      </c>
      <c r="Y85" s="89">
        <f t="shared" si="52"/>
        <v>-1430370</v>
      </c>
      <c r="Z85" s="89">
        <f t="shared" si="52"/>
        <v>-172269</v>
      </c>
      <c r="AA85" s="89">
        <f t="shared" si="52"/>
        <v>23386</v>
      </c>
      <c r="AB85" s="89">
        <f t="shared" si="52"/>
        <v>-140097</v>
      </c>
      <c r="AC85" s="89">
        <f t="shared" si="52"/>
        <v>-20359.890000000087</v>
      </c>
      <c r="AD85" s="89">
        <f t="shared" si="52"/>
        <v>-218046</v>
      </c>
    </row>
    <row r="86" spans="1:30"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335"/>
      <c r="W86" s="93"/>
      <c r="X86" s="93"/>
      <c r="Y86" s="93"/>
      <c r="Z86" s="93"/>
      <c r="AA86" s="93"/>
      <c r="AB86" s="93"/>
      <c r="AC86" s="92"/>
      <c r="AD86" s="327"/>
    </row>
    <row r="87" spans="1:30" x14ac:dyDescent="0.25">
      <c r="A87" s="4"/>
      <c r="B87" s="35" t="s">
        <v>36</v>
      </c>
      <c r="C87" s="190"/>
      <c r="D87" s="191"/>
      <c r="E87" s="191"/>
      <c r="F87" s="191"/>
      <c r="G87" s="191"/>
      <c r="H87" s="191"/>
      <c r="I87" s="191"/>
      <c r="J87" s="191"/>
      <c r="K87" s="191"/>
      <c r="L87" s="192"/>
      <c r="M87" s="191"/>
      <c r="N87" s="191"/>
      <c r="O87" s="191"/>
      <c r="P87" s="191"/>
      <c r="Q87" s="191"/>
      <c r="R87" s="191"/>
      <c r="S87" s="191"/>
      <c r="T87" s="191"/>
      <c r="U87" s="193"/>
      <c r="V87" s="336"/>
      <c r="W87" s="83">
        <f t="shared" ref="W87:AD87" si="53">C87-O87</f>
        <v>0</v>
      </c>
      <c r="X87" s="83">
        <f t="shared" si="53"/>
        <v>0</v>
      </c>
      <c r="Y87" s="83">
        <f t="shared" si="53"/>
        <v>0</v>
      </c>
      <c r="Z87" s="83">
        <f t="shared" si="53"/>
        <v>0</v>
      </c>
      <c r="AA87" s="83">
        <f t="shared" si="53"/>
        <v>0</v>
      </c>
      <c r="AB87" s="83">
        <f t="shared" si="53"/>
        <v>0</v>
      </c>
      <c r="AC87" s="82">
        <f t="shared" si="53"/>
        <v>0</v>
      </c>
      <c r="AD87" s="82">
        <f t="shared" si="53"/>
        <v>0</v>
      </c>
    </row>
    <row r="88" spans="1:30" x14ac:dyDescent="0.25">
      <c r="A88" s="4"/>
      <c r="B88" s="35" t="s">
        <v>37</v>
      </c>
      <c r="C88" s="190"/>
      <c r="D88" s="191"/>
      <c r="E88" s="191"/>
      <c r="F88" s="191"/>
      <c r="G88" s="191"/>
      <c r="H88" s="191"/>
      <c r="I88" s="191"/>
      <c r="J88" s="191"/>
      <c r="K88" s="191"/>
      <c r="L88" s="192"/>
      <c r="M88" s="191"/>
      <c r="N88" s="191"/>
      <c r="O88" s="191"/>
      <c r="P88" s="191"/>
      <c r="Q88" s="191"/>
      <c r="R88" s="191"/>
      <c r="S88" s="191"/>
      <c r="T88" s="191"/>
      <c r="U88" s="193"/>
      <c r="V88" s="336"/>
      <c r="W88" s="83">
        <f t="shared" ref="W88:AC91" si="54">C88-O88</f>
        <v>0</v>
      </c>
      <c r="X88" s="83">
        <f t="shared" si="54"/>
        <v>0</v>
      </c>
      <c r="Y88" s="83">
        <f t="shared" si="54"/>
        <v>0</v>
      </c>
      <c r="Z88" s="83">
        <f t="shared" si="54"/>
        <v>0</v>
      </c>
      <c r="AA88" s="83">
        <f t="shared" si="54"/>
        <v>0</v>
      </c>
      <c r="AB88" s="83">
        <f t="shared" si="54"/>
        <v>0</v>
      </c>
      <c r="AC88" s="82">
        <f t="shared" si="54"/>
        <v>0</v>
      </c>
      <c r="AD88" s="82">
        <f t="shared" ref="AD88:AD92" si="55">J88-V88</f>
        <v>0</v>
      </c>
    </row>
    <row r="89" spans="1:30" x14ac:dyDescent="0.25">
      <c r="A89" s="4"/>
      <c r="B89" s="35" t="s">
        <v>38</v>
      </c>
      <c r="C89" s="190"/>
      <c r="D89" s="191"/>
      <c r="E89" s="191"/>
      <c r="F89" s="191"/>
      <c r="G89" s="191"/>
      <c r="H89" s="191"/>
      <c r="I89" s="191"/>
      <c r="J89" s="191"/>
      <c r="K89" s="191"/>
      <c r="L89" s="192"/>
      <c r="M89" s="191"/>
      <c r="N89" s="191"/>
      <c r="O89" s="191"/>
      <c r="P89" s="191"/>
      <c r="Q89" s="191"/>
      <c r="R89" s="191"/>
      <c r="S89" s="191"/>
      <c r="T89" s="191"/>
      <c r="U89" s="193"/>
      <c r="V89" s="336"/>
      <c r="W89" s="83">
        <f t="shared" si="54"/>
        <v>0</v>
      </c>
      <c r="X89" s="83">
        <f t="shared" si="54"/>
        <v>0</v>
      </c>
      <c r="Y89" s="83">
        <f t="shared" si="54"/>
        <v>0</v>
      </c>
      <c r="Z89" s="83">
        <f t="shared" si="54"/>
        <v>0</v>
      </c>
      <c r="AA89" s="83">
        <f t="shared" si="54"/>
        <v>0</v>
      </c>
      <c r="AB89" s="83">
        <f t="shared" si="54"/>
        <v>0</v>
      </c>
      <c r="AC89" s="82">
        <f t="shared" si="54"/>
        <v>0</v>
      </c>
      <c r="AD89" s="82">
        <f t="shared" si="55"/>
        <v>0</v>
      </c>
    </row>
    <row r="90" spans="1:30" x14ac:dyDescent="0.25">
      <c r="A90" s="4"/>
      <c r="B90" s="35" t="s">
        <v>39</v>
      </c>
      <c r="C90" s="190"/>
      <c r="D90" s="191"/>
      <c r="E90" s="191"/>
      <c r="F90" s="191"/>
      <c r="G90" s="191"/>
      <c r="H90" s="191"/>
      <c r="I90" s="191"/>
      <c r="J90" s="191"/>
      <c r="K90" s="191"/>
      <c r="L90" s="192"/>
      <c r="M90" s="191"/>
      <c r="N90" s="191"/>
      <c r="O90" s="191"/>
      <c r="P90" s="191"/>
      <c r="Q90" s="191"/>
      <c r="R90" s="191"/>
      <c r="S90" s="191"/>
      <c r="T90" s="191"/>
      <c r="U90" s="193"/>
      <c r="V90" s="336"/>
      <c r="W90" s="83">
        <f t="shared" si="54"/>
        <v>0</v>
      </c>
      <c r="X90" s="83">
        <f t="shared" si="54"/>
        <v>0</v>
      </c>
      <c r="Y90" s="83">
        <f t="shared" si="54"/>
        <v>0</v>
      </c>
      <c r="Z90" s="83">
        <f t="shared" si="54"/>
        <v>0</v>
      </c>
      <c r="AA90" s="83">
        <f t="shared" si="54"/>
        <v>0</v>
      </c>
      <c r="AB90" s="83">
        <f t="shared" si="54"/>
        <v>0</v>
      </c>
      <c r="AC90" s="82">
        <f t="shared" si="54"/>
        <v>0</v>
      </c>
      <c r="AD90" s="82">
        <f t="shared" si="55"/>
        <v>0</v>
      </c>
    </row>
    <row r="91" spans="1:30" x14ac:dyDescent="0.25">
      <c r="A91" s="4"/>
      <c r="B91" s="35" t="s">
        <v>40</v>
      </c>
      <c r="C91" s="190"/>
      <c r="D91" s="191"/>
      <c r="E91" s="191"/>
      <c r="F91" s="191"/>
      <c r="G91" s="191"/>
      <c r="H91" s="191"/>
      <c r="I91" s="191"/>
      <c r="J91" s="191"/>
      <c r="K91" s="191"/>
      <c r="L91" s="192"/>
      <c r="M91" s="191"/>
      <c r="N91" s="191"/>
      <c r="O91" s="191"/>
      <c r="P91" s="191"/>
      <c r="Q91" s="191"/>
      <c r="R91" s="191"/>
      <c r="S91" s="191"/>
      <c r="T91" s="191"/>
      <c r="U91" s="193"/>
      <c r="V91" s="336"/>
      <c r="W91" s="83">
        <f t="shared" si="54"/>
        <v>0</v>
      </c>
      <c r="X91" s="83">
        <f t="shared" si="54"/>
        <v>0</v>
      </c>
      <c r="Y91" s="83">
        <f t="shared" si="54"/>
        <v>0</v>
      </c>
      <c r="Z91" s="83">
        <f t="shared" si="54"/>
        <v>0</v>
      </c>
      <c r="AA91" s="83">
        <f t="shared" si="54"/>
        <v>0</v>
      </c>
      <c r="AB91" s="83">
        <f t="shared" si="54"/>
        <v>0</v>
      </c>
      <c r="AC91" s="82">
        <f t="shared" si="54"/>
        <v>0</v>
      </c>
      <c r="AD91" s="82">
        <f t="shared" si="55"/>
        <v>0</v>
      </c>
    </row>
    <row r="92" spans="1:30" x14ac:dyDescent="0.25">
      <c r="A92" s="4"/>
      <c r="B92" s="35" t="s">
        <v>41</v>
      </c>
      <c r="C92" s="156">
        <f>SUM(C87:C91)</f>
        <v>0</v>
      </c>
      <c r="D92" s="191">
        <f>SUM(D87:D91)</f>
        <v>0</v>
      </c>
      <c r="E92" s="191">
        <f t="shared" ref="E92:AC92" si="56">SUM(E87:E91)</f>
        <v>0</v>
      </c>
      <c r="F92" s="191">
        <f t="shared" si="56"/>
        <v>0</v>
      </c>
      <c r="G92" s="191">
        <f t="shared" si="56"/>
        <v>0</v>
      </c>
      <c r="H92" s="191">
        <f t="shared" si="56"/>
        <v>0</v>
      </c>
      <c r="I92" s="191">
        <f t="shared" si="56"/>
        <v>0</v>
      </c>
      <c r="J92" s="191">
        <f t="shared" si="56"/>
        <v>0</v>
      </c>
      <c r="K92" s="191">
        <f t="shared" si="56"/>
        <v>0</v>
      </c>
      <c r="L92" s="192">
        <f t="shared" si="56"/>
        <v>0</v>
      </c>
      <c r="M92" s="191">
        <f t="shared" si="56"/>
        <v>0</v>
      </c>
      <c r="N92" s="191">
        <f t="shared" si="56"/>
        <v>0</v>
      </c>
      <c r="O92" s="191">
        <f t="shared" si="56"/>
        <v>0</v>
      </c>
      <c r="P92" s="191">
        <f t="shared" si="56"/>
        <v>0</v>
      </c>
      <c r="Q92" s="191">
        <f t="shared" si="56"/>
        <v>0</v>
      </c>
      <c r="R92" s="191">
        <f t="shared" si="56"/>
        <v>0</v>
      </c>
      <c r="S92" s="191">
        <f t="shared" si="56"/>
        <v>0</v>
      </c>
      <c r="T92" s="191">
        <f t="shared" si="56"/>
        <v>0</v>
      </c>
      <c r="U92" s="193">
        <f t="shared" si="56"/>
        <v>0</v>
      </c>
      <c r="V92" s="336"/>
      <c r="W92" s="191">
        <f t="shared" si="56"/>
        <v>0</v>
      </c>
      <c r="X92" s="191">
        <f t="shared" si="56"/>
        <v>0</v>
      </c>
      <c r="Y92" s="191">
        <f t="shared" si="56"/>
        <v>0</v>
      </c>
      <c r="Z92" s="191">
        <f t="shared" si="56"/>
        <v>0</v>
      </c>
      <c r="AA92" s="191">
        <f t="shared" si="56"/>
        <v>0</v>
      </c>
      <c r="AB92" s="191">
        <f t="shared" si="56"/>
        <v>0</v>
      </c>
      <c r="AC92" s="194">
        <f t="shared" si="56"/>
        <v>0</v>
      </c>
      <c r="AD92" s="82">
        <f t="shared" si="55"/>
        <v>0</v>
      </c>
    </row>
    <row r="93" spans="1:30"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335"/>
      <c r="W93" s="85"/>
      <c r="X93" s="94"/>
      <c r="Y93" s="95"/>
      <c r="Z93" s="95"/>
      <c r="AA93" s="95"/>
      <c r="AB93" s="95"/>
      <c r="AC93" s="96"/>
      <c r="AD93" s="231"/>
    </row>
    <row r="94" spans="1:30" x14ac:dyDescent="0.25">
      <c r="A94" s="4"/>
      <c r="B94" s="35" t="s">
        <v>36</v>
      </c>
      <c r="C94" s="97">
        <f>C80+C87</f>
        <v>7320652</v>
      </c>
      <c r="D94" s="98">
        <f t="shared" ref="D94:V98" si="57">D80+D87</f>
        <v>5383472</v>
      </c>
      <c r="E94" s="98">
        <f t="shared" si="57"/>
        <v>2835928</v>
      </c>
      <c r="F94" s="98">
        <f t="shared" si="57"/>
        <v>1635234</v>
      </c>
      <c r="G94" s="98">
        <f t="shared" si="57"/>
        <v>1190977</v>
      </c>
      <c r="H94" s="98">
        <f t="shared" si="57"/>
        <v>1073742</v>
      </c>
      <c r="I94" s="98">
        <f t="shared" si="57"/>
        <v>1093327</v>
      </c>
      <c r="J94" s="98">
        <f t="shared" si="57"/>
        <v>1204853</v>
      </c>
      <c r="K94" s="98">
        <f t="shared" si="57"/>
        <v>2832598</v>
      </c>
      <c r="L94" s="99">
        <f t="shared" si="57"/>
        <v>6007193</v>
      </c>
      <c r="M94" s="98">
        <f t="shared" si="57"/>
        <v>7862432</v>
      </c>
      <c r="N94" s="89">
        <f t="shared" si="57"/>
        <v>6861669</v>
      </c>
      <c r="O94" s="98">
        <f t="shared" si="57"/>
        <v>6223104</v>
      </c>
      <c r="P94" s="98">
        <f t="shared" si="57"/>
        <v>5136594</v>
      </c>
      <c r="Q94" s="98">
        <f t="shared" si="57"/>
        <v>3970052</v>
      </c>
      <c r="R94" s="98">
        <f t="shared" si="57"/>
        <v>1581867</v>
      </c>
      <c r="S94" s="98">
        <f t="shared" si="57"/>
        <v>1194981</v>
      </c>
      <c r="T94" s="98">
        <f t="shared" si="57"/>
        <v>1166766</v>
      </c>
      <c r="U94" s="98">
        <f t="shared" si="57"/>
        <v>1163542.1200000001</v>
      </c>
      <c r="V94" s="98">
        <f t="shared" si="57"/>
        <v>1380254</v>
      </c>
      <c r="W94" s="89">
        <f t="shared" ref="W94:AD94" si="58">C94-O94</f>
        <v>1097548</v>
      </c>
      <c r="X94" s="89">
        <f t="shared" si="58"/>
        <v>246878</v>
      </c>
      <c r="Y94" s="89">
        <f t="shared" si="58"/>
        <v>-1134124</v>
      </c>
      <c r="Z94" s="89">
        <f t="shared" si="58"/>
        <v>53367</v>
      </c>
      <c r="AA94" s="89">
        <f t="shared" si="58"/>
        <v>-4004</v>
      </c>
      <c r="AB94" s="89">
        <f t="shared" si="58"/>
        <v>-93024</v>
      </c>
      <c r="AC94" s="88">
        <f t="shared" si="58"/>
        <v>-70215.120000000112</v>
      </c>
      <c r="AD94" s="88">
        <f t="shared" si="58"/>
        <v>-175401</v>
      </c>
    </row>
    <row r="95" spans="1:30" x14ac:dyDescent="0.25">
      <c r="A95" s="4"/>
      <c r="B95" s="35" t="s">
        <v>37</v>
      </c>
      <c r="C95" s="97">
        <f>C81+C88</f>
        <v>1333487</v>
      </c>
      <c r="D95" s="98">
        <f t="shared" ref="D95:R95" si="59">D81+D88</f>
        <v>958085</v>
      </c>
      <c r="E95" s="98">
        <f t="shared" si="59"/>
        <v>508395</v>
      </c>
      <c r="F95" s="98">
        <f t="shared" si="59"/>
        <v>288279</v>
      </c>
      <c r="G95" s="98">
        <f t="shared" si="59"/>
        <v>199067</v>
      </c>
      <c r="H95" s="98">
        <f t="shared" si="59"/>
        <v>185727</v>
      </c>
      <c r="I95" s="98">
        <f t="shared" si="59"/>
        <v>191423</v>
      </c>
      <c r="J95" s="98">
        <f t="shared" si="59"/>
        <v>225239</v>
      </c>
      <c r="K95" s="98">
        <f t="shared" si="59"/>
        <v>582954</v>
      </c>
      <c r="L95" s="99">
        <f t="shared" si="59"/>
        <v>1116062</v>
      </c>
      <c r="M95" s="98">
        <f t="shared" si="59"/>
        <v>1429370</v>
      </c>
      <c r="N95" s="89">
        <f t="shared" si="59"/>
        <v>1214330</v>
      </c>
      <c r="O95" s="98">
        <f t="shared" si="59"/>
        <v>1133263</v>
      </c>
      <c r="P95" s="98">
        <f t="shared" si="59"/>
        <v>949503</v>
      </c>
      <c r="Q95" s="98">
        <f t="shared" si="59"/>
        <v>690439</v>
      </c>
      <c r="R95" s="98">
        <f t="shared" si="59"/>
        <v>267576</v>
      </c>
      <c r="S95" s="98">
        <f t="shared" si="57"/>
        <v>191044</v>
      </c>
      <c r="T95" s="98">
        <f t="shared" si="57"/>
        <v>196521</v>
      </c>
      <c r="U95" s="98">
        <f t="shared" ref="U95:V95" si="60">U81+U88</f>
        <v>195920.27</v>
      </c>
      <c r="V95" s="98">
        <f t="shared" si="60"/>
        <v>246100</v>
      </c>
      <c r="W95" s="89">
        <f t="shared" ref="W95:AC98" si="61">C95-O95</f>
        <v>200224</v>
      </c>
      <c r="X95" s="89">
        <f t="shared" si="61"/>
        <v>8582</v>
      </c>
      <c r="Y95" s="89">
        <f t="shared" si="61"/>
        <v>-182044</v>
      </c>
      <c r="Z95" s="89">
        <f t="shared" si="61"/>
        <v>20703</v>
      </c>
      <c r="AA95" s="89">
        <f t="shared" si="61"/>
        <v>8023</v>
      </c>
      <c r="AB95" s="89">
        <f t="shared" si="61"/>
        <v>-10794</v>
      </c>
      <c r="AC95" s="88">
        <f t="shared" si="61"/>
        <v>-4497.2699999999895</v>
      </c>
      <c r="AD95" s="88">
        <f t="shared" ref="AD95:AD98" si="62">J95-V95</f>
        <v>-20861</v>
      </c>
    </row>
    <row r="96" spans="1:30" x14ac:dyDescent="0.25">
      <c r="A96" s="4"/>
      <c r="B96" s="35" t="s">
        <v>38</v>
      </c>
      <c r="C96" s="97">
        <f>C82+C89</f>
        <v>1375645</v>
      </c>
      <c r="D96" s="98">
        <f t="shared" si="57"/>
        <v>923452</v>
      </c>
      <c r="E96" s="98">
        <f t="shared" si="57"/>
        <v>464298</v>
      </c>
      <c r="F96" s="98">
        <f t="shared" si="57"/>
        <v>262485</v>
      </c>
      <c r="G96" s="98">
        <f t="shared" si="57"/>
        <v>183929</v>
      </c>
      <c r="H96" s="98">
        <f t="shared" si="57"/>
        <v>161920</v>
      </c>
      <c r="I96" s="98">
        <f t="shared" si="57"/>
        <v>174763</v>
      </c>
      <c r="J96" s="98">
        <f t="shared" si="57"/>
        <v>203931</v>
      </c>
      <c r="K96" s="98">
        <f t="shared" si="57"/>
        <v>442864</v>
      </c>
      <c r="L96" s="99">
        <f t="shared" si="57"/>
        <v>1061728</v>
      </c>
      <c r="M96" s="98">
        <f t="shared" si="57"/>
        <v>1471763</v>
      </c>
      <c r="N96" s="89">
        <f t="shared" si="57"/>
        <v>1247966</v>
      </c>
      <c r="O96" s="98">
        <f t="shared" si="57"/>
        <v>1100675</v>
      </c>
      <c r="P96" s="98">
        <f t="shared" si="57"/>
        <v>841390</v>
      </c>
      <c r="Q96" s="98">
        <f t="shared" si="57"/>
        <v>560478</v>
      </c>
      <c r="R96" s="98">
        <f t="shared" si="57"/>
        <v>195767</v>
      </c>
      <c r="S96" s="98">
        <f t="shared" si="57"/>
        <v>170346</v>
      </c>
      <c r="T96" s="98">
        <f t="shared" si="57"/>
        <v>177695</v>
      </c>
      <c r="U96" s="98">
        <f t="shared" ref="U96:V96" si="63">U82+U89</f>
        <v>144707.44</v>
      </c>
      <c r="V96" s="98">
        <f t="shared" si="63"/>
        <v>200859</v>
      </c>
      <c r="W96" s="89">
        <f t="shared" si="61"/>
        <v>274970</v>
      </c>
      <c r="X96" s="89">
        <f t="shared" si="61"/>
        <v>82062</v>
      </c>
      <c r="Y96" s="89">
        <f t="shared" si="61"/>
        <v>-96180</v>
      </c>
      <c r="Z96" s="89">
        <f t="shared" si="61"/>
        <v>66718</v>
      </c>
      <c r="AA96" s="89">
        <f t="shared" si="61"/>
        <v>13583</v>
      </c>
      <c r="AB96" s="89">
        <f t="shared" si="61"/>
        <v>-15775</v>
      </c>
      <c r="AC96" s="88">
        <f t="shared" si="61"/>
        <v>30055.559999999998</v>
      </c>
      <c r="AD96" s="88">
        <f t="shared" si="62"/>
        <v>3072</v>
      </c>
    </row>
    <row r="97" spans="1:30" x14ac:dyDescent="0.25">
      <c r="A97" s="4"/>
      <c r="B97" s="35" t="s">
        <v>39</v>
      </c>
      <c r="C97" s="97">
        <f>C83+C90</f>
        <v>1666953</v>
      </c>
      <c r="D97" s="98">
        <f t="shared" si="57"/>
        <v>1501755</v>
      </c>
      <c r="E97" s="98">
        <f t="shared" si="57"/>
        <v>726742</v>
      </c>
      <c r="F97" s="98">
        <f t="shared" si="57"/>
        <v>-52742</v>
      </c>
      <c r="G97" s="98">
        <f t="shared" si="57"/>
        <v>186325</v>
      </c>
      <c r="H97" s="98">
        <f t="shared" si="57"/>
        <v>169635</v>
      </c>
      <c r="I97" s="98">
        <f t="shared" si="57"/>
        <v>207469</v>
      </c>
      <c r="J97" s="98">
        <f t="shared" si="57"/>
        <v>242404</v>
      </c>
      <c r="K97" s="98">
        <f t="shared" si="57"/>
        <v>626174</v>
      </c>
      <c r="L97" s="99">
        <f t="shared" si="57"/>
        <v>1231489</v>
      </c>
      <c r="M97" s="98">
        <f t="shared" si="57"/>
        <v>1713085</v>
      </c>
      <c r="N97" s="89">
        <f t="shared" si="57"/>
        <v>1512733</v>
      </c>
      <c r="O97" s="98">
        <f t="shared" si="57"/>
        <v>1355241</v>
      </c>
      <c r="P97" s="98">
        <f t="shared" si="57"/>
        <v>1105188</v>
      </c>
      <c r="Q97" s="98">
        <f t="shared" si="57"/>
        <v>762300</v>
      </c>
      <c r="R97" s="98">
        <f t="shared" si="57"/>
        <v>249344</v>
      </c>
      <c r="S97" s="98">
        <f t="shared" si="57"/>
        <v>185610</v>
      </c>
      <c r="T97" s="98">
        <f t="shared" si="57"/>
        <v>179786</v>
      </c>
      <c r="U97" s="98">
        <f t="shared" ref="U97:V97" si="64">U83+U90</f>
        <v>130804.54</v>
      </c>
      <c r="V97" s="98">
        <f t="shared" si="64"/>
        <v>263748</v>
      </c>
      <c r="W97" s="89">
        <f t="shared" si="61"/>
        <v>311712</v>
      </c>
      <c r="X97" s="89">
        <f t="shared" si="61"/>
        <v>396567</v>
      </c>
      <c r="Y97" s="89">
        <f t="shared" si="61"/>
        <v>-35558</v>
      </c>
      <c r="Z97" s="89">
        <f t="shared" si="61"/>
        <v>-302086</v>
      </c>
      <c r="AA97" s="89">
        <f t="shared" si="61"/>
        <v>715</v>
      </c>
      <c r="AB97" s="89">
        <f t="shared" si="61"/>
        <v>-10151</v>
      </c>
      <c r="AC97" s="88">
        <f t="shared" si="61"/>
        <v>76664.460000000006</v>
      </c>
      <c r="AD97" s="88">
        <f t="shared" si="62"/>
        <v>-21344</v>
      </c>
    </row>
    <row r="98" spans="1:30" x14ac:dyDescent="0.25">
      <c r="A98" s="4"/>
      <c r="B98" s="35" t="s">
        <v>40</v>
      </c>
      <c r="C98" s="97">
        <f>C84+C91</f>
        <v>409398</v>
      </c>
      <c r="D98" s="98">
        <f t="shared" si="57"/>
        <v>272619</v>
      </c>
      <c r="E98" s="98">
        <f t="shared" si="57"/>
        <v>206669</v>
      </c>
      <c r="F98" s="98">
        <f t="shared" si="57"/>
        <v>170691</v>
      </c>
      <c r="G98" s="98">
        <f t="shared" si="57"/>
        <v>184866</v>
      </c>
      <c r="H98" s="98">
        <f t="shared" si="57"/>
        <v>165594</v>
      </c>
      <c r="I98" s="98">
        <f t="shared" si="57"/>
        <v>138728</v>
      </c>
      <c r="J98" s="98">
        <f t="shared" si="57"/>
        <v>186073</v>
      </c>
      <c r="K98" s="98">
        <f t="shared" si="57"/>
        <v>250238</v>
      </c>
      <c r="L98" s="99">
        <f t="shared" si="57"/>
        <v>315212</v>
      </c>
      <c r="M98" s="98">
        <f t="shared" si="57"/>
        <v>332792</v>
      </c>
      <c r="N98" s="89">
        <f t="shared" si="57"/>
        <v>267787</v>
      </c>
      <c r="O98" s="98">
        <f t="shared" si="57"/>
        <v>289423</v>
      </c>
      <c r="P98" s="98">
        <f t="shared" si="57"/>
        <v>323450</v>
      </c>
      <c r="Q98" s="98">
        <f t="shared" si="57"/>
        <v>189133</v>
      </c>
      <c r="R98" s="98">
        <f t="shared" si="57"/>
        <v>181662</v>
      </c>
      <c r="S98" s="98">
        <f t="shared" si="57"/>
        <v>179797</v>
      </c>
      <c r="T98" s="98">
        <f t="shared" si="57"/>
        <v>175947</v>
      </c>
      <c r="U98" s="98">
        <f t="shared" ref="U98:V98" si="65">U84+U91</f>
        <v>191095.52</v>
      </c>
      <c r="V98" s="98">
        <f t="shared" si="65"/>
        <v>189585</v>
      </c>
      <c r="W98" s="89">
        <f t="shared" si="61"/>
        <v>119975</v>
      </c>
      <c r="X98" s="89">
        <f t="shared" si="61"/>
        <v>-50831</v>
      </c>
      <c r="Y98" s="89">
        <f t="shared" si="61"/>
        <v>17536</v>
      </c>
      <c r="Z98" s="89">
        <f t="shared" si="61"/>
        <v>-10971</v>
      </c>
      <c r="AA98" s="89">
        <f t="shared" si="61"/>
        <v>5069</v>
      </c>
      <c r="AB98" s="89">
        <f t="shared" si="61"/>
        <v>-10353</v>
      </c>
      <c r="AC98" s="88">
        <f t="shared" si="61"/>
        <v>-52367.51999999999</v>
      </c>
      <c r="AD98" s="88">
        <f t="shared" si="62"/>
        <v>-3512</v>
      </c>
    </row>
    <row r="99" spans="1:30" ht="15.75" thickBot="1" x14ac:dyDescent="0.3">
      <c r="A99" s="4"/>
      <c r="B99" s="37" t="s">
        <v>41</v>
      </c>
      <c r="C99" s="100">
        <f>SUM(C94:C98)</f>
        <v>12106135</v>
      </c>
      <c r="D99" s="159">
        <f t="shared" ref="D99:V99" si="66">SUM(D94:D98)</f>
        <v>9039383</v>
      </c>
      <c r="E99" s="159">
        <f t="shared" si="66"/>
        <v>4742032</v>
      </c>
      <c r="F99" s="159">
        <f t="shared" si="66"/>
        <v>2303947</v>
      </c>
      <c r="G99" s="159">
        <f t="shared" si="66"/>
        <v>1945164</v>
      </c>
      <c r="H99" s="159">
        <f t="shared" si="66"/>
        <v>1756618</v>
      </c>
      <c r="I99" s="159">
        <f t="shared" si="66"/>
        <v>1805710</v>
      </c>
      <c r="J99" s="159">
        <f t="shared" si="66"/>
        <v>2062500</v>
      </c>
      <c r="K99" s="159">
        <f t="shared" si="66"/>
        <v>4734828</v>
      </c>
      <c r="L99" s="160">
        <f t="shared" si="66"/>
        <v>9731684</v>
      </c>
      <c r="M99" s="159">
        <f t="shared" si="66"/>
        <v>12809442</v>
      </c>
      <c r="N99" s="81">
        <f t="shared" si="66"/>
        <v>11104485</v>
      </c>
      <c r="O99" s="159">
        <f t="shared" si="66"/>
        <v>10101706</v>
      </c>
      <c r="P99" s="159">
        <f t="shared" si="66"/>
        <v>8356125</v>
      </c>
      <c r="Q99" s="159">
        <f t="shared" si="66"/>
        <v>6172402</v>
      </c>
      <c r="R99" s="159">
        <f t="shared" si="66"/>
        <v>2476216</v>
      </c>
      <c r="S99" s="159">
        <f t="shared" si="66"/>
        <v>1921778</v>
      </c>
      <c r="T99" s="101">
        <f t="shared" si="66"/>
        <v>1896715</v>
      </c>
      <c r="U99" s="101">
        <f t="shared" si="66"/>
        <v>1826069.8900000001</v>
      </c>
      <c r="V99" s="101">
        <f t="shared" si="66"/>
        <v>2280546</v>
      </c>
      <c r="W99" s="81">
        <f t="shared" ref="W99:AD99" si="67">SUM(W94:W98)</f>
        <v>2004429</v>
      </c>
      <c r="X99" s="81">
        <f t="shared" si="67"/>
        <v>683258</v>
      </c>
      <c r="Y99" s="81">
        <f t="shared" si="67"/>
        <v>-1430370</v>
      </c>
      <c r="Z99" s="81">
        <f t="shared" si="67"/>
        <v>-172269</v>
      </c>
      <c r="AA99" s="81">
        <f t="shared" si="67"/>
        <v>23386</v>
      </c>
      <c r="AB99" s="81">
        <f t="shared" si="67"/>
        <v>-140097</v>
      </c>
      <c r="AC99" s="80">
        <f t="shared" si="67"/>
        <v>-20359.890000000087</v>
      </c>
      <c r="AD99" s="80">
        <f t="shared" si="67"/>
        <v>-218046</v>
      </c>
    </row>
    <row r="100" spans="1:30"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26"/>
      <c r="W100" s="169"/>
      <c r="X100" s="105"/>
      <c r="Y100" s="106"/>
      <c r="Z100" s="106"/>
      <c r="AA100" s="106"/>
      <c r="AB100" s="106"/>
      <c r="AC100" s="107"/>
      <c r="AD100" s="328"/>
    </row>
    <row r="101" spans="1:30"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89">
        <f t="shared" ref="W101:AD101" si="68">C101-O101</f>
        <v>-63399.959999999963</v>
      </c>
      <c r="X101" s="89">
        <f t="shared" si="68"/>
        <v>824301.08000000007</v>
      </c>
      <c r="Y101" s="89">
        <f t="shared" si="68"/>
        <v>41405.510000000242</v>
      </c>
      <c r="Z101" s="89">
        <f t="shared" si="68"/>
        <v>-1367566.7000000002</v>
      </c>
      <c r="AA101" s="89">
        <f t="shared" si="68"/>
        <v>-4219.5500000000466</v>
      </c>
      <c r="AB101" s="89">
        <f t="shared" si="68"/>
        <v>-78542.339999999851</v>
      </c>
      <c r="AC101" s="88">
        <f t="shared" si="68"/>
        <v>-95980.909999999916</v>
      </c>
      <c r="AD101" s="88">
        <f t="shared" si="68"/>
        <v>-102391.82000000007</v>
      </c>
    </row>
    <row r="102" spans="1:30"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89">
        <f t="shared" ref="W102:AC105" si="69">C102-O102</f>
        <v>-71175.680000000168</v>
      </c>
      <c r="X102" s="89">
        <f t="shared" si="69"/>
        <v>632422.84</v>
      </c>
      <c r="Y102" s="89">
        <f t="shared" si="69"/>
        <v>322578.69999999995</v>
      </c>
      <c r="Z102" s="89">
        <f t="shared" si="69"/>
        <v>-206223.95</v>
      </c>
      <c r="AA102" s="89">
        <f t="shared" si="69"/>
        <v>-79274.97</v>
      </c>
      <c r="AB102" s="89">
        <f t="shared" si="69"/>
        <v>42763.22</v>
      </c>
      <c r="AC102" s="88">
        <f t="shared" si="69"/>
        <v>34034.979999999981</v>
      </c>
      <c r="AD102" s="88">
        <f t="shared" ref="AD102:AD105" si="70">J102-V102</f>
        <v>46881.5</v>
      </c>
    </row>
    <row r="103" spans="1:30"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89">
        <f t="shared" si="69"/>
        <v>669.80000000004657</v>
      </c>
      <c r="X103" s="89">
        <f t="shared" si="69"/>
        <v>308617.88</v>
      </c>
      <c r="Y103" s="89">
        <f t="shared" si="69"/>
        <v>49828.900000000023</v>
      </c>
      <c r="Z103" s="89">
        <f t="shared" si="69"/>
        <v>-272746.19999999995</v>
      </c>
      <c r="AA103" s="89">
        <f t="shared" si="69"/>
        <v>-19559.190000000002</v>
      </c>
      <c r="AB103" s="89">
        <f t="shared" si="69"/>
        <v>-44524.790000000008</v>
      </c>
      <c r="AC103" s="78">
        <f t="shared" si="69"/>
        <v>-59605.389999999985</v>
      </c>
      <c r="AD103" s="88">
        <f t="shared" si="70"/>
        <v>13277</v>
      </c>
    </row>
    <row r="104" spans="1:30"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89">
        <f t="shared" si="69"/>
        <v>252368.70000000019</v>
      </c>
      <c r="X104" s="89">
        <f t="shared" si="69"/>
        <v>566063.77</v>
      </c>
      <c r="Y104" s="89">
        <f t="shared" si="69"/>
        <v>217436.79999999993</v>
      </c>
      <c r="Z104" s="89">
        <f t="shared" si="69"/>
        <v>-254317.65999999992</v>
      </c>
      <c r="AA104" s="89">
        <f t="shared" si="69"/>
        <v>51841.589999999967</v>
      </c>
      <c r="AB104" s="89">
        <f t="shared" si="69"/>
        <v>-14114.23000000001</v>
      </c>
      <c r="AC104" s="99">
        <f t="shared" si="69"/>
        <v>-45594.84</v>
      </c>
      <c r="AD104" s="88">
        <f t="shared" si="70"/>
        <v>-14086.879999999976</v>
      </c>
    </row>
    <row r="105" spans="1:30"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89">
        <f t="shared" si="69"/>
        <v>72836.100000000035</v>
      </c>
      <c r="X105" s="89">
        <f t="shared" si="69"/>
        <v>341738.47000000003</v>
      </c>
      <c r="Y105" s="89">
        <f t="shared" si="69"/>
        <v>-175321.7</v>
      </c>
      <c r="Z105" s="89">
        <f t="shared" si="69"/>
        <v>53669.969999999972</v>
      </c>
      <c r="AA105" s="89">
        <f t="shared" si="69"/>
        <v>42250.890000000014</v>
      </c>
      <c r="AB105" s="89">
        <f t="shared" si="69"/>
        <v>-65647.81</v>
      </c>
      <c r="AC105" s="99">
        <f t="shared" si="69"/>
        <v>3572.6499999999651</v>
      </c>
      <c r="AD105" s="88">
        <f t="shared" si="70"/>
        <v>-111172.31</v>
      </c>
    </row>
    <row r="106" spans="1:30" x14ac:dyDescent="0.25">
      <c r="A106" s="4"/>
      <c r="B106" s="35" t="s">
        <v>41</v>
      </c>
      <c r="C106" s="108">
        <f>SUM(C101:C105)</f>
        <v>11188088.32</v>
      </c>
      <c r="D106" s="79">
        <f>SUM(D101:D105)</f>
        <v>10805898.709999999</v>
      </c>
      <c r="E106" s="109">
        <f t="shared" ref="E106:AD106" si="71">SUM(E101:E105)</f>
        <v>7229387.3500000006</v>
      </c>
      <c r="F106" s="109">
        <f t="shared" si="71"/>
        <v>4283224.1400000006</v>
      </c>
      <c r="G106" s="79">
        <f t="shared" si="71"/>
        <v>3132255.3400000003</v>
      </c>
      <c r="H106" s="109">
        <f t="shared" si="71"/>
        <v>2333644.9900000002</v>
      </c>
      <c r="I106" s="109">
        <f t="shared" si="71"/>
        <v>2156974.81</v>
      </c>
      <c r="J106" s="109">
        <f t="shared" si="71"/>
        <v>2289394.9800000004</v>
      </c>
      <c r="K106" s="109">
        <f t="shared" si="71"/>
        <v>2480418.1170000001</v>
      </c>
      <c r="L106" s="110">
        <f t="shared" si="71"/>
        <v>5884377.7599999998</v>
      </c>
      <c r="M106" s="79">
        <f t="shared" si="71"/>
        <v>8969301.7699999996</v>
      </c>
      <c r="N106" s="89">
        <f t="shared" si="71"/>
        <v>10565980.050000001</v>
      </c>
      <c r="O106" s="109">
        <f t="shared" si="71"/>
        <v>10996789.360000001</v>
      </c>
      <c r="P106" s="98">
        <f t="shared" si="71"/>
        <v>8132754.6699999999</v>
      </c>
      <c r="Q106" s="109">
        <f t="shared" si="71"/>
        <v>6773459.1399999997</v>
      </c>
      <c r="R106" s="98">
        <f t="shared" si="71"/>
        <v>6330408.6800000006</v>
      </c>
      <c r="S106" s="109">
        <f t="shared" si="71"/>
        <v>3141216.5700000003</v>
      </c>
      <c r="T106" s="79">
        <f t="shared" si="71"/>
        <v>2493710.94</v>
      </c>
      <c r="U106" s="180">
        <f t="shared" si="71"/>
        <v>2320548.3200000003</v>
      </c>
      <c r="V106" s="180">
        <f t="shared" si="71"/>
        <v>2456887.4900000002</v>
      </c>
      <c r="W106" s="109">
        <f t="shared" si="71"/>
        <v>191298.96000000014</v>
      </c>
      <c r="X106" s="79">
        <f t="shared" si="71"/>
        <v>2673144.04</v>
      </c>
      <c r="Y106" s="77">
        <f t="shared" si="71"/>
        <v>455928.21000000014</v>
      </c>
      <c r="Z106" s="77">
        <f t="shared" si="71"/>
        <v>-2047184.5399999998</v>
      </c>
      <c r="AA106" s="77">
        <f t="shared" si="71"/>
        <v>-8961.2300000000687</v>
      </c>
      <c r="AB106" s="109">
        <f t="shared" si="71"/>
        <v>-160065.94999999987</v>
      </c>
      <c r="AC106" s="110">
        <f t="shared" si="71"/>
        <v>-163573.50999999995</v>
      </c>
      <c r="AD106" s="110">
        <f t="shared" si="71"/>
        <v>-167492.51000000004</v>
      </c>
    </row>
    <row r="107" spans="1:30"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37"/>
      <c r="W107" s="113"/>
      <c r="X107" s="115"/>
      <c r="Y107" s="116"/>
      <c r="Z107" s="116"/>
      <c r="AA107" s="116"/>
      <c r="AB107" s="116"/>
      <c r="AC107" s="117"/>
      <c r="AD107" s="329"/>
    </row>
    <row r="108" spans="1:30"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38">
        <v>30533</v>
      </c>
      <c r="W108" s="120">
        <f t="shared" ref="W108:AD108" si="72">C108-O108</f>
        <v>-5045</v>
      </c>
      <c r="X108" s="120">
        <f t="shared" si="72"/>
        <v>-249</v>
      </c>
      <c r="Y108" s="120">
        <f t="shared" si="72"/>
        <v>1883</v>
      </c>
      <c r="Z108" s="120">
        <f t="shared" si="72"/>
        <v>-10250</v>
      </c>
      <c r="AA108" s="120">
        <f t="shared" si="72"/>
        <v>77</v>
      </c>
      <c r="AB108" s="120">
        <f t="shared" si="72"/>
        <v>-1471</v>
      </c>
      <c r="AC108" s="121">
        <f t="shared" si="72"/>
        <v>-1931</v>
      </c>
      <c r="AD108" s="121">
        <f t="shared" si="72"/>
        <v>746</v>
      </c>
    </row>
    <row r="109" spans="1:30"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38">
        <v>3666</v>
      </c>
      <c r="W109" s="120">
        <f t="shared" ref="W109:AC112" si="73">C109-O109</f>
        <v>-2676</v>
      </c>
      <c r="X109" s="120">
        <f t="shared" si="73"/>
        <v>2804</v>
      </c>
      <c r="Y109" s="120">
        <f t="shared" si="73"/>
        <v>1702</v>
      </c>
      <c r="Z109" s="120">
        <f t="shared" si="73"/>
        <v>-2838</v>
      </c>
      <c r="AA109" s="120">
        <f t="shared" si="73"/>
        <v>-303</v>
      </c>
      <c r="AB109" s="120">
        <f t="shared" si="73"/>
        <v>600</v>
      </c>
      <c r="AC109" s="121">
        <f t="shared" si="73"/>
        <v>323</v>
      </c>
      <c r="AD109" s="121">
        <f t="shared" ref="AD109:AD112" si="74">J109-V109</f>
        <v>683</v>
      </c>
    </row>
    <row r="110" spans="1:30"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38">
        <v>2979</v>
      </c>
      <c r="W110" s="120">
        <f t="shared" si="73"/>
        <v>-619</v>
      </c>
      <c r="X110" s="120">
        <f t="shared" si="73"/>
        <v>406</v>
      </c>
      <c r="Y110" s="120">
        <f t="shared" si="73"/>
        <v>247</v>
      </c>
      <c r="Z110" s="120">
        <f t="shared" si="73"/>
        <v>-971</v>
      </c>
      <c r="AA110" s="120">
        <f t="shared" si="73"/>
        <v>8</v>
      </c>
      <c r="AB110" s="120">
        <f t="shared" si="73"/>
        <v>-125</v>
      </c>
      <c r="AC110" s="121">
        <f t="shared" si="73"/>
        <v>-177</v>
      </c>
      <c r="AD110" s="121">
        <f t="shared" si="74"/>
        <v>222</v>
      </c>
    </row>
    <row r="111" spans="1:30"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38">
        <v>456</v>
      </c>
      <c r="W111" s="120">
        <f t="shared" si="73"/>
        <v>-49</v>
      </c>
      <c r="X111" s="120">
        <f t="shared" si="73"/>
        <v>124</v>
      </c>
      <c r="Y111" s="120">
        <f t="shared" si="73"/>
        <v>84</v>
      </c>
      <c r="Z111" s="120">
        <f t="shared" si="73"/>
        <v>-130</v>
      </c>
      <c r="AA111" s="120">
        <f t="shared" si="73"/>
        <v>52</v>
      </c>
      <c r="AB111" s="120">
        <f t="shared" si="73"/>
        <v>19</v>
      </c>
      <c r="AC111" s="121">
        <f t="shared" si="73"/>
        <v>-26</v>
      </c>
      <c r="AD111" s="121">
        <f t="shared" si="74"/>
        <v>81</v>
      </c>
    </row>
    <row r="112" spans="1:30"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38">
        <v>31</v>
      </c>
      <c r="W112" s="120">
        <f t="shared" si="73"/>
        <v>0</v>
      </c>
      <c r="X112" s="120">
        <f t="shared" si="73"/>
        <v>13</v>
      </c>
      <c r="Y112" s="120">
        <f t="shared" si="73"/>
        <v>-7</v>
      </c>
      <c r="Z112" s="120">
        <f t="shared" si="73"/>
        <v>-8</v>
      </c>
      <c r="AA112" s="120">
        <f t="shared" si="73"/>
        <v>2</v>
      </c>
      <c r="AB112" s="120">
        <f t="shared" si="73"/>
        <v>1</v>
      </c>
      <c r="AC112" s="121">
        <f t="shared" si="73"/>
        <v>7</v>
      </c>
      <c r="AD112" s="121">
        <f t="shared" si="74"/>
        <v>-11</v>
      </c>
    </row>
    <row r="113" spans="1:30" ht="15.75" thickBot="1" x14ac:dyDescent="0.3">
      <c r="A113" s="4"/>
      <c r="B113" s="37" t="s">
        <v>41</v>
      </c>
      <c r="C113" s="122">
        <f>SUM(C108:C112)</f>
        <v>42353</v>
      </c>
      <c r="D113" s="60">
        <f>SUM(D108:D112)</f>
        <v>44547</v>
      </c>
      <c r="E113" s="60">
        <f t="shared" ref="E113:AD113" si="75">SUM(E108:E112)</f>
        <v>44377</v>
      </c>
      <c r="F113" s="60">
        <f t="shared" si="75"/>
        <v>37017</v>
      </c>
      <c r="G113" s="60">
        <f t="shared" si="75"/>
        <v>38500</v>
      </c>
      <c r="H113" s="60">
        <f t="shared" si="75"/>
        <v>35554</v>
      </c>
      <c r="I113" s="60">
        <f t="shared" si="75"/>
        <v>35608</v>
      </c>
      <c r="J113" s="60">
        <f t="shared" si="75"/>
        <v>39386</v>
      </c>
      <c r="K113" s="60">
        <f t="shared" si="75"/>
        <v>32097</v>
      </c>
      <c r="L113" s="163">
        <f t="shared" si="75"/>
        <v>43183</v>
      </c>
      <c r="M113" s="60">
        <f t="shared" si="75"/>
        <v>43849</v>
      </c>
      <c r="N113" s="60">
        <f t="shared" si="75"/>
        <v>44561</v>
      </c>
      <c r="O113" s="60">
        <f t="shared" si="75"/>
        <v>50742</v>
      </c>
      <c r="P113" s="60">
        <f t="shared" si="75"/>
        <v>41449</v>
      </c>
      <c r="Q113" s="60">
        <f t="shared" si="75"/>
        <v>40468</v>
      </c>
      <c r="R113" s="60">
        <f t="shared" si="75"/>
        <v>51214</v>
      </c>
      <c r="S113" s="60">
        <f t="shared" si="75"/>
        <v>38664</v>
      </c>
      <c r="T113" s="60">
        <f t="shared" si="75"/>
        <v>36530</v>
      </c>
      <c r="U113" s="187">
        <f t="shared" si="75"/>
        <v>37412</v>
      </c>
      <c r="V113" s="187">
        <f t="shared" si="75"/>
        <v>37665</v>
      </c>
      <c r="W113" s="60">
        <f t="shared" si="75"/>
        <v>-8389</v>
      </c>
      <c r="X113" s="60">
        <f t="shared" si="75"/>
        <v>3098</v>
      </c>
      <c r="Y113" s="60">
        <f t="shared" si="75"/>
        <v>3909</v>
      </c>
      <c r="Z113" s="60">
        <f t="shared" si="75"/>
        <v>-14197</v>
      </c>
      <c r="AA113" s="60">
        <f t="shared" si="75"/>
        <v>-164</v>
      </c>
      <c r="AB113" s="60">
        <f t="shared" si="75"/>
        <v>-976</v>
      </c>
      <c r="AC113" s="59">
        <f t="shared" si="75"/>
        <v>-1804</v>
      </c>
      <c r="AD113" s="59">
        <f t="shared" si="75"/>
        <v>1721</v>
      </c>
    </row>
    <row r="114" spans="1:30"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27"/>
      <c r="W114" s="125"/>
      <c r="X114" s="127"/>
      <c r="Y114" s="128"/>
      <c r="Z114" s="128"/>
      <c r="AA114" s="128"/>
      <c r="AB114" s="128"/>
      <c r="AC114" s="129"/>
      <c r="AD114" s="231"/>
    </row>
    <row r="115" spans="1:30" x14ac:dyDescent="0.25">
      <c r="A115" s="4"/>
      <c r="B115" s="35" t="s">
        <v>36</v>
      </c>
      <c r="C115" s="97">
        <f>C94-C101</f>
        <v>1095955.7199999997</v>
      </c>
      <c r="D115" s="89">
        <f>D94-D101</f>
        <v>-583025.21</v>
      </c>
      <c r="E115" s="89">
        <f t="shared" ref="E115:V115" si="76">E94-E101</f>
        <v>-1273980.9700000002</v>
      </c>
      <c r="F115" s="89">
        <f t="shared" si="76"/>
        <v>-754083.29</v>
      </c>
      <c r="G115" s="89">
        <f t="shared" si="76"/>
        <v>-678775.79</v>
      </c>
      <c r="H115" s="89">
        <f t="shared" si="76"/>
        <v>-308283.56000000006</v>
      </c>
      <c r="I115" s="89">
        <f t="shared" si="76"/>
        <v>-186856.56000000006</v>
      </c>
      <c r="J115" s="89">
        <f t="shared" si="76"/>
        <v>-177026.30000000005</v>
      </c>
      <c r="K115" s="89">
        <f t="shared" si="76"/>
        <v>1461687.17</v>
      </c>
      <c r="L115" s="99">
        <f t="shared" si="76"/>
        <v>2530458.0699999998</v>
      </c>
      <c r="M115" s="89">
        <f t="shared" si="76"/>
        <v>2773012.87</v>
      </c>
      <c r="N115" s="87">
        <f>N94-N101</f>
        <v>767793.09999999963</v>
      </c>
      <c r="O115" s="89">
        <f t="shared" si="76"/>
        <v>-64992.240000000224</v>
      </c>
      <c r="P115" s="89">
        <f t="shared" si="76"/>
        <v>-5602.1299999998882</v>
      </c>
      <c r="Q115" s="89">
        <f t="shared" si="76"/>
        <v>-98451.459999999963</v>
      </c>
      <c r="R115" s="89">
        <f t="shared" si="76"/>
        <v>-2175016.9900000002</v>
      </c>
      <c r="S115" s="89">
        <f t="shared" si="76"/>
        <v>-678991.34000000008</v>
      </c>
      <c r="T115" s="89">
        <f t="shared" si="76"/>
        <v>-293801.89999999991</v>
      </c>
      <c r="U115" s="189">
        <f t="shared" si="76"/>
        <v>-212622.34999999986</v>
      </c>
      <c r="V115" s="189">
        <f t="shared" si="76"/>
        <v>-104017.12000000011</v>
      </c>
      <c r="W115" s="89">
        <f t="shared" ref="W115:AD115" si="77">C115-O115</f>
        <v>1160947.96</v>
      </c>
      <c r="X115" s="89">
        <f t="shared" si="77"/>
        <v>-577423.08000000007</v>
      </c>
      <c r="Y115" s="89">
        <f t="shared" si="77"/>
        <v>-1175529.5100000002</v>
      </c>
      <c r="Z115" s="89">
        <f t="shared" si="77"/>
        <v>1420933.7000000002</v>
      </c>
      <c r="AA115" s="89">
        <f t="shared" si="77"/>
        <v>215.55000000004657</v>
      </c>
      <c r="AB115" s="89">
        <f t="shared" si="77"/>
        <v>-14481.660000000149</v>
      </c>
      <c r="AC115" s="88">
        <f t="shared" si="77"/>
        <v>25765.789999999804</v>
      </c>
      <c r="AD115" s="88">
        <f t="shared" si="77"/>
        <v>-73009.179999999935</v>
      </c>
    </row>
    <row r="116" spans="1:30" x14ac:dyDescent="0.25">
      <c r="A116" s="4"/>
      <c r="B116" s="35" t="s">
        <v>37</v>
      </c>
      <c r="C116" s="97">
        <f t="shared" ref="C116:D119" si="78">C95-C102</f>
        <v>180782.34000000008</v>
      </c>
      <c r="D116" s="89">
        <f t="shared" si="78"/>
        <v>-247261.17999999993</v>
      </c>
      <c r="E116" s="89">
        <f t="shared" ref="E116:V116" si="79">E95-E102</f>
        <v>-604845.89999999991</v>
      </c>
      <c r="F116" s="89">
        <f t="shared" si="79"/>
        <v>-46128.419999999984</v>
      </c>
      <c r="G116" s="89">
        <f t="shared" si="79"/>
        <v>-44653.66</v>
      </c>
      <c r="H116" s="89">
        <f t="shared" si="79"/>
        <v>-20446.579999999987</v>
      </c>
      <c r="I116" s="89">
        <f t="shared" si="79"/>
        <v>13193.200000000012</v>
      </c>
      <c r="J116" s="89">
        <f t="shared" si="79"/>
        <v>36293.649999999994</v>
      </c>
      <c r="K116" s="89">
        <f t="shared" si="79"/>
        <v>294874.34999999998</v>
      </c>
      <c r="L116" s="99">
        <f t="shared" si="79"/>
        <v>577135.22</v>
      </c>
      <c r="M116" s="89">
        <f t="shared" si="79"/>
        <v>58989.330000000075</v>
      </c>
      <c r="N116" s="87">
        <f t="shared" si="79"/>
        <v>39711.429999999935</v>
      </c>
      <c r="O116" s="89">
        <f t="shared" si="79"/>
        <v>-90617.340000000084</v>
      </c>
      <c r="P116" s="89">
        <f t="shared" si="79"/>
        <v>376579.66000000003</v>
      </c>
      <c r="Q116" s="89">
        <f t="shared" si="79"/>
        <v>-100223.19999999995</v>
      </c>
      <c r="R116" s="89">
        <f t="shared" si="79"/>
        <v>-273055.37</v>
      </c>
      <c r="S116" s="89">
        <f t="shared" si="79"/>
        <v>-131951.63</v>
      </c>
      <c r="T116" s="89">
        <f t="shared" si="79"/>
        <v>33110.640000000014</v>
      </c>
      <c r="U116" s="88">
        <f t="shared" si="79"/>
        <v>51725.449999999983</v>
      </c>
      <c r="V116" s="189">
        <f t="shared" si="79"/>
        <v>104036.15</v>
      </c>
      <c r="W116" s="89">
        <f t="shared" ref="W116:AC119" si="80">C116-O116</f>
        <v>271399.68000000017</v>
      </c>
      <c r="X116" s="89">
        <f t="shared" si="80"/>
        <v>-623840.84</v>
      </c>
      <c r="Y116" s="89">
        <f t="shared" si="80"/>
        <v>-504622.69999999995</v>
      </c>
      <c r="Z116" s="89">
        <f t="shared" si="80"/>
        <v>226926.95</v>
      </c>
      <c r="AA116" s="89">
        <f t="shared" si="80"/>
        <v>87297.97</v>
      </c>
      <c r="AB116" s="89">
        <f t="shared" si="80"/>
        <v>-53557.22</v>
      </c>
      <c r="AC116" s="88">
        <f t="shared" si="80"/>
        <v>-38532.249999999971</v>
      </c>
      <c r="AD116" s="88">
        <f t="shared" ref="AD116:AD119" si="81">J116-V116</f>
        <v>-67742.5</v>
      </c>
    </row>
    <row r="117" spans="1:30" x14ac:dyDescent="0.25">
      <c r="A117" s="4"/>
      <c r="B117" s="35" t="s">
        <v>38</v>
      </c>
      <c r="C117" s="97">
        <f t="shared" si="78"/>
        <v>36741.139999999898</v>
      </c>
      <c r="D117" s="89">
        <f t="shared" si="78"/>
        <v>-329815.71999999997</v>
      </c>
      <c r="E117" s="89">
        <f t="shared" ref="E117:V117" si="82">E96-E103</f>
        <v>-272123.66000000003</v>
      </c>
      <c r="F117" s="89">
        <f t="shared" si="82"/>
        <v>-126996.37</v>
      </c>
      <c r="G117" s="89">
        <f t="shared" si="82"/>
        <v>-65639.06</v>
      </c>
      <c r="H117" s="89">
        <f t="shared" si="82"/>
        <v>-20065.059999999998</v>
      </c>
      <c r="I117" s="89">
        <f t="shared" si="82"/>
        <v>3621.7699999999895</v>
      </c>
      <c r="J117" s="89">
        <f t="shared" si="82"/>
        <v>-3837.5899999999965</v>
      </c>
      <c r="K117" s="89">
        <f t="shared" si="82"/>
        <v>221984.58</v>
      </c>
      <c r="L117" s="99">
        <f t="shared" si="82"/>
        <v>419358.02</v>
      </c>
      <c r="M117" s="89">
        <f t="shared" si="82"/>
        <v>545557.32999999996</v>
      </c>
      <c r="N117" s="87">
        <f t="shared" si="82"/>
        <v>-36967.419999999925</v>
      </c>
      <c r="O117" s="89">
        <f t="shared" si="82"/>
        <v>-237559.06000000006</v>
      </c>
      <c r="P117" s="89">
        <f t="shared" si="82"/>
        <v>-103259.83999999997</v>
      </c>
      <c r="Q117" s="89">
        <f t="shared" si="82"/>
        <v>-126114.76000000001</v>
      </c>
      <c r="R117" s="89">
        <f t="shared" si="82"/>
        <v>-466460.56999999995</v>
      </c>
      <c r="S117" s="89">
        <f>S96-S103</f>
        <v>-98781.25</v>
      </c>
      <c r="T117" s="89">
        <f t="shared" si="82"/>
        <v>-48814.850000000006</v>
      </c>
      <c r="U117" s="88">
        <f t="shared" si="82"/>
        <v>-86039.18</v>
      </c>
      <c r="V117" s="189">
        <f t="shared" si="82"/>
        <v>6367.4100000000035</v>
      </c>
      <c r="W117" s="89">
        <f t="shared" si="80"/>
        <v>274300.19999999995</v>
      </c>
      <c r="X117" s="89">
        <f t="shared" si="80"/>
        <v>-226555.88</v>
      </c>
      <c r="Y117" s="89">
        <f t="shared" si="80"/>
        <v>-146008.90000000002</v>
      </c>
      <c r="Z117" s="89">
        <f t="shared" si="80"/>
        <v>339464.19999999995</v>
      </c>
      <c r="AA117" s="89">
        <f t="shared" si="80"/>
        <v>33142.19</v>
      </c>
      <c r="AB117" s="89">
        <f t="shared" si="80"/>
        <v>28749.790000000008</v>
      </c>
      <c r="AC117" s="88">
        <f t="shared" si="80"/>
        <v>89660.949999999983</v>
      </c>
      <c r="AD117" s="88">
        <f t="shared" si="81"/>
        <v>-10205</v>
      </c>
    </row>
    <row r="118" spans="1:30" x14ac:dyDescent="0.25">
      <c r="A118" s="4"/>
      <c r="B118" s="35" t="s">
        <v>39</v>
      </c>
      <c r="C118" s="97">
        <f t="shared" si="78"/>
        <v>-261964.59000000008</v>
      </c>
      <c r="D118" s="89">
        <f t="shared" si="78"/>
        <v>-188087.92999999993</v>
      </c>
      <c r="E118" s="89">
        <f t="shared" ref="E118:V118" si="83">E97-E104</f>
        <v>-341438.87999999989</v>
      </c>
      <c r="F118" s="89">
        <f t="shared" si="83"/>
        <v>-640213.06000000006</v>
      </c>
      <c r="G118" s="89">
        <f t="shared" si="83"/>
        <v>-187125.96999999997</v>
      </c>
      <c r="H118" s="89">
        <f t="shared" si="83"/>
        <v>-38515.329999999987</v>
      </c>
      <c r="I118" s="89">
        <f t="shared" si="83"/>
        <v>21515.709999999992</v>
      </c>
      <c r="J118" s="89">
        <f t="shared" si="83"/>
        <v>9773.859999999986</v>
      </c>
      <c r="K118" s="89">
        <f t="shared" si="83"/>
        <v>373476.98300000001</v>
      </c>
      <c r="L118" s="99">
        <f t="shared" si="83"/>
        <v>421637.72</v>
      </c>
      <c r="M118" s="89">
        <f t="shared" si="83"/>
        <v>600628.64999999991</v>
      </c>
      <c r="N118" s="87">
        <f t="shared" si="83"/>
        <v>-31336.189999999944</v>
      </c>
      <c r="O118" s="89">
        <f t="shared" si="83"/>
        <v>-321307.8899999999</v>
      </c>
      <c r="P118" s="89">
        <f t="shared" si="83"/>
        <v>-18591.159999999916</v>
      </c>
      <c r="Q118" s="89">
        <f t="shared" si="83"/>
        <v>-88444.079999999958</v>
      </c>
      <c r="R118" s="89">
        <f t="shared" si="83"/>
        <v>-592444.72</v>
      </c>
      <c r="S118" s="89">
        <f t="shared" si="83"/>
        <v>-135999.38</v>
      </c>
      <c r="T118" s="89">
        <f t="shared" si="83"/>
        <v>-42478.559999999998</v>
      </c>
      <c r="U118" s="88">
        <f t="shared" si="83"/>
        <v>-100743.59000000001</v>
      </c>
      <c r="V118" s="189">
        <f t="shared" si="83"/>
        <v>17030.98000000001</v>
      </c>
      <c r="W118" s="89">
        <f t="shared" si="80"/>
        <v>59343.299999999814</v>
      </c>
      <c r="X118" s="89">
        <f t="shared" si="80"/>
        <v>-169496.77000000002</v>
      </c>
      <c r="Y118" s="89">
        <f t="shared" si="80"/>
        <v>-252994.79999999993</v>
      </c>
      <c r="Z118" s="89">
        <f t="shared" si="80"/>
        <v>-47768.340000000084</v>
      </c>
      <c r="AA118" s="89">
        <f t="shared" si="80"/>
        <v>-51126.589999999967</v>
      </c>
      <c r="AB118" s="89">
        <f t="shared" si="80"/>
        <v>3963.2300000000105</v>
      </c>
      <c r="AC118" s="88">
        <f t="shared" si="80"/>
        <v>122259.3</v>
      </c>
      <c r="AD118" s="88">
        <f t="shared" si="81"/>
        <v>-7257.1200000000244</v>
      </c>
    </row>
    <row r="119" spans="1:30" x14ac:dyDescent="0.25">
      <c r="A119" s="4"/>
      <c r="B119" s="35" t="s">
        <v>40</v>
      </c>
      <c r="C119" s="97">
        <f t="shared" si="78"/>
        <v>-133467.93000000005</v>
      </c>
      <c r="D119" s="89">
        <f t="shared" si="78"/>
        <v>-418325.67000000004</v>
      </c>
      <c r="E119" s="89">
        <f t="shared" ref="E119:V119" si="84">E98-E105</f>
        <v>5034.0599999999977</v>
      </c>
      <c r="F119" s="89">
        <f t="shared" si="84"/>
        <v>-411856</v>
      </c>
      <c r="G119" s="89">
        <f t="shared" si="84"/>
        <v>-210896.86</v>
      </c>
      <c r="H119" s="89">
        <f t="shared" si="84"/>
        <v>-189716.46000000002</v>
      </c>
      <c r="I119" s="89">
        <f t="shared" si="84"/>
        <v>-202738.93</v>
      </c>
      <c r="J119" s="89">
        <f t="shared" si="84"/>
        <v>-92098.599999999977</v>
      </c>
      <c r="K119" s="89">
        <f t="shared" si="84"/>
        <v>-97613.200000000012</v>
      </c>
      <c r="L119" s="99">
        <f t="shared" si="84"/>
        <v>-101282.78999999998</v>
      </c>
      <c r="M119" s="89">
        <f t="shared" si="84"/>
        <v>-138047.95000000001</v>
      </c>
      <c r="N119" s="87">
        <f t="shared" si="84"/>
        <v>-200695.96999999997</v>
      </c>
      <c r="O119" s="89">
        <f t="shared" si="84"/>
        <v>-180606.83000000002</v>
      </c>
      <c r="P119" s="89">
        <f t="shared" si="84"/>
        <v>-25756.200000000012</v>
      </c>
      <c r="Q119" s="89">
        <f t="shared" si="84"/>
        <v>-187823.64</v>
      </c>
      <c r="R119" s="89">
        <f t="shared" si="84"/>
        <v>-347215.03</v>
      </c>
      <c r="S119" s="89">
        <f t="shared" si="84"/>
        <v>-173714.96999999997</v>
      </c>
      <c r="T119" s="89">
        <f t="shared" si="84"/>
        <v>-245011.27000000002</v>
      </c>
      <c r="U119" s="88">
        <f t="shared" si="84"/>
        <v>-146798.76000000004</v>
      </c>
      <c r="V119" s="189">
        <f t="shared" si="84"/>
        <v>-199758.90999999997</v>
      </c>
      <c r="W119" s="89">
        <f t="shared" si="80"/>
        <v>47138.899999999965</v>
      </c>
      <c r="X119" s="89">
        <f t="shared" si="80"/>
        <v>-392569.47000000003</v>
      </c>
      <c r="Y119" s="89">
        <f t="shared" si="80"/>
        <v>192857.7</v>
      </c>
      <c r="Z119" s="89">
        <f t="shared" si="80"/>
        <v>-64640.969999999972</v>
      </c>
      <c r="AA119" s="89">
        <f t="shared" si="80"/>
        <v>-37181.890000000014</v>
      </c>
      <c r="AB119" s="89">
        <f t="shared" si="80"/>
        <v>55294.81</v>
      </c>
      <c r="AC119" s="88">
        <f t="shared" si="80"/>
        <v>-55940.169999999955</v>
      </c>
      <c r="AD119" s="88">
        <f t="shared" si="81"/>
        <v>107660.31</v>
      </c>
    </row>
    <row r="120" spans="1:30" ht="15.75" thickBot="1" x14ac:dyDescent="0.3">
      <c r="A120" s="4"/>
      <c r="B120" s="37" t="s">
        <v>41</v>
      </c>
      <c r="C120" s="100">
        <f>SUM(C115:C119)</f>
        <v>918046.67999999959</v>
      </c>
      <c r="D120" s="81">
        <f>SUM(D115:D119)</f>
        <v>-1766515.71</v>
      </c>
      <c r="E120" s="81">
        <f t="shared" ref="E120:V120" si="85">SUM(E115:E119)</f>
        <v>-2487355.35</v>
      </c>
      <c r="F120" s="81">
        <f t="shared" si="85"/>
        <v>-1979277.1400000001</v>
      </c>
      <c r="G120" s="81">
        <f t="shared" si="85"/>
        <v>-1187091.3399999999</v>
      </c>
      <c r="H120" s="81">
        <f t="shared" si="85"/>
        <v>-577026.99</v>
      </c>
      <c r="I120" s="81">
        <f t="shared" si="85"/>
        <v>-351264.81000000006</v>
      </c>
      <c r="J120" s="81">
        <f t="shared" si="85"/>
        <v>-226894.98000000004</v>
      </c>
      <c r="K120" s="81">
        <f t="shared" si="85"/>
        <v>2254409.8829999999</v>
      </c>
      <c r="L120" s="160">
        <f t="shared" si="85"/>
        <v>3847306.24</v>
      </c>
      <c r="M120" s="81">
        <f t="shared" si="85"/>
        <v>3840140.23</v>
      </c>
      <c r="N120" s="200">
        <f t="shared" si="85"/>
        <v>538504.94999999972</v>
      </c>
      <c r="O120" s="81">
        <f t="shared" si="85"/>
        <v>-895083.36000000034</v>
      </c>
      <c r="P120" s="81">
        <f t="shared" si="85"/>
        <v>223370.33000000025</v>
      </c>
      <c r="Q120" s="81">
        <f t="shared" si="85"/>
        <v>-601057.1399999999</v>
      </c>
      <c r="R120" s="81">
        <f t="shared" si="85"/>
        <v>-3854192.6800000006</v>
      </c>
      <c r="S120" s="81">
        <f>SUM(S115:S119)</f>
        <v>-1219438.57</v>
      </c>
      <c r="T120" s="81">
        <f t="shared" si="85"/>
        <v>-596995.93999999994</v>
      </c>
      <c r="U120" s="80">
        <f t="shared" si="85"/>
        <v>-494478.42999999993</v>
      </c>
      <c r="V120" s="80">
        <f t="shared" si="85"/>
        <v>-176341.49000000008</v>
      </c>
      <c r="W120" s="81">
        <f>SUM(W115:W119)</f>
        <v>1813130.0399999998</v>
      </c>
      <c r="X120" s="81">
        <f t="shared" ref="X120:AD120" si="86">SUM(X115:X119)</f>
        <v>-1989886.0399999998</v>
      </c>
      <c r="Y120" s="81">
        <f t="shared" si="86"/>
        <v>-1886298.2100000002</v>
      </c>
      <c r="Z120" s="81">
        <f t="shared" si="86"/>
        <v>1874915.54</v>
      </c>
      <c r="AA120" s="81">
        <f t="shared" si="86"/>
        <v>32347.230000000069</v>
      </c>
      <c r="AB120" s="81">
        <f t="shared" si="86"/>
        <v>19968.949999999866</v>
      </c>
      <c r="AC120" s="80">
        <f t="shared" si="86"/>
        <v>143213.61999999985</v>
      </c>
      <c r="AD120" s="80">
        <f t="shared" si="86"/>
        <v>-50553.489999999962</v>
      </c>
    </row>
    <row r="121" spans="1:30"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32"/>
      <c r="W121" s="64"/>
      <c r="X121" s="65"/>
      <c r="Y121" s="66"/>
      <c r="Z121" s="66"/>
      <c r="AA121" s="66"/>
      <c r="AB121" s="66"/>
      <c r="AC121" s="67"/>
      <c r="AD121" s="231"/>
    </row>
    <row r="122" spans="1:30"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f t="shared" ref="W122:AD122" si="87">C122-O122</f>
        <v>-5</v>
      </c>
      <c r="X122" s="58">
        <f t="shared" si="87"/>
        <v>-7</v>
      </c>
      <c r="Y122" s="58">
        <f t="shared" si="87"/>
        <v>-10</v>
      </c>
      <c r="Z122" s="58">
        <f t="shared" si="87"/>
        <v>-20</v>
      </c>
      <c r="AA122" s="58">
        <f t="shared" si="87"/>
        <v>-16</v>
      </c>
      <c r="AB122" s="58">
        <f t="shared" si="87"/>
        <v>-16</v>
      </c>
      <c r="AC122" s="70">
        <f t="shared" si="87"/>
        <v>-16</v>
      </c>
      <c r="AD122" s="70">
        <f t="shared" si="87"/>
        <v>-11</v>
      </c>
    </row>
    <row r="123" spans="1:30"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f t="shared" ref="W123:AC126" si="88">C123-O123</f>
        <v>39</v>
      </c>
      <c r="X123" s="58">
        <f t="shared" si="88"/>
        <v>36</v>
      </c>
      <c r="Y123" s="58">
        <f t="shared" si="88"/>
        <v>56</v>
      </c>
      <c r="Z123" s="58">
        <f t="shared" si="88"/>
        <v>-659</v>
      </c>
      <c r="AA123" s="58">
        <f t="shared" si="88"/>
        <v>-1136</v>
      </c>
      <c r="AB123" s="58">
        <f t="shared" si="88"/>
        <v>-931</v>
      </c>
      <c r="AC123" s="57">
        <f t="shared" si="88"/>
        <v>-575</v>
      </c>
      <c r="AD123" s="70">
        <f t="shared" ref="AD123:AD126" si="89">J123-V123</f>
        <v>-687</v>
      </c>
    </row>
    <row r="124" spans="1:30"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f t="shared" si="88"/>
        <v>0</v>
      </c>
      <c r="X124" s="58">
        <f t="shared" si="88"/>
        <v>0</v>
      </c>
      <c r="Y124" s="58">
        <f t="shared" si="88"/>
        <v>0</v>
      </c>
      <c r="Z124" s="58">
        <f t="shared" si="88"/>
        <v>0</v>
      </c>
      <c r="AA124" s="58">
        <f t="shared" si="88"/>
        <v>0</v>
      </c>
      <c r="AB124" s="58">
        <f t="shared" si="88"/>
        <v>0</v>
      </c>
      <c r="AC124" s="57">
        <f t="shared" si="88"/>
        <v>0</v>
      </c>
      <c r="AD124" s="70">
        <f t="shared" si="89"/>
        <v>0</v>
      </c>
    </row>
    <row r="125" spans="1:30"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f t="shared" si="88"/>
        <v>0</v>
      </c>
      <c r="X125" s="58">
        <f t="shared" si="88"/>
        <v>0</v>
      </c>
      <c r="Y125" s="58">
        <f t="shared" si="88"/>
        <v>0</v>
      </c>
      <c r="Z125" s="58">
        <f t="shared" si="88"/>
        <v>0</v>
      </c>
      <c r="AA125" s="58">
        <f t="shared" si="88"/>
        <v>0</v>
      </c>
      <c r="AB125" s="58">
        <f t="shared" si="88"/>
        <v>0</v>
      </c>
      <c r="AC125" s="57">
        <f t="shared" si="88"/>
        <v>0</v>
      </c>
      <c r="AD125" s="70">
        <f t="shared" si="89"/>
        <v>0</v>
      </c>
    </row>
    <row r="126" spans="1:30"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f t="shared" si="88"/>
        <v>0</v>
      </c>
      <c r="X126" s="58">
        <f t="shared" si="88"/>
        <v>0</v>
      </c>
      <c r="Y126" s="58">
        <f t="shared" si="88"/>
        <v>0</v>
      </c>
      <c r="Z126" s="58">
        <f t="shared" si="88"/>
        <v>0</v>
      </c>
      <c r="AA126" s="58">
        <f t="shared" si="88"/>
        <v>0</v>
      </c>
      <c r="AB126" s="58">
        <f t="shared" si="88"/>
        <v>0</v>
      </c>
      <c r="AC126" s="57">
        <f t="shared" si="88"/>
        <v>0</v>
      </c>
      <c r="AD126" s="70">
        <f t="shared" si="89"/>
        <v>0</v>
      </c>
    </row>
    <row r="127" spans="1:30" x14ac:dyDescent="0.25">
      <c r="A127" s="4"/>
      <c r="B127" s="35" t="s">
        <v>41</v>
      </c>
      <c r="C127" s="131">
        <f t="shared" ref="C127:AD127" si="90">SUM(C122:C126)</f>
        <v>97</v>
      </c>
      <c r="D127" s="58">
        <f t="shared" si="90"/>
        <v>113</v>
      </c>
      <c r="E127" s="58">
        <f t="shared" si="90"/>
        <v>132</v>
      </c>
      <c r="F127" s="58">
        <f t="shared" si="90"/>
        <v>139</v>
      </c>
      <c r="G127" s="58">
        <f t="shared" si="90"/>
        <v>117</v>
      </c>
      <c r="H127" s="58">
        <f t="shared" si="90"/>
        <v>119</v>
      </c>
      <c r="I127" s="58">
        <f t="shared" si="90"/>
        <v>106</v>
      </c>
      <c r="J127" s="58">
        <f t="shared" si="90"/>
        <v>110</v>
      </c>
      <c r="K127" s="58">
        <f t="shared" si="90"/>
        <v>95</v>
      </c>
      <c r="L127" s="130">
        <f t="shared" si="90"/>
        <v>80</v>
      </c>
      <c r="M127" s="58">
        <f t="shared" si="90"/>
        <v>73</v>
      </c>
      <c r="N127" s="58">
        <f t="shared" si="90"/>
        <v>61</v>
      </c>
      <c r="O127" s="58">
        <f t="shared" si="90"/>
        <v>63</v>
      </c>
      <c r="P127" s="58">
        <f t="shared" si="90"/>
        <v>84</v>
      </c>
      <c r="Q127" s="58">
        <f t="shared" si="90"/>
        <v>86</v>
      </c>
      <c r="R127" s="58">
        <f t="shared" si="90"/>
        <v>818</v>
      </c>
      <c r="S127" s="58">
        <f t="shared" si="90"/>
        <v>1269</v>
      </c>
      <c r="T127" s="58">
        <f t="shared" si="90"/>
        <v>1066</v>
      </c>
      <c r="U127" s="70">
        <f t="shared" si="90"/>
        <v>697</v>
      </c>
      <c r="V127" s="70">
        <f t="shared" si="90"/>
        <v>808</v>
      </c>
      <c r="W127" s="58">
        <f t="shared" si="90"/>
        <v>34</v>
      </c>
      <c r="X127" s="58">
        <f t="shared" si="90"/>
        <v>29</v>
      </c>
      <c r="Y127" s="58">
        <f t="shared" si="90"/>
        <v>46</v>
      </c>
      <c r="Z127" s="58">
        <f t="shared" si="90"/>
        <v>-679</v>
      </c>
      <c r="AA127" s="58">
        <f t="shared" si="90"/>
        <v>-1152</v>
      </c>
      <c r="AB127" s="58">
        <f t="shared" si="90"/>
        <v>-947</v>
      </c>
      <c r="AC127" s="57">
        <f t="shared" si="90"/>
        <v>-591</v>
      </c>
      <c r="AD127" s="57">
        <f t="shared" si="90"/>
        <v>-698</v>
      </c>
    </row>
    <row r="128" spans="1:30"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7"/>
      <c r="W128" s="132"/>
      <c r="X128" s="133"/>
      <c r="Y128" s="66"/>
      <c r="Z128" s="133"/>
      <c r="AA128" s="66"/>
      <c r="AB128" s="133"/>
      <c r="AC128" s="134"/>
      <c r="AD128" s="231"/>
    </row>
    <row r="129" spans="1:47"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139">
        <f t="shared" ref="W129:AD129" si="91">C129-O129</f>
        <v>20</v>
      </c>
      <c r="X129" s="137">
        <f t="shared" si="91"/>
        <v>584</v>
      </c>
      <c r="Y129" s="137">
        <f t="shared" si="91"/>
        <v>657</v>
      </c>
      <c r="Z129" s="137">
        <f t="shared" si="91"/>
        <v>312</v>
      </c>
      <c r="AA129" s="137">
        <f t="shared" si="91"/>
        <v>164</v>
      </c>
      <c r="AB129" s="137">
        <f t="shared" si="91"/>
        <v>342</v>
      </c>
      <c r="AC129" s="137">
        <f t="shared" si="91"/>
        <v>213</v>
      </c>
      <c r="AD129" s="137">
        <f t="shared" si="91"/>
        <v>171</v>
      </c>
    </row>
    <row r="130" spans="1:47" x14ac:dyDescent="0.25">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140">
        <f t="shared" ref="W130:AC133" si="92">C130-O130</f>
        <v>0</v>
      </c>
      <c r="X130" s="137">
        <f t="shared" si="92"/>
        <v>0</v>
      </c>
      <c r="Y130" s="137">
        <f t="shared" si="92"/>
        <v>84</v>
      </c>
      <c r="Z130" s="137">
        <f t="shared" si="92"/>
        <v>83</v>
      </c>
      <c r="AA130" s="137">
        <f t="shared" si="92"/>
        <v>66</v>
      </c>
      <c r="AB130" s="137">
        <f t="shared" si="92"/>
        <v>125</v>
      </c>
      <c r="AC130" s="141">
        <f t="shared" si="92"/>
        <v>114</v>
      </c>
      <c r="AD130" s="137">
        <f t="shared" ref="AD130:AD133" si="93">J130-V130</f>
        <v>80</v>
      </c>
    </row>
    <row r="131" spans="1:47" x14ac:dyDescent="0.25">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140">
        <f t="shared" si="92"/>
        <v>14</v>
      </c>
      <c r="X131" s="137">
        <f t="shared" si="92"/>
        <v>28</v>
      </c>
      <c r="Y131" s="137">
        <f t="shared" si="92"/>
        <v>22</v>
      </c>
      <c r="Z131" s="137">
        <f t="shared" si="92"/>
        <v>18</v>
      </c>
      <c r="AA131" s="137">
        <f t="shared" si="92"/>
        <v>5</v>
      </c>
      <c r="AB131" s="137">
        <f t="shared" si="92"/>
        <v>5</v>
      </c>
      <c r="AC131" s="141">
        <f t="shared" si="92"/>
        <v>-36</v>
      </c>
      <c r="AD131" s="137">
        <f t="shared" si="93"/>
        <v>-5</v>
      </c>
    </row>
    <row r="132" spans="1:47" x14ac:dyDescent="0.25">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140">
        <f t="shared" si="92"/>
        <v>0</v>
      </c>
      <c r="X132" s="137">
        <f t="shared" si="92"/>
        <v>0</v>
      </c>
      <c r="Y132" s="137">
        <f t="shared" si="92"/>
        <v>0</v>
      </c>
      <c r="Z132" s="137">
        <f t="shared" si="92"/>
        <v>0</v>
      </c>
      <c r="AA132" s="137">
        <f t="shared" si="92"/>
        <v>0</v>
      </c>
      <c r="AB132" s="137">
        <f t="shared" si="92"/>
        <v>0</v>
      </c>
      <c r="AC132" s="141">
        <f t="shared" si="92"/>
        <v>-3</v>
      </c>
      <c r="AD132" s="137">
        <f t="shared" si="93"/>
        <v>0</v>
      </c>
    </row>
    <row r="133" spans="1:47" x14ac:dyDescent="0.25">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140">
        <f t="shared" si="92"/>
        <v>0</v>
      </c>
      <c r="X133" s="137">
        <f t="shared" si="92"/>
        <v>0</v>
      </c>
      <c r="Y133" s="137">
        <f t="shared" si="92"/>
        <v>0</v>
      </c>
      <c r="Z133" s="137">
        <f t="shared" si="92"/>
        <v>0</v>
      </c>
      <c r="AA133" s="137">
        <f t="shared" si="92"/>
        <v>0</v>
      </c>
      <c r="AB133" s="137">
        <f t="shared" si="92"/>
        <v>0</v>
      </c>
      <c r="AC133" s="141">
        <f t="shared" si="92"/>
        <v>-1</v>
      </c>
      <c r="AD133" s="137">
        <f t="shared" si="93"/>
        <v>0</v>
      </c>
    </row>
    <row r="134" spans="1:47" x14ac:dyDescent="0.25">
      <c r="A134" s="4"/>
      <c r="B134" s="35" t="s">
        <v>41</v>
      </c>
      <c r="C134" s="140">
        <f>SUM(C129:C133)</f>
        <v>40</v>
      </c>
      <c r="D134" s="137">
        <f>SUM(D129:D133)</f>
        <v>612</v>
      </c>
      <c r="E134" s="137">
        <f t="shared" ref="E134:V134" si="94">SUM(E129:E133)</f>
        <v>763</v>
      </c>
      <c r="F134" s="137">
        <f t="shared" si="94"/>
        <v>413</v>
      </c>
      <c r="G134" s="137">
        <f t="shared" si="94"/>
        <v>235</v>
      </c>
      <c r="H134" s="137">
        <f t="shared" si="94"/>
        <v>472</v>
      </c>
      <c r="I134" s="137">
        <f t="shared" si="94"/>
        <v>331</v>
      </c>
      <c r="J134" s="137">
        <f t="shared" si="94"/>
        <v>256</v>
      </c>
      <c r="K134" s="137">
        <f t="shared" si="94"/>
        <v>61</v>
      </c>
      <c r="L134" s="230">
        <f t="shared" si="94"/>
        <v>8</v>
      </c>
      <c r="M134" s="73">
        <f t="shared" si="94"/>
        <v>7</v>
      </c>
      <c r="N134" s="73">
        <f t="shared" si="94"/>
        <v>14</v>
      </c>
      <c r="O134" s="73">
        <f t="shared" si="94"/>
        <v>6</v>
      </c>
      <c r="P134" s="73">
        <f t="shared" si="94"/>
        <v>0</v>
      </c>
      <c r="Q134" s="73">
        <f t="shared" si="94"/>
        <v>0</v>
      </c>
      <c r="R134" s="73">
        <f t="shared" si="94"/>
        <v>0</v>
      </c>
      <c r="S134" s="73">
        <f t="shared" si="94"/>
        <v>0</v>
      </c>
      <c r="T134" s="73">
        <f t="shared" si="94"/>
        <v>0</v>
      </c>
      <c r="U134" s="74">
        <f t="shared" si="94"/>
        <v>44</v>
      </c>
      <c r="V134" s="74">
        <f t="shared" si="94"/>
        <v>10</v>
      </c>
      <c r="W134" s="140">
        <f t="shared" ref="W134:AD134" si="95">SUM(W129:W133)</f>
        <v>34</v>
      </c>
      <c r="X134" s="137">
        <f t="shared" si="95"/>
        <v>612</v>
      </c>
      <c r="Y134" s="137">
        <f t="shared" si="95"/>
        <v>763</v>
      </c>
      <c r="Z134" s="137">
        <f t="shared" si="95"/>
        <v>413</v>
      </c>
      <c r="AA134" s="137">
        <f t="shared" si="95"/>
        <v>235</v>
      </c>
      <c r="AB134" s="137">
        <f t="shared" si="95"/>
        <v>472</v>
      </c>
      <c r="AC134" s="141">
        <f t="shared" si="95"/>
        <v>287</v>
      </c>
      <c r="AD134" s="141">
        <f t="shared" si="95"/>
        <v>246</v>
      </c>
    </row>
    <row r="135" spans="1:47" x14ac:dyDescent="0.25">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144"/>
      <c r="X135" s="142"/>
      <c r="Y135" s="128"/>
      <c r="Z135" s="142"/>
      <c r="AA135" s="128"/>
      <c r="AB135" s="142"/>
      <c r="AC135" s="145"/>
      <c r="AD135" s="231"/>
    </row>
    <row r="136" spans="1:47" x14ac:dyDescent="0.25">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149">
        <f t="shared" ref="W136:AD136" si="96">C136-O136</f>
        <v>196</v>
      </c>
      <c r="X136" s="148">
        <f t="shared" si="96"/>
        <v>593</v>
      </c>
      <c r="Y136" s="148">
        <f t="shared" si="96"/>
        <v>710</v>
      </c>
      <c r="Z136" s="148">
        <f t="shared" si="96"/>
        <v>633</v>
      </c>
      <c r="AA136" s="148">
        <f t="shared" si="96"/>
        <v>496</v>
      </c>
      <c r="AB136" s="148">
        <f t="shared" si="96"/>
        <v>333</v>
      </c>
      <c r="AC136" s="150">
        <f t="shared" si="96"/>
        <v>192</v>
      </c>
      <c r="AD136" s="150">
        <f t="shared" si="96"/>
        <v>10</v>
      </c>
    </row>
    <row r="137" spans="1:47" x14ac:dyDescent="0.25">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149">
        <f t="shared" ref="W137:AC140" si="97">C137-O137</f>
        <v>82</v>
      </c>
      <c r="X137" s="148">
        <f t="shared" si="97"/>
        <v>211</v>
      </c>
      <c r="Y137" s="148">
        <f t="shared" si="97"/>
        <v>338</v>
      </c>
      <c r="Z137" s="148">
        <f t="shared" si="97"/>
        <v>341</v>
      </c>
      <c r="AA137" s="148">
        <f t="shared" si="97"/>
        <v>291</v>
      </c>
      <c r="AB137" s="148">
        <f t="shared" si="97"/>
        <v>278</v>
      </c>
      <c r="AC137" s="150">
        <f t="shared" si="97"/>
        <v>251</v>
      </c>
      <c r="AD137" s="150">
        <f t="shared" ref="AD137:AD140" si="98">J137-V137</f>
        <v>176</v>
      </c>
    </row>
    <row r="138" spans="1:47" x14ac:dyDescent="0.25">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149">
        <f t="shared" si="97"/>
        <v>1</v>
      </c>
      <c r="X138" s="148">
        <f t="shared" si="97"/>
        <v>0</v>
      </c>
      <c r="Y138" s="148">
        <f t="shared" si="97"/>
        <v>-2</v>
      </c>
      <c r="Z138" s="148">
        <f t="shared" si="97"/>
        <v>-2</v>
      </c>
      <c r="AA138" s="148">
        <f t="shared" si="97"/>
        <v>-2</v>
      </c>
      <c r="AB138" s="148">
        <f t="shared" si="97"/>
        <v>-5</v>
      </c>
      <c r="AC138" s="150">
        <f t="shared" si="97"/>
        <v>-10</v>
      </c>
      <c r="AD138" s="150">
        <f t="shared" si="98"/>
        <v>-14</v>
      </c>
    </row>
    <row r="139" spans="1:47" x14ac:dyDescent="0.25">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149">
        <f t="shared" si="97"/>
        <v>0</v>
      </c>
      <c r="X139" s="148">
        <f t="shared" si="97"/>
        <v>0</v>
      </c>
      <c r="Y139" s="148">
        <f t="shared" si="97"/>
        <v>0</v>
      </c>
      <c r="Z139" s="148">
        <f t="shared" si="97"/>
        <v>0</v>
      </c>
      <c r="AA139" s="148">
        <f t="shared" si="97"/>
        <v>0</v>
      </c>
      <c r="AB139" s="148">
        <f t="shared" si="97"/>
        <v>0</v>
      </c>
      <c r="AC139" s="150">
        <f t="shared" si="97"/>
        <v>-2</v>
      </c>
      <c r="AD139" s="150">
        <f t="shared" si="98"/>
        <v>-3</v>
      </c>
    </row>
    <row r="140" spans="1:47" x14ac:dyDescent="0.25">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149">
        <f t="shared" si="97"/>
        <v>0</v>
      </c>
      <c r="X140" s="148">
        <f t="shared" si="97"/>
        <v>0</v>
      </c>
      <c r="Y140" s="148">
        <f t="shared" si="97"/>
        <v>0</v>
      </c>
      <c r="Z140" s="148">
        <f t="shared" si="97"/>
        <v>0</v>
      </c>
      <c r="AA140" s="148">
        <f t="shared" si="97"/>
        <v>0</v>
      </c>
      <c r="AB140" s="148">
        <f t="shared" si="97"/>
        <v>0</v>
      </c>
      <c r="AC140" s="150">
        <f t="shared" si="97"/>
        <v>0</v>
      </c>
      <c r="AD140" s="150">
        <f t="shared" si="98"/>
        <v>0</v>
      </c>
    </row>
    <row r="141" spans="1:47" ht="15.75" thickBot="1" x14ac:dyDescent="0.3">
      <c r="A141" s="4"/>
      <c r="B141" s="36" t="s">
        <v>41</v>
      </c>
      <c r="C141" s="151">
        <f>SUM(C136:C140)</f>
        <v>644</v>
      </c>
      <c r="D141" s="152">
        <f>SUM(D136:D140)</f>
        <v>958</v>
      </c>
      <c r="E141" s="152">
        <f t="shared" ref="E141:W141" si="99">SUM(E136:E140)</f>
        <v>1180</v>
      </c>
      <c r="F141" s="152">
        <f t="shared" si="99"/>
        <v>1136</v>
      </c>
      <c r="G141" s="152">
        <f t="shared" si="99"/>
        <v>899</v>
      </c>
      <c r="H141" s="152">
        <f t="shared" si="99"/>
        <v>723</v>
      </c>
      <c r="I141" s="152">
        <f t="shared" si="99"/>
        <v>531</v>
      </c>
      <c r="J141" s="152">
        <f t="shared" si="99"/>
        <v>404</v>
      </c>
      <c r="K141" s="152">
        <f t="shared" si="99"/>
        <v>355</v>
      </c>
      <c r="L141" s="197">
        <f t="shared" si="99"/>
        <v>169</v>
      </c>
      <c r="M141" s="152">
        <f t="shared" si="99"/>
        <v>195</v>
      </c>
      <c r="N141" s="201">
        <f t="shared" si="99"/>
        <v>377</v>
      </c>
      <c r="O141" s="152">
        <f t="shared" si="99"/>
        <v>365</v>
      </c>
      <c r="P141" s="152">
        <f t="shared" si="99"/>
        <v>154</v>
      </c>
      <c r="Q141" s="152">
        <f t="shared" si="99"/>
        <v>134</v>
      </c>
      <c r="R141" s="152">
        <f t="shared" si="99"/>
        <v>164</v>
      </c>
      <c r="S141" s="152">
        <f t="shared" si="99"/>
        <v>114</v>
      </c>
      <c r="T141" s="152">
        <f t="shared" si="99"/>
        <v>117</v>
      </c>
      <c r="U141" s="153">
        <f t="shared" si="99"/>
        <v>100</v>
      </c>
      <c r="V141" s="153">
        <f t="shared" si="99"/>
        <v>235</v>
      </c>
      <c r="W141" s="152">
        <f t="shared" si="99"/>
        <v>279</v>
      </c>
      <c r="X141" s="152">
        <f t="shared" ref="X141:AD141" si="100">SUM(X136:X140)</f>
        <v>804</v>
      </c>
      <c r="Y141" s="152">
        <f t="shared" si="100"/>
        <v>1046</v>
      </c>
      <c r="Z141" s="152">
        <f t="shared" si="100"/>
        <v>972</v>
      </c>
      <c r="AA141" s="152">
        <f t="shared" si="100"/>
        <v>785</v>
      </c>
      <c r="AB141" s="152">
        <f t="shared" si="100"/>
        <v>606</v>
      </c>
      <c r="AC141" s="153">
        <f t="shared" si="100"/>
        <v>431</v>
      </c>
      <c r="AD141" s="153">
        <f t="shared" si="100"/>
        <v>169</v>
      </c>
      <c r="AE141" s="244">
        <f>R141-F141</f>
        <v>-972</v>
      </c>
      <c r="AF141" s="245">
        <f>(AE141/F141)*100</f>
        <v>-85.563380281690144</v>
      </c>
    </row>
    <row r="142" spans="1:47" ht="15.75" thickTop="1" x14ac:dyDescent="0.25">
      <c r="A142" s="4"/>
    </row>
    <row r="143" spans="1:47" x14ac:dyDescent="0.25">
      <c r="B143" s="1" t="s">
        <v>27</v>
      </c>
    </row>
    <row r="144" spans="1:47" ht="191.25" customHeight="1" x14ac:dyDescent="0.25">
      <c r="B144" s="240" t="s">
        <v>51</v>
      </c>
      <c r="C144" s="350" t="s">
        <v>53</v>
      </c>
      <c r="D144" s="350"/>
      <c r="E144" s="350"/>
      <c r="F144" s="350"/>
      <c r="G144" s="350"/>
      <c r="H144" s="350"/>
      <c r="I144" s="350"/>
      <c r="J144" s="350"/>
      <c r="K144" s="350"/>
      <c r="L144" s="350"/>
      <c r="N144" s="351" t="s">
        <v>52</v>
      </c>
      <c r="O144" s="351"/>
      <c r="P144" s="351"/>
      <c r="Q144" s="351"/>
      <c r="R144" s="351"/>
      <c r="S144" s="243"/>
      <c r="T144" s="342" t="s">
        <v>54</v>
      </c>
      <c r="U144" s="342"/>
      <c r="V144" s="342"/>
      <c r="W144" s="342"/>
      <c r="X144" s="342"/>
      <c r="Y144" s="342"/>
      <c r="Z144" s="342"/>
      <c r="AB144" s="342" t="s">
        <v>55</v>
      </c>
      <c r="AC144" s="342"/>
      <c r="AD144" s="342"/>
      <c r="AE144" s="342"/>
      <c r="AF144" s="342"/>
      <c r="AG144" s="342"/>
      <c r="AH144" s="342"/>
      <c r="AJ144" s="342" t="s">
        <v>56</v>
      </c>
      <c r="AK144" s="342"/>
      <c r="AL144" s="342"/>
      <c r="AM144" s="342"/>
      <c r="AN144" s="342"/>
      <c r="AO144" s="342"/>
      <c r="AQ144" s="342" t="s">
        <v>59</v>
      </c>
      <c r="AR144" s="342"/>
      <c r="AS144" s="342"/>
      <c r="AT144" s="342"/>
      <c r="AU144" s="342"/>
    </row>
    <row r="147" spans="2:12" x14ac:dyDescent="0.25">
      <c r="B147" s="34" t="s">
        <v>26</v>
      </c>
    </row>
    <row r="148" spans="2:12" ht="97.5" customHeight="1" x14ac:dyDescent="0.25">
      <c r="B148" s="229"/>
      <c r="C148" s="349"/>
      <c r="D148" s="349"/>
      <c r="E148" s="349"/>
      <c r="F148" s="349"/>
      <c r="G148" s="349"/>
      <c r="H148" s="349"/>
      <c r="I148" s="349"/>
      <c r="J148" s="349"/>
      <c r="K148" s="349"/>
      <c r="L148" s="349"/>
    </row>
    <row r="149" spans="2:12" ht="52.5" customHeight="1" x14ac:dyDescent="0.25">
      <c r="B149" s="229"/>
      <c r="C149" s="349"/>
      <c r="D149" s="349"/>
      <c r="E149" s="349"/>
      <c r="F149" s="349"/>
      <c r="G149" s="349"/>
      <c r="H149" s="349"/>
      <c r="I149" s="349"/>
      <c r="J149" s="349"/>
      <c r="K149" s="349"/>
      <c r="L149" s="349"/>
    </row>
    <row r="150" spans="2:12" ht="37.5" customHeight="1" x14ac:dyDescent="0.25">
      <c r="B150" s="229"/>
      <c r="C150" s="349"/>
      <c r="D150" s="349"/>
      <c r="E150" s="349"/>
      <c r="F150" s="349"/>
      <c r="G150" s="349"/>
      <c r="H150" s="349"/>
      <c r="I150" s="349"/>
      <c r="J150" s="349"/>
      <c r="K150" s="349"/>
      <c r="L150" s="349"/>
    </row>
    <row r="151" spans="2:12" ht="63.75" customHeight="1" x14ac:dyDescent="0.25">
      <c r="B151" s="229"/>
      <c r="C151" s="349"/>
      <c r="D151" s="349"/>
      <c r="E151" s="349"/>
      <c r="F151" s="349"/>
      <c r="G151" s="349"/>
      <c r="H151" s="349"/>
      <c r="I151" s="349"/>
      <c r="J151" s="349"/>
      <c r="K151" s="349"/>
      <c r="L151" s="349"/>
    </row>
  </sheetData>
  <mergeCells count="17">
    <mergeCell ref="C149:L149"/>
    <mergeCell ref="C150:L150"/>
    <mergeCell ref="C151:L151"/>
    <mergeCell ref="C148:L148"/>
    <mergeCell ref="M2:S2"/>
    <mergeCell ref="M3:S3"/>
    <mergeCell ref="M4:S4"/>
    <mergeCell ref="C144:L144"/>
    <mergeCell ref="N144:R144"/>
    <mergeCell ref="AQ144:AU144"/>
    <mergeCell ref="B1:X1"/>
    <mergeCell ref="C2:I2"/>
    <mergeCell ref="C3:I3"/>
    <mergeCell ref="C4:I4"/>
    <mergeCell ref="T144:Z144"/>
    <mergeCell ref="AJ144:AO144"/>
    <mergeCell ref="AB144:AH144"/>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44"/>
  <sheetViews>
    <sheetView workbookViewId="0">
      <pane xSplit="2" ySplit="8" topLeftCell="C9" activePane="bottomRight" state="frozen"/>
      <selection pane="topRight" activeCell="C1" sqref="C1"/>
      <selection pane="bottomLeft" activeCell="A9" sqref="A9"/>
      <selection pane="bottomRight" activeCell="C4" sqref="C4:I4"/>
    </sheetView>
  </sheetViews>
  <sheetFormatPr defaultColWidth="9.140625" defaultRowHeight="15" x14ac:dyDescent="0.25"/>
  <cols>
    <col min="1" max="1" width="5.85546875" style="2" customWidth="1"/>
    <col min="2" max="2" width="63"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32" width="12.7109375" style="4" bestFit="1" customWidth="1"/>
    <col min="33" max="33" width="10.7109375" style="2" bestFit="1" customWidth="1"/>
    <col min="34" max="16384" width="9.140625" style="2"/>
  </cols>
  <sheetData>
    <row r="1" spans="1:33" ht="16.5" thickTop="1" thickBot="1" x14ac:dyDescent="0.3">
      <c r="B1" s="343" t="s">
        <v>19</v>
      </c>
      <c r="C1" s="344"/>
      <c r="D1" s="344"/>
      <c r="E1" s="344"/>
      <c r="F1" s="344"/>
      <c r="G1" s="344"/>
      <c r="H1" s="344"/>
      <c r="I1" s="344"/>
      <c r="J1" s="344"/>
      <c r="K1" s="344"/>
      <c r="L1" s="344"/>
      <c r="M1" s="344"/>
      <c r="N1" s="344"/>
      <c r="O1" s="344"/>
      <c r="P1" s="344"/>
      <c r="Q1" s="344"/>
      <c r="R1" s="344"/>
      <c r="S1" s="344"/>
      <c r="T1" s="344"/>
      <c r="U1" s="344"/>
      <c r="V1" s="344"/>
      <c r="W1" s="344"/>
      <c r="X1" s="38"/>
      <c r="Y1" s="38"/>
      <c r="Z1" s="38"/>
      <c r="AA1" s="38"/>
      <c r="AB1" s="39"/>
    </row>
    <row r="2" spans="1:33" ht="27.6" customHeight="1" thickTop="1" thickBot="1" x14ac:dyDescent="0.3">
      <c r="B2" s="5" t="s">
        <v>0</v>
      </c>
      <c r="C2" s="345" t="s">
        <v>57</v>
      </c>
      <c r="D2" s="346"/>
      <c r="E2" s="346"/>
      <c r="F2" s="346"/>
      <c r="G2" s="346"/>
      <c r="H2" s="346"/>
      <c r="I2" s="346"/>
      <c r="J2" s="6"/>
      <c r="K2" s="7"/>
      <c r="L2" s="7"/>
      <c r="M2" s="7"/>
      <c r="N2" s="7"/>
      <c r="O2" s="7"/>
      <c r="P2" s="7"/>
      <c r="Q2" s="7"/>
      <c r="R2" s="7"/>
      <c r="S2" s="7"/>
      <c r="T2" s="7"/>
      <c r="U2" s="7"/>
      <c r="V2" s="7"/>
      <c r="W2" s="8"/>
    </row>
    <row r="3" spans="1:33" ht="27.6" customHeight="1" thickTop="1" thickBot="1" x14ac:dyDescent="0.3">
      <c r="B3" s="5" t="s">
        <v>1</v>
      </c>
      <c r="C3" s="345" t="s">
        <v>48</v>
      </c>
      <c r="D3" s="346"/>
      <c r="E3" s="346"/>
      <c r="F3" s="346"/>
      <c r="G3" s="346"/>
      <c r="H3" s="346"/>
      <c r="I3" s="346"/>
      <c r="J3" s="6"/>
      <c r="K3" s="9"/>
      <c r="L3" s="9"/>
      <c r="M3" s="9"/>
      <c r="N3" s="9"/>
      <c r="O3" s="9"/>
      <c r="P3" s="9"/>
      <c r="Q3" s="9"/>
      <c r="R3" s="9"/>
      <c r="S3" s="9"/>
      <c r="T3" s="9"/>
      <c r="U3" s="9"/>
      <c r="V3" s="9"/>
      <c r="W3" s="10"/>
    </row>
    <row r="4" spans="1:33" ht="27.6" customHeight="1" thickTop="1" thickBot="1" x14ac:dyDescent="0.3">
      <c r="B4" s="5" t="s">
        <v>2</v>
      </c>
      <c r="C4" s="347">
        <v>44140</v>
      </c>
      <c r="D4" s="348"/>
      <c r="E4" s="348"/>
      <c r="F4" s="348"/>
      <c r="G4" s="348"/>
      <c r="H4" s="348"/>
      <c r="I4" s="348"/>
      <c r="J4" s="6"/>
      <c r="K4" s="9"/>
      <c r="L4" s="9"/>
      <c r="M4" s="9"/>
      <c r="N4" s="9"/>
      <c r="O4" s="9"/>
      <c r="P4" s="9"/>
      <c r="Q4" s="9"/>
      <c r="R4" s="9"/>
      <c r="S4" s="9"/>
      <c r="T4" s="9"/>
      <c r="U4" s="9"/>
      <c r="V4" s="9"/>
      <c r="W4" s="11"/>
    </row>
    <row r="5" spans="1:33" ht="15.75" thickTop="1" x14ac:dyDescent="0.25">
      <c r="B5" s="5"/>
      <c r="C5" s="12"/>
      <c r="D5" s="12"/>
      <c r="E5" s="12"/>
      <c r="F5" s="6"/>
      <c r="G5" s="7"/>
      <c r="H5" s="6"/>
      <c r="I5" s="7"/>
      <c r="J5" s="6"/>
      <c r="K5" s="9"/>
      <c r="L5" s="9"/>
      <c r="M5" s="9"/>
      <c r="N5" s="9"/>
      <c r="O5" s="9"/>
      <c r="P5" s="9"/>
      <c r="Q5" s="9"/>
      <c r="R5" s="9"/>
      <c r="S5" s="9"/>
      <c r="T5" s="9"/>
      <c r="U5" s="9"/>
      <c r="V5" s="9"/>
      <c r="W5" s="11"/>
    </row>
    <row r="6" spans="1:33" ht="15.75" thickBot="1" x14ac:dyDescent="0.3">
      <c r="B6" s="13"/>
      <c r="C6" s="14"/>
      <c r="D6" s="15"/>
      <c r="E6" s="15"/>
      <c r="F6" s="16"/>
      <c r="G6" s="17"/>
      <c r="H6" s="18"/>
      <c r="I6" s="17"/>
      <c r="J6" s="19"/>
      <c r="K6" s="18"/>
      <c r="L6" s="18"/>
      <c r="M6" s="18"/>
      <c r="N6" s="18"/>
      <c r="O6" s="18"/>
      <c r="P6" s="18"/>
      <c r="Q6" s="18"/>
      <c r="R6" s="18"/>
      <c r="S6" s="18"/>
      <c r="T6" s="18"/>
      <c r="U6" s="18"/>
      <c r="V6" s="18"/>
      <c r="W6" s="20"/>
    </row>
    <row r="7" spans="1:33"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80"/>
      <c r="AD7" s="282"/>
      <c r="AE7" s="317"/>
      <c r="AF7" s="317"/>
      <c r="AG7" s="283"/>
    </row>
    <row r="8" spans="1:33"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6">
        <v>44077</v>
      </c>
      <c r="X8" s="246">
        <v>44084</v>
      </c>
      <c r="Y8" s="246">
        <v>44091</v>
      </c>
      <c r="Z8" s="246">
        <v>44098</v>
      </c>
      <c r="AA8" s="246">
        <v>44105</v>
      </c>
      <c r="AB8" s="250">
        <v>44112</v>
      </c>
      <c r="AC8" s="281">
        <v>44119</v>
      </c>
      <c r="AD8" s="286">
        <v>44126</v>
      </c>
      <c r="AE8" s="318">
        <v>44133</v>
      </c>
      <c r="AF8" s="318">
        <v>44140</v>
      </c>
      <c r="AG8" s="287">
        <v>44147</v>
      </c>
    </row>
    <row r="9" spans="1:33"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51"/>
      <c r="AC9" s="274"/>
      <c r="AD9" s="284"/>
      <c r="AE9" s="319"/>
      <c r="AF9" s="319"/>
      <c r="AG9" s="285"/>
    </row>
    <row r="10" spans="1:33"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289"/>
    </row>
    <row r="11" spans="1:33"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290"/>
    </row>
    <row r="12" spans="1:33"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290"/>
    </row>
    <row r="13" spans="1:33"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290"/>
    </row>
    <row r="14" spans="1:33" x14ac:dyDescent="0.25">
      <c r="A14" s="4"/>
      <c r="B14" s="35" t="s">
        <v>40</v>
      </c>
      <c r="C14" s="131">
        <f t="shared" ref="C14:I14" si="0">SUM(C21+C28+C35-0)</f>
        <v>7</v>
      </c>
      <c r="D14" s="69">
        <f t="shared" si="0"/>
        <v>4</v>
      </c>
      <c r="E14" s="69">
        <f t="shared" si="0"/>
        <v>4</v>
      </c>
      <c r="F14" s="69">
        <f t="shared" si="0"/>
        <v>7</v>
      </c>
      <c r="G14" s="69">
        <f t="shared" si="0"/>
        <v>8</v>
      </c>
      <c r="H14" s="69">
        <f t="shared" si="0"/>
        <v>8</v>
      </c>
      <c r="I14" s="69">
        <f t="shared" si="0"/>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1">SUM(S21+S28+S35-1)</f>
        <v>7</v>
      </c>
      <c r="T14" s="68">
        <f t="shared" si="1"/>
        <v>8</v>
      </c>
      <c r="U14" s="68">
        <f t="shared" si="1"/>
        <v>7</v>
      </c>
      <c r="V14" s="68">
        <f t="shared" si="1"/>
        <v>7</v>
      </c>
      <c r="W14" s="68">
        <f t="shared" si="1"/>
        <v>3</v>
      </c>
      <c r="X14" s="68">
        <f t="shared" si="1"/>
        <v>5</v>
      </c>
      <c r="Y14" s="68">
        <f t="shared" ref="Y14:AD14" si="2">SUM(Y21+Y28+Y35-1)</f>
        <v>4</v>
      </c>
      <c r="Z14" s="68">
        <f t="shared" si="2"/>
        <v>5</v>
      </c>
      <c r="AA14" s="68">
        <f t="shared" si="2"/>
        <v>5</v>
      </c>
      <c r="AB14" s="131">
        <f t="shared" si="2"/>
        <v>7</v>
      </c>
      <c r="AC14" s="131">
        <f t="shared" si="2"/>
        <v>9</v>
      </c>
      <c r="AD14" s="131">
        <f t="shared" si="2"/>
        <v>5</v>
      </c>
      <c r="AE14" s="131">
        <f>SUM(AE21+AE28+AE35-1)</f>
        <v>2</v>
      </c>
      <c r="AF14" s="131">
        <f>SUM(AF21+AF28+AF35-0)</f>
        <v>5</v>
      </c>
      <c r="AG14" s="290"/>
    </row>
    <row r="15" spans="1:33" x14ac:dyDescent="0.25">
      <c r="B15" s="35" t="s">
        <v>41</v>
      </c>
      <c r="C15" s="131">
        <f>SUM(C10:C14)</f>
        <v>28570</v>
      </c>
      <c r="D15" s="71">
        <f>SUM(D10:D14)</f>
        <v>27951</v>
      </c>
      <c r="E15" s="71">
        <f t="shared" ref="E15:AF15" si="3">SUM(E10:E14)</f>
        <v>28846</v>
      </c>
      <c r="F15" s="71">
        <f t="shared" si="3"/>
        <v>27716</v>
      </c>
      <c r="G15" s="71">
        <f t="shared" si="3"/>
        <v>27687</v>
      </c>
      <c r="H15" s="71">
        <f t="shared" si="3"/>
        <v>28181</v>
      </c>
      <c r="I15" s="71">
        <f t="shared" si="3"/>
        <v>29336</v>
      </c>
      <c r="J15" s="71">
        <f t="shared" si="3"/>
        <v>28235</v>
      </c>
      <c r="K15" s="71">
        <f t="shared" si="3"/>
        <v>27349</v>
      </c>
      <c r="L15" s="162">
        <f t="shared" si="3"/>
        <v>28431</v>
      </c>
      <c r="M15" s="71">
        <f t="shared" si="3"/>
        <v>28290</v>
      </c>
      <c r="N15" s="69">
        <f t="shared" si="3"/>
        <v>28948</v>
      </c>
      <c r="O15" s="71">
        <f t="shared" si="3"/>
        <v>28287</v>
      </c>
      <c r="P15" s="71">
        <f t="shared" si="3"/>
        <v>29122</v>
      </c>
      <c r="Q15" s="71">
        <f t="shared" si="3"/>
        <v>30033</v>
      </c>
      <c r="R15" s="71">
        <f t="shared" si="3"/>
        <v>30270</v>
      </c>
      <c r="S15" s="71">
        <f>SUM(S10:S14)</f>
        <v>28784</v>
      </c>
      <c r="T15" s="71">
        <f t="shared" si="3"/>
        <v>29243</v>
      </c>
      <c r="U15" s="171">
        <f t="shared" si="3"/>
        <v>29325</v>
      </c>
      <c r="V15" s="171">
        <f t="shared" si="3"/>
        <v>29407</v>
      </c>
      <c r="W15" s="171">
        <f t="shared" si="3"/>
        <v>27784</v>
      </c>
      <c r="X15" s="171">
        <f t="shared" si="3"/>
        <v>31381</v>
      </c>
      <c r="Y15" s="171">
        <f t="shared" si="3"/>
        <v>29918</v>
      </c>
      <c r="Z15" s="171">
        <f t="shared" si="3"/>
        <v>30748</v>
      </c>
      <c r="AA15" s="171">
        <f t="shared" si="3"/>
        <v>30729</v>
      </c>
      <c r="AB15" s="242">
        <f t="shared" si="3"/>
        <v>30004</v>
      </c>
      <c r="AC15" s="242">
        <f t="shared" si="3"/>
        <v>30461</v>
      </c>
      <c r="AD15" s="242">
        <f t="shared" si="3"/>
        <v>30593</v>
      </c>
      <c r="AE15" s="242">
        <f t="shared" si="3"/>
        <v>30248</v>
      </c>
      <c r="AF15" s="242">
        <f t="shared" si="3"/>
        <v>29103</v>
      </c>
      <c r="AG15" s="290"/>
    </row>
    <row r="16" spans="1:33"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2"/>
      <c r="AC16" s="292"/>
      <c r="AD16" s="299"/>
      <c r="AE16" s="212"/>
      <c r="AF16" s="212"/>
      <c r="AG16" s="290"/>
    </row>
    <row r="17" spans="1:33"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93">
        <v>10994</v>
      </c>
      <c r="AD17" s="313">
        <v>11719</v>
      </c>
      <c r="AE17" s="212">
        <v>10981</v>
      </c>
      <c r="AF17" s="212">
        <v>10547</v>
      </c>
      <c r="AG17" s="290"/>
    </row>
    <row r="18" spans="1:33"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93">
        <v>4260</v>
      </c>
      <c r="AD18" s="313">
        <v>4528</v>
      </c>
      <c r="AE18" s="212">
        <v>4339</v>
      </c>
      <c r="AF18" s="212">
        <v>4520</v>
      </c>
      <c r="AG18" s="290"/>
    </row>
    <row r="19" spans="1:33"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93">
        <v>564</v>
      </c>
      <c r="AD19" s="313">
        <v>584</v>
      </c>
      <c r="AE19" s="212">
        <v>601</v>
      </c>
      <c r="AF19" s="212">
        <v>503</v>
      </c>
      <c r="AG19" s="290"/>
    </row>
    <row r="20" spans="1:33"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93">
        <v>69</v>
      </c>
      <c r="AD20" s="313">
        <v>75</v>
      </c>
      <c r="AE20" s="212">
        <v>60</v>
      </c>
      <c r="AF20" s="212">
        <v>61</v>
      </c>
      <c r="AG20" s="290"/>
    </row>
    <row r="21" spans="1:33"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93">
        <v>7</v>
      </c>
      <c r="AD21" s="313">
        <v>4</v>
      </c>
      <c r="AE21" s="212">
        <v>1</v>
      </c>
      <c r="AF21" s="212">
        <v>3</v>
      </c>
      <c r="AG21" s="290"/>
    </row>
    <row r="22" spans="1:33" x14ac:dyDescent="0.25">
      <c r="B22" s="35" t="s">
        <v>41</v>
      </c>
      <c r="C22" s="131">
        <f>SUM(C17:C21)</f>
        <v>16349</v>
      </c>
      <c r="D22" s="71">
        <f>SUM(D17:D21)</f>
        <v>15388</v>
      </c>
      <c r="E22" s="71">
        <f t="shared" ref="E22:V22" si="4">SUM(E17:E21)</f>
        <v>17061</v>
      </c>
      <c r="F22" s="71">
        <f t="shared" si="4"/>
        <v>15726</v>
      </c>
      <c r="G22" s="71">
        <f t="shared" si="4"/>
        <v>16019</v>
      </c>
      <c r="H22" s="71">
        <f t="shared" si="4"/>
        <v>15272</v>
      </c>
      <c r="I22" s="71">
        <f t="shared" si="4"/>
        <v>16337</v>
      </c>
      <c r="J22" s="71">
        <f t="shared" si="4"/>
        <v>15860</v>
      </c>
      <c r="K22" s="71">
        <f t="shared" si="4"/>
        <v>13249</v>
      </c>
      <c r="L22" s="162">
        <f t="shared" si="4"/>
        <v>15159</v>
      </c>
      <c r="M22" s="71">
        <f t="shared" si="4"/>
        <v>14737</v>
      </c>
      <c r="N22" s="71">
        <f t="shared" si="4"/>
        <v>17332</v>
      </c>
      <c r="O22" s="71">
        <f t="shared" si="4"/>
        <v>16745</v>
      </c>
      <c r="P22" s="71">
        <f t="shared" si="4"/>
        <v>16018</v>
      </c>
      <c r="Q22" s="71">
        <f t="shared" si="4"/>
        <v>17125</v>
      </c>
      <c r="R22" s="71">
        <f t="shared" si="4"/>
        <v>16922</v>
      </c>
      <c r="S22" s="71">
        <f t="shared" si="4"/>
        <v>15016</v>
      </c>
      <c r="T22" s="71">
        <f t="shared" si="4"/>
        <v>15605</v>
      </c>
      <c r="U22" s="172">
        <f t="shared" si="4"/>
        <v>15499</v>
      </c>
      <c r="V22" s="172">
        <f t="shared" si="4"/>
        <v>14352</v>
      </c>
      <c r="W22" s="172">
        <f>SUM(W17:W21)</f>
        <v>13281</v>
      </c>
      <c r="X22" s="172">
        <f t="shared" ref="X22:AF22" si="5">SUM(X17:X21)</f>
        <v>17876</v>
      </c>
      <c r="Y22" s="172">
        <f t="shared" si="5"/>
        <v>15209</v>
      </c>
      <c r="Z22" s="172">
        <f t="shared" si="5"/>
        <v>16531</v>
      </c>
      <c r="AA22" s="172">
        <f t="shared" si="5"/>
        <v>17156</v>
      </c>
      <c r="AB22" s="253">
        <f t="shared" si="5"/>
        <v>16149</v>
      </c>
      <c r="AC22" s="253">
        <f t="shared" si="5"/>
        <v>15894</v>
      </c>
      <c r="AD22" s="253">
        <f t="shared" si="5"/>
        <v>16910</v>
      </c>
      <c r="AE22" s="253">
        <f t="shared" si="5"/>
        <v>15982</v>
      </c>
      <c r="AF22" s="253">
        <f t="shared" si="5"/>
        <v>15634</v>
      </c>
      <c r="AG22" s="290"/>
    </row>
    <row r="23" spans="1:33"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93"/>
      <c r="AD23" s="299"/>
      <c r="AE23" s="212"/>
      <c r="AF23" s="212"/>
      <c r="AG23" s="290"/>
    </row>
    <row r="24" spans="1:33"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93">
        <v>8371</v>
      </c>
      <c r="AD24" s="313">
        <v>7703</v>
      </c>
      <c r="AE24" s="212">
        <v>8698</v>
      </c>
      <c r="AF24" s="212">
        <v>8262</v>
      </c>
      <c r="AG24" s="290"/>
    </row>
    <row r="25" spans="1:33"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93">
        <v>3732</v>
      </c>
      <c r="AD25" s="313">
        <v>3306</v>
      </c>
      <c r="AE25" s="212">
        <v>3933</v>
      </c>
      <c r="AF25" s="212">
        <v>3857</v>
      </c>
      <c r="AG25" s="290"/>
    </row>
    <row r="26" spans="1:33"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93">
        <v>324</v>
      </c>
      <c r="AD26" s="313">
        <v>258</v>
      </c>
      <c r="AE26" s="212">
        <v>273</v>
      </c>
      <c r="AF26" s="212">
        <v>304</v>
      </c>
      <c r="AG26" s="290"/>
    </row>
    <row r="27" spans="1:33"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93">
        <v>33</v>
      </c>
      <c r="AD27" s="313">
        <v>28</v>
      </c>
      <c r="AE27" s="212">
        <v>33</v>
      </c>
      <c r="AF27" s="212">
        <v>32</v>
      </c>
      <c r="AG27" s="290"/>
    </row>
    <row r="28" spans="1:33"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93">
        <v>2</v>
      </c>
      <c r="AD28" s="313">
        <v>1</v>
      </c>
      <c r="AE28" s="212">
        <v>1</v>
      </c>
      <c r="AF28" s="212">
        <v>1</v>
      </c>
      <c r="AG28" s="290"/>
    </row>
    <row r="29" spans="1:33" x14ac:dyDescent="0.25">
      <c r="A29" s="4"/>
      <c r="B29" s="35" t="s">
        <v>41</v>
      </c>
      <c r="C29" s="131">
        <f>SUM(C24:C28)</f>
        <v>11180</v>
      </c>
      <c r="D29" s="71">
        <f>SUM(D24:D28)</f>
        <v>10990</v>
      </c>
      <c r="E29" s="71">
        <f t="shared" ref="E29:AF29" si="6">SUM(E24:E28)</f>
        <v>11191</v>
      </c>
      <c r="F29" s="71">
        <f t="shared" si="6"/>
        <v>11162</v>
      </c>
      <c r="G29" s="71">
        <f t="shared" si="6"/>
        <v>10324</v>
      </c>
      <c r="H29" s="71">
        <f t="shared" si="6"/>
        <v>11654</v>
      </c>
      <c r="I29" s="71">
        <f t="shared" si="6"/>
        <v>11420</v>
      </c>
      <c r="J29" s="71">
        <f t="shared" si="6"/>
        <v>11183</v>
      </c>
      <c r="K29" s="71">
        <f t="shared" si="6"/>
        <v>11577</v>
      </c>
      <c r="L29" s="162">
        <f t="shared" si="6"/>
        <v>11341</v>
      </c>
      <c r="M29" s="71">
        <f t="shared" si="6"/>
        <v>11463</v>
      </c>
      <c r="N29" s="71">
        <f t="shared" si="6"/>
        <v>10747</v>
      </c>
      <c r="O29" s="71">
        <f t="shared" si="6"/>
        <v>9699</v>
      </c>
      <c r="P29" s="71">
        <f t="shared" si="6"/>
        <v>11301</v>
      </c>
      <c r="Q29" s="71">
        <f t="shared" si="6"/>
        <v>11907</v>
      </c>
      <c r="R29" s="71">
        <f t="shared" si="6"/>
        <v>12816</v>
      </c>
      <c r="S29" s="71">
        <f t="shared" si="6"/>
        <v>12429</v>
      </c>
      <c r="T29" s="71">
        <f t="shared" si="6"/>
        <v>12473</v>
      </c>
      <c r="U29" s="172">
        <f t="shared" si="6"/>
        <v>12441</v>
      </c>
      <c r="V29" s="172">
        <f t="shared" si="6"/>
        <v>12695</v>
      </c>
      <c r="W29" s="172">
        <f t="shared" si="6"/>
        <v>12196</v>
      </c>
      <c r="X29" s="172">
        <f t="shared" si="6"/>
        <v>12793</v>
      </c>
      <c r="Y29" s="172">
        <f t="shared" si="6"/>
        <v>12060</v>
      </c>
      <c r="Z29" s="172">
        <f t="shared" si="6"/>
        <v>11442</v>
      </c>
      <c r="AA29" s="172">
        <f t="shared" si="6"/>
        <v>12985</v>
      </c>
      <c r="AB29" s="253">
        <f t="shared" si="6"/>
        <v>12162</v>
      </c>
      <c r="AC29" s="253">
        <f t="shared" si="6"/>
        <v>12462</v>
      </c>
      <c r="AD29" s="253">
        <f t="shared" si="6"/>
        <v>11296</v>
      </c>
      <c r="AE29" s="253">
        <f t="shared" si="6"/>
        <v>12938</v>
      </c>
      <c r="AF29" s="253">
        <f t="shared" si="6"/>
        <v>12456</v>
      </c>
      <c r="AG29" s="290"/>
    </row>
    <row r="30" spans="1:33"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93"/>
      <c r="AD30" s="299"/>
      <c r="AE30" s="212"/>
      <c r="AF30" s="212"/>
      <c r="AG30" s="290"/>
    </row>
    <row r="31" spans="1:33"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93">
        <v>7734</v>
      </c>
      <c r="AD31" s="313">
        <v>7838</v>
      </c>
      <c r="AE31" s="212">
        <v>7478</v>
      </c>
      <c r="AF31" s="212">
        <v>7173</v>
      </c>
      <c r="AG31" s="290"/>
    </row>
    <row r="32" spans="1:33"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93">
        <v>3183</v>
      </c>
      <c r="AD32" s="313">
        <v>3241</v>
      </c>
      <c r="AE32" s="212">
        <v>3354</v>
      </c>
      <c r="AF32" s="212">
        <v>3304</v>
      </c>
      <c r="AG32" s="290"/>
    </row>
    <row r="33" spans="1:33"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93">
        <v>242</v>
      </c>
      <c r="AD33" s="313">
        <v>253</v>
      </c>
      <c r="AE33" s="212">
        <v>217</v>
      </c>
      <c r="AF33" s="212">
        <v>212</v>
      </c>
      <c r="AG33" s="290"/>
    </row>
    <row r="34" spans="1:33"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93">
        <v>29</v>
      </c>
      <c r="AD34" s="313">
        <v>29</v>
      </c>
      <c r="AE34" s="212">
        <v>28</v>
      </c>
      <c r="AF34" s="212">
        <v>26</v>
      </c>
      <c r="AG34" s="290"/>
    </row>
    <row r="35" spans="1:33"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93">
        <v>1</v>
      </c>
      <c r="AD35" s="313">
        <v>1</v>
      </c>
      <c r="AE35" s="212">
        <v>1</v>
      </c>
      <c r="AF35" s="212">
        <v>1</v>
      </c>
      <c r="AG35" s="290"/>
    </row>
    <row r="36" spans="1:33" ht="15.75" thickBot="1" x14ac:dyDescent="0.3">
      <c r="A36" s="4"/>
      <c r="B36" s="37" t="s">
        <v>41</v>
      </c>
      <c r="C36" s="122">
        <f>SUM(C31:C35)</f>
        <v>6990</v>
      </c>
      <c r="D36" s="60">
        <f>SUM(D31:D35)</f>
        <v>7375</v>
      </c>
      <c r="E36" s="60">
        <f t="shared" ref="E36:V36" si="7">SUM(E31:E35)</f>
        <v>7578</v>
      </c>
      <c r="F36" s="60">
        <f t="shared" si="7"/>
        <v>7547</v>
      </c>
      <c r="G36" s="60">
        <f t="shared" si="7"/>
        <v>8001</v>
      </c>
      <c r="H36" s="60">
        <f t="shared" si="7"/>
        <v>8286</v>
      </c>
      <c r="I36" s="60">
        <f t="shared" si="7"/>
        <v>8730</v>
      </c>
      <c r="J36" s="60">
        <f t="shared" si="7"/>
        <v>8594</v>
      </c>
      <c r="K36" s="60">
        <f t="shared" si="7"/>
        <v>8781</v>
      </c>
      <c r="L36" s="163">
        <f t="shared" si="7"/>
        <v>8874</v>
      </c>
      <c r="M36" s="60">
        <f t="shared" si="7"/>
        <v>8839</v>
      </c>
      <c r="N36" s="60">
        <f t="shared" si="7"/>
        <v>8574</v>
      </c>
      <c r="O36" s="60">
        <f t="shared" si="7"/>
        <v>8678</v>
      </c>
      <c r="P36" s="60">
        <f t="shared" si="7"/>
        <v>8848</v>
      </c>
      <c r="Q36" s="60">
        <f t="shared" si="7"/>
        <v>8800</v>
      </c>
      <c r="R36" s="60">
        <f t="shared" si="7"/>
        <v>8746</v>
      </c>
      <c r="S36" s="60">
        <f t="shared" si="7"/>
        <v>8832</v>
      </c>
      <c r="T36" s="60">
        <f t="shared" si="7"/>
        <v>9212</v>
      </c>
      <c r="U36" s="173">
        <f t="shared" si="7"/>
        <v>9905</v>
      </c>
      <c r="V36" s="173">
        <f t="shared" si="7"/>
        <v>10688</v>
      </c>
      <c r="W36" s="173">
        <f>SUM(W31:W35)</f>
        <v>10405</v>
      </c>
      <c r="X36" s="173">
        <f t="shared" ref="X36:AF36" si="8">SUM(X31:X35)</f>
        <v>10863</v>
      </c>
      <c r="Y36" s="173">
        <f t="shared" si="8"/>
        <v>10967</v>
      </c>
      <c r="Z36" s="173">
        <f t="shared" si="8"/>
        <v>11236</v>
      </c>
      <c r="AA36" s="173">
        <f t="shared" si="8"/>
        <v>10926</v>
      </c>
      <c r="AB36" s="254">
        <f t="shared" si="8"/>
        <v>11025</v>
      </c>
      <c r="AC36" s="254">
        <f t="shared" si="8"/>
        <v>11189</v>
      </c>
      <c r="AD36" s="254">
        <f t="shared" si="8"/>
        <v>11362</v>
      </c>
      <c r="AE36" s="254">
        <f t="shared" si="8"/>
        <v>11078</v>
      </c>
      <c r="AF36" s="254">
        <f t="shared" si="8"/>
        <v>10716</v>
      </c>
      <c r="AG36" s="300"/>
    </row>
    <row r="37" spans="1:33"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5"/>
      <c r="AC37" s="294"/>
      <c r="AD37" s="298"/>
      <c r="AE37" s="66"/>
      <c r="AF37" s="66"/>
      <c r="AG37" s="289"/>
    </row>
    <row r="38" spans="1:33"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6">
        <v>308846.19</v>
      </c>
      <c r="AC38" s="295">
        <v>303926.67</v>
      </c>
      <c r="AD38" s="308">
        <v>316131.59999999998</v>
      </c>
      <c r="AE38" s="320">
        <v>284252</v>
      </c>
      <c r="AF38" s="341">
        <v>280118.36</v>
      </c>
      <c r="AG38" s="290"/>
    </row>
    <row r="39" spans="1:33"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6">
        <v>305824.45</v>
      </c>
      <c r="AC39" s="295">
        <v>331280.37</v>
      </c>
      <c r="AD39" s="308">
        <v>362757.29</v>
      </c>
      <c r="AE39" s="320">
        <v>316184.84000000003</v>
      </c>
      <c r="AF39" s="341">
        <v>352620.95</v>
      </c>
      <c r="AG39" s="290"/>
    </row>
    <row r="40" spans="1:33"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6">
        <v>19009.259999999998</v>
      </c>
      <c r="AC40" s="295">
        <v>19385.990000000002</v>
      </c>
      <c r="AD40" s="308">
        <v>20194.52</v>
      </c>
      <c r="AE40" s="320">
        <v>22213.63</v>
      </c>
      <c r="AF40" s="341">
        <v>19590.62</v>
      </c>
      <c r="AG40" s="290"/>
    </row>
    <row r="41" spans="1:33"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6">
        <v>28760.400000000001</v>
      </c>
      <c r="AC41" s="295">
        <v>106831.15</v>
      </c>
      <c r="AD41" s="308">
        <v>76882.83</v>
      </c>
      <c r="AE41" s="320">
        <v>72228.789999999994</v>
      </c>
      <c r="AF41" s="341">
        <v>72580.06</v>
      </c>
      <c r="AG41" s="290"/>
    </row>
    <row r="42" spans="1:33"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6">
        <v>44083.75</v>
      </c>
      <c r="AC42" s="295">
        <v>48845.82</v>
      </c>
      <c r="AD42" s="308">
        <v>19390.7</v>
      </c>
      <c r="AE42" s="320">
        <v>606.82000000000005</v>
      </c>
      <c r="AF42" s="341">
        <v>41118.120000000003</v>
      </c>
      <c r="AG42" s="290"/>
    </row>
    <row r="43" spans="1:33" x14ac:dyDescent="0.25">
      <c r="A43" s="4"/>
      <c r="B43" s="35" t="s">
        <v>41</v>
      </c>
      <c r="C43" s="108">
        <f>SUM(C38:C42)</f>
        <v>2586010.04</v>
      </c>
      <c r="D43" s="79">
        <f>SUM(D38:D42)</f>
        <v>2448089.62</v>
      </c>
      <c r="E43" s="79">
        <f t="shared" ref="E43:AF43" si="9">SUM(E38:E42)</f>
        <v>2470469.0100000002</v>
      </c>
      <c r="F43" s="79">
        <f t="shared" si="9"/>
        <v>2242417.4899999998</v>
      </c>
      <c r="G43" s="79">
        <f t="shared" si="9"/>
        <v>2163061.3199999998</v>
      </c>
      <c r="H43" s="79">
        <f>SUM(H38:H42)</f>
        <v>1938750.42</v>
      </c>
      <c r="I43" s="79">
        <f t="shared" si="9"/>
        <v>2116810.9</v>
      </c>
      <c r="J43" s="79">
        <f t="shared" si="9"/>
        <v>2045737.49</v>
      </c>
      <c r="K43" s="79">
        <f t="shared" si="9"/>
        <v>1714717.23</v>
      </c>
      <c r="L43" s="110">
        <f t="shared" si="9"/>
        <v>1720436.0800000003</v>
      </c>
      <c r="M43" s="79">
        <f t="shared" si="9"/>
        <v>1446523.02</v>
      </c>
      <c r="N43" s="79">
        <f t="shared" si="9"/>
        <v>1383423.34</v>
      </c>
      <c r="O43" s="79">
        <f t="shared" si="9"/>
        <v>1190864.7499999998</v>
      </c>
      <c r="P43" s="79">
        <f t="shared" si="9"/>
        <v>904282</v>
      </c>
      <c r="Q43" s="79">
        <f t="shared" si="9"/>
        <v>803294.1100000001</v>
      </c>
      <c r="R43" s="79">
        <f t="shared" si="9"/>
        <v>662743.52</v>
      </c>
      <c r="S43" s="79">
        <f t="shared" si="9"/>
        <v>566437.17000000004</v>
      </c>
      <c r="T43" s="79">
        <f t="shared" si="9"/>
        <v>610861.44999999995</v>
      </c>
      <c r="U43" s="175">
        <f t="shared" si="9"/>
        <v>572795.44000000006</v>
      </c>
      <c r="V43" s="175">
        <f t="shared" si="9"/>
        <v>682432.27999999991</v>
      </c>
      <c r="W43" s="175">
        <f t="shared" si="9"/>
        <v>612375.41</v>
      </c>
      <c r="X43" s="175">
        <f t="shared" si="9"/>
        <v>845815.99</v>
      </c>
      <c r="Y43" s="175">
        <f t="shared" si="9"/>
        <v>726524.77</v>
      </c>
      <c r="Z43" s="175">
        <f t="shared" si="9"/>
        <v>649948.76000000013</v>
      </c>
      <c r="AA43" s="175">
        <f t="shared" si="9"/>
        <v>708504.4</v>
      </c>
      <c r="AB43" s="109">
        <f t="shared" si="9"/>
        <v>706524.05</v>
      </c>
      <c r="AC43" s="275">
        <f t="shared" si="9"/>
        <v>810270</v>
      </c>
      <c r="AD43" s="275">
        <f t="shared" si="9"/>
        <v>795356.93999999983</v>
      </c>
      <c r="AE43" s="275">
        <f t="shared" si="9"/>
        <v>695486.08000000007</v>
      </c>
      <c r="AF43" s="275">
        <f t="shared" si="9"/>
        <v>766028.11</v>
      </c>
      <c r="AG43" s="290"/>
    </row>
    <row r="44" spans="1:33"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6"/>
      <c r="AC44" s="295"/>
      <c r="AD44" s="299"/>
      <c r="AE44" s="320"/>
      <c r="AF44" s="341"/>
      <c r="AG44" s="290"/>
    </row>
    <row r="45" spans="1:33"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6">
        <v>221645.47</v>
      </c>
      <c r="AC45" s="295">
        <v>231315.31</v>
      </c>
      <c r="AD45" s="314">
        <v>215530.16</v>
      </c>
      <c r="AE45" s="320">
        <v>249027.69</v>
      </c>
      <c r="AF45" s="341">
        <v>233253.94</v>
      </c>
      <c r="AG45" s="290"/>
    </row>
    <row r="46" spans="1:33"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6">
        <v>176255.41</v>
      </c>
      <c r="AC46" s="295">
        <v>186360.85</v>
      </c>
      <c r="AD46" s="314">
        <v>205484.81</v>
      </c>
      <c r="AE46" s="320">
        <v>285886.23</v>
      </c>
      <c r="AF46" s="341">
        <v>265028.96999999997</v>
      </c>
      <c r="AG46" s="290"/>
    </row>
    <row r="47" spans="1:33"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6">
        <v>8722.1</v>
      </c>
      <c r="AC47" s="295">
        <v>11116.47</v>
      </c>
      <c r="AD47" s="314">
        <v>8717.2199999999993</v>
      </c>
      <c r="AE47" s="320">
        <v>8208.06</v>
      </c>
      <c r="AF47" s="341">
        <v>10150.51</v>
      </c>
      <c r="AG47" s="290"/>
    </row>
    <row r="48" spans="1:33"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6">
        <v>10835.55</v>
      </c>
      <c r="AC48" s="295">
        <v>10893.72</v>
      </c>
      <c r="AD48" s="314">
        <v>15672.21</v>
      </c>
      <c r="AE48" s="320">
        <v>14465.34</v>
      </c>
      <c r="AF48" s="341">
        <v>13501.46</v>
      </c>
      <c r="AG48" s="290"/>
    </row>
    <row r="49" spans="1:33"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6">
        <v>918.5</v>
      </c>
      <c r="AC49" s="295">
        <v>1837</v>
      </c>
      <c r="AD49" s="314">
        <v>1316.52</v>
      </c>
      <c r="AE49" s="320">
        <v>1316.52</v>
      </c>
      <c r="AF49" s="341">
        <v>1004.84</v>
      </c>
      <c r="AG49" s="290"/>
    </row>
    <row r="50" spans="1:33" x14ac:dyDescent="0.25">
      <c r="A50" s="4"/>
      <c r="B50" s="35" t="s">
        <v>41</v>
      </c>
      <c r="C50" s="108">
        <f>SUM(C45:C49)</f>
        <v>1784025.75</v>
      </c>
      <c r="D50" s="79">
        <f>SUM(D45:D49)</f>
        <v>1652125.3800000001</v>
      </c>
      <c r="E50" s="79">
        <f t="shared" ref="E50:AF50" si="10">SUM(E45:E49)</f>
        <v>1502977.7</v>
      </c>
      <c r="F50" s="79">
        <f t="shared" si="10"/>
        <v>1579373.6800000002</v>
      </c>
      <c r="G50" s="79">
        <f t="shared" si="10"/>
        <v>1474379.4600000002</v>
      </c>
      <c r="H50" s="79">
        <f>SUM(H45:H49)</f>
        <v>1638306.2</v>
      </c>
      <c r="I50" s="79">
        <f>SUM(I45:I49)</f>
        <v>1572700.55</v>
      </c>
      <c r="J50" s="79">
        <f t="shared" si="10"/>
        <v>1490134.5099999998</v>
      </c>
      <c r="K50" s="79">
        <f t="shared" si="10"/>
        <v>1444513.4100000001</v>
      </c>
      <c r="L50" s="110">
        <f t="shared" si="10"/>
        <v>1356099.0799999998</v>
      </c>
      <c r="M50" s="79">
        <f t="shared" si="10"/>
        <v>1293320.3400000001</v>
      </c>
      <c r="N50" s="79">
        <f t="shared" si="10"/>
        <v>1287667.1999999997</v>
      </c>
      <c r="O50" s="79">
        <f t="shared" si="10"/>
        <v>1139991.1199999999</v>
      </c>
      <c r="P50" s="79">
        <f t="shared" si="10"/>
        <v>1183894.4999999998</v>
      </c>
      <c r="Q50" s="79">
        <f t="shared" si="10"/>
        <v>1124328.25</v>
      </c>
      <c r="R50" s="79">
        <f t="shared" si="10"/>
        <v>964954.19000000006</v>
      </c>
      <c r="S50" s="79">
        <f t="shared" si="10"/>
        <v>853738.09000000008</v>
      </c>
      <c r="T50" s="79">
        <f t="shared" si="10"/>
        <v>781506.21999999986</v>
      </c>
      <c r="U50" s="175">
        <f t="shared" si="10"/>
        <v>588010.24000000011</v>
      </c>
      <c r="V50" s="175">
        <f t="shared" si="10"/>
        <v>509126.63</v>
      </c>
      <c r="W50" s="175">
        <f t="shared" si="10"/>
        <v>453812.94</v>
      </c>
      <c r="X50" s="175">
        <f t="shared" si="10"/>
        <v>417968.99</v>
      </c>
      <c r="Y50" s="175">
        <f t="shared" si="10"/>
        <v>402894.30999999994</v>
      </c>
      <c r="Z50" s="175">
        <f t="shared" si="10"/>
        <v>363279.76</v>
      </c>
      <c r="AA50" s="175">
        <f t="shared" si="10"/>
        <v>426188.24000000005</v>
      </c>
      <c r="AB50" s="109">
        <f t="shared" si="10"/>
        <v>418377.02999999997</v>
      </c>
      <c r="AC50" s="275">
        <f t="shared" si="10"/>
        <v>441523.35</v>
      </c>
      <c r="AD50" s="275">
        <f t="shared" si="10"/>
        <v>446720.92</v>
      </c>
      <c r="AE50" s="275">
        <f t="shared" si="10"/>
        <v>558903.84</v>
      </c>
      <c r="AF50" s="275">
        <f t="shared" si="10"/>
        <v>522939.72000000003</v>
      </c>
      <c r="AG50" s="290"/>
    </row>
    <row r="51" spans="1:33"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6"/>
      <c r="AC51" s="295"/>
      <c r="AD51" s="299"/>
      <c r="AE51" s="320"/>
      <c r="AF51" s="340"/>
      <c r="AG51" s="290"/>
    </row>
    <row r="52" spans="1:33"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6">
        <v>2862379.26</v>
      </c>
      <c r="AC52" s="295">
        <v>2861764.99</v>
      </c>
      <c r="AD52" s="314">
        <v>2863550.6</v>
      </c>
      <c r="AE52" s="320">
        <v>2747629.55</v>
      </c>
      <c r="AF52" s="341">
        <v>2626993.41</v>
      </c>
      <c r="AG52" s="290"/>
    </row>
    <row r="53" spans="1:33"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6">
        <v>481017.77</v>
      </c>
      <c r="AC53" s="295">
        <v>507760.36</v>
      </c>
      <c r="AD53" s="314">
        <v>459976.28</v>
      </c>
      <c r="AE53" s="320">
        <v>444927.88</v>
      </c>
      <c r="AF53" s="341">
        <v>431775.17</v>
      </c>
      <c r="AG53" s="290"/>
    </row>
    <row r="54" spans="1:33"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6">
        <v>69299.66</v>
      </c>
      <c r="AC54" s="295">
        <v>69039.8</v>
      </c>
      <c r="AD54" s="314">
        <v>62710.78</v>
      </c>
      <c r="AE54" s="320">
        <v>46276.639999999999</v>
      </c>
      <c r="AF54" s="341">
        <v>42042.48</v>
      </c>
      <c r="AG54" s="290"/>
    </row>
    <row r="55" spans="1:33"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6">
        <v>136246.13</v>
      </c>
      <c r="AC55" s="295">
        <v>137417.04</v>
      </c>
      <c r="AD55" s="314">
        <v>133785.82999999999</v>
      </c>
      <c r="AE55" s="320">
        <v>130883.33</v>
      </c>
      <c r="AF55" s="341">
        <v>126742.71</v>
      </c>
      <c r="AG55" s="290"/>
    </row>
    <row r="56" spans="1:33"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6">
        <v>3224.8</v>
      </c>
      <c r="AC56" s="295">
        <v>3224.8</v>
      </c>
      <c r="AD56" s="314">
        <v>3224.8</v>
      </c>
      <c r="AE56" s="320">
        <v>1252.43</v>
      </c>
      <c r="AF56" s="341">
        <v>2170.9299999999998</v>
      </c>
      <c r="AG56" s="290"/>
    </row>
    <row r="57" spans="1:33" x14ac:dyDescent="0.25">
      <c r="A57" s="4"/>
      <c r="B57" s="35" t="s">
        <v>41</v>
      </c>
      <c r="C57" s="108">
        <f>SUM(C52:C56)</f>
        <v>1996955.9900000002</v>
      </c>
      <c r="D57" s="79">
        <f>SUM(D52:D56)</f>
        <v>2255188.77</v>
      </c>
      <c r="E57" s="79">
        <f t="shared" ref="E57:AF57" si="11">SUM(E52:E56)</f>
        <v>2461382.44</v>
      </c>
      <c r="F57" s="79">
        <f t="shared" si="11"/>
        <v>2466540.7200000007</v>
      </c>
      <c r="G57" s="79">
        <f t="shared" si="11"/>
        <v>2681467.5</v>
      </c>
      <c r="H57" s="79">
        <f t="shared" si="11"/>
        <v>2861329.7600000002</v>
      </c>
      <c r="I57" s="79">
        <f t="shared" si="11"/>
        <v>3168062.0900000003</v>
      </c>
      <c r="J57" s="79">
        <f t="shared" si="11"/>
        <v>3199264.12</v>
      </c>
      <c r="K57" s="79">
        <f t="shared" si="11"/>
        <v>3369560.7</v>
      </c>
      <c r="L57" s="110">
        <f t="shared" si="11"/>
        <v>3415988.12</v>
      </c>
      <c r="M57" s="79">
        <f t="shared" si="11"/>
        <v>3396447.76</v>
      </c>
      <c r="N57" s="79">
        <f t="shared" si="11"/>
        <v>3281244.92</v>
      </c>
      <c r="O57" s="79">
        <f t="shared" si="11"/>
        <v>3294462.43</v>
      </c>
      <c r="P57" s="79">
        <f t="shared" si="11"/>
        <v>3444846.7600000007</v>
      </c>
      <c r="Q57" s="79">
        <f t="shared" si="11"/>
        <v>3468520.64</v>
      </c>
      <c r="R57" s="79">
        <f t="shared" si="11"/>
        <v>3541341.3400000003</v>
      </c>
      <c r="S57" s="79">
        <f t="shared" si="11"/>
        <v>3584904.86</v>
      </c>
      <c r="T57" s="79">
        <f t="shared" si="11"/>
        <v>3550041.3699999996</v>
      </c>
      <c r="U57" s="175">
        <f t="shared" si="11"/>
        <v>3660268.4899999998</v>
      </c>
      <c r="V57" s="175">
        <f t="shared" si="11"/>
        <v>3775138.08</v>
      </c>
      <c r="W57" s="175">
        <f t="shared" si="11"/>
        <v>3661167.3499999996</v>
      </c>
      <c r="X57" s="175">
        <f t="shared" si="11"/>
        <v>3662968.82</v>
      </c>
      <c r="Y57" s="175">
        <f t="shared" si="11"/>
        <v>3671070.41</v>
      </c>
      <c r="Z57" s="175">
        <f t="shared" si="11"/>
        <v>3723459.9899999998</v>
      </c>
      <c r="AA57" s="175">
        <f t="shared" si="11"/>
        <v>3560446.7000000007</v>
      </c>
      <c r="AB57" s="109">
        <f t="shared" si="11"/>
        <v>3552167.6199999996</v>
      </c>
      <c r="AC57" s="275">
        <f t="shared" si="11"/>
        <v>3579206.9899999998</v>
      </c>
      <c r="AD57" s="275">
        <f t="shared" si="11"/>
        <v>3523248.2899999996</v>
      </c>
      <c r="AE57" s="275">
        <f t="shared" si="11"/>
        <v>3370969.83</v>
      </c>
      <c r="AF57" s="275">
        <f t="shared" si="11"/>
        <v>3229724.7</v>
      </c>
      <c r="AG57" s="290"/>
    </row>
    <row r="58" spans="1:33"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6"/>
      <c r="AC58" s="292"/>
      <c r="AD58" s="299"/>
      <c r="AE58" s="320"/>
      <c r="AF58" s="340"/>
      <c r="AG58" s="290"/>
    </row>
    <row r="59" spans="1:33" x14ac:dyDescent="0.25">
      <c r="A59" s="4"/>
      <c r="B59" s="35" t="s">
        <v>36</v>
      </c>
      <c r="C59" s="227">
        <f>SUM(C38+C45+C52)</f>
        <v>3826695.65</v>
      </c>
      <c r="D59" s="77">
        <f>SUM(D38+D45+D52)</f>
        <v>3818671.59</v>
      </c>
      <c r="E59" s="77">
        <f>SUM(E38+E45+E52)</f>
        <v>3838253.42</v>
      </c>
      <c r="F59" s="77">
        <f t="shared" ref="F59:AF59" si="12">SUM(F38+F45+F52)</f>
        <v>3806505.1900000004</v>
      </c>
      <c r="G59" s="77">
        <f t="shared" si="12"/>
        <v>3823123.29</v>
      </c>
      <c r="H59" s="77">
        <f>SUM(H38+H52+H45)</f>
        <v>3934165.3300000005</v>
      </c>
      <c r="I59" s="77">
        <f t="shared" si="12"/>
        <v>4065137.2300000004</v>
      </c>
      <c r="J59" s="77">
        <f t="shared" si="12"/>
        <v>4014844.29</v>
      </c>
      <c r="K59" s="77">
        <f t="shared" si="12"/>
        <v>4014264.08</v>
      </c>
      <c r="L59" s="78">
        <f t="shared" si="12"/>
        <v>4227082.0500000007</v>
      </c>
      <c r="M59" s="79">
        <f t="shared" si="12"/>
        <v>4336213.28</v>
      </c>
      <c r="N59" s="79">
        <f t="shared" si="12"/>
        <v>4439648.2699999996</v>
      </c>
      <c r="O59" s="79">
        <f t="shared" si="12"/>
        <v>4371216.63</v>
      </c>
      <c r="P59" s="79">
        <f t="shared" si="12"/>
        <v>4293148.4000000004</v>
      </c>
      <c r="Q59" s="79">
        <f t="shared" si="12"/>
        <v>3966386.17</v>
      </c>
      <c r="R59" s="79">
        <f t="shared" si="12"/>
        <v>3937995.4000000004</v>
      </c>
      <c r="S59" s="79">
        <f t="shared" si="12"/>
        <v>3794364.2</v>
      </c>
      <c r="T59" s="79">
        <f t="shared" si="12"/>
        <v>3773771.84</v>
      </c>
      <c r="U59" s="189">
        <f t="shared" si="12"/>
        <v>3666658.9299999997</v>
      </c>
      <c r="V59" s="189">
        <f t="shared" si="12"/>
        <v>3626830.38</v>
      </c>
      <c r="W59" s="189">
        <f t="shared" si="12"/>
        <v>3518991.0100000002</v>
      </c>
      <c r="X59" s="189">
        <f t="shared" si="12"/>
        <v>3602157.82</v>
      </c>
      <c r="Y59" s="189">
        <f t="shared" si="12"/>
        <v>3523063.09</v>
      </c>
      <c r="Z59" s="189">
        <f t="shared" si="12"/>
        <v>3529365.59</v>
      </c>
      <c r="AA59" s="189">
        <f t="shared" si="12"/>
        <v>3439204.49</v>
      </c>
      <c r="AB59" s="256">
        <f t="shared" si="12"/>
        <v>3392870.92</v>
      </c>
      <c r="AC59" s="256">
        <f t="shared" si="12"/>
        <v>3397006.97</v>
      </c>
      <c r="AD59" s="256">
        <f t="shared" si="12"/>
        <v>3395212.3600000003</v>
      </c>
      <c r="AE59" s="256">
        <f t="shared" si="12"/>
        <v>3280909.2399999998</v>
      </c>
      <c r="AF59" s="256">
        <f t="shared" si="12"/>
        <v>3140365.71</v>
      </c>
      <c r="AG59" s="290"/>
    </row>
    <row r="60" spans="1:33" x14ac:dyDescent="0.25">
      <c r="A60" s="4"/>
      <c r="B60" s="35" t="s">
        <v>37</v>
      </c>
      <c r="C60" s="227">
        <f>SUM(C39+C46+C53)</f>
        <v>1567567.1099999999</v>
      </c>
      <c r="D60" s="77">
        <f t="shared" ref="D60:V63" si="13">SUM(D39+D46+D53)</f>
        <v>1531506.0899999999</v>
      </c>
      <c r="E60" s="77">
        <f t="shared" si="13"/>
        <v>1728976.12</v>
      </c>
      <c r="F60" s="77">
        <f t="shared" si="13"/>
        <v>1665043.56</v>
      </c>
      <c r="G60" s="77">
        <f>SUM(G39+G46+G53)</f>
        <v>1612211.27</v>
      </c>
      <c r="H60" s="77">
        <f>SUM(H39+H46+H53)</f>
        <v>1674980.97</v>
      </c>
      <c r="I60" s="77">
        <f t="shared" si="13"/>
        <v>1758995.21</v>
      </c>
      <c r="J60" s="77">
        <f t="shared" si="13"/>
        <v>1699470.96</v>
      </c>
      <c r="K60" s="77">
        <f t="shared" si="13"/>
        <v>1552718.62</v>
      </c>
      <c r="L60" s="109">
        <f t="shared" si="13"/>
        <v>1298363.8900000001</v>
      </c>
      <c r="M60" s="108">
        <f t="shared" si="13"/>
        <v>908056.27</v>
      </c>
      <c r="N60" s="77">
        <f t="shared" si="13"/>
        <v>658804.68999999994</v>
      </c>
      <c r="O60" s="77">
        <f t="shared" si="13"/>
        <v>477830.5</v>
      </c>
      <c r="P60" s="77">
        <f t="shared" si="13"/>
        <v>480998.02</v>
      </c>
      <c r="Q60" s="77">
        <f t="shared" si="13"/>
        <v>664595.54</v>
      </c>
      <c r="R60" s="77">
        <f t="shared" si="13"/>
        <v>519658.04000000004</v>
      </c>
      <c r="S60" s="77">
        <f t="shared" si="13"/>
        <v>490162.33999999997</v>
      </c>
      <c r="T60" s="77">
        <f t="shared" si="13"/>
        <v>501263.5</v>
      </c>
      <c r="U60" s="189">
        <f t="shared" si="13"/>
        <v>528958.55000000005</v>
      </c>
      <c r="V60" s="189">
        <f t="shared" si="13"/>
        <v>571086.63</v>
      </c>
      <c r="W60" s="189">
        <f>SUM(W39+W46+W53)</f>
        <v>563848.92000000004</v>
      </c>
      <c r="X60" s="189">
        <f t="shared" ref="X60:AF60" si="14">SUM(X39+X46+X53)</f>
        <v>716235.66</v>
      </c>
      <c r="Y60" s="189">
        <f t="shared" si="14"/>
        <v>715829.48</v>
      </c>
      <c r="Z60" s="189">
        <f t="shared" si="14"/>
        <v>833446.94</v>
      </c>
      <c r="AA60" s="189">
        <f t="shared" si="14"/>
        <v>967984.77</v>
      </c>
      <c r="AB60" s="256">
        <f t="shared" si="14"/>
        <v>963097.63</v>
      </c>
      <c r="AC60" s="256">
        <f t="shared" si="14"/>
        <v>1025401.58</v>
      </c>
      <c r="AD60" s="256">
        <f t="shared" si="14"/>
        <v>1028218.38</v>
      </c>
      <c r="AE60" s="256">
        <f t="shared" si="14"/>
        <v>1046998.9500000001</v>
      </c>
      <c r="AF60" s="256">
        <f t="shared" si="14"/>
        <v>1049425.0899999999</v>
      </c>
      <c r="AG60" s="290"/>
    </row>
    <row r="61" spans="1:33" x14ac:dyDescent="0.25">
      <c r="A61" s="4"/>
      <c r="B61" s="35" t="s">
        <v>38</v>
      </c>
      <c r="C61" s="227">
        <f>SUM(C40+C47+C54)</f>
        <v>514307.27</v>
      </c>
      <c r="D61" s="77">
        <f t="shared" si="13"/>
        <v>548434.99</v>
      </c>
      <c r="E61" s="77">
        <f t="shared" si="13"/>
        <v>377828.13999999996</v>
      </c>
      <c r="F61" s="77">
        <f t="shared" si="13"/>
        <v>323546.2</v>
      </c>
      <c r="G61" s="77">
        <f t="shared" si="13"/>
        <v>354726.75</v>
      </c>
      <c r="H61" s="77">
        <f t="shared" si="13"/>
        <v>347263.7</v>
      </c>
      <c r="I61" s="77">
        <f t="shared" si="13"/>
        <v>402110.45999999996</v>
      </c>
      <c r="J61" s="77">
        <f t="shared" si="13"/>
        <v>351238.12999999995</v>
      </c>
      <c r="K61" s="77">
        <f t="shared" si="13"/>
        <v>319111.98</v>
      </c>
      <c r="L61" s="109">
        <f t="shared" si="13"/>
        <v>312992.84999999998</v>
      </c>
      <c r="M61" s="108">
        <f t="shared" si="13"/>
        <v>283108.44</v>
      </c>
      <c r="N61" s="77">
        <f t="shared" si="13"/>
        <v>261113.08000000002</v>
      </c>
      <c r="O61" s="77">
        <f t="shared" si="13"/>
        <v>258660.07</v>
      </c>
      <c r="P61" s="77">
        <f t="shared" si="13"/>
        <v>246410.04</v>
      </c>
      <c r="Q61" s="77">
        <f t="shared" si="13"/>
        <v>240875.13</v>
      </c>
      <c r="R61" s="77">
        <f t="shared" si="13"/>
        <v>224331.5</v>
      </c>
      <c r="S61" s="77">
        <f t="shared" si="13"/>
        <v>209907.66</v>
      </c>
      <c r="T61" s="77">
        <f t="shared" si="13"/>
        <v>211261.3</v>
      </c>
      <c r="U61" s="189">
        <f t="shared" si="13"/>
        <v>195476.45</v>
      </c>
      <c r="V61" s="189">
        <f t="shared" si="13"/>
        <v>343171.83999999997</v>
      </c>
      <c r="W61" s="189">
        <f t="shared" ref="W61:AF61" si="15">SUM(W40+W47+W54)</f>
        <v>310871.3</v>
      </c>
      <c r="X61" s="189">
        <f t="shared" si="15"/>
        <v>314897.70999999996</v>
      </c>
      <c r="Y61" s="189">
        <f t="shared" si="15"/>
        <v>308651.82</v>
      </c>
      <c r="Z61" s="189">
        <f t="shared" si="15"/>
        <v>131697.45000000001</v>
      </c>
      <c r="AA61" s="189">
        <f t="shared" si="15"/>
        <v>105351.69</v>
      </c>
      <c r="AB61" s="256">
        <f t="shared" si="15"/>
        <v>97031.02</v>
      </c>
      <c r="AC61" s="256">
        <f t="shared" si="15"/>
        <v>99542.260000000009</v>
      </c>
      <c r="AD61" s="256">
        <f t="shared" si="15"/>
        <v>91622.51999999999</v>
      </c>
      <c r="AE61" s="256">
        <f t="shared" si="15"/>
        <v>76698.33</v>
      </c>
      <c r="AF61" s="256">
        <f t="shared" si="15"/>
        <v>71783.61</v>
      </c>
      <c r="AG61" s="290"/>
    </row>
    <row r="62" spans="1:33" x14ac:dyDescent="0.25">
      <c r="A62" s="4"/>
      <c r="B62" s="35" t="s">
        <v>39</v>
      </c>
      <c r="C62" s="227">
        <f>SUM(C41+C48+C55)</f>
        <v>370060.25</v>
      </c>
      <c r="D62" s="77">
        <f t="shared" si="13"/>
        <v>392810.66000000003</v>
      </c>
      <c r="E62" s="77">
        <f t="shared" si="13"/>
        <v>425791.02999999997</v>
      </c>
      <c r="F62" s="77">
        <f t="shared" si="13"/>
        <v>403148.48</v>
      </c>
      <c r="G62" s="77">
        <f t="shared" si="13"/>
        <v>412418.05000000005</v>
      </c>
      <c r="H62" s="77">
        <f t="shared" si="13"/>
        <v>379252.46</v>
      </c>
      <c r="I62" s="77">
        <f t="shared" si="13"/>
        <v>451234.87</v>
      </c>
      <c r="J62" s="77">
        <f t="shared" si="13"/>
        <v>455065.61999999994</v>
      </c>
      <c r="K62" s="77">
        <f t="shared" si="13"/>
        <v>427261.04000000004</v>
      </c>
      <c r="L62" s="109">
        <f t="shared" si="13"/>
        <v>449417.83999999997</v>
      </c>
      <c r="M62" s="108">
        <f t="shared" si="13"/>
        <v>407748.95999999996</v>
      </c>
      <c r="N62" s="77">
        <f t="shared" si="13"/>
        <v>399801.07999999996</v>
      </c>
      <c r="O62" s="77">
        <f t="shared" si="13"/>
        <v>356274.18999999994</v>
      </c>
      <c r="P62" s="77">
        <f t="shared" si="13"/>
        <v>366704.14</v>
      </c>
      <c r="Q62" s="77">
        <f t="shared" si="13"/>
        <v>378523.5</v>
      </c>
      <c r="R62" s="77">
        <f t="shared" si="13"/>
        <v>342406.12</v>
      </c>
      <c r="S62" s="77">
        <f t="shared" si="13"/>
        <v>321880.19</v>
      </c>
      <c r="T62" s="77">
        <f t="shared" si="13"/>
        <v>326964.7</v>
      </c>
      <c r="U62" s="189">
        <f t="shared" si="13"/>
        <v>342779.35</v>
      </c>
      <c r="V62" s="189">
        <f t="shared" si="13"/>
        <v>338407.25</v>
      </c>
      <c r="W62" s="189">
        <f t="shared" ref="W62:AF62" si="16">SUM(W41+W48+W55)</f>
        <v>294757.64</v>
      </c>
      <c r="X62" s="189">
        <f t="shared" si="16"/>
        <v>226313.89</v>
      </c>
      <c r="Y62" s="189">
        <f t="shared" si="16"/>
        <v>200895.21</v>
      </c>
      <c r="Z62" s="189">
        <f t="shared" si="16"/>
        <v>196035.65</v>
      </c>
      <c r="AA62" s="189">
        <f t="shared" si="16"/>
        <v>171199.03999999998</v>
      </c>
      <c r="AB62" s="256">
        <f t="shared" si="16"/>
        <v>175842.08000000002</v>
      </c>
      <c r="AC62" s="256">
        <f t="shared" si="16"/>
        <v>255141.91</v>
      </c>
      <c r="AD62" s="256">
        <f t="shared" si="16"/>
        <v>226340.87</v>
      </c>
      <c r="AE62" s="256">
        <f t="shared" si="16"/>
        <v>217577.46</v>
      </c>
      <c r="AF62" s="256">
        <f t="shared" si="16"/>
        <v>212824.22999999998</v>
      </c>
      <c r="AG62" s="290"/>
    </row>
    <row r="63" spans="1:33" x14ac:dyDescent="0.25">
      <c r="A63" s="4"/>
      <c r="B63" s="35" t="s">
        <v>40</v>
      </c>
      <c r="C63" s="227">
        <f>SUM(C42+C49+C56)</f>
        <v>88361.5</v>
      </c>
      <c r="D63" s="77">
        <f t="shared" si="13"/>
        <v>63980.44</v>
      </c>
      <c r="E63" s="77">
        <f t="shared" si="13"/>
        <v>63980.44</v>
      </c>
      <c r="F63" s="77">
        <f t="shared" si="13"/>
        <v>90088.459999999992</v>
      </c>
      <c r="G63" s="77">
        <f t="shared" si="13"/>
        <v>116428.91999999998</v>
      </c>
      <c r="H63" s="77">
        <f t="shared" si="13"/>
        <v>102723.92</v>
      </c>
      <c r="I63" s="77">
        <f t="shared" si="13"/>
        <v>180095.77</v>
      </c>
      <c r="J63" s="77">
        <f t="shared" si="13"/>
        <v>214517.12</v>
      </c>
      <c r="K63" s="77">
        <f t="shared" si="13"/>
        <v>215435.61999999997</v>
      </c>
      <c r="L63" s="109">
        <f t="shared" si="13"/>
        <v>204666.65</v>
      </c>
      <c r="M63" s="108">
        <f t="shared" si="13"/>
        <v>201164.17</v>
      </c>
      <c r="N63" s="77">
        <f t="shared" si="13"/>
        <v>192968.34</v>
      </c>
      <c r="O63" s="77">
        <f t="shared" si="13"/>
        <v>161336.90999999997</v>
      </c>
      <c r="P63" s="77">
        <f t="shared" si="13"/>
        <v>145762.66</v>
      </c>
      <c r="Q63" s="77">
        <f t="shared" si="13"/>
        <v>145762.66</v>
      </c>
      <c r="R63" s="77">
        <f t="shared" si="13"/>
        <v>144647.99</v>
      </c>
      <c r="S63" s="77">
        <f t="shared" si="13"/>
        <v>188765.73</v>
      </c>
      <c r="T63" s="77">
        <f t="shared" si="13"/>
        <v>129147.7</v>
      </c>
      <c r="U63" s="189">
        <f>SUM(U42+U49+U56)</f>
        <v>87200.89</v>
      </c>
      <c r="V63" s="189">
        <f>SUM(V42+V49+V56)</f>
        <v>87200.89</v>
      </c>
      <c r="W63" s="189">
        <f t="shared" ref="W63:AF63" si="17">SUM(W42+W49+W56)</f>
        <v>38886.83</v>
      </c>
      <c r="X63" s="189">
        <f t="shared" si="17"/>
        <v>67148.72</v>
      </c>
      <c r="Y63" s="189">
        <f t="shared" si="17"/>
        <v>52049.89</v>
      </c>
      <c r="Z63" s="189">
        <f t="shared" si="17"/>
        <v>46142.880000000005</v>
      </c>
      <c r="AA63" s="189">
        <f t="shared" si="17"/>
        <v>11399.349999999999</v>
      </c>
      <c r="AB63" s="256">
        <f t="shared" si="17"/>
        <v>48227.05</v>
      </c>
      <c r="AC63" s="256">
        <f t="shared" si="17"/>
        <v>53907.62</v>
      </c>
      <c r="AD63" s="256">
        <f t="shared" si="17"/>
        <v>23932.02</v>
      </c>
      <c r="AE63" s="256">
        <f t="shared" si="17"/>
        <v>3175.7700000000004</v>
      </c>
      <c r="AF63" s="256">
        <f t="shared" si="17"/>
        <v>44293.89</v>
      </c>
      <c r="AG63" s="290"/>
    </row>
    <row r="64" spans="1:33" ht="15.75" thickBot="1" x14ac:dyDescent="0.3">
      <c r="A64" s="4"/>
      <c r="B64" s="37" t="s">
        <v>41</v>
      </c>
      <c r="C64" s="100">
        <f>SUM(C59:C63)</f>
        <v>6366991.7799999993</v>
      </c>
      <c r="D64" s="81">
        <f>SUM(D59:D63)</f>
        <v>6355403.7700000005</v>
      </c>
      <c r="E64" s="81">
        <f t="shared" ref="E64:V64" si="18">SUM(E59:E63)</f>
        <v>6434829.1500000004</v>
      </c>
      <c r="F64" s="81">
        <f t="shared" si="18"/>
        <v>6288331.8899999997</v>
      </c>
      <c r="G64" s="81">
        <f t="shared" si="18"/>
        <v>6318908.2800000003</v>
      </c>
      <c r="H64" s="81">
        <f t="shared" si="18"/>
        <v>6438386.3800000008</v>
      </c>
      <c r="I64" s="81">
        <f t="shared" si="18"/>
        <v>6857573.54</v>
      </c>
      <c r="J64" s="81">
        <f t="shared" si="18"/>
        <v>6735136.1200000001</v>
      </c>
      <c r="K64" s="81">
        <f t="shared" si="18"/>
        <v>6528791.3399999999</v>
      </c>
      <c r="L64" s="160">
        <f t="shared" si="18"/>
        <v>6492523.2800000012</v>
      </c>
      <c r="M64" s="81">
        <f t="shared" si="18"/>
        <v>6136291.120000001</v>
      </c>
      <c r="N64" s="81">
        <f t="shared" si="18"/>
        <v>5952335.459999999</v>
      </c>
      <c r="O64" s="81">
        <f t="shared" si="18"/>
        <v>5625318.3000000007</v>
      </c>
      <c r="P64" s="81">
        <f t="shared" si="18"/>
        <v>5533023.2599999998</v>
      </c>
      <c r="Q64" s="81">
        <f t="shared" si="18"/>
        <v>5396143</v>
      </c>
      <c r="R64" s="81">
        <f t="shared" si="18"/>
        <v>5169039.0500000007</v>
      </c>
      <c r="S64" s="81">
        <f t="shared" si="18"/>
        <v>5005080.120000001</v>
      </c>
      <c r="T64" s="81">
        <f t="shared" si="18"/>
        <v>4942409.04</v>
      </c>
      <c r="U64" s="176">
        <f t="shared" si="18"/>
        <v>4821074.169999999</v>
      </c>
      <c r="V64" s="176">
        <f t="shared" si="18"/>
        <v>4966696.9899999993</v>
      </c>
      <c r="W64" s="189">
        <f t="shared" ref="W64:Z64" si="19">SUM(W43+W50+W57)</f>
        <v>4727355.6999999993</v>
      </c>
      <c r="X64" s="189">
        <f t="shared" si="19"/>
        <v>4926753.8</v>
      </c>
      <c r="Y64" s="189">
        <f t="shared" si="19"/>
        <v>4800489.49</v>
      </c>
      <c r="Z64" s="189">
        <f t="shared" si="19"/>
        <v>4736688.51</v>
      </c>
      <c r="AA64" s="301">
        <f t="shared" ref="AA64:AF64" si="20">SUM(AA43+AA50+AA57)</f>
        <v>4695139.3400000008</v>
      </c>
      <c r="AB64" s="265">
        <f t="shared" si="20"/>
        <v>4677068.6999999993</v>
      </c>
      <c r="AC64" s="265">
        <f t="shared" si="20"/>
        <v>4831000.34</v>
      </c>
      <c r="AD64" s="265">
        <f t="shared" si="20"/>
        <v>4765326.1499999994</v>
      </c>
      <c r="AE64" s="265">
        <f t="shared" si="20"/>
        <v>4625359.75</v>
      </c>
      <c r="AF64" s="265">
        <f t="shared" si="20"/>
        <v>4518692.53</v>
      </c>
      <c r="AG64" s="300"/>
    </row>
    <row r="65" spans="1:33" x14ac:dyDescent="0.25">
      <c r="A65" s="4">
        <f>+A58+1</f>
        <v>9</v>
      </c>
      <c r="B65" s="41"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7"/>
      <c r="AC65" s="294"/>
      <c r="AD65" s="298"/>
      <c r="AE65" s="66"/>
      <c r="AF65" s="66"/>
      <c r="AG65" s="289"/>
    </row>
    <row r="66" spans="1:33" x14ac:dyDescent="0.25">
      <c r="A66" s="4"/>
      <c r="B66" s="3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8">
        <f>74.898+26860.751+2817.439+175463.824+8.216+113.886</f>
        <v>205339.01399999997</v>
      </c>
      <c r="AC66" s="296">
        <f>133.51+11575.317+2397.018+106355.121+1214.941+133.51+11575.317+2397.018+106355.121+1214.941</f>
        <v>243351.81400000001</v>
      </c>
      <c r="AD66" s="315">
        <f>368.693+20308.119+5412.2875+175138.394+2017.028+1630.876-2.054</f>
        <v>204873.34349999996</v>
      </c>
      <c r="AE66" s="321">
        <f>32.864+249.561+23707.275+4799.125+217916.848+39.026+3773.198+27.729+4.108-60.696</f>
        <v>250489.03800000003</v>
      </c>
      <c r="AF66" s="321">
        <f>60.593+23068.998+3736.215+158707.085+16.432+5.135+24.648</f>
        <v>185619.106</v>
      </c>
      <c r="AG66" s="290"/>
    </row>
    <row r="67" spans="1:33" x14ac:dyDescent="0.25">
      <c r="A67" s="4"/>
      <c r="B67" s="3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8">
        <f>15.39+2198.719+328.321+14719.187</f>
        <v>17261.616999999998</v>
      </c>
      <c r="AC67" s="296">
        <f>39.026+2147.453+273.182+30729.894+39.026+2147.453+273.182+30729.894</f>
        <v>66379.11</v>
      </c>
      <c r="AD67" s="315">
        <f>49.296+3367.534+820.573+47170.858</f>
        <v>51408.260999999999</v>
      </c>
      <c r="AE67" s="321">
        <f>62.647+6627.231+879.112+82571.731</f>
        <v>90140.721000000005</v>
      </c>
      <c r="AF67" s="321">
        <f>39.026+3012.168+623.389+38480.367+15.405</f>
        <v>42170.354999999996</v>
      </c>
      <c r="AG67" s="290"/>
    </row>
    <row r="68" spans="1:33" x14ac:dyDescent="0.25">
      <c r="A68" s="4"/>
      <c r="B68" s="3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8">
        <f>19.494+24.624+56.43+5964.534+9995.288+328.448+1075.248</f>
        <v>17464.065999999999</v>
      </c>
      <c r="AC68" s="296">
        <f>284.479+716.846+7304.024+6613.88+265.993+810.303+284.479+716.846+7304.024+6613.88+265.993+810.303</f>
        <v>31991.05</v>
      </c>
      <c r="AD68" s="315">
        <f>626.47+500.149+16985.57+18664.579+5121.649+1706.874</f>
        <v>43605.290999999997</v>
      </c>
      <c r="AE68" s="321">
        <f>1661.686+87.295+18056.39+17713.696+9807.85+3569.852</f>
        <v>50896.768999999993</v>
      </c>
      <c r="AF68" s="321">
        <f>23.621+2.054+338.91+7317.936+7847.44+2870.465+142.753+12.324+1.027</f>
        <v>18556.53</v>
      </c>
      <c r="AG68" s="290"/>
    </row>
    <row r="69" spans="1:33" x14ac:dyDescent="0.25">
      <c r="A69" s="4"/>
      <c r="B69" s="3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8">
        <f>-3789.545+11309.798+28464.376+15287.101</f>
        <v>51271.73</v>
      </c>
      <c r="AC69" s="296">
        <f>20712.536+25618.434+4982.638+6225.674+20712.536+25618.434+4982.638+6225.674</f>
        <v>115078.56400000001</v>
      </c>
      <c r="AD69" s="315">
        <f>1182.077+23601.687+17367.597+39679.172+34237.099</f>
        <v>116067.632</v>
      </c>
      <c r="AE69" s="321">
        <f>71.89+18403.84+27812.187+40517.204+22026.069</f>
        <v>108831.19</v>
      </c>
      <c r="AF69" s="321">
        <f>6239.025+13971.308+29278.723+3675.633</f>
        <v>53164.688999999998</v>
      </c>
      <c r="AG69" s="290"/>
    </row>
    <row r="70" spans="1:33" x14ac:dyDescent="0.25">
      <c r="A70" s="4"/>
      <c r="B70" s="3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8">
        <f>25803.9+21823.02+335060.82</f>
        <v>382687.74</v>
      </c>
      <c r="AC70" s="296">
        <v>0</v>
      </c>
      <c r="AD70" s="315">
        <f>308.1-15334.42+15425.54</f>
        <v>399.22000000000116</v>
      </c>
      <c r="AE70" s="321">
        <f>1273.48+59083.31</f>
        <v>60356.79</v>
      </c>
      <c r="AF70" s="321">
        <f>14316.38+353534.48</f>
        <v>367850.86</v>
      </c>
      <c r="AG70" s="290"/>
    </row>
    <row r="71" spans="1:33" x14ac:dyDescent="0.25">
      <c r="A71" s="4"/>
      <c r="B71" s="35" t="s">
        <v>41</v>
      </c>
      <c r="C71" s="156">
        <f>SUM(C66:C70)</f>
        <v>4433807.21</v>
      </c>
      <c r="D71" s="83">
        <f>SUM(D66:D70)</f>
        <v>1358805.149</v>
      </c>
      <c r="E71" s="83">
        <f t="shared" ref="E71:Z71" si="21">SUM(E66:E70)</f>
        <v>1351111.514</v>
      </c>
      <c r="F71" s="83">
        <f t="shared" si="21"/>
        <v>1443879.7340000002</v>
      </c>
      <c r="G71" s="83">
        <f t="shared" si="21"/>
        <v>1141703.1230000001</v>
      </c>
      <c r="H71" s="83">
        <f t="shared" si="21"/>
        <v>1537399.4010000001</v>
      </c>
      <c r="I71" s="83">
        <f>SUM(I66:I70)</f>
        <v>1175296.0120000001</v>
      </c>
      <c r="J71" s="83">
        <f t="shared" si="21"/>
        <v>887962.98100000003</v>
      </c>
      <c r="K71" s="83">
        <f t="shared" si="21"/>
        <v>759250.16</v>
      </c>
      <c r="L71" s="166">
        <f t="shared" si="21"/>
        <v>442343.25400000002</v>
      </c>
      <c r="M71" s="83">
        <f t="shared" si="21"/>
        <v>349924.75699999998</v>
      </c>
      <c r="N71" s="83">
        <f t="shared" si="21"/>
        <v>283743.93399999995</v>
      </c>
      <c r="O71" s="83">
        <f t="shared" si="21"/>
        <v>692413.77199999988</v>
      </c>
      <c r="P71" s="83">
        <f t="shared" si="21"/>
        <v>376979.23599999998</v>
      </c>
      <c r="Q71" s="83">
        <f t="shared" si="21"/>
        <v>456168.88800000004</v>
      </c>
      <c r="R71" s="83">
        <f t="shared" si="21"/>
        <v>194920.49900000001</v>
      </c>
      <c r="S71" s="83">
        <f t="shared" si="21"/>
        <v>479726.17900000006</v>
      </c>
      <c r="T71" s="83">
        <f t="shared" si="21"/>
        <v>494261.56799999997</v>
      </c>
      <c r="U71" s="178">
        <f t="shared" si="21"/>
        <v>237655.76399999997</v>
      </c>
      <c r="V71" s="178">
        <f t="shared" si="21"/>
        <v>466772.48600000003</v>
      </c>
      <c r="W71" s="178">
        <f t="shared" si="21"/>
        <v>441280.91200000001</v>
      </c>
      <c r="X71" s="178">
        <f t="shared" si="21"/>
        <v>379110.36400000006</v>
      </c>
      <c r="Y71" s="178">
        <f t="shared" si="21"/>
        <v>322301.424</v>
      </c>
      <c r="Z71" s="178">
        <f t="shared" si="21"/>
        <v>410886.22500000003</v>
      </c>
      <c r="AA71" s="178">
        <f t="shared" ref="AA71:AF71" si="22">SUM(AA66:AA70)</f>
        <v>210031.84100000001</v>
      </c>
      <c r="AB71" s="259">
        <f t="shared" si="22"/>
        <v>674024.1669999999</v>
      </c>
      <c r="AC71" s="259">
        <f t="shared" si="22"/>
        <v>456800.538</v>
      </c>
      <c r="AD71" s="259">
        <f t="shared" si="22"/>
        <v>416353.74749999994</v>
      </c>
      <c r="AE71" s="259">
        <f t="shared" si="22"/>
        <v>560714.50800000003</v>
      </c>
      <c r="AF71" s="259">
        <f t="shared" si="22"/>
        <v>667361.54</v>
      </c>
      <c r="AG71" s="290"/>
    </row>
    <row r="72" spans="1:33" x14ac:dyDescent="0.25">
      <c r="A72" s="4">
        <f>+A65+1</f>
        <v>10</v>
      </c>
      <c r="B72" s="42"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60"/>
      <c r="AC72" s="292"/>
      <c r="AD72" s="299"/>
      <c r="AE72" s="212"/>
      <c r="AF72" s="212"/>
      <c r="AG72" s="290"/>
    </row>
    <row r="73" spans="1:33" x14ac:dyDescent="0.25">
      <c r="A73" s="4"/>
      <c r="B73" s="3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6">
        <v>300024.55</v>
      </c>
      <c r="AC73" s="295">
        <v>346092.72</v>
      </c>
      <c r="AD73" s="308">
        <v>594862.92000000004</v>
      </c>
      <c r="AE73" s="309">
        <v>371913.01</v>
      </c>
      <c r="AF73" s="309">
        <v>257079.16</v>
      </c>
      <c r="AG73" s="310"/>
    </row>
    <row r="74" spans="1:33" x14ac:dyDescent="0.25">
      <c r="A74" s="4"/>
      <c r="B74" s="3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6">
        <v>25010.59</v>
      </c>
      <c r="AC74" s="295">
        <v>62591.55</v>
      </c>
      <c r="AD74" s="308">
        <v>135959.70000000001</v>
      </c>
      <c r="AE74" s="309">
        <v>110697.51</v>
      </c>
      <c r="AF74" s="309">
        <v>38940.199999999997</v>
      </c>
      <c r="AG74" s="310"/>
    </row>
    <row r="75" spans="1:33" x14ac:dyDescent="0.25">
      <c r="A75" s="4"/>
      <c r="B75" s="3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6">
        <v>21292.01</v>
      </c>
      <c r="AC75" s="295">
        <v>49825.25</v>
      </c>
      <c r="AD75" s="308">
        <v>89674.7</v>
      </c>
      <c r="AE75" s="309">
        <v>43199.18</v>
      </c>
      <c r="AF75" s="309">
        <v>18016.759999999998</v>
      </c>
      <c r="AG75" s="310"/>
    </row>
    <row r="76" spans="1:33" x14ac:dyDescent="0.25">
      <c r="A76" s="4"/>
      <c r="B76" s="3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9">
        <v>14331.86</v>
      </c>
      <c r="AB76" s="256">
        <v>15046.33</v>
      </c>
      <c r="AC76" s="295">
        <v>48245.91</v>
      </c>
      <c r="AD76" s="308">
        <v>100407.34</v>
      </c>
      <c r="AE76" s="309">
        <v>42147.12</v>
      </c>
      <c r="AF76" s="309">
        <v>17179.04</v>
      </c>
      <c r="AG76" s="310"/>
    </row>
    <row r="77" spans="1:33" x14ac:dyDescent="0.25">
      <c r="A77" s="4"/>
      <c r="B77" s="3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9">
        <v>4208.03</v>
      </c>
      <c r="AB77" s="256">
        <v>125129.60000000001</v>
      </c>
      <c r="AC77" s="295">
        <v>23331.439999999999</v>
      </c>
      <c r="AD77" s="308">
        <v>8946.3799999999992</v>
      </c>
      <c r="AE77" s="309">
        <v>26718.240000000002</v>
      </c>
      <c r="AF77" s="309">
        <v>116191.21</v>
      </c>
      <c r="AG77" s="310"/>
    </row>
    <row r="78" spans="1:33" ht="15.75" thickBot="1" x14ac:dyDescent="0.3">
      <c r="A78" s="4"/>
      <c r="B78" s="35" t="s">
        <v>41</v>
      </c>
      <c r="C78" s="97">
        <f t="shared" ref="C78:AF78" si="23">SUM(C73:C77)</f>
        <v>5045903.04</v>
      </c>
      <c r="D78" s="89">
        <f t="shared" si="23"/>
        <v>1651372.6400000001</v>
      </c>
      <c r="E78" s="89">
        <f t="shared" si="23"/>
        <v>1722982.33</v>
      </c>
      <c r="F78" s="89">
        <f t="shared" si="23"/>
        <v>1617259.6699999997</v>
      </c>
      <c r="G78" s="89">
        <f t="shared" si="23"/>
        <v>1422728.48</v>
      </c>
      <c r="H78" s="89">
        <f t="shared" si="23"/>
        <v>1654529.2099999997</v>
      </c>
      <c r="I78" s="89">
        <f t="shared" si="23"/>
        <v>1235386.1600000001</v>
      </c>
      <c r="J78" s="89">
        <f t="shared" si="23"/>
        <v>739441.38000000012</v>
      </c>
      <c r="K78" s="89">
        <f t="shared" si="23"/>
        <v>761924.95000000019</v>
      </c>
      <c r="L78" s="99">
        <f t="shared" si="23"/>
        <v>479189.21</v>
      </c>
      <c r="M78" s="89">
        <f t="shared" si="23"/>
        <v>387443.99</v>
      </c>
      <c r="N78" s="89">
        <f t="shared" si="23"/>
        <v>349715.89</v>
      </c>
      <c r="O78" s="89">
        <f t="shared" si="23"/>
        <v>565234.46</v>
      </c>
      <c r="P78" s="89">
        <f t="shared" si="23"/>
        <v>468470.42000000004</v>
      </c>
      <c r="Q78" s="89">
        <f t="shared" si="23"/>
        <v>498982.56999999995</v>
      </c>
      <c r="R78" s="89">
        <f t="shared" si="23"/>
        <v>274812.79999999999</v>
      </c>
      <c r="S78" s="89">
        <f t="shared" si="23"/>
        <v>345999.62</v>
      </c>
      <c r="T78" s="89">
        <f t="shared" si="23"/>
        <v>535237.6</v>
      </c>
      <c r="U78" s="180">
        <f t="shared" si="23"/>
        <v>339710.55000000005</v>
      </c>
      <c r="V78" s="180">
        <f t="shared" si="23"/>
        <v>546898.67000000004</v>
      </c>
      <c r="W78" s="180">
        <f t="shared" si="23"/>
        <v>333882.75</v>
      </c>
      <c r="X78" s="180">
        <f t="shared" si="23"/>
        <v>714123.95000000007</v>
      </c>
      <c r="Y78" s="180">
        <f t="shared" si="23"/>
        <v>379650.98</v>
      </c>
      <c r="Z78" s="180">
        <f t="shared" si="23"/>
        <v>476963.69</v>
      </c>
      <c r="AA78" s="301">
        <f t="shared" si="23"/>
        <v>247641.37000000002</v>
      </c>
      <c r="AB78" s="159">
        <f t="shared" si="23"/>
        <v>486503.08000000007</v>
      </c>
      <c r="AC78" s="311">
        <f t="shared" si="23"/>
        <v>530086.86999999988</v>
      </c>
      <c r="AD78" s="311">
        <f t="shared" si="23"/>
        <v>929851.04</v>
      </c>
      <c r="AE78" s="311">
        <f t="shared" si="23"/>
        <v>594675.06000000006</v>
      </c>
      <c r="AF78" s="311">
        <f t="shared" si="23"/>
        <v>447406.37</v>
      </c>
      <c r="AG78" s="312"/>
    </row>
    <row r="79" spans="1:33"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302"/>
      <c r="AB79" s="303"/>
      <c r="AC79" s="294"/>
      <c r="AD79" s="298"/>
      <c r="AE79" s="66"/>
      <c r="AF79" s="66"/>
      <c r="AG79" s="289"/>
    </row>
    <row r="80" spans="1:33"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61">
        <v>350986.97</v>
      </c>
      <c r="AC80" s="297">
        <v>282201.69</v>
      </c>
      <c r="AD80" s="314">
        <v>363325.4</v>
      </c>
      <c r="AE80" s="309">
        <v>355936.41</v>
      </c>
      <c r="AF80" s="341">
        <v>458449.34</v>
      </c>
      <c r="AG80" s="290"/>
    </row>
    <row r="81" spans="1:33"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61">
        <v>43650.63</v>
      </c>
      <c r="AC81" s="297">
        <v>31203.55</v>
      </c>
      <c r="AD81" s="314">
        <v>27987.65</v>
      </c>
      <c r="AE81" s="309">
        <v>26811.99</v>
      </c>
      <c r="AF81" s="341">
        <v>30930.79</v>
      </c>
      <c r="AG81" s="290"/>
    </row>
    <row r="82" spans="1:33"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6">
        <v>43840.66</v>
      </c>
      <c r="AC82" s="297">
        <v>39136.71</v>
      </c>
      <c r="AD82" s="314">
        <v>47894.35</v>
      </c>
      <c r="AE82" s="309">
        <v>40276.22</v>
      </c>
      <c r="AF82" s="341">
        <v>48750.92</v>
      </c>
      <c r="AG82" s="290"/>
    </row>
    <row r="83" spans="1:33"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97">
        <v>50631.92</v>
      </c>
      <c r="AD83" s="314">
        <v>74954.240000000005</v>
      </c>
      <c r="AE83" s="309">
        <v>59479.22</v>
      </c>
      <c r="AF83" s="341">
        <v>53249.96</v>
      </c>
      <c r="AG83" s="290"/>
    </row>
    <row r="84" spans="1:33"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97">
        <v>17645.64</v>
      </c>
      <c r="AD84" s="314">
        <v>58435.17</v>
      </c>
      <c r="AE84" s="309">
        <v>227305.77</v>
      </c>
      <c r="AF84" s="341">
        <v>36645.480000000003</v>
      </c>
      <c r="AG84" s="290"/>
    </row>
    <row r="85" spans="1:33" x14ac:dyDescent="0.25">
      <c r="A85" s="4"/>
      <c r="B85" s="35" t="s">
        <v>41</v>
      </c>
      <c r="C85" s="108">
        <f>SUM(C80:C84)</f>
        <v>3737993.2099999995</v>
      </c>
      <c r="D85" s="79">
        <f t="shared" ref="D85:AF85" si="24">SUM(D80:D84)</f>
        <v>2392480.5499999998</v>
      </c>
      <c r="E85" s="109">
        <f t="shared" si="24"/>
        <v>1823717.35</v>
      </c>
      <c r="F85" s="109">
        <f t="shared" si="24"/>
        <v>1970070.05</v>
      </c>
      <c r="G85" s="79">
        <f t="shared" si="24"/>
        <v>2144761.98</v>
      </c>
      <c r="H85" s="109">
        <f t="shared" si="24"/>
        <v>1396077.3800000001</v>
      </c>
      <c r="I85" s="109">
        <f t="shared" si="24"/>
        <v>1059769.42</v>
      </c>
      <c r="J85" s="109">
        <f t="shared" si="24"/>
        <v>994192.85</v>
      </c>
      <c r="K85" s="109">
        <f t="shared" si="24"/>
        <v>1568293.0599999998</v>
      </c>
      <c r="L85" s="110">
        <f t="shared" si="24"/>
        <v>1370383.0299999998</v>
      </c>
      <c r="M85" s="79">
        <f t="shared" si="24"/>
        <v>1022191.11</v>
      </c>
      <c r="N85" s="89">
        <f t="shared" si="24"/>
        <v>1042908.94</v>
      </c>
      <c r="O85" s="109">
        <f t="shared" si="24"/>
        <v>785518.01</v>
      </c>
      <c r="P85" s="98">
        <f t="shared" si="24"/>
        <v>745401.44000000006</v>
      </c>
      <c r="Q85" s="109">
        <f t="shared" si="24"/>
        <v>694325.04999999993</v>
      </c>
      <c r="R85" s="98">
        <f t="shared" si="24"/>
        <v>615160.6</v>
      </c>
      <c r="S85" s="109">
        <f t="shared" si="24"/>
        <v>663184.99</v>
      </c>
      <c r="T85" s="79">
        <f t="shared" si="24"/>
        <v>582541.73</v>
      </c>
      <c r="U85" s="180">
        <f t="shared" si="24"/>
        <v>603713.13</v>
      </c>
      <c r="V85" s="180">
        <f t="shared" si="24"/>
        <v>440941.84</v>
      </c>
      <c r="W85" s="180">
        <f t="shared" si="24"/>
        <v>673463.78999999992</v>
      </c>
      <c r="X85" s="180">
        <f t="shared" si="24"/>
        <v>542921.97000000009</v>
      </c>
      <c r="Y85" s="180">
        <f t="shared" si="24"/>
        <v>445817.01</v>
      </c>
      <c r="Z85" s="180">
        <f t="shared" si="24"/>
        <v>556682.45000000007</v>
      </c>
      <c r="AA85" s="180">
        <f t="shared" si="24"/>
        <v>533736.41</v>
      </c>
      <c r="AB85" s="98">
        <f t="shared" si="24"/>
        <v>534970.11</v>
      </c>
      <c r="AC85" s="98">
        <f t="shared" si="24"/>
        <v>420819.51</v>
      </c>
      <c r="AD85" s="98">
        <f t="shared" si="24"/>
        <v>572596.81000000006</v>
      </c>
      <c r="AE85" s="98">
        <f t="shared" si="24"/>
        <v>709809.61</v>
      </c>
      <c r="AF85" s="98">
        <f t="shared" si="24"/>
        <v>628026.49</v>
      </c>
      <c r="AG85" s="290"/>
    </row>
    <row r="86" spans="1:33"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2"/>
      <c r="AC86" s="292"/>
      <c r="AD86" s="299"/>
      <c r="AE86" s="212"/>
      <c r="AF86" s="212"/>
      <c r="AG86" s="290"/>
    </row>
    <row r="87" spans="1:33"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3">
        <v>7907</v>
      </c>
      <c r="AC87" s="293">
        <v>5946</v>
      </c>
      <c r="AD87" s="313">
        <v>7367</v>
      </c>
      <c r="AE87" s="212">
        <v>7033</v>
      </c>
      <c r="AF87" s="212">
        <v>7818</v>
      </c>
      <c r="AG87" s="290"/>
    </row>
    <row r="88" spans="1:33"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3">
        <v>1171</v>
      </c>
      <c r="AC88" s="293">
        <v>835</v>
      </c>
      <c r="AD88" s="313">
        <v>711</v>
      </c>
      <c r="AE88" s="212">
        <v>655</v>
      </c>
      <c r="AF88" s="212">
        <v>761</v>
      </c>
      <c r="AG88" s="290"/>
    </row>
    <row r="89" spans="1:33"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3">
        <v>794</v>
      </c>
      <c r="AC89" s="293">
        <v>515</v>
      </c>
      <c r="AD89" s="313">
        <v>689</v>
      </c>
      <c r="AE89" s="212">
        <v>695</v>
      </c>
      <c r="AF89" s="212">
        <v>815</v>
      </c>
      <c r="AG89" s="290"/>
    </row>
    <row r="90" spans="1:33"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3">
        <v>111</v>
      </c>
      <c r="AC90" s="293">
        <v>64</v>
      </c>
      <c r="AD90" s="313">
        <v>121</v>
      </c>
      <c r="AE90" s="212">
        <v>107</v>
      </c>
      <c r="AF90" s="212">
        <v>138</v>
      </c>
      <c r="AG90" s="290"/>
    </row>
    <row r="91" spans="1:33"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3">
        <v>5</v>
      </c>
      <c r="AC91" s="293">
        <v>2</v>
      </c>
      <c r="AD91" s="313">
        <v>8</v>
      </c>
      <c r="AE91" s="212">
        <v>14</v>
      </c>
      <c r="AF91" s="212">
        <v>4</v>
      </c>
      <c r="AG91" s="290"/>
    </row>
    <row r="92" spans="1:33" ht="15.75" thickBot="1" x14ac:dyDescent="0.3">
      <c r="A92" s="4"/>
      <c r="B92" s="37" t="s">
        <v>41</v>
      </c>
      <c r="C92" s="122">
        <f>SUM(C87:C91)</f>
        <v>18160</v>
      </c>
      <c r="D92" s="60">
        <f>SUM(D87:D91)</f>
        <v>13454</v>
      </c>
      <c r="E92" s="60">
        <f t="shared" ref="E92:AF92" si="25">SUM(E87:E91)</f>
        <v>8828</v>
      </c>
      <c r="F92" s="60">
        <f t="shared" si="25"/>
        <v>11204</v>
      </c>
      <c r="G92" s="60">
        <f t="shared" si="25"/>
        <v>13414</v>
      </c>
      <c r="H92" s="60">
        <f t="shared" si="25"/>
        <v>7704</v>
      </c>
      <c r="I92" s="60">
        <f t="shared" si="25"/>
        <v>6709</v>
      </c>
      <c r="J92" s="60">
        <f t="shared" si="25"/>
        <v>6630</v>
      </c>
      <c r="K92" s="60">
        <f t="shared" si="25"/>
        <v>12064</v>
      </c>
      <c r="L92" s="163">
        <f t="shared" si="25"/>
        <v>11487</v>
      </c>
      <c r="M92" s="60">
        <f t="shared" si="25"/>
        <v>9979</v>
      </c>
      <c r="N92" s="60">
        <f t="shared" si="25"/>
        <v>9687</v>
      </c>
      <c r="O92" s="60">
        <f t="shared" si="25"/>
        <v>8678</v>
      </c>
      <c r="P92" s="60">
        <f t="shared" si="25"/>
        <v>7954</v>
      </c>
      <c r="Q92" s="60">
        <f t="shared" si="25"/>
        <v>9698</v>
      </c>
      <c r="R92" s="60">
        <f t="shared" si="25"/>
        <v>7760</v>
      </c>
      <c r="S92" s="60">
        <f t="shared" si="25"/>
        <v>10452</v>
      </c>
      <c r="T92" s="60">
        <f t="shared" si="25"/>
        <v>8111</v>
      </c>
      <c r="U92" s="187">
        <f t="shared" si="25"/>
        <v>8400</v>
      </c>
      <c r="V92" s="187">
        <f t="shared" si="25"/>
        <v>7581</v>
      </c>
      <c r="W92" s="187">
        <f t="shared" si="25"/>
        <v>8757</v>
      </c>
      <c r="X92" s="187">
        <f t="shared" si="25"/>
        <v>10461</v>
      </c>
      <c r="Y92" s="187">
        <f t="shared" si="25"/>
        <v>8116</v>
      </c>
      <c r="Z92" s="187">
        <f t="shared" si="25"/>
        <v>8974</v>
      </c>
      <c r="AA92" s="304">
        <f t="shared" si="25"/>
        <v>8476</v>
      </c>
      <c r="AB92" s="264">
        <f t="shared" si="25"/>
        <v>9988</v>
      </c>
      <c r="AC92" s="264">
        <f t="shared" si="25"/>
        <v>7362</v>
      </c>
      <c r="AD92" s="264">
        <f t="shared" si="25"/>
        <v>8896</v>
      </c>
      <c r="AE92" s="264">
        <f t="shared" si="25"/>
        <v>8504</v>
      </c>
      <c r="AF92" s="264">
        <f t="shared" si="25"/>
        <v>9536</v>
      </c>
      <c r="AG92" s="300"/>
    </row>
    <row r="93" spans="1:33"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9"/>
      <c r="AC93" s="294"/>
      <c r="AD93" s="298"/>
      <c r="AE93" s="66"/>
      <c r="AF93" s="66"/>
      <c r="AG93" s="289"/>
    </row>
    <row r="94" spans="1:33" x14ac:dyDescent="0.25">
      <c r="A94" s="4"/>
      <c r="B94" s="35" t="s">
        <v>36</v>
      </c>
      <c r="C94" s="97">
        <f t="shared" ref="C94:AB94" si="26">C73-C80</f>
        <v>842539.15000000037</v>
      </c>
      <c r="D94" s="77">
        <f t="shared" si="26"/>
        <v>-616976.49000000011</v>
      </c>
      <c r="E94" s="77">
        <f t="shared" si="26"/>
        <v>-107572.27000000002</v>
      </c>
      <c r="F94" s="77">
        <f t="shared" si="26"/>
        <v>-34604.610000000102</v>
      </c>
      <c r="G94" s="77">
        <f t="shared" si="26"/>
        <v>-105307.20000000007</v>
      </c>
      <c r="H94" s="77">
        <f t="shared" si="26"/>
        <v>86533.719999999972</v>
      </c>
      <c r="I94" s="77">
        <f t="shared" si="26"/>
        <v>-55667.189999999944</v>
      </c>
      <c r="J94" s="77">
        <f t="shared" si="26"/>
        <v>-211034.93999999994</v>
      </c>
      <c r="K94" s="77">
        <f t="shared" si="26"/>
        <v>-412199.08</v>
      </c>
      <c r="L94" s="98">
        <f t="shared" si="26"/>
        <v>-547518.36999999988</v>
      </c>
      <c r="M94" s="97">
        <f t="shared" si="26"/>
        <v>-356116.83999999997</v>
      </c>
      <c r="N94" s="97">
        <f t="shared" si="26"/>
        <v>-361364.05999999994</v>
      </c>
      <c r="O94" s="97">
        <f t="shared" si="26"/>
        <v>-98081.489999999991</v>
      </c>
      <c r="P94" s="97">
        <f t="shared" si="26"/>
        <v>-130037.01999999996</v>
      </c>
      <c r="Q94" s="97">
        <f t="shared" si="26"/>
        <v>-147257.78000000003</v>
      </c>
      <c r="R94" s="97">
        <f t="shared" si="26"/>
        <v>-144530.80000000002</v>
      </c>
      <c r="S94" s="97">
        <f t="shared" si="26"/>
        <v>-217032.11</v>
      </c>
      <c r="T94" s="97">
        <f t="shared" si="26"/>
        <v>4700.8400000000256</v>
      </c>
      <c r="U94" s="97">
        <f t="shared" si="26"/>
        <v>-98657.979999999981</v>
      </c>
      <c r="V94" s="97">
        <f t="shared" si="26"/>
        <v>53859.070000000007</v>
      </c>
      <c r="W94" s="97">
        <f t="shared" si="26"/>
        <v>-156278.43999999997</v>
      </c>
      <c r="X94" s="97">
        <f t="shared" si="26"/>
        <v>9819.679999999993</v>
      </c>
      <c r="Y94" s="97">
        <f t="shared" si="26"/>
        <v>-68399.700000000012</v>
      </c>
      <c r="Z94" s="97">
        <f t="shared" si="26"/>
        <v>-25709.840000000026</v>
      </c>
      <c r="AA94" s="97">
        <f t="shared" si="26"/>
        <v>-144714.99000000002</v>
      </c>
      <c r="AB94" s="97">
        <f t="shared" si="26"/>
        <v>-50962.419999999984</v>
      </c>
      <c r="AC94" s="97">
        <f>AC73-AC80</f>
        <v>63891.02999999997</v>
      </c>
      <c r="AD94" s="97">
        <f>AD73-AD80</f>
        <v>231537.52000000002</v>
      </c>
      <c r="AE94" s="97">
        <f>AE73-AE80</f>
        <v>15976.600000000035</v>
      </c>
      <c r="AF94" s="97">
        <f>AF73-AF80</f>
        <v>-201370.18000000002</v>
      </c>
      <c r="AG94" s="290"/>
    </row>
    <row r="95" spans="1:33" x14ac:dyDescent="0.25">
      <c r="A95" s="4"/>
      <c r="B95" s="35" t="s">
        <v>37</v>
      </c>
      <c r="C95" s="97">
        <f t="shared" ref="C95:R98" si="27">C74-C81</f>
        <v>260812</v>
      </c>
      <c r="D95" s="77">
        <f t="shared" si="27"/>
        <v>-99438.43</v>
      </c>
      <c r="E95" s="77">
        <f t="shared" si="27"/>
        <v>226936.43000000002</v>
      </c>
      <c r="F95" s="77">
        <f t="shared" si="27"/>
        <v>-98309.68</v>
      </c>
      <c r="G95" s="77">
        <f t="shared" si="27"/>
        <v>-398531.74</v>
      </c>
      <c r="H95" s="77">
        <f t="shared" si="27"/>
        <v>180714.41</v>
      </c>
      <c r="I95" s="77">
        <f t="shared" si="27"/>
        <v>156846.70000000001</v>
      </c>
      <c r="J95" s="77">
        <f t="shared" si="27"/>
        <v>2693.8999999999942</v>
      </c>
      <c r="K95" s="77">
        <f t="shared" si="27"/>
        <v>-144632.85999999999</v>
      </c>
      <c r="L95" s="98">
        <f t="shared" si="27"/>
        <v>-64494.26</v>
      </c>
      <c r="M95" s="97">
        <f t="shared" si="27"/>
        <v>-23432.869999999995</v>
      </c>
      <c r="N95" s="97">
        <f t="shared" si="27"/>
        <v>23360.899999999994</v>
      </c>
      <c r="O95" s="97">
        <f t="shared" si="27"/>
        <v>-35043.040000000001</v>
      </c>
      <c r="P95" s="97">
        <f t="shared" si="27"/>
        <v>-2114.9900000000052</v>
      </c>
      <c r="Q95" s="97">
        <f t="shared" si="27"/>
        <v>-45350.170000000013</v>
      </c>
      <c r="R95" s="97">
        <f t="shared" si="27"/>
        <v>-3053.5499999999956</v>
      </c>
      <c r="S95" s="97">
        <f t="shared" ref="S95:Z98" si="28">S74-S81</f>
        <v>-55244.62</v>
      </c>
      <c r="T95" s="97">
        <f t="shared" si="28"/>
        <v>19476.400000000001</v>
      </c>
      <c r="U95" s="97">
        <f t="shared" si="28"/>
        <v>10785.230000000003</v>
      </c>
      <c r="V95" s="97">
        <f t="shared" si="28"/>
        <v>59115.849999999991</v>
      </c>
      <c r="W95" s="97">
        <f t="shared" si="28"/>
        <v>-11023.280000000002</v>
      </c>
      <c r="X95" s="97">
        <f t="shared" si="28"/>
        <v>225506.19000000003</v>
      </c>
      <c r="Y95" s="97">
        <f t="shared" si="28"/>
        <v>33045.320000000007</v>
      </c>
      <c r="Z95" s="97">
        <f t="shared" si="28"/>
        <v>36253.18</v>
      </c>
      <c r="AA95" s="97">
        <f t="shared" ref="AA95:AF95" si="29">AA74-AA81</f>
        <v>26552.49</v>
      </c>
      <c r="AB95" s="97">
        <f t="shared" si="29"/>
        <v>-18640.039999999997</v>
      </c>
      <c r="AC95" s="97">
        <f t="shared" si="29"/>
        <v>31388.000000000004</v>
      </c>
      <c r="AD95" s="97">
        <f t="shared" si="29"/>
        <v>107972.05000000002</v>
      </c>
      <c r="AE95" s="97">
        <f t="shared" si="29"/>
        <v>83885.51999999999</v>
      </c>
      <c r="AF95" s="97">
        <f t="shared" si="29"/>
        <v>8009.4099999999962</v>
      </c>
      <c r="AG95" s="290"/>
    </row>
    <row r="96" spans="1:33" x14ac:dyDescent="0.25">
      <c r="A96" s="4"/>
      <c r="B96" s="35" t="s">
        <v>38</v>
      </c>
      <c r="C96" s="97">
        <f t="shared" si="27"/>
        <v>-10419.950000000012</v>
      </c>
      <c r="D96" s="77">
        <f t="shared" si="27"/>
        <v>4181.8099999999977</v>
      </c>
      <c r="E96" s="77">
        <f t="shared" si="27"/>
        <v>-74425.389999999985</v>
      </c>
      <c r="F96" s="77">
        <f t="shared" si="27"/>
        <v>-113044.62000000001</v>
      </c>
      <c r="G96" s="77">
        <f t="shared" si="27"/>
        <v>-27684.25999999998</v>
      </c>
      <c r="H96" s="77">
        <f t="shared" si="27"/>
        <v>-7806.0100000000093</v>
      </c>
      <c r="I96" s="77">
        <f t="shared" si="27"/>
        <v>22200.309999999998</v>
      </c>
      <c r="J96" s="77">
        <f t="shared" si="27"/>
        <v>-74442.47</v>
      </c>
      <c r="K96" s="77">
        <f t="shared" si="27"/>
        <v>-102882.98000000001</v>
      </c>
      <c r="L96" s="98">
        <f t="shared" si="27"/>
        <v>-99450.12</v>
      </c>
      <c r="M96" s="97">
        <f t="shared" si="27"/>
        <v>-76526.290000000008</v>
      </c>
      <c r="N96" s="97">
        <f t="shared" si="27"/>
        <v>-53381.86</v>
      </c>
      <c r="O96" s="97">
        <f t="shared" si="27"/>
        <v>-16084.049999999996</v>
      </c>
      <c r="P96" s="97">
        <f t="shared" si="27"/>
        <v>-7045.6200000000026</v>
      </c>
      <c r="Q96" s="97">
        <f t="shared" si="27"/>
        <v>-22925.80999999999</v>
      </c>
      <c r="R96" s="97">
        <f t="shared" si="27"/>
        <v>-40133.600000000006</v>
      </c>
      <c r="S96" s="97">
        <f t="shared" si="28"/>
        <v>-38802.160000000003</v>
      </c>
      <c r="T96" s="97">
        <f t="shared" si="28"/>
        <v>3086.4700000000012</v>
      </c>
      <c r="U96" s="97">
        <f t="shared" si="28"/>
        <v>-23237.74</v>
      </c>
      <c r="V96" s="97">
        <f t="shared" si="28"/>
        <v>-9006.2699999999968</v>
      </c>
      <c r="W96" s="97">
        <f t="shared" si="28"/>
        <v>-51064.66</v>
      </c>
      <c r="X96" s="97">
        <f t="shared" si="28"/>
        <v>-5081.6499999999942</v>
      </c>
      <c r="Y96" s="97">
        <f t="shared" si="28"/>
        <v>-11218.960000000003</v>
      </c>
      <c r="Z96" s="97">
        <f t="shared" si="28"/>
        <v>-19356.82</v>
      </c>
      <c r="AA96" s="97">
        <f t="shared" ref="AA96:AF96" si="30">AA75-AA82</f>
        <v>-32338.429999999997</v>
      </c>
      <c r="AB96" s="97">
        <f t="shared" si="30"/>
        <v>-22548.650000000005</v>
      </c>
      <c r="AC96" s="97">
        <f t="shared" si="30"/>
        <v>10688.54</v>
      </c>
      <c r="AD96" s="97">
        <f t="shared" si="30"/>
        <v>41780.35</v>
      </c>
      <c r="AE96" s="97">
        <f t="shared" si="30"/>
        <v>2922.9599999999991</v>
      </c>
      <c r="AF96" s="97">
        <f t="shared" si="30"/>
        <v>-30734.16</v>
      </c>
      <c r="AG96" s="290"/>
    </row>
    <row r="97" spans="1:33" x14ac:dyDescent="0.25">
      <c r="A97" s="4"/>
      <c r="B97" s="35" t="s">
        <v>39</v>
      </c>
      <c r="C97" s="97">
        <f t="shared" si="27"/>
        <v>175993.46000000008</v>
      </c>
      <c r="D97" s="77">
        <f t="shared" si="27"/>
        <v>12008.380000000005</v>
      </c>
      <c r="E97" s="77">
        <f t="shared" si="27"/>
        <v>-188090.18999999997</v>
      </c>
      <c r="F97" s="77">
        <f t="shared" si="27"/>
        <v>-131845.35999999999</v>
      </c>
      <c r="G97" s="77">
        <f t="shared" si="27"/>
        <v>-89593.709999999992</v>
      </c>
      <c r="H97" s="77">
        <f t="shared" si="27"/>
        <v>48498.610000000015</v>
      </c>
      <c r="I97" s="77">
        <f t="shared" si="27"/>
        <v>100926.07</v>
      </c>
      <c r="J97" s="77">
        <f t="shared" si="27"/>
        <v>-71554.34</v>
      </c>
      <c r="K97" s="77">
        <f t="shared" si="27"/>
        <v>-142791.97</v>
      </c>
      <c r="L97" s="98">
        <f t="shared" si="27"/>
        <v>-92778.02</v>
      </c>
      <c r="M97" s="97">
        <f t="shared" si="27"/>
        <v>-114297.2</v>
      </c>
      <c r="N97" s="97">
        <f t="shared" si="27"/>
        <v>-77318.319999999992</v>
      </c>
      <c r="O97" s="97">
        <f t="shared" si="27"/>
        <v>-85310.28</v>
      </c>
      <c r="P97" s="97">
        <f t="shared" si="27"/>
        <v>-3995.3699999999953</v>
      </c>
      <c r="Q97" s="97">
        <f t="shared" si="27"/>
        <v>-13025.989999999991</v>
      </c>
      <c r="R97" s="97">
        <f t="shared" si="27"/>
        <v>-65983.510000000009</v>
      </c>
      <c r="S97" s="97">
        <f t="shared" si="28"/>
        <v>-54261.060000000005</v>
      </c>
      <c r="T97" s="97">
        <f t="shared" si="28"/>
        <v>3579.6700000000055</v>
      </c>
      <c r="U97" s="97">
        <f t="shared" si="28"/>
        <v>-29714.46</v>
      </c>
      <c r="V97" s="97">
        <f t="shared" si="28"/>
        <v>-2457.3000000000029</v>
      </c>
      <c r="W97" s="97">
        <f t="shared" si="28"/>
        <v>-69036.490000000005</v>
      </c>
      <c r="X97" s="97">
        <f t="shared" si="28"/>
        <v>-21057.62</v>
      </c>
      <c r="Y97" s="97">
        <f t="shared" si="28"/>
        <v>-6728.1100000000006</v>
      </c>
      <c r="Z97" s="97">
        <f t="shared" si="28"/>
        <v>-19951.150000000001</v>
      </c>
      <c r="AA97" s="97">
        <f t="shared" ref="AA97:AF97" si="31">AA76-AA83</f>
        <v>-46674.42</v>
      </c>
      <c r="AB97" s="97">
        <f t="shared" si="31"/>
        <v>-23934.07</v>
      </c>
      <c r="AC97" s="97">
        <f t="shared" si="31"/>
        <v>-2386.0099999999948</v>
      </c>
      <c r="AD97" s="97">
        <f t="shared" si="31"/>
        <v>25453.099999999991</v>
      </c>
      <c r="AE97" s="97">
        <f t="shared" si="31"/>
        <v>-17332.099999999999</v>
      </c>
      <c r="AF97" s="97">
        <f t="shared" si="31"/>
        <v>-36070.92</v>
      </c>
      <c r="AG97" s="290"/>
    </row>
    <row r="98" spans="1:33" x14ac:dyDescent="0.25">
      <c r="A98" s="4"/>
      <c r="B98" s="35" t="s">
        <v>40</v>
      </c>
      <c r="C98" s="97">
        <f t="shared" si="27"/>
        <v>38985.170000000013</v>
      </c>
      <c r="D98" s="77">
        <f t="shared" si="27"/>
        <v>-40883.179999999993</v>
      </c>
      <c r="E98" s="77">
        <f t="shared" si="27"/>
        <v>42416.399999999994</v>
      </c>
      <c r="F98" s="77">
        <f t="shared" si="27"/>
        <v>24993.89</v>
      </c>
      <c r="G98" s="77">
        <f t="shared" si="27"/>
        <v>-100916.59</v>
      </c>
      <c r="H98" s="77">
        <f t="shared" si="27"/>
        <v>-49488.900000000009</v>
      </c>
      <c r="I98" s="77">
        <f t="shared" si="27"/>
        <v>-48689.15</v>
      </c>
      <c r="J98" s="77">
        <f t="shared" si="27"/>
        <v>99586.38</v>
      </c>
      <c r="K98" s="77">
        <f t="shared" si="27"/>
        <v>-3861.2200000000012</v>
      </c>
      <c r="L98" s="98">
        <f t="shared" si="27"/>
        <v>-86953.05</v>
      </c>
      <c r="M98" s="97">
        <f t="shared" si="27"/>
        <v>-64373.919999999998</v>
      </c>
      <c r="N98" s="97">
        <f t="shared" si="27"/>
        <v>-224489.71</v>
      </c>
      <c r="O98" s="97">
        <f t="shared" si="27"/>
        <v>14235.309999999998</v>
      </c>
      <c r="P98" s="97">
        <f t="shared" si="27"/>
        <v>-133738.01999999999</v>
      </c>
      <c r="Q98" s="97">
        <f t="shared" si="27"/>
        <v>33217.269999999997</v>
      </c>
      <c r="R98" s="97">
        <f t="shared" si="27"/>
        <v>-86646.34</v>
      </c>
      <c r="S98" s="97">
        <f t="shared" si="28"/>
        <v>48154.579999999994</v>
      </c>
      <c r="T98" s="97">
        <f t="shared" si="28"/>
        <v>-78147.510000000009</v>
      </c>
      <c r="U98" s="97">
        <f t="shared" si="28"/>
        <v>-123177.62999999999</v>
      </c>
      <c r="V98" s="97">
        <f t="shared" si="28"/>
        <v>4445.4799999999996</v>
      </c>
      <c r="W98" s="97">
        <f t="shared" si="28"/>
        <v>-52178.17</v>
      </c>
      <c r="X98" s="97">
        <f t="shared" si="28"/>
        <v>-37984.620000000003</v>
      </c>
      <c r="Y98" s="97">
        <f t="shared" si="28"/>
        <v>-12864.580000000002</v>
      </c>
      <c r="Z98" s="97">
        <f t="shared" si="28"/>
        <v>-50954.130000000005</v>
      </c>
      <c r="AA98" s="97">
        <f t="shared" ref="AA98:AF98" si="32">AA77-AA84</f>
        <v>-88919.69</v>
      </c>
      <c r="AB98" s="97">
        <f t="shared" si="32"/>
        <v>67618.150000000009</v>
      </c>
      <c r="AC98" s="97">
        <f t="shared" si="32"/>
        <v>5685.7999999999993</v>
      </c>
      <c r="AD98" s="97">
        <f t="shared" si="32"/>
        <v>-49488.79</v>
      </c>
      <c r="AE98" s="97">
        <f t="shared" si="32"/>
        <v>-200587.53</v>
      </c>
      <c r="AF98" s="97">
        <f t="shared" si="32"/>
        <v>79545.73000000001</v>
      </c>
      <c r="AG98" s="290"/>
    </row>
    <row r="99" spans="1:33" ht="15.75" thickBot="1" x14ac:dyDescent="0.3">
      <c r="A99" s="4"/>
      <c r="B99" s="37" t="s">
        <v>41</v>
      </c>
      <c r="C99" s="100">
        <f>SUM(C94:C98)</f>
        <v>1307909.8300000005</v>
      </c>
      <c r="D99" s="81">
        <f>SUM(D94:D98)</f>
        <v>-741107.91000000015</v>
      </c>
      <c r="E99" s="81">
        <f t="shared" ref="E99:Y99" si="33">SUM(E94:E98)</f>
        <v>-100735.01999999996</v>
      </c>
      <c r="F99" s="81">
        <f t="shared" si="33"/>
        <v>-352810.38000000006</v>
      </c>
      <c r="G99" s="81">
        <f t="shared" si="33"/>
        <v>-722033.5</v>
      </c>
      <c r="H99" s="81">
        <f t="shared" si="33"/>
        <v>258451.82999999996</v>
      </c>
      <c r="I99" s="81">
        <f t="shared" si="33"/>
        <v>175616.74000000008</v>
      </c>
      <c r="J99" s="81">
        <f t="shared" si="33"/>
        <v>-254751.46999999997</v>
      </c>
      <c r="K99" s="81">
        <f t="shared" si="33"/>
        <v>-806368.10999999987</v>
      </c>
      <c r="L99" s="160">
        <f t="shared" si="33"/>
        <v>-891193.82</v>
      </c>
      <c r="M99" s="81">
        <f t="shared" si="33"/>
        <v>-634747.12</v>
      </c>
      <c r="N99" s="200">
        <f t="shared" si="33"/>
        <v>-693193.04999999993</v>
      </c>
      <c r="O99" s="81">
        <f t="shared" si="33"/>
        <v>-220283.55</v>
      </c>
      <c r="P99" s="81">
        <f t="shared" si="33"/>
        <v>-276931.0199999999</v>
      </c>
      <c r="Q99" s="81">
        <f t="shared" si="33"/>
        <v>-195342.48000000004</v>
      </c>
      <c r="R99" s="81">
        <f t="shared" si="33"/>
        <v>-340347.80000000005</v>
      </c>
      <c r="S99" s="81">
        <f t="shared" si="33"/>
        <v>-317185.37</v>
      </c>
      <c r="T99" s="81">
        <f t="shared" si="33"/>
        <v>-47304.129999999976</v>
      </c>
      <c r="U99" s="80">
        <f t="shared" si="33"/>
        <v>-264002.57999999996</v>
      </c>
      <c r="V99" s="80">
        <f t="shared" si="33"/>
        <v>105956.82999999999</v>
      </c>
      <c r="W99" s="80">
        <f t="shared" si="33"/>
        <v>-339581.04</v>
      </c>
      <c r="X99" s="80">
        <f t="shared" si="33"/>
        <v>171201.98000000004</v>
      </c>
      <c r="Y99" s="80">
        <f t="shared" si="33"/>
        <v>-66166.030000000013</v>
      </c>
      <c r="Z99" s="80">
        <f t="shared" ref="Z99:AF99" si="34">SUM(Z94:Z98)</f>
        <v>-79718.760000000038</v>
      </c>
      <c r="AA99" s="305">
        <f t="shared" si="34"/>
        <v>-286095.04000000004</v>
      </c>
      <c r="AB99" s="265">
        <f t="shared" si="34"/>
        <v>-48467.029999999984</v>
      </c>
      <c r="AC99" s="265">
        <f t="shared" si="34"/>
        <v>109267.35999999999</v>
      </c>
      <c r="AD99" s="265">
        <f t="shared" si="34"/>
        <v>357254.23000000004</v>
      </c>
      <c r="AE99" s="265">
        <f t="shared" si="34"/>
        <v>-115134.54999999999</v>
      </c>
      <c r="AF99" s="265">
        <f t="shared" si="34"/>
        <v>-180620.12000000002</v>
      </c>
      <c r="AG99" s="300"/>
    </row>
    <row r="100" spans="1:33"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51"/>
      <c r="AC100" s="294"/>
      <c r="AD100" s="298"/>
      <c r="AE100" s="66"/>
      <c r="AF100" s="66"/>
      <c r="AG100" s="289"/>
    </row>
    <row r="101" spans="1:33"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93">
        <v>15</v>
      </c>
      <c r="AD101" s="313">
        <v>10</v>
      </c>
      <c r="AE101" s="212">
        <v>9</v>
      </c>
      <c r="AF101" s="212">
        <v>12</v>
      </c>
      <c r="AG101" s="290"/>
    </row>
    <row r="102" spans="1:33"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6">
        <v>653</v>
      </c>
      <c r="AC102" s="293">
        <v>567</v>
      </c>
      <c r="AD102" s="313">
        <v>670</v>
      </c>
      <c r="AE102" s="212">
        <v>753</v>
      </c>
      <c r="AF102" s="212">
        <v>796</v>
      </c>
      <c r="AG102" s="290"/>
    </row>
    <row r="103" spans="1:33"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6">
        <v>0</v>
      </c>
      <c r="AC103" s="293">
        <v>0</v>
      </c>
      <c r="AD103" s="313">
        <v>0</v>
      </c>
      <c r="AE103" s="212">
        <v>0</v>
      </c>
      <c r="AF103" s="212">
        <v>0</v>
      </c>
      <c r="AG103" s="290"/>
    </row>
    <row r="104" spans="1:33"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6">
        <v>0</v>
      </c>
      <c r="AC104" s="293">
        <v>0</v>
      </c>
      <c r="AD104" s="313">
        <v>0</v>
      </c>
      <c r="AE104" s="212">
        <v>0</v>
      </c>
      <c r="AF104" s="212">
        <v>0</v>
      </c>
      <c r="AG104" s="290"/>
    </row>
    <row r="105" spans="1:33"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6">
        <v>0</v>
      </c>
      <c r="AC105" s="293">
        <v>0</v>
      </c>
      <c r="AD105" s="313">
        <v>0</v>
      </c>
      <c r="AE105" s="212">
        <v>0</v>
      </c>
      <c r="AF105" s="212">
        <v>0</v>
      </c>
      <c r="AG105" s="290"/>
    </row>
    <row r="106" spans="1:33" x14ac:dyDescent="0.25">
      <c r="A106" s="4"/>
      <c r="B106" s="35" t="s">
        <v>41</v>
      </c>
      <c r="C106" s="131">
        <f>SUM(C101:C105)</f>
        <v>57</v>
      </c>
      <c r="D106" s="58">
        <f>SUM(D101:D105)</f>
        <v>64</v>
      </c>
      <c r="E106" s="58">
        <f t="shared" ref="E106:AF106" si="35">SUM(E101:E105)</f>
        <v>78</v>
      </c>
      <c r="F106" s="58">
        <f t="shared" si="35"/>
        <v>85</v>
      </c>
      <c r="G106" s="58">
        <f t="shared" si="35"/>
        <v>92</v>
      </c>
      <c r="H106" s="58">
        <f t="shared" si="35"/>
        <v>89</v>
      </c>
      <c r="I106" s="58">
        <f t="shared" si="35"/>
        <v>88</v>
      </c>
      <c r="J106" s="58">
        <f t="shared" si="35"/>
        <v>90</v>
      </c>
      <c r="K106" s="58">
        <f t="shared" si="35"/>
        <v>181</v>
      </c>
      <c r="L106" s="130">
        <f t="shared" si="35"/>
        <v>348</v>
      </c>
      <c r="M106" s="58">
        <f t="shared" si="35"/>
        <v>575</v>
      </c>
      <c r="N106" s="58">
        <f t="shared" si="35"/>
        <v>815</v>
      </c>
      <c r="O106" s="58">
        <f t="shared" si="35"/>
        <v>964</v>
      </c>
      <c r="P106" s="58">
        <f t="shared" si="35"/>
        <v>963</v>
      </c>
      <c r="Q106" s="58">
        <f t="shared" si="35"/>
        <v>955</v>
      </c>
      <c r="R106" s="58">
        <f t="shared" si="35"/>
        <v>1213</v>
      </c>
      <c r="S106" s="58">
        <f t="shared" si="35"/>
        <v>1269</v>
      </c>
      <c r="T106" s="58">
        <f t="shared" si="35"/>
        <v>1257</v>
      </c>
      <c r="U106" s="70">
        <f t="shared" si="35"/>
        <v>1204</v>
      </c>
      <c r="V106" s="70">
        <f t="shared" si="35"/>
        <v>1113</v>
      </c>
      <c r="W106" s="70">
        <f t="shared" si="35"/>
        <v>1066</v>
      </c>
      <c r="X106" s="70">
        <f t="shared" si="35"/>
        <v>970</v>
      </c>
      <c r="Y106" s="70">
        <f t="shared" si="35"/>
        <v>894</v>
      </c>
      <c r="Z106" s="70">
        <f t="shared" si="35"/>
        <v>801</v>
      </c>
      <c r="AA106" s="70">
        <f t="shared" si="35"/>
        <v>697</v>
      </c>
      <c r="AB106" s="242">
        <f t="shared" si="35"/>
        <v>669</v>
      </c>
      <c r="AC106" s="242">
        <f t="shared" si="35"/>
        <v>582</v>
      </c>
      <c r="AD106" s="242">
        <f t="shared" si="35"/>
        <v>680</v>
      </c>
      <c r="AE106" s="242">
        <f t="shared" si="35"/>
        <v>762</v>
      </c>
      <c r="AF106" s="242">
        <f t="shared" si="35"/>
        <v>808</v>
      </c>
      <c r="AG106" s="290"/>
    </row>
    <row r="107" spans="1:33"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7"/>
      <c r="AC107" s="292"/>
      <c r="AD107" s="299"/>
      <c r="AE107" s="212"/>
      <c r="AF107" s="212"/>
      <c r="AG107" s="290"/>
    </row>
    <row r="108" spans="1:33"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93">
        <v>0</v>
      </c>
      <c r="AD108" s="313">
        <v>0</v>
      </c>
      <c r="AE108" s="212">
        <v>0</v>
      </c>
      <c r="AF108" s="212">
        <v>0</v>
      </c>
      <c r="AG108" s="290"/>
    </row>
    <row r="109" spans="1:33"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8">
        <v>0</v>
      </c>
      <c r="AC109" s="293">
        <v>0</v>
      </c>
      <c r="AD109" s="313">
        <v>0</v>
      </c>
      <c r="AE109" s="212">
        <v>0</v>
      </c>
      <c r="AF109" s="212">
        <v>0</v>
      </c>
      <c r="AG109" s="290"/>
    </row>
    <row r="110" spans="1:33"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8">
        <v>0</v>
      </c>
      <c r="AC110" s="293">
        <v>4</v>
      </c>
      <c r="AD110" s="313">
        <v>4</v>
      </c>
      <c r="AE110" s="212">
        <v>3</v>
      </c>
      <c r="AF110" s="212">
        <v>0</v>
      </c>
      <c r="AG110" s="290"/>
    </row>
    <row r="111" spans="1:33"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8">
        <v>0</v>
      </c>
      <c r="AC111" s="293">
        <v>0</v>
      </c>
      <c r="AD111" s="313">
        <v>0</v>
      </c>
      <c r="AE111" s="212">
        <v>0</v>
      </c>
      <c r="AF111" s="212">
        <v>0</v>
      </c>
      <c r="AG111" s="290"/>
    </row>
    <row r="112" spans="1:33"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8">
        <v>0</v>
      </c>
      <c r="AC112" s="293">
        <v>0</v>
      </c>
      <c r="AD112" s="313">
        <v>0</v>
      </c>
      <c r="AE112" s="212">
        <v>0</v>
      </c>
      <c r="AF112" s="212">
        <v>0</v>
      </c>
      <c r="AG112" s="290"/>
    </row>
    <row r="113" spans="1:33" x14ac:dyDescent="0.25">
      <c r="A113" s="4"/>
      <c r="B113" s="35" t="s">
        <v>41</v>
      </c>
      <c r="C113" s="222">
        <f>SUM(C108:C112)</f>
        <v>0</v>
      </c>
      <c r="D113" s="73">
        <f>SUM(D108:D112)</f>
        <v>0</v>
      </c>
      <c r="E113" s="73">
        <f t="shared" ref="E113:AF113" si="36">SUM(E108:E112)</f>
        <v>0</v>
      </c>
      <c r="F113" s="73">
        <f t="shared" si="36"/>
        <v>0</v>
      </c>
      <c r="G113" s="73">
        <f t="shared" si="36"/>
        <v>0</v>
      </c>
      <c r="H113" s="73">
        <f t="shared" si="36"/>
        <v>0</v>
      </c>
      <c r="I113" s="73">
        <f t="shared" si="36"/>
        <v>0</v>
      </c>
      <c r="J113" s="73">
        <f t="shared" si="36"/>
        <v>0</v>
      </c>
      <c r="K113" s="73">
        <f t="shared" si="36"/>
        <v>0</v>
      </c>
      <c r="L113" s="74">
        <f t="shared" si="36"/>
        <v>0</v>
      </c>
      <c r="M113" s="222">
        <f t="shared" si="36"/>
        <v>0</v>
      </c>
      <c r="N113" s="73">
        <f t="shared" si="36"/>
        <v>0</v>
      </c>
      <c r="O113" s="73">
        <f t="shared" si="36"/>
        <v>0</v>
      </c>
      <c r="P113" s="73">
        <f t="shared" si="36"/>
        <v>0</v>
      </c>
      <c r="Q113" s="73">
        <f t="shared" si="36"/>
        <v>0</v>
      </c>
      <c r="R113" s="73">
        <f t="shared" si="36"/>
        <v>0</v>
      </c>
      <c r="S113" s="73">
        <f>SUM(S108:S112)</f>
        <v>0</v>
      </c>
      <c r="T113" s="73">
        <f t="shared" si="36"/>
        <v>0</v>
      </c>
      <c r="U113" s="74">
        <f t="shared" si="36"/>
        <v>0</v>
      </c>
      <c r="V113" s="74">
        <f t="shared" si="36"/>
        <v>0</v>
      </c>
      <c r="W113" s="74">
        <f t="shared" si="36"/>
        <v>13</v>
      </c>
      <c r="X113" s="74">
        <f t="shared" si="36"/>
        <v>16</v>
      </c>
      <c r="Y113" s="74">
        <f t="shared" si="36"/>
        <v>5</v>
      </c>
      <c r="Z113" s="74">
        <f t="shared" si="36"/>
        <v>9</v>
      </c>
      <c r="AA113" s="74">
        <f t="shared" si="36"/>
        <v>1</v>
      </c>
      <c r="AB113" s="252">
        <f t="shared" si="36"/>
        <v>0</v>
      </c>
      <c r="AC113" s="252">
        <f t="shared" si="36"/>
        <v>4</v>
      </c>
      <c r="AD113" s="252">
        <f t="shared" si="36"/>
        <v>4</v>
      </c>
      <c r="AE113" s="252">
        <f t="shared" si="36"/>
        <v>3</v>
      </c>
      <c r="AF113" s="252">
        <f t="shared" si="36"/>
        <v>0</v>
      </c>
      <c r="AG113" s="290"/>
    </row>
    <row r="114" spans="1:33"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9"/>
      <c r="AC114" s="292"/>
      <c r="AD114" s="299"/>
      <c r="AE114" s="212"/>
      <c r="AF114" s="212"/>
      <c r="AG114" s="290"/>
    </row>
    <row r="115" spans="1:33"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70">
        <v>69</v>
      </c>
      <c r="AC115" s="293">
        <v>83</v>
      </c>
      <c r="AD115" s="313">
        <v>144</v>
      </c>
      <c r="AE115" s="212">
        <v>170</v>
      </c>
      <c r="AF115" s="212">
        <v>288</v>
      </c>
      <c r="AG115" s="290"/>
    </row>
    <row r="116" spans="1:33"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70">
        <v>10</v>
      </c>
      <c r="AC116" s="293">
        <v>13</v>
      </c>
      <c r="AD116" s="313">
        <v>17</v>
      </c>
      <c r="AE116" s="212">
        <v>16</v>
      </c>
      <c r="AF116" s="212">
        <v>15</v>
      </c>
      <c r="AG116" s="290"/>
    </row>
    <row r="117" spans="1:33"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70">
        <v>10</v>
      </c>
      <c r="AC117" s="293">
        <v>11</v>
      </c>
      <c r="AD117" s="313">
        <v>17</v>
      </c>
      <c r="AE117" s="212">
        <v>15</v>
      </c>
      <c r="AF117" s="212">
        <v>13</v>
      </c>
      <c r="AG117" s="290"/>
    </row>
    <row r="118" spans="1:33"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70">
        <v>2</v>
      </c>
      <c r="AC118" s="293">
        <v>1</v>
      </c>
      <c r="AD118" s="313">
        <v>4</v>
      </c>
      <c r="AE118" s="212">
        <v>2</v>
      </c>
      <c r="AF118" s="212">
        <v>3</v>
      </c>
      <c r="AG118" s="290"/>
    </row>
    <row r="119" spans="1:33"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70">
        <v>0</v>
      </c>
      <c r="AC119" s="293">
        <v>0</v>
      </c>
      <c r="AD119" s="313">
        <v>1</v>
      </c>
      <c r="AE119" s="212">
        <v>0</v>
      </c>
      <c r="AF119" s="212">
        <v>0</v>
      </c>
      <c r="AG119" s="290"/>
    </row>
    <row r="120" spans="1:33" ht="15.75" thickBot="1" x14ac:dyDescent="0.3">
      <c r="A120" s="4"/>
      <c r="B120" s="36" t="s">
        <v>41</v>
      </c>
      <c r="C120" s="151">
        <f>SUM(C115:C119)</f>
        <v>255</v>
      </c>
      <c r="D120" s="152">
        <f>SUM(D115:D119)</f>
        <v>148</v>
      </c>
      <c r="E120" s="152">
        <f t="shared" ref="E120:AF120" si="37">SUM(E115:E119)</f>
        <v>165</v>
      </c>
      <c r="F120" s="152">
        <f t="shared" si="37"/>
        <v>146</v>
      </c>
      <c r="G120" s="152">
        <f t="shared" si="37"/>
        <v>149</v>
      </c>
      <c r="H120" s="152">
        <f t="shared" si="37"/>
        <v>146</v>
      </c>
      <c r="I120" s="152">
        <f t="shared" si="37"/>
        <v>140</v>
      </c>
      <c r="J120" s="152">
        <f t="shared" si="37"/>
        <v>133</v>
      </c>
      <c r="K120" s="152">
        <f t="shared" si="37"/>
        <v>148</v>
      </c>
      <c r="L120" s="153">
        <f t="shared" si="37"/>
        <v>187</v>
      </c>
      <c r="M120" s="152">
        <f t="shared" si="37"/>
        <v>181</v>
      </c>
      <c r="N120" s="201">
        <f t="shared" si="37"/>
        <v>156</v>
      </c>
      <c r="O120" s="152">
        <f t="shared" si="37"/>
        <v>162</v>
      </c>
      <c r="P120" s="152">
        <f t="shared" si="37"/>
        <v>161</v>
      </c>
      <c r="Q120" s="152">
        <f t="shared" si="37"/>
        <v>166</v>
      </c>
      <c r="R120" s="152">
        <f t="shared" si="37"/>
        <v>144</v>
      </c>
      <c r="S120" s="152">
        <f t="shared" si="37"/>
        <v>129</v>
      </c>
      <c r="T120" s="152">
        <f t="shared" si="37"/>
        <v>138</v>
      </c>
      <c r="U120" s="153">
        <f t="shared" si="37"/>
        <v>138</v>
      </c>
      <c r="V120" s="153">
        <f t="shared" si="37"/>
        <v>121</v>
      </c>
      <c r="W120" s="153">
        <f t="shared" si="37"/>
        <v>117</v>
      </c>
      <c r="X120" s="153">
        <f t="shared" si="37"/>
        <v>110</v>
      </c>
      <c r="Y120" s="153">
        <f t="shared" si="37"/>
        <v>129</v>
      </c>
      <c r="Z120" s="153">
        <f t="shared" si="37"/>
        <v>104</v>
      </c>
      <c r="AA120" s="306">
        <f t="shared" si="37"/>
        <v>100</v>
      </c>
      <c r="AB120" s="307">
        <f t="shared" si="37"/>
        <v>91</v>
      </c>
      <c r="AC120" s="307">
        <f t="shared" si="37"/>
        <v>108</v>
      </c>
      <c r="AD120" s="307">
        <f t="shared" si="37"/>
        <v>183</v>
      </c>
      <c r="AE120" s="307">
        <f t="shared" si="37"/>
        <v>203</v>
      </c>
      <c r="AF120" s="307">
        <f t="shared" si="37"/>
        <v>319</v>
      </c>
      <c r="AG120" s="300"/>
    </row>
    <row r="121" spans="1:33"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9"/>
      <c r="AC121" s="294"/>
      <c r="AD121" s="298"/>
      <c r="AE121" s="66"/>
      <c r="AF121" s="66"/>
      <c r="AG121" s="289"/>
    </row>
    <row r="122" spans="1:33"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70">
        <f>14+4652</f>
        <v>4666</v>
      </c>
      <c r="AC122" s="293">
        <f>14+4580</f>
        <v>4594</v>
      </c>
      <c r="AD122" s="313">
        <f>11+4500</f>
        <v>4511</v>
      </c>
      <c r="AE122" s="212">
        <f>19+4285</f>
        <v>4304</v>
      </c>
      <c r="AF122" s="212">
        <f>14+3860</f>
        <v>3874</v>
      </c>
      <c r="AG122" s="290"/>
    </row>
    <row r="123" spans="1:33"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70">
        <f>52+869</f>
        <v>921</v>
      </c>
      <c r="AC123" s="293">
        <f>64+902</f>
        <v>966</v>
      </c>
      <c r="AD123" s="313">
        <f>89+821</f>
        <v>910</v>
      </c>
      <c r="AE123" s="212">
        <f>167+796</f>
        <v>963</v>
      </c>
      <c r="AF123" s="212">
        <f>12+570</f>
        <v>582</v>
      </c>
      <c r="AG123" s="290"/>
    </row>
    <row r="124" spans="1:33"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70">
        <f>2+77</f>
        <v>79</v>
      </c>
      <c r="AC124" s="293">
        <f>3+73</f>
        <v>76</v>
      </c>
      <c r="AD124" s="313">
        <v>63</v>
      </c>
      <c r="AE124" s="212">
        <f>2+54</f>
        <v>56</v>
      </c>
      <c r="AF124" s="212">
        <f>3+47</f>
        <v>50</v>
      </c>
      <c r="AG124" s="290"/>
    </row>
    <row r="125" spans="1:33"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70">
        <f>13+17</f>
        <v>30</v>
      </c>
      <c r="AC125" s="293">
        <f>15+16</f>
        <v>31</v>
      </c>
      <c r="AD125" s="313">
        <v>28</v>
      </c>
      <c r="AE125" s="212">
        <v>13</v>
      </c>
      <c r="AF125" s="212">
        <f>13+14</f>
        <v>27</v>
      </c>
      <c r="AG125" s="290"/>
    </row>
    <row r="126" spans="1:33"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70">
        <v>0</v>
      </c>
      <c r="AC126" s="293">
        <v>1</v>
      </c>
      <c r="AD126" s="313">
        <v>1</v>
      </c>
      <c r="AE126" s="212">
        <v>0</v>
      </c>
      <c r="AF126" s="212">
        <f>1</f>
        <v>1</v>
      </c>
      <c r="AG126" s="290"/>
    </row>
    <row r="127" spans="1:33" ht="15.75" thickBot="1" x14ac:dyDescent="0.3">
      <c r="A127" s="4"/>
      <c r="B127" s="36" t="s">
        <v>41</v>
      </c>
      <c r="C127" s="151">
        <f>SUM(C122:C126)</f>
        <v>617</v>
      </c>
      <c r="D127" s="152">
        <f>SUM(D122:D126)</f>
        <v>470</v>
      </c>
      <c r="E127" s="152">
        <f t="shared" ref="E127:AF127" si="38">SUM(E122:E126)</f>
        <v>352</v>
      </c>
      <c r="F127" s="152">
        <f t="shared" si="38"/>
        <v>471</v>
      </c>
      <c r="G127" s="152">
        <f t="shared" si="38"/>
        <v>337</v>
      </c>
      <c r="H127" s="152">
        <f t="shared" si="38"/>
        <v>403</v>
      </c>
      <c r="I127" s="152">
        <f t="shared" si="38"/>
        <v>347</v>
      </c>
      <c r="J127" s="152">
        <f t="shared" si="38"/>
        <v>326</v>
      </c>
      <c r="K127" s="152">
        <f t="shared" si="38"/>
        <v>301</v>
      </c>
      <c r="L127" s="197">
        <f t="shared" si="38"/>
        <v>263</v>
      </c>
      <c r="M127" s="152">
        <f t="shared" si="38"/>
        <v>368</v>
      </c>
      <c r="N127" s="201">
        <f t="shared" si="38"/>
        <v>333</v>
      </c>
      <c r="O127" s="152">
        <f t="shared" si="38"/>
        <v>270</v>
      </c>
      <c r="P127" s="152">
        <f t="shared" si="38"/>
        <v>1458</v>
      </c>
      <c r="Q127" s="152">
        <f t="shared" si="38"/>
        <v>1174</v>
      </c>
      <c r="R127" s="152">
        <f t="shared" si="38"/>
        <v>801</v>
      </c>
      <c r="S127" s="152">
        <f t="shared" si="38"/>
        <v>508</v>
      </c>
      <c r="T127" s="152">
        <f t="shared" si="38"/>
        <v>447</v>
      </c>
      <c r="U127" s="153">
        <f t="shared" si="38"/>
        <v>5868</v>
      </c>
      <c r="V127" s="153">
        <f t="shared" si="38"/>
        <v>6009</v>
      </c>
      <c r="W127" s="153">
        <f t="shared" si="38"/>
        <v>6295</v>
      </c>
      <c r="X127" s="153">
        <f t="shared" si="38"/>
        <v>7080</v>
      </c>
      <c r="Y127" s="153">
        <f t="shared" si="38"/>
        <v>5840</v>
      </c>
      <c r="Z127" s="153">
        <f t="shared" si="38"/>
        <v>5837</v>
      </c>
      <c r="AA127" s="306">
        <f t="shared" si="38"/>
        <v>5752</v>
      </c>
      <c r="AB127" s="307">
        <f t="shared" si="38"/>
        <v>5696</v>
      </c>
      <c r="AC127" s="307">
        <f t="shared" si="38"/>
        <v>5668</v>
      </c>
      <c r="AD127" s="307">
        <f t="shared" si="38"/>
        <v>5513</v>
      </c>
      <c r="AE127" s="307">
        <f t="shared" si="38"/>
        <v>5336</v>
      </c>
      <c r="AF127" s="307">
        <f t="shared" si="38"/>
        <v>4534</v>
      </c>
      <c r="AG127" s="300"/>
    </row>
    <row r="128" spans="1:33"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7"/>
      <c r="W128" s="142"/>
      <c r="X128" s="128"/>
      <c r="Y128" s="142"/>
      <c r="Z128" s="128"/>
      <c r="AA128" s="142"/>
      <c r="AB128" s="269"/>
      <c r="AC128" s="277"/>
      <c r="AD128" s="288"/>
      <c r="AE128" s="66"/>
      <c r="AF128" s="66"/>
      <c r="AG128" s="289"/>
    </row>
    <row r="129" spans="1:33"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71">
        <v>110</v>
      </c>
      <c r="AC129" s="276">
        <v>0</v>
      </c>
      <c r="AD129" s="316">
        <v>303</v>
      </c>
      <c r="AE129" s="212">
        <v>0</v>
      </c>
      <c r="AF129" s="212">
        <v>20</v>
      </c>
      <c r="AG129" s="290"/>
    </row>
    <row r="130" spans="1:33"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71">
        <v>0</v>
      </c>
      <c r="AC130" s="276">
        <v>0</v>
      </c>
      <c r="AD130" s="316">
        <v>0</v>
      </c>
      <c r="AE130" s="212">
        <v>0</v>
      </c>
      <c r="AF130" s="212">
        <v>0</v>
      </c>
      <c r="AG130" s="290"/>
    </row>
    <row r="131" spans="1:33"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71">
        <v>0</v>
      </c>
      <c r="AC131" s="276">
        <v>0</v>
      </c>
      <c r="AD131" s="316">
        <v>0</v>
      </c>
      <c r="AE131" s="212">
        <v>0</v>
      </c>
      <c r="AF131" s="212">
        <v>0</v>
      </c>
      <c r="AG131" s="290"/>
    </row>
    <row r="132" spans="1:33"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71">
        <v>0</v>
      </c>
      <c r="AC132" s="276">
        <v>0</v>
      </c>
      <c r="AD132" s="316">
        <v>0</v>
      </c>
      <c r="AE132" s="212">
        <v>0</v>
      </c>
      <c r="AF132" s="212">
        <v>0</v>
      </c>
      <c r="AG132" s="290"/>
    </row>
    <row r="133" spans="1:33"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2">
        <v>0</v>
      </c>
      <c r="AC133" s="278">
        <v>0</v>
      </c>
      <c r="AD133" s="316">
        <v>0</v>
      </c>
      <c r="AE133" s="212">
        <v>0</v>
      </c>
      <c r="AF133" s="212">
        <v>0</v>
      </c>
      <c r="AG133" s="290"/>
    </row>
    <row r="134" spans="1:33" ht="15.75" thickBot="1" x14ac:dyDescent="0.3">
      <c r="A134" s="4"/>
      <c r="B134" s="36" t="s">
        <v>41</v>
      </c>
      <c r="C134" s="220">
        <f>SUM(C129:C133)</f>
        <v>94</v>
      </c>
      <c r="D134" s="201">
        <f>SUM(D129:D133)</f>
        <v>42</v>
      </c>
      <c r="E134" s="201">
        <f t="shared" ref="E134:V134" si="39">SUM(E129:E133)</f>
        <v>48</v>
      </c>
      <c r="F134" s="201">
        <f t="shared" si="39"/>
        <v>43</v>
      </c>
      <c r="G134" s="201">
        <f t="shared" si="39"/>
        <v>24</v>
      </c>
      <c r="H134" s="201">
        <f t="shared" si="39"/>
        <v>43</v>
      </c>
      <c r="I134" s="201">
        <f t="shared" si="39"/>
        <v>47</v>
      </c>
      <c r="J134" s="201">
        <f t="shared" si="39"/>
        <v>0</v>
      </c>
      <c r="K134" s="201">
        <f t="shared" si="39"/>
        <v>0</v>
      </c>
      <c r="L134" s="221">
        <f t="shared" si="39"/>
        <v>0</v>
      </c>
      <c r="M134" s="152">
        <f t="shared" si="39"/>
        <v>0</v>
      </c>
      <c r="N134" s="201">
        <f t="shared" si="39"/>
        <v>0</v>
      </c>
      <c r="O134" s="152">
        <f t="shared" si="39"/>
        <v>0</v>
      </c>
      <c r="P134" s="152">
        <f t="shared" si="39"/>
        <v>0</v>
      </c>
      <c r="Q134" s="152">
        <f t="shared" si="39"/>
        <v>0</v>
      </c>
      <c r="R134" s="152">
        <f t="shared" si="39"/>
        <v>0</v>
      </c>
      <c r="S134" s="152">
        <f t="shared" si="39"/>
        <v>0</v>
      </c>
      <c r="T134" s="152">
        <f t="shared" si="39"/>
        <v>0</v>
      </c>
      <c r="U134" s="153">
        <f t="shared" si="39"/>
        <v>0</v>
      </c>
      <c r="V134" s="248">
        <f t="shared" si="39"/>
        <v>0</v>
      </c>
      <c r="W134" s="152">
        <v>0</v>
      </c>
      <c r="X134" s="152">
        <v>0</v>
      </c>
      <c r="Y134" s="152">
        <v>0</v>
      </c>
      <c r="Z134" s="152">
        <v>0</v>
      </c>
      <c r="AA134" s="152">
        <v>0</v>
      </c>
      <c r="AB134" s="273">
        <f>SUM(AB129:AB133)</f>
        <v>110</v>
      </c>
      <c r="AC134" s="279">
        <v>0</v>
      </c>
      <c r="AD134" s="279">
        <f>SUM(AD129:AD133)</f>
        <v>303</v>
      </c>
      <c r="AE134" s="279">
        <f>SUM(AE129:AE133)</f>
        <v>0</v>
      </c>
      <c r="AF134" s="339">
        <v>0</v>
      </c>
      <c r="AG134" s="291"/>
    </row>
    <row r="135" spans="1:33" ht="15.75" thickTop="1" x14ac:dyDescent="0.25">
      <c r="A135" s="4"/>
    </row>
    <row r="136" spans="1:33" x14ac:dyDescent="0.25">
      <c r="B136" s="1" t="s">
        <v>27</v>
      </c>
    </row>
    <row r="137" spans="1:33" x14ac:dyDescent="0.25">
      <c r="B137" s="33" t="s">
        <v>28</v>
      </c>
    </row>
    <row r="140" spans="1:33" x14ac:dyDescent="0.25">
      <c r="B140" s="34" t="s">
        <v>26</v>
      </c>
    </row>
    <row r="141" spans="1:33" ht="97.5" customHeight="1" x14ac:dyDescent="0.25">
      <c r="B141" s="228"/>
      <c r="C141" s="349"/>
      <c r="D141" s="349"/>
      <c r="E141" s="349"/>
      <c r="F141" s="349"/>
      <c r="G141" s="349"/>
      <c r="H141" s="349"/>
      <c r="I141" s="349"/>
      <c r="J141" s="349"/>
      <c r="K141" s="349"/>
      <c r="L141" s="349"/>
    </row>
    <row r="142" spans="1:33" ht="52.5" customHeight="1" x14ac:dyDescent="0.25">
      <c r="B142" s="228"/>
      <c r="C142" s="352"/>
      <c r="D142" s="352"/>
      <c r="E142" s="352"/>
      <c r="F142" s="352"/>
      <c r="G142" s="352"/>
      <c r="H142" s="352"/>
      <c r="I142" s="352"/>
      <c r="J142" s="352"/>
      <c r="K142" s="352"/>
      <c r="L142" s="352"/>
    </row>
    <row r="143" spans="1:33" ht="36.75" customHeight="1" x14ac:dyDescent="0.25">
      <c r="B143" s="228"/>
      <c r="C143" s="349"/>
      <c r="D143" s="349"/>
      <c r="E143" s="349"/>
      <c r="F143" s="349"/>
      <c r="G143" s="349"/>
      <c r="H143" s="349"/>
      <c r="I143" s="349"/>
      <c r="J143" s="349"/>
      <c r="K143" s="349"/>
      <c r="L143" s="349"/>
    </row>
    <row r="144" spans="1:33" ht="54" customHeight="1" x14ac:dyDescent="0.25">
      <c r="B144" s="228"/>
      <c r="C144" s="349"/>
      <c r="D144" s="349"/>
      <c r="E144" s="349"/>
      <c r="F144" s="349"/>
      <c r="G144" s="349"/>
      <c r="H144" s="349"/>
      <c r="I144" s="349"/>
      <c r="J144" s="349"/>
      <c r="K144" s="349"/>
      <c r="L144" s="349"/>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973B56-30BF-46F7-B54B-548DFB8C7C52}">
  <ds:schemaRefs>
    <ds:schemaRef ds:uri="http://schemas.microsoft.com/office/2006/metadata/properties"/>
    <ds:schemaRef ds:uri="f0d9c22b-fcf1-4ac5-af28-836ba5e16df8"/>
    <ds:schemaRef ds:uri="http://schemas.microsoft.com/office/infopath/2007/PartnerControls"/>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a2e695b4-9150-42fe-b9c3-37332672e6b0"/>
    <ds:schemaRef ds:uri="http://www.w3.org/XML/1998/namespace"/>
  </ds:schemaRefs>
</ds:datastoreItem>
</file>

<file path=customXml/itemProps3.xml><?xml version="1.0" encoding="utf-8"?>
<ds:datastoreItem xmlns:ds="http://schemas.openxmlformats.org/officeDocument/2006/customXml" ds:itemID="{B981A640-6DF5-48E0-8FE9-3742042AE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vt:lpstr>
      <vt:lpstr>Weekly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R.J. Ritchie</cp:lastModifiedBy>
  <cp:lastPrinted>2020-04-09T15:18:08Z</cp:lastPrinted>
  <dcterms:created xsi:type="dcterms:W3CDTF">2020-04-08T09:56:20Z</dcterms:created>
  <dcterms:modified xsi:type="dcterms:W3CDTF">2020-11-06T03:14:04Z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